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AMDISGHAIER\Downloads\"/>
    </mc:Choice>
  </mc:AlternateContent>
  <xr:revisionPtr revIDLastSave="0" documentId="13_ncr:1_{B4490B52-7038-42D8-84EB-28148745C1A0}" xr6:coauthVersionLast="47" xr6:coauthVersionMax="47" xr10:uidLastSave="{00000000-0000-0000-0000-000000000000}"/>
  <bookViews>
    <workbookView xWindow="-120" yWindow="-120" windowWidth="29040" windowHeight="15720" firstSheet="4" activeTab="9" xr2:uid="{00000000-000D-0000-FFFF-FFFF00000000}"/>
  </bookViews>
  <sheets>
    <sheet name="coordonne sous traitant" sheetId="10" r:id="rId1"/>
    <sheet name="Mouvement mp" sheetId="12" r:id="rId2"/>
    <sheet name="Mouvement Fourniture" sheetId="17" r:id="rId3"/>
    <sheet name="Tissage" sheetId="11" r:id="rId4"/>
    <sheet name="Coupe" sheetId="6" r:id="rId5"/>
    <sheet name="Mvtst" sheetId="1" r:id="rId6"/>
    <sheet name="Qualite" sheetId="5" r:id="rId7"/>
    <sheet name="Liste de Colisage" sheetId="13" r:id="rId8"/>
    <sheet name="Liste Palette" sheetId="14" r:id="rId9"/>
    <sheet name="Mvt Inter-entrepot" sheetId="15" r:id="rId10"/>
  </sheets>
  <definedNames>
    <definedName name="liste_of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2" l="1"/>
  <c r="N3" i="12"/>
  <c r="N4" i="12"/>
  <c r="N5" i="12"/>
  <c r="N6" i="12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N501" i="12"/>
  <c r="N502" i="12"/>
  <c r="N503" i="12"/>
  <c r="N504" i="12"/>
  <c r="N505" i="12"/>
  <c r="N506" i="12"/>
  <c r="N507" i="12"/>
  <c r="N508" i="12"/>
  <c r="N509" i="12"/>
  <c r="N510" i="12"/>
  <c r="N511" i="12"/>
  <c r="N512" i="12"/>
  <c r="N513" i="12"/>
  <c r="N514" i="12"/>
  <c r="N515" i="12"/>
  <c r="N516" i="12"/>
  <c r="N517" i="12"/>
  <c r="N518" i="12"/>
  <c r="N519" i="12"/>
  <c r="N520" i="12"/>
  <c r="N521" i="12"/>
  <c r="N522" i="12"/>
  <c r="N523" i="12"/>
  <c r="N524" i="12"/>
  <c r="N525" i="12"/>
  <c r="N526" i="12"/>
  <c r="N527" i="12"/>
  <c r="N528" i="12"/>
  <c r="N529" i="12"/>
  <c r="N530" i="12"/>
  <c r="N531" i="12"/>
  <c r="N532" i="12"/>
  <c r="N533" i="12"/>
  <c r="N534" i="12"/>
  <c r="N535" i="12"/>
  <c r="N536" i="12"/>
  <c r="N537" i="12"/>
  <c r="N538" i="12"/>
  <c r="N539" i="12"/>
  <c r="N540" i="12"/>
  <c r="N541" i="12"/>
  <c r="N542" i="12"/>
  <c r="N543" i="12"/>
  <c r="N544" i="12"/>
  <c r="N545" i="12"/>
  <c r="N546" i="12"/>
  <c r="N547" i="12"/>
  <c r="N548" i="12"/>
  <c r="N549" i="12"/>
  <c r="N550" i="12"/>
  <c r="N551" i="12"/>
  <c r="N552" i="12"/>
  <c r="N553" i="12"/>
  <c r="N554" i="12"/>
  <c r="N555" i="12"/>
  <c r="N556" i="12"/>
  <c r="N557" i="12"/>
  <c r="N558" i="12"/>
  <c r="M2" i="12"/>
  <c r="M3" i="12"/>
  <c r="M4" i="12"/>
  <c r="M5" i="12"/>
  <c r="M6" i="12"/>
  <c r="M7" i="12"/>
  <c r="M8" i="12"/>
  <c r="M9" i="12"/>
  <c r="M10" i="12"/>
  <c r="M11" i="12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3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2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496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520" i="12"/>
  <c r="M521" i="12"/>
  <c r="M522" i="12"/>
  <c r="M523" i="12"/>
  <c r="M524" i="12"/>
  <c r="M525" i="12"/>
  <c r="M526" i="12"/>
  <c r="M527" i="12"/>
  <c r="M528" i="12"/>
  <c r="M529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L2" i="12"/>
  <c r="L3" i="12"/>
  <c r="L4" i="12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32" i="12"/>
  <c r="L33" i="12"/>
  <c r="L34" i="12"/>
  <c r="L35" i="12"/>
  <c r="L36" i="12"/>
  <c r="L37" i="12"/>
  <c r="L38" i="12"/>
  <c r="L39" i="12"/>
  <c r="L40" i="12"/>
  <c r="L41" i="12"/>
  <c r="L42" i="12"/>
  <c r="L43" i="12"/>
  <c r="L44" i="12"/>
  <c r="L45" i="12"/>
  <c r="L46" i="12"/>
  <c r="L47" i="12"/>
  <c r="L48" i="12"/>
  <c r="L49" i="12"/>
  <c r="L50" i="12"/>
  <c r="L51" i="12"/>
  <c r="L52" i="12"/>
  <c r="L53" i="12"/>
  <c r="L54" i="12"/>
  <c r="L55" i="12"/>
  <c r="L56" i="12"/>
  <c r="L57" i="12"/>
  <c r="L58" i="12"/>
  <c r="L59" i="12"/>
  <c r="L60" i="12"/>
  <c r="L61" i="12"/>
  <c r="L62" i="12"/>
  <c r="L63" i="12"/>
  <c r="L64" i="12"/>
  <c r="L65" i="12"/>
  <c r="L66" i="12"/>
  <c r="L67" i="12"/>
  <c r="L68" i="12"/>
  <c r="L69" i="12"/>
  <c r="L70" i="12"/>
  <c r="L71" i="12"/>
  <c r="L72" i="12"/>
  <c r="L73" i="12"/>
  <c r="L74" i="12"/>
  <c r="L75" i="12"/>
  <c r="L76" i="12"/>
  <c r="L77" i="12"/>
  <c r="L78" i="12"/>
  <c r="L79" i="12"/>
  <c r="L80" i="12"/>
  <c r="L81" i="12"/>
  <c r="L82" i="12"/>
  <c r="L83" i="12"/>
  <c r="L84" i="12"/>
  <c r="L85" i="12"/>
  <c r="L86" i="12"/>
  <c r="L87" i="12"/>
  <c r="L88" i="12"/>
  <c r="L89" i="12"/>
  <c r="L90" i="12"/>
  <c r="L91" i="12"/>
  <c r="L92" i="12"/>
  <c r="L93" i="12"/>
  <c r="L94" i="12"/>
  <c r="L95" i="12"/>
  <c r="L96" i="12"/>
  <c r="L97" i="12"/>
  <c r="L98" i="12"/>
  <c r="L99" i="12"/>
  <c r="L100" i="12"/>
  <c r="L101" i="12"/>
  <c r="L102" i="12"/>
  <c r="L103" i="12"/>
  <c r="L104" i="12"/>
  <c r="L105" i="12"/>
  <c r="L106" i="12"/>
  <c r="L107" i="12"/>
  <c r="L108" i="12"/>
  <c r="L109" i="12"/>
  <c r="L110" i="12"/>
  <c r="L111" i="12"/>
  <c r="L112" i="12"/>
  <c r="L113" i="12"/>
  <c r="L114" i="12"/>
  <c r="L115" i="12"/>
  <c r="L116" i="12"/>
  <c r="L117" i="12"/>
  <c r="L118" i="12"/>
  <c r="L119" i="12"/>
  <c r="L120" i="12"/>
  <c r="L121" i="12"/>
  <c r="L122" i="12"/>
  <c r="L123" i="12"/>
  <c r="L124" i="12"/>
  <c r="L125" i="12"/>
  <c r="L126" i="12"/>
  <c r="L127" i="12"/>
  <c r="L128" i="12"/>
  <c r="L129" i="12"/>
  <c r="L130" i="12"/>
  <c r="L131" i="12"/>
  <c r="L132" i="12"/>
  <c r="L133" i="12"/>
  <c r="L134" i="12"/>
  <c r="L135" i="12"/>
  <c r="L136" i="12"/>
  <c r="L137" i="12"/>
  <c r="L138" i="12"/>
  <c r="L139" i="12"/>
  <c r="L140" i="12"/>
  <c r="L141" i="12"/>
  <c r="L142" i="12"/>
  <c r="L143" i="12"/>
  <c r="L144" i="12"/>
  <c r="L145" i="12"/>
  <c r="L146" i="12"/>
  <c r="L147" i="12"/>
  <c r="L148" i="12"/>
  <c r="L149" i="12"/>
  <c r="L150" i="12"/>
  <c r="L151" i="12"/>
  <c r="L152" i="12"/>
  <c r="L153" i="12"/>
  <c r="L154" i="12"/>
  <c r="L155" i="12"/>
  <c r="L156" i="12"/>
  <c r="L157" i="12"/>
  <c r="L158" i="12"/>
  <c r="L159" i="12"/>
  <c r="L160" i="12"/>
  <c r="L161" i="12"/>
  <c r="L162" i="12"/>
  <c r="L163" i="12"/>
  <c r="L164" i="12"/>
  <c r="L165" i="12"/>
  <c r="L166" i="12"/>
  <c r="L167" i="12"/>
  <c r="L168" i="12"/>
  <c r="L169" i="12"/>
  <c r="L170" i="12"/>
  <c r="L171" i="12"/>
  <c r="L172" i="12"/>
  <c r="L173" i="12"/>
  <c r="L174" i="12"/>
  <c r="L175" i="12"/>
  <c r="L176" i="12"/>
  <c r="L177" i="12"/>
  <c r="L178" i="12"/>
  <c r="L179" i="12"/>
  <c r="L180" i="12"/>
  <c r="L181" i="12"/>
  <c r="L182" i="12"/>
  <c r="L183" i="12"/>
  <c r="L184" i="12"/>
  <c r="L185" i="12"/>
  <c r="L186" i="12"/>
  <c r="L187" i="12"/>
  <c r="L188" i="12"/>
  <c r="L189" i="12"/>
  <c r="L190" i="12"/>
  <c r="L191" i="12"/>
  <c r="L192" i="12"/>
  <c r="L193" i="12"/>
  <c r="L194" i="12"/>
  <c r="L195" i="12"/>
  <c r="L196" i="12"/>
  <c r="L197" i="12"/>
  <c r="L198" i="12"/>
  <c r="L199" i="12"/>
  <c r="L200" i="12"/>
  <c r="L201" i="12"/>
  <c r="L202" i="12"/>
  <c r="L203" i="12"/>
  <c r="L204" i="12"/>
  <c r="L205" i="12"/>
  <c r="L206" i="12"/>
  <c r="L207" i="12"/>
  <c r="L208" i="12"/>
  <c r="L209" i="12"/>
  <c r="L210" i="12"/>
  <c r="L211" i="12"/>
  <c r="L212" i="12"/>
  <c r="L213" i="12"/>
  <c r="L214" i="12"/>
  <c r="L215" i="12"/>
  <c r="L216" i="12"/>
  <c r="L217" i="12"/>
  <c r="L218" i="12"/>
  <c r="L219" i="12"/>
  <c r="L220" i="12"/>
  <c r="L221" i="12"/>
  <c r="L222" i="12"/>
  <c r="L223" i="12"/>
  <c r="L224" i="12"/>
  <c r="L225" i="12"/>
  <c r="L226" i="12"/>
  <c r="L227" i="12"/>
  <c r="L228" i="12"/>
  <c r="L229" i="12"/>
  <c r="L230" i="12"/>
  <c r="L231" i="12"/>
  <c r="L232" i="12"/>
  <c r="L233" i="12"/>
  <c r="L234" i="12"/>
  <c r="L235" i="12"/>
  <c r="L236" i="12"/>
  <c r="L237" i="12"/>
  <c r="L238" i="12"/>
  <c r="L239" i="12"/>
  <c r="L240" i="12"/>
  <c r="L241" i="12"/>
  <c r="L242" i="12"/>
  <c r="L243" i="12"/>
  <c r="L244" i="12"/>
  <c r="L245" i="12"/>
  <c r="L246" i="12"/>
  <c r="L247" i="12"/>
  <c r="L248" i="12"/>
  <c r="L249" i="12"/>
  <c r="L250" i="12"/>
  <c r="L251" i="12"/>
  <c r="L252" i="12"/>
  <c r="L253" i="12"/>
  <c r="L254" i="12"/>
  <c r="L255" i="12"/>
  <c r="L256" i="12"/>
  <c r="L257" i="12"/>
  <c r="L258" i="12"/>
  <c r="L259" i="12"/>
  <c r="L260" i="12"/>
  <c r="L261" i="12"/>
  <c r="L262" i="12"/>
  <c r="L263" i="12"/>
  <c r="L264" i="12"/>
  <c r="L265" i="12"/>
  <c r="L266" i="12"/>
  <c r="L267" i="12"/>
  <c r="L268" i="12"/>
  <c r="L269" i="12"/>
  <c r="L270" i="12"/>
  <c r="L271" i="12"/>
  <c r="L272" i="12"/>
  <c r="L273" i="12"/>
  <c r="L274" i="12"/>
  <c r="L275" i="12"/>
  <c r="L276" i="12"/>
  <c r="L277" i="12"/>
  <c r="L278" i="12"/>
  <c r="L279" i="12"/>
  <c r="L280" i="12"/>
  <c r="L281" i="12"/>
  <c r="L282" i="12"/>
  <c r="L283" i="12"/>
  <c r="L284" i="12"/>
  <c r="L285" i="12"/>
  <c r="L286" i="12"/>
  <c r="L287" i="12"/>
  <c r="L288" i="12"/>
  <c r="L289" i="12"/>
  <c r="L290" i="12"/>
  <c r="L291" i="12"/>
  <c r="L292" i="12"/>
  <c r="L293" i="12"/>
  <c r="L294" i="12"/>
  <c r="L295" i="12"/>
  <c r="L296" i="12"/>
  <c r="L297" i="12"/>
  <c r="L298" i="12"/>
  <c r="L299" i="12"/>
  <c r="L300" i="12"/>
  <c r="L301" i="12"/>
  <c r="L302" i="12"/>
  <c r="L303" i="12"/>
  <c r="L304" i="12"/>
  <c r="L305" i="12"/>
  <c r="L306" i="12"/>
  <c r="L307" i="12"/>
  <c r="L308" i="12"/>
  <c r="L309" i="12"/>
  <c r="L310" i="12"/>
  <c r="L311" i="12"/>
  <c r="L312" i="12"/>
  <c r="L313" i="12"/>
  <c r="L314" i="12"/>
  <c r="L315" i="12"/>
  <c r="L316" i="12"/>
  <c r="L317" i="12"/>
  <c r="L318" i="12"/>
  <c r="L319" i="12"/>
  <c r="L320" i="12"/>
  <c r="L321" i="12"/>
  <c r="L322" i="12"/>
  <c r="L323" i="12"/>
  <c r="L324" i="12"/>
  <c r="L325" i="12"/>
  <c r="L326" i="12"/>
  <c r="L327" i="12"/>
  <c r="L328" i="12"/>
  <c r="L329" i="12"/>
  <c r="L330" i="12"/>
  <c r="L331" i="12"/>
  <c r="L332" i="12"/>
  <c r="L333" i="12"/>
  <c r="L334" i="12"/>
  <c r="L335" i="12"/>
  <c r="L336" i="12"/>
  <c r="L337" i="12"/>
  <c r="L338" i="12"/>
  <c r="L339" i="12"/>
  <c r="L340" i="12"/>
  <c r="L341" i="12"/>
  <c r="L342" i="12"/>
  <c r="L343" i="12"/>
  <c r="L344" i="12"/>
  <c r="L345" i="12"/>
  <c r="L346" i="12"/>
  <c r="L347" i="12"/>
  <c r="L348" i="12"/>
  <c r="L349" i="12"/>
  <c r="L350" i="12"/>
  <c r="L351" i="12"/>
  <c r="L352" i="12"/>
  <c r="L353" i="12"/>
  <c r="L354" i="12"/>
  <c r="L355" i="12"/>
  <c r="L356" i="12"/>
  <c r="L357" i="12"/>
  <c r="L358" i="12"/>
  <c r="L359" i="12"/>
  <c r="L360" i="12"/>
  <c r="L361" i="12"/>
  <c r="L362" i="12"/>
  <c r="L363" i="12"/>
  <c r="L364" i="12"/>
  <c r="L365" i="12"/>
  <c r="L366" i="12"/>
  <c r="L367" i="12"/>
  <c r="L368" i="12"/>
  <c r="L369" i="12"/>
  <c r="L370" i="12"/>
  <c r="L371" i="12"/>
  <c r="L372" i="12"/>
  <c r="L373" i="12"/>
  <c r="L374" i="12"/>
  <c r="L375" i="12"/>
  <c r="L376" i="12"/>
  <c r="L377" i="12"/>
  <c r="L378" i="12"/>
  <c r="L379" i="12"/>
  <c r="L380" i="12"/>
  <c r="L381" i="12"/>
  <c r="L382" i="12"/>
  <c r="L383" i="12"/>
  <c r="L384" i="12"/>
  <c r="L385" i="12"/>
  <c r="L386" i="12"/>
  <c r="L387" i="12"/>
  <c r="L388" i="12"/>
  <c r="L389" i="12"/>
  <c r="L390" i="12"/>
  <c r="L391" i="12"/>
  <c r="L392" i="12"/>
  <c r="L393" i="12"/>
  <c r="L394" i="12"/>
  <c r="L395" i="12"/>
  <c r="L396" i="12"/>
  <c r="L397" i="12"/>
  <c r="L398" i="12"/>
  <c r="L399" i="12"/>
  <c r="L400" i="12"/>
  <c r="L401" i="12"/>
  <c r="L402" i="12"/>
  <c r="L403" i="12"/>
  <c r="L404" i="12"/>
  <c r="L405" i="12"/>
  <c r="L406" i="12"/>
  <c r="L407" i="12"/>
  <c r="L408" i="12"/>
  <c r="L409" i="12"/>
  <c r="L410" i="12"/>
  <c r="L411" i="12"/>
  <c r="L412" i="12"/>
  <c r="L413" i="12"/>
  <c r="L414" i="12"/>
  <c r="L415" i="12"/>
  <c r="L416" i="12"/>
  <c r="L417" i="12"/>
  <c r="L418" i="12"/>
  <c r="L419" i="12"/>
  <c r="L420" i="12"/>
  <c r="L421" i="12"/>
  <c r="L422" i="12"/>
  <c r="L423" i="12"/>
  <c r="L424" i="12"/>
  <c r="L425" i="12"/>
  <c r="L426" i="12"/>
  <c r="L427" i="12"/>
  <c r="L428" i="12"/>
  <c r="L429" i="12"/>
  <c r="L430" i="12"/>
  <c r="L431" i="12"/>
  <c r="L432" i="12"/>
  <c r="L433" i="12"/>
  <c r="L434" i="12"/>
  <c r="L435" i="12"/>
  <c r="L436" i="12"/>
  <c r="L437" i="12"/>
  <c r="L438" i="12"/>
  <c r="L439" i="12"/>
  <c r="L440" i="12"/>
  <c r="L441" i="12"/>
  <c r="L442" i="12"/>
  <c r="L443" i="12"/>
  <c r="L444" i="12"/>
  <c r="L445" i="12"/>
  <c r="L446" i="12"/>
  <c r="L447" i="12"/>
  <c r="L448" i="12"/>
  <c r="L449" i="12"/>
  <c r="L450" i="12"/>
  <c r="L451" i="12"/>
  <c r="L452" i="12"/>
  <c r="L453" i="12"/>
  <c r="L454" i="12"/>
  <c r="L455" i="12"/>
  <c r="L456" i="12"/>
  <c r="L457" i="12"/>
  <c r="L458" i="12"/>
  <c r="L459" i="12"/>
  <c r="L460" i="12"/>
  <c r="L461" i="12"/>
  <c r="L462" i="12"/>
  <c r="L463" i="12"/>
  <c r="L464" i="12"/>
  <c r="L465" i="12"/>
  <c r="L466" i="12"/>
  <c r="L467" i="12"/>
  <c r="L468" i="12"/>
  <c r="L469" i="12"/>
  <c r="L470" i="12"/>
  <c r="L471" i="12"/>
  <c r="L472" i="12"/>
  <c r="L473" i="12"/>
  <c r="L474" i="12"/>
  <c r="L475" i="12"/>
  <c r="L476" i="12"/>
  <c r="L477" i="12"/>
  <c r="L478" i="12"/>
  <c r="L479" i="12"/>
  <c r="L480" i="12"/>
  <c r="L481" i="12"/>
  <c r="L482" i="12"/>
  <c r="L483" i="12"/>
  <c r="L484" i="12"/>
  <c r="L485" i="12"/>
  <c r="L486" i="12"/>
  <c r="L487" i="12"/>
  <c r="L488" i="12"/>
  <c r="L489" i="12"/>
  <c r="L490" i="12"/>
  <c r="L491" i="12"/>
  <c r="L492" i="12"/>
  <c r="L493" i="12"/>
  <c r="L494" i="12"/>
  <c r="L495" i="12"/>
  <c r="L496" i="12"/>
  <c r="L497" i="12"/>
  <c r="L498" i="12"/>
  <c r="L499" i="12"/>
  <c r="L500" i="12"/>
  <c r="L501" i="12"/>
  <c r="L502" i="12"/>
  <c r="L503" i="12"/>
  <c r="L504" i="12"/>
  <c r="L505" i="12"/>
  <c r="L506" i="12"/>
  <c r="L507" i="12"/>
  <c r="L508" i="12"/>
  <c r="L509" i="12"/>
  <c r="L510" i="12"/>
  <c r="L511" i="12"/>
  <c r="L512" i="12"/>
  <c r="L513" i="12"/>
  <c r="L514" i="12"/>
  <c r="L515" i="12"/>
  <c r="L516" i="12"/>
  <c r="L517" i="12"/>
  <c r="L518" i="12"/>
  <c r="L519" i="12"/>
  <c r="L520" i="12"/>
  <c r="L521" i="12"/>
  <c r="L522" i="12"/>
  <c r="L523" i="12"/>
  <c r="L524" i="12"/>
  <c r="L525" i="12"/>
  <c r="L526" i="12"/>
  <c r="L527" i="12"/>
  <c r="L528" i="12"/>
  <c r="L529" i="12"/>
  <c r="L530" i="12"/>
  <c r="L531" i="12"/>
  <c r="L532" i="12"/>
  <c r="L533" i="12"/>
  <c r="L534" i="12"/>
  <c r="L535" i="12"/>
  <c r="L536" i="12"/>
  <c r="L537" i="12"/>
  <c r="L538" i="12"/>
  <c r="L539" i="12"/>
  <c r="L540" i="12"/>
  <c r="L541" i="12"/>
  <c r="L542" i="12"/>
  <c r="L543" i="12"/>
  <c r="L544" i="12"/>
  <c r="L545" i="12"/>
  <c r="L546" i="12"/>
  <c r="L547" i="12"/>
  <c r="L548" i="12"/>
  <c r="L549" i="12"/>
  <c r="L550" i="12"/>
  <c r="L551" i="12"/>
  <c r="L552" i="12"/>
  <c r="L553" i="12"/>
  <c r="L554" i="12"/>
  <c r="L555" i="12"/>
  <c r="L556" i="12"/>
  <c r="L557" i="12"/>
  <c r="L558" i="12"/>
  <c r="K2" i="12"/>
  <c r="K3" i="12"/>
  <c r="K4" i="12"/>
  <c r="K5" i="12"/>
  <c r="K6" i="12"/>
  <c r="K7" i="12"/>
  <c r="K8" i="12"/>
  <c r="K9" i="12"/>
  <c r="K10" i="12"/>
  <c r="K11" i="12"/>
  <c r="K12" i="12"/>
  <c r="K13" i="12"/>
  <c r="K14" i="12"/>
  <c r="K15" i="12"/>
  <c r="K16" i="12"/>
  <c r="K17" i="12"/>
  <c r="K18" i="12"/>
  <c r="K19" i="12"/>
  <c r="K20" i="12"/>
  <c r="K21" i="12"/>
  <c r="K22" i="12"/>
  <c r="K23" i="12"/>
  <c r="K24" i="12"/>
  <c r="K25" i="12"/>
  <c r="K26" i="12"/>
  <c r="K27" i="12"/>
  <c r="K28" i="12"/>
  <c r="K29" i="12"/>
  <c r="K30" i="12"/>
  <c r="K31" i="12"/>
  <c r="K32" i="12"/>
  <c r="K33" i="12"/>
  <c r="K34" i="12"/>
  <c r="K35" i="12"/>
  <c r="K36" i="12"/>
  <c r="K37" i="12"/>
  <c r="K38" i="12"/>
  <c r="K39" i="12"/>
  <c r="K40" i="12"/>
  <c r="K41" i="12"/>
  <c r="K42" i="12"/>
  <c r="K43" i="12"/>
  <c r="K44" i="12"/>
  <c r="K45" i="12"/>
  <c r="K46" i="12"/>
  <c r="K47" i="12"/>
  <c r="K48" i="12"/>
  <c r="K49" i="12"/>
  <c r="K50" i="12"/>
  <c r="K51" i="12"/>
  <c r="K52" i="12"/>
  <c r="K53" i="12"/>
  <c r="K54" i="12"/>
  <c r="K55" i="12"/>
  <c r="K56" i="12"/>
  <c r="K57" i="12"/>
  <c r="K58" i="12"/>
  <c r="K59" i="12"/>
  <c r="K60" i="12"/>
  <c r="K61" i="12"/>
  <c r="K62" i="12"/>
  <c r="K63" i="12"/>
  <c r="K64" i="12"/>
  <c r="K65" i="12"/>
  <c r="K66" i="12"/>
  <c r="K67" i="12"/>
  <c r="K68" i="12"/>
  <c r="K69" i="12"/>
  <c r="K70" i="12"/>
  <c r="K71" i="12"/>
  <c r="K72" i="12"/>
  <c r="K73" i="12"/>
  <c r="K74" i="12"/>
  <c r="K75" i="12"/>
  <c r="K76" i="12"/>
  <c r="K77" i="12"/>
  <c r="K78" i="12"/>
  <c r="K79" i="12"/>
  <c r="K80" i="12"/>
  <c r="K81" i="12"/>
  <c r="K82" i="12"/>
  <c r="K83" i="12"/>
  <c r="K84" i="12"/>
  <c r="K85" i="12"/>
  <c r="K86" i="12"/>
  <c r="K87" i="12"/>
  <c r="K88" i="12"/>
  <c r="K89" i="12"/>
  <c r="K90" i="12"/>
  <c r="K91" i="12"/>
  <c r="K92" i="12"/>
  <c r="K93" i="12"/>
  <c r="K94" i="12"/>
  <c r="K95" i="12"/>
  <c r="K96" i="12"/>
  <c r="K97" i="12"/>
  <c r="K98" i="12"/>
  <c r="K99" i="12"/>
  <c r="K100" i="12"/>
  <c r="K101" i="12"/>
  <c r="K102" i="12"/>
  <c r="K103" i="12"/>
  <c r="K104" i="12"/>
  <c r="K105" i="12"/>
  <c r="K106" i="12"/>
  <c r="K107" i="12"/>
  <c r="K108" i="12"/>
  <c r="K109" i="12"/>
  <c r="K110" i="12"/>
  <c r="K111" i="12"/>
  <c r="K112" i="12"/>
  <c r="K113" i="12"/>
  <c r="K114" i="12"/>
  <c r="K115" i="12"/>
  <c r="K116" i="12"/>
  <c r="K117" i="12"/>
  <c r="K118" i="12"/>
  <c r="K119" i="12"/>
  <c r="K120" i="12"/>
  <c r="K121" i="12"/>
  <c r="K122" i="12"/>
  <c r="K123" i="12"/>
  <c r="K124" i="12"/>
  <c r="K125" i="12"/>
  <c r="K126" i="12"/>
  <c r="K127" i="12"/>
  <c r="K128" i="12"/>
  <c r="K129" i="12"/>
  <c r="K130" i="12"/>
  <c r="K131" i="12"/>
  <c r="K132" i="12"/>
  <c r="K133" i="12"/>
  <c r="K134" i="12"/>
  <c r="K135" i="12"/>
  <c r="K136" i="12"/>
  <c r="K137" i="12"/>
  <c r="K138" i="12"/>
  <c r="K139" i="12"/>
  <c r="K140" i="12"/>
  <c r="K141" i="12"/>
  <c r="K142" i="12"/>
  <c r="K143" i="12"/>
  <c r="K144" i="12"/>
  <c r="K145" i="12"/>
  <c r="K146" i="12"/>
  <c r="K147" i="12"/>
  <c r="K148" i="12"/>
  <c r="K149" i="12"/>
  <c r="K150" i="12"/>
  <c r="K151" i="12"/>
  <c r="K152" i="12"/>
  <c r="K153" i="12"/>
  <c r="K154" i="12"/>
  <c r="K155" i="12"/>
  <c r="K156" i="12"/>
  <c r="K157" i="12"/>
  <c r="K158" i="12"/>
  <c r="K159" i="12"/>
  <c r="K160" i="12"/>
  <c r="K161" i="12"/>
  <c r="K162" i="12"/>
  <c r="K163" i="12"/>
  <c r="K164" i="12"/>
  <c r="K165" i="12"/>
  <c r="K166" i="12"/>
  <c r="K167" i="12"/>
  <c r="K168" i="12"/>
  <c r="K169" i="12"/>
  <c r="K170" i="12"/>
  <c r="K171" i="12"/>
  <c r="K172" i="12"/>
  <c r="K173" i="12"/>
  <c r="K174" i="12"/>
  <c r="K175" i="12"/>
  <c r="K176" i="12"/>
  <c r="K177" i="12"/>
  <c r="K178" i="12"/>
  <c r="K179" i="12"/>
  <c r="K180" i="12"/>
  <c r="K181" i="12"/>
  <c r="K182" i="12"/>
  <c r="K183" i="12"/>
  <c r="K184" i="12"/>
  <c r="K185" i="12"/>
  <c r="K186" i="12"/>
  <c r="K187" i="12"/>
  <c r="K188" i="12"/>
  <c r="K189" i="12"/>
  <c r="K190" i="12"/>
  <c r="K191" i="12"/>
  <c r="K192" i="12"/>
  <c r="K193" i="12"/>
  <c r="K194" i="12"/>
  <c r="K195" i="12"/>
  <c r="K196" i="12"/>
  <c r="K197" i="12"/>
  <c r="K198" i="12"/>
  <c r="K199" i="12"/>
  <c r="K200" i="12"/>
  <c r="K201" i="12"/>
  <c r="K202" i="12"/>
  <c r="K203" i="12"/>
  <c r="K204" i="12"/>
  <c r="K205" i="12"/>
  <c r="K206" i="12"/>
  <c r="K207" i="12"/>
  <c r="K208" i="12"/>
  <c r="K209" i="12"/>
  <c r="K210" i="12"/>
  <c r="K211" i="12"/>
  <c r="K212" i="12"/>
  <c r="K213" i="12"/>
  <c r="K214" i="12"/>
  <c r="K215" i="12"/>
  <c r="K216" i="12"/>
  <c r="K217" i="12"/>
  <c r="K218" i="12"/>
  <c r="K219" i="12"/>
  <c r="K220" i="12"/>
  <c r="K221" i="12"/>
  <c r="K222" i="12"/>
  <c r="K223" i="12"/>
  <c r="K224" i="12"/>
  <c r="K225" i="12"/>
  <c r="K226" i="12"/>
  <c r="K227" i="12"/>
  <c r="K228" i="12"/>
  <c r="K229" i="12"/>
  <c r="K230" i="12"/>
  <c r="K231" i="12"/>
  <c r="K232" i="12"/>
  <c r="K233" i="12"/>
  <c r="K234" i="12"/>
  <c r="K235" i="12"/>
  <c r="K236" i="12"/>
  <c r="K237" i="12"/>
  <c r="K238" i="12"/>
  <c r="K239" i="12"/>
  <c r="K240" i="12"/>
  <c r="K241" i="12"/>
  <c r="K242" i="12"/>
  <c r="K243" i="12"/>
  <c r="K244" i="12"/>
  <c r="K245" i="12"/>
  <c r="K246" i="12"/>
  <c r="K247" i="12"/>
  <c r="K248" i="12"/>
  <c r="K249" i="12"/>
  <c r="K250" i="12"/>
  <c r="K251" i="12"/>
  <c r="K252" i="12"/>
  <c r="K253" i="12"/>
  <c r="K254" i="12"/>
  <c r="K255" i="12"/>
  <c r="K256" i="12"/>
  <c r="K257" i="12"/>
  <c r="K258" i="12"/>
  <c r="K259" i="12"/>
  <c r="K260" i="12"/>
  <c r="K261" i="12"/>
  <c r="K262" i="12"/>
  <c r="K263" i="12"/>
  <c r="K264" i="12"/>
  <c r="K265" i="12"/>
  <c r="K266" i="12"/>
  <c r="K267" i="12"/>
  <c r="K268" i="12"/>
  <c r="K269" i="12"/>
  <c r="K270" i="12"/>
  <c r="K271" i="12"/>
  <c r="K272" i="12"/>
  <c r="K273" i="12"/>
  <c r="K274" i="12"/>
  <c r="K275" i="12"/>
  <c r="K276" i="12"/>
  <c r="K277" i="12"/>
  <c r="K278" i="12"/>
  <c r="K279" i="12"/>
  <c r="K280" i="12"/>
  <c r="K281" i="12"/>
  <c r="K282" i="12"/>
  <c r="K283" i="12"/>
  <c r="K284" i="12"/>
  <c r="K285" i="12"/>
  <c r="K286" i="12"/>
  <c r="K287" i="12"/>
  <c r="K288" i="12"/>
  <c r="K289" i="12"/>
  <c r="K290" i="12"/>
  <c r="K291" i="12"/>
  <c r="K292" i="12"/>
  <c r="K293" i="12"/>
  <c r="K294" i="12"/>
  <c r="K295" i="12"/>
  <c r="K296" i="12"/>
  <c r="K297" i="12"/>
  <c r="K298" i="12"/>
  <c r="K299" i="12"/>
  <c r="K300" i="12"/>
  <c r="K301" i="12"/>
  <c r="K302" i="12"/>
  <c r="K303" i="12"/>
  <c r="K304" i="12"/>
  <c r="K305" i="12"/>
  <c r="K306" i="12"/>
  <c r="K307" i="12"/>
  <c r="K308" i="12"/>
  <c r="K309" i="12"/>
  <c r="K310" i="12"/>
  <c r="K311" i="12"/>
  <c r="K312" i="12"/>
  <c r="K313" i="12"/>
  <c r="K314" i="12"/>
  <c r="K315" i="12"/>
  <c r="K316" i="12"/>
  <c r="K317" i="12"/>
  <c r="K318" i="12"/>
  <c r="K319" i="12"/>
  <c r="K320" i="12"/>
  <c r="K321" i="12"/>
  <c r="K322" i="12"/>
  <c r="K323" i="12"/>
  <c r="K324" i="12"/>
  <c r="K325" i="12"/>
  <c r="K326" i="12"/>
  <c r="K327" i="12"/>
  <c r="K328" i="12"/>
  <c r="K329" i="12"/>
  <c r="K330" i="12"/>
  <c r="K331" i="12"/>
  <c r="K332" i="12"/>
  <c r="K333" i="12"/>
  <c r="K334" i="12"/>
  <c r="K335" i="12"/>
  <c r="K336" i="12"/>
  <c r="K337" i="12"/>
  <c r="K338" i="12"/>
  <c r="K339" i="12"/>
  <c r="K340" i="12"/>
  <c r="K341" i="12"/>
  <c r="K342" i="12"/>
  <c r="K343" i="12"/>
  <c r="K344" i="12"/>
  <c r="K345" i="12"/>
  <c r="K346" i="12"/>
  <c r="K347" i="12"/>
  <c r="K348" i="12"/>
  <c r="K349" i="12"/>
  <c r="K350" i="12"/>
  <c r="K351" i="12"/>
  <c r="K352" i="12"/>
  <c r="K353" i="12"/>
  <c r="K354" i="12"/>
  <c r="K355" i="12"/>
  <c r="K356" i="12"/>
  <c r="K357" i="12"/>
  <c r="K358" i="12"/>
  <c r="K359" i="12"/>
  <c r="K360" i="12"/>
  <c r="K361" i="12"/>
  <c r="K362" i="12"/>
  <c r="K363" i="12"/>
  <c r="K364" i="12"/>
  <c r="K365" i="12"/>
  <c r="K366" i="12"/>
  <c r="K367" i="12"/>
  <c r="K368" i="12"/>
  <c r="K369" i="12"/>
  <c r="K370" i="12"/>
  <c r="K371" i="12"/>
  <c r="K372" i="12"/>
  <c r="K373" i="12"/>
  <c r="K374" i="12"/>
  <c r="K375" i="12"/>
  <c r="K376" i="12"/>
  <c r="K377" i="12"/>
  <c r="K378" i="12"/>
  <c r="K379" i="12"/>
  <c r="K380" i="12"/>
  <c r="K381" i="12"/>
  <c r="K382" i="12"/>
  <c r="K383" i="12"/>
  <c r="K384" i="12"/>
  <c r="K385" i="12"/>
  <c r="K386" i="12"/>
  <c r="K387" i="12"/>
  <c r="K388" i="12"/>
  <c r="K389" i="12"/>
  <c r="K390" i="12"/>
  <c r="K391" i="12"/>
  <c r="K392" i="12"/>
  <c r="K393" i="12"/>
  <c r="K394" i="12"/>
  <c r="K395" i="12"/>
  <c r="K396" i="12"/>
  <c r="K397" i="12"/>
  <c r="K398" i="12"/>
  <c r="K399" i="12"/>
  <c r="K400" i="12"/>
  <c r="K401" i="12"/>
  <c r="K402" i="12"/>
  <c r="K403" i="12"/>
  <c r="K404" i="12"/>
  <c r="K405" i="12"/>
  <c r="K406" i="12"/>
  <c r="K407" i="12"/>
  <c r="K408" i="12"/>
  <c r="K409" i="12"/>
  <c r="K410" i="12"/>
  <c r="K411" i="12"/>
  <c r="K412" i="12"/>
  <c r="K413" i="12"/>
  <c r="K414" i="12"/>
  <c r="K415" i="12"/>
  <c r="K416" i="12"/>
  <c r="K417" i="12"/>
  <c r="K418" i="12"/>
  <c r="K419" i="12"/>
  <c r="K420" i="12"/>
  <c r="K421" i="12"/>
  <c r="K422" i="12"/>
  <c r="K423" i="12"/>
  <c r="K424" i="12"/>
  <c r="K425" i="12"/>
  <c r="K426" i="12"/>
  <c r="K427" i="12"/>
  <c r="K428" i="12"/>
  <c r="K429" i="12"/>
  <c r="K430" i="12"/>
  <c r="K431" i="12"/>
  <c r="K432" i="12"/>
  <c r="K433" i="12"/>
  <c r="K434" i="12"/>
  <c r="K435" i="12"/>
  <c r="K436" i="12"/>
  <c r="K437" i="12"/>
  <c r="K438" i="12"/>
  <c r="K439" i="12"/>
  <c r="K440" i="12"/>
  <c r="K441" i="12"/>
  <c r="K442" i="12"/>
  <c r="K443" i="12"/>
  <c r="K444" i="12"/>
  <c r="K445" i="12"/>
  <c r="K446" i="12"/>
  <c r="K447" i="12"/>
  <c r="K448" i="12"/>
  <c r="K449" i="12"/>
  <c r="K450" i="12"/>
  <c r="K451" i="12"/>
  <c r="K452" i="12"/>
  <c r="K453" i="12"/>
  <c r="K454" i="12"/>
  <c r="K455" i="12"/>
  <c r="K456" i="12"/>
  <c r="K457" i="12"/>
  <c r="K458" i="12"/>
  <c r="K459" i="12"/>
  <c r="K460" i="12"/>
  <c r="K461" i="12"/>
  <c r="K462" i="12"/>
  <c r="K463" i="12"/>
  <c r="K464" i="12"/>
  <c r="K465" i="12"/>
  <c r="K466" i="12"/>
  <c r="K467" i="12"/>
  <c r="K468" i="12"/>
  <c r="K469" i="12"/>
  <c r="K470" i="12"/>
  <c r="K471" i="12"/>
  <c r="K472" i="12"/>
  <c r="K473" i="12"/>
  <c r="K474" i="12"/>
  <c r="K475" i="12"/>
  <c r="K476" i="12"/>
  <c r="K477" i="12"/>
  <c r="K478" i="12"/>
  <c r="K479" i="12"/>
  <c r="K480" i="12"/>
  <c r="K481" i="12"/>
  <c r="K482" i="12"/>
  <c r="K483" i="12"/>
  <c r="K484" i="12"/>
  <c r="K485" i="12"/>
  <c r="K486" i="12"/>
  <c r="K487" i="12"/>
  <c r="K488" i="12"/>
  <c r="K489" i="12"/>
  <c r="K490" i="12"/>
  <c r="K491" i="12"/>
  <c r="K492" i="12"/>
  <c r="K493" i="12"/>
  <c r="K494" i="12"/>
  <c r="K495" i="12"/>
  <c r="K496" i="12"/>
  <c r="K497" i="12"/>
  <c r="K498" i="12"/>
  <c r="K499" i="12"/>
  <c r="K500" i="12"/>
  <c r="K501" i="12"/>
  <c r="K502" i="12"/>
  <c r="K503" i="12"/>
  <c r="K504" i="12"/>
  <c r="K505" i="12"/>
  <c r="K506" i="12"/>
  <c r="K507" i="12"/>
  <c r="K508" i="12"/>
  <c r="K509" i="12"/>
  <c r="K510" i="12"/>
  <c r="K511" i="12"/>
  <c r="K512" i="12"/>
  <c r="K513" i="12"/>
  <c r="K514" i="12"/>
  <c r="K515" i="12"/>
  <c r="K516" i="12"/>
  <c r="K517" i="12"/>
  <c r="K518" i="12"/>
  <c r="K519" i="12"/>
  <c r="K520" i="12"/>
  <c r="K521" i="12"/>
  <c r="K522" i="12"/>
  <c r="K523" i="12"/>
  <c r="K524" i="12"/>
  <c r="K525" i="12"/>
  <c r="K526" i="12"/>
  <c r="K527" i="12"/>
  <c r="K528" i="12"/>
  <c r="K529" i="12"/>
  <c r="K530" i="12"/>
  <c r="K531" i="12"/>
  <c r="K532" i="12"/>
  <c r="K533" i="12"/>
  <c r="K534" i="12"/>
  <c r="K535" i="12"/>
  <c r="K536" i="12"/>
  <c r="K537" i="12"/>
  <c r="K538" i="12"/>
  <c r="K539" i="12"/>
  <c r="K540" i="12"/>
  <c r="K541" i="12"/>
  <c r="K542" i="12"/>
  <c r="K543" i="12"/>
  <c r="K544" i="12"/>
  <c r="K545" i="12"/>
  <c r="K546" i="12"/>
  <c r="K547" i="12"/>
  <c r="K548" i="12"/>
  <c r="K549" i="12"/>
  <c r="K550" i="12"/>
  <c r="K551" i="12"/>
  <c r="K552" i="12"/>
  <c r="K553" i="12"/>
  <c r="K554" i="12"/>
  <c r="K555" i="12"/>
  <c r="K556" i="12"/>
  <c r="K557" i="12"/>
  <c r="K558" i="12"/>
  <c r="O2" i="6"/>
  <c r="O1039" i="15" l="1"/>
  <c r="M1044" i="15"/>
  <c r="K2" i="15"/>
  <c r="P2" i="15" s="1"/>
  <c r="K3" i="15"/>
  <c r="P3" i="15" s="1"/>
  <c r="K4" i="15"/>
  <c r="L4" i="15" s="1"/>
  <c r="K5" i="15"/>
  <c r="K6" i="15"/>
  <c r="K7" i="15"/>
  <c r="K8" i="15"/>
  <c r="K9" i="15"/>
  <c r="N9" i="15" s="1"/>
  <c r="K10" i="15"/>
  <c r="N10" i="15" s="1"/>
  <c r="K11" i="15"/>
  <c r="K12" i="15"/>
  <c r="P12" i="15" s="1"/>
  <c r="K13" i="15"/>
  <c r="N13" i="15" s="1"/>
  <c r="K14" i="15"/>
  <c r="M14" i="15" s="1"/>
  <c r="K15" i="15"/>
  <c r="M15" i="15" s="1"/>
  <c r="K16" i="15"/>
  <c r="K17" i="15"/>
  <c r="M17" i="15" s="1"/>
  <c r="K18" i="15"/>
  <c r="K19" i="15"/>
  <c r="K20" i="15"/>
  <c r="K21" i="15"/>
  <c r="N21" i="15" s="1"/>
  <c r="K22" i="15"/>
  <c r="K23" i="15"/>
  <c r="K24" i="15"/>
  <c r="K25" i="15"/>
  <c r="K26" i="15"/>
  <c r="K27" i="15"/>
  <c r="K28" i="15"/>
  <c r="L28" i="15" s="1"/>
  <c r="K29" i="15"/>
  <c r="K30" i="15"/>
  <c r="K31" i="15"/>
  <c r="M31" i="15" s="1"/>
  <c r="K32" i="15"/>
  <c r="K33" i="15"/>
  <c r="N33" i="15" s="1"/>
  <c r="K34" i="15"/>
  <c r="N34" i="15" s="1"/>
  <c r="K35" i="15"/>
  <c r="K36" i="15"/>
  <c r="K37" i="15"/>
  <c r="K38" i="15"/>
  <c r="K39" i="15"/>
  <c r="M39" i="15" s="1"/>
  <c r="K40" i="15"/>
  <c r="K41" i="15"/>
  <c r="K42" i="15"/>
  <c r="K43" i="15"/>
  <c r="K44" i="15"/>
  <c r="K45" i="15"/>
  <c r="N45" i="15" s="1"/>
  <c r="K46" i="15"/>
  <c r="N46" i="15" s="1"/>
  <c r="K47" i="15"/>
  <c r="K48" i="15"/>
  <c r="K49" i="15"/>
  <c r="N49" i="15" s="1"/>
  <c r="K50" i="15"/>
  <c r="P50" i="15" s="1"/>
  <c r="K51" i="15"/>
  <c r="L51" i="15" s="1"/>
  <c r="K52" i="15"/>
  <c r="L52" i="15" s="1"/>
  <c r="K53" i="15"/>
  <c r="K54" i="15"/>
  <c r="K55" i="15"/>
  <c r="K56" i="15"/>
  <c r="K57" i="15"/>
  <c r="N57" i="15" s="1"/>
  <c r="K58" i="15"/>
  <c r="M58" i="15" s="1"/>
  <c r="K59" i="15"/>
  <c r="K60" i="15"/>
  <c r="K61" i="15"/>
  <c r="K62" i="15"/>
  <c r="K63" i="15"/>
  <c r="L63" i="15" s="1"/>
  <c r="K64" i="15"/>
  <c r="L64" i="15" s="1"/>
  <c r="K65" i="15"/>
  <c r="K66" i="15"/>
  <c r="K67" i="15"/>
  <c r="K68" i="15"/>
  <c r="K69" i="15"/>
  <c r="N69" i="15" s="1"/>
  <c r="K70" i="15"/>
  <c r="N70" i="15" s="1"/>
  <c r="K71" i="15"/>
  <c r="K72" i="15"/>
  <c r="K73" i="15"/>
  <c r="N73" i="15" s="1"/>
  <c r="K74" i="15"/>
  <c r="M74" i="15" s="1"/>
  <c r="K75" i="15"/>
  <c r="M75" i="15" s="1"/>
  <c r="K76" i="15"/>
  <c r="L76" i="15" s="1"/>
  <c r="K77" i="15"/>
  <c r="K78" i="15"/>
  <c r="K79" i="15"/>
  <c r="K80" i="15"/>
  <c r="K81" i="15"/>
  <c r="M81" i="15" s="1"/>
  <c r="K82" i="15"/>
  <c r="M82" i="15" s="1"/>
  <c r="K83" i="15"/>
  <c r="M83" i="15" s="1"/>
  <c r="K84" i="15"/>
  <c r="K85" i="15"/>
  <c r="N85" i="15" s="1"/>
  <c r="K86" i="15"/>
  <c r="M86" i="15" s="1"/>
  <c r="K87" i="15"/>
  <c r="M87" i="15" s="1"/>
  <c r="K88" i="15"/>
  <c r="K89" i="15"/>
  <c r="K90" i="15"/>
  <c r="K91" i="15"/>
  <c r="K92" i="15"/>
  <c r="K93" i="15"/>
  <c r="M93" i="15" s="1"/>
  <c r="K94" i="15"/>
  <c r="M94" i="15" s="1"/>
  <c r="K95" i="15"/>
  <c r="M95" i="15" s="1"/>
  <c r="K96" i="15"/>
  <c r="K97" i="15"/>
  <c r="M97" i="15" s="1"/>
  <c r="K98" i="15"/>
  <c r="M98" i="15" s="1"/>
  <c r="K99" i="15"/>
  <c r="M99" i="15" s="1"/>
  <c r="K100" i="15"/>
  <c r="K101" i="15"/>
  <c r="K102" i="15"/>
  <c r="K103" i="15"/>
  <c r="K104" i="15"/>
  <c r="K105" i="15"/>
  <c r="N105" i="15" s="1"/>
  <c r="K106" i="15"/>
  <c r="N106" i="15" s="1"/>
  <c r="K107" i="15"/>
  <c r="M107" i="15" s="1"/>
  <c r="K108" i="15"/>
  <c r="K109" i="15"/>
  <c r="N109" i="15" s="1"/>
  <c r="K110" i="15"/>
  <c r="M110" i="15" s="1"/>
  <c r="K111" i="15"/>
  <c r="M111" i="15" s="1"/>
  <c r="K112" i="15"/>
  <c r="L112" i="15" s="1"/>
  <c r="K113" i="15"/>
  <c r="K114" i="15"/>
  <c r="K115" i="15"/>
  <c r="K116" i="15"/>
  <c r="K117" i="15"/>
  <c r="M117" i="15" s="1"/>
  <c r="K118" i="15"/>
  <c r="M118" i="15" s="1"/>
  <c r="K119" i="15"/>
  <c r="M119" i="15" s="1"/>
  <c r="K120" i="15"/>
  <c r="K121" i="15"/>
  <c r="N121" i="15" s="1"/>
  <c r="K122" i="15"/>
  <c r="M122" i="15" s="1"/>
  <c r="K123" i="15"/>
  <c r="M123" i="15" s="1"/>
  <c r="K124" i="15"/>
  <c r="L124" i="15" s="1"/>
  <c r="K125" i="15"/>
  <c r="K126" i="15"/>
  <c r="K127" i="15"/>
  <c r="K128" i="15"/>
  <c r="K129" i="15"/>
  <c r="M129" i="15" s="1"/>
  <c r="K130" i="15"/>
  <c r="M130" i="15" s="1"/>
  <c r="K131" i="15"/>
  <c r="M131" i="15" s="1"/>
  <c r="K132" i="15"/>
  <c r="K133" i="15"/>
  <c r="M133" i="15" s="1"/>
  <c r="K134" i="15"/>
  <c r="M134" i="15" s="1"/>
  <c r="K135" i="15"/>
  <c r="M135" i="15" s="1"/>
  <c r="K136" i="15"/>
  <c r="L136" i="15" s="1"/>
  <c r="K137" i="15"/>
  <c r="K138" i="15"/>
  <c r="K139" i="15"/>
  <c r="K140" i="15"/>
  <c r="K141" i="15"/>
  <c r="N141" i="15" s="1"/>
  <c r="K142" i="15"/>
  <c r="N142" i="15" s="1"/>
  <c r="K143" i="15"/>
  <c r="M143" i="15" s="1"/>
  <c r="K144" i="15"/>
  <c r="K145" i="15"/>
  <c r="N145" i="15" s="1"/>
  <c r="K146" i="15"/>
  <c r="M146" i="15" s="1"/>
  <c r="K147" i="15"/>
  <c r="M147" i="15" s="1"/>
  <c r="K148" i="15"/>
  <c r="K149" i="15"/>
  <c r="K150" i="15"/>
  <c r="K151" i="15"/>
  <c r="K152" i="15"/>
  <c r="K153" i="15"/>
  <c r="M153" i="15" s="1"/>
  <c r="K154" i="15"/>
  <c r="M154" i="15" s="1"/>
  <c r="K155" i="15"/>
  <c r="M155" i="15" s="1"/>
  <c r="K156" i="15"/>
  <c r="K157" i="15"/>
  <c r="N157" i="15" s="1"/>
  <c r="K158" i="15"/>
  <c r="M158" i="15" s="1"/>
  <c r="K159" i="15"/>
  <c r="M159" i="15" s="1"/>
  <c r="K160" i="15"/>
  <c r="L160" i="15" s="1"/>
  <c r="K161" i="15"/>
  <c r="K162" i="15"/>
  <c r="K163" i="15"/>
  <c r="K164" i="15"/>
  <c r="K165" i="15"/>
  <c r="M165" i="15" s="1"/>
  <c r="K166" i="15"/>
  <c r="M166" i="15" s="1"/>
  <c r="K167" i="15"/>
  <c r="M167" i="15" s="1"/>
  <c r="K168" i="15"/>
  <c r="K169" i="15"/>
  <c r="M169" i="15" s="1"/>
  <c r="K170" i="15"/>
  <c r="M170" i="15" s="1"/>
  <c r="K171" i="15"/>
  <c r="M171" i="15" s="1"/>
  <c r="K172" i="15"/>
  <c r="L172" i="15" s="1"/>
  <c r="K173" i="15"/>
  <c r="K174" i="15"/>
  <c r="K175" i="15"/>
  <c r="K176" i="15"/>
  <c r="K177" i="15"/>
  <c r="N177" i="15" s="1"/>
  <c r="K178" i="15"/>
  <c r="N178" i="15" s="1"/>
  <c r="K179" i="15"/>
  <c r="M179" i="15" s="1"/>
  <c r="K180" i="15"/>
  <c r="K181" i="15"/>
  <c r="N181" i="15" s="1"/>
  <c r="K182" i="15"/>
  <c r="M182" i="15" s="1"/>
  <c r="K183" i="15"/>
  <c r="M183" i="15" s="1"/>
  <c r="K184" i="15"/>
  <c r="K185" i="15"/>
  <c r="O185" i="15" s="1"/>
  <c r="K186" i="15"/>
  <c r="K187" i="15"/>
  <c r="K188" i="15"/>
  <c r="K189" i="15"/>
  <c r="M189" i="15" s="1"/>
  <c r="K190" i="15"/>
  <c r="M190" i="15" s="1"/>
  <c r="K191" i="15"/>
  <c r="M191" i="15" s="1"/>
  <c r="K192" i="15"/>
  <c r="K193" i="15"/>
  <c r="N193" i="15" s="1"/>
  <c r="K194" i="15"/>
  <c r="P194" i="15" s="1"/>
  <c r="K195" i="15"/>
  <c r="P195" i="15" s="1"/>
  <c r="K196" i="15"/>
  <c r="K197" i="15"/>
  <c r="K198" i="15"/>
  <c r="K199" i="15"/>
  <c r="K200" i="15"/>
  <c r="K201" i="15"/>
  <c r="M201" i="15" s="1"/>
  <c r="K202" i="15"/>
  <c r="M202" i="15" s="1"/>
  <c r="K203" i="15"/>
  <c r="M203" i="15" s="1"/>
  <c r="K204" i="15"/>
  <c r="K205" i="15"/>
  <c r="M205" i="15" s="1"/>
  <c r="K206" i="15"/>
  <c r="M206" i="15" s="1"/>
  <c r="K207" i="15"/>
  <c r="M207" i="15" s="1"/>
  <c r="K208" i="15"/>
  <c r="K209" i="15"/>
  <c r="K210" i="15"/>
  <c r="K211" i="15"/>
  <c r="K212" i="15"/>
  <c r="K213" i="15"/>
  <c r="N213" i="15" s="1"/>
  <c r="K214" i="15"/>
  <c r="N214" i="15" s="1"/>
  <c r="K215" i="15"/>
  <c r="M215" i="15" s="1"/>
  <c r="K216" i="15"/>
  <c r="K217" i="15"/>
  <c r="N217" i="15" s="1"/>
  <c r="K218" i="15"/>
  <c r="M218" i="15" s="1"/>
  <c r="K219" i="15"/>
  <c r="M219" i="15" s="1"/>
  <c r="K220" i="15"/>
  <c r="K221" i="15"/>
  <c r="K222" i="15"/>
  <c r="K223" i="15"/>
  <c r="K224" i="15"/>
  <c r="K225" i="15"/>
  <c r="M225" i="15" s="1"/>
  <c r="K226" i="15"/>
  <c r="M226" i="15" s="1"/>
  <c r="K227" i="15"/>
  <c r="M227" i="15" s="1"/>
  <c r="K228" i="15"/>
  <c r="K229" i="15"/>
  <c r="N229" i="15" s="1"/>
  <c r="K230" i="15"/>
  <c r="M230" i="15" s="1"/>
  <c r="K231" i="15"/>
  <c r="M231" i="15" s="1"/>
  <c r="K232" i="15"/>
  <c r="L232" i="15" s="1"/>
  <c r="K233" i="15"/>
  <c r="K234" i="15"/>
  <c r="K235" i="15"/>
  <c r="K236" i="15"/>
  <c r="K237" i="15"/>
  <c r="M237" i="15" s="1"/>
  <c r="K238" i="15"/>
  <c r="M238" i="15" s="1"/>
  <c r="K239" i="15"/>
  <c r="M239" i="15" s="1"/>
  <c r="K240" i="15"/>
  <c r="K241" i="15"/>
  <c r="M241" i="15" s="1"/>
  <c r="K242" i="15"/>
  <c r="M242" i="15" s="1"/>
  <c r="K243" i="15"/>
  <c r="M243" i="15" s="1"/>
  <c r="K244" i="15"/>
  <c r="L244" i="15" s="1"/>
  <c r="K245" i="15"/>
  <c r="K246" i="15"/>
  <c r="K247" i="15"/>
  <c r="K248" i="15"/>
  <c r="K249" i="15"/>
  <c r="K250" i="15"/>
  <c r="N250" i="15" s="1"/>
  <c r="K251" i="15"/>
  <c r="M251" i="15" s="1"/>
  <c r="K252" i="15"/>
  <c r="K253" i="15"/>
  <c r="N253" i="15" s="1"/>
  <c r="K254" i="15"/>
  <c r="M254" i="15" s="1"/>
  <c r="K255" i="15"/>
  <c r="M255" i="15" s="1"/>
  <c r="K256" i="15"/>
  <c r="L256" i="15" s="1"/>
  <c r="K257" i="15"/>
  <c r="K258" i="15"/>
  <c r="K259" i="15"/>
  <c r="K260" i="15"/>
  <c r="K261" i="15"/>
  <c r="K262" i="15"/>
  <c r="K263" i="15"/>
  <c r="M263" i="15" s="1"/>
  <c r="K264" i="15"/>
  <c r="K265" i="15"/>
  <c r="N265" i="15" s="1"/>
  <c r="K266" i="15"/>
  <c r="M266" i="15" s="1"/>
  <c r="K267" i="15"/>
  <c r="M267" i="15" s="1"/>
  <c r="K268" i="15"/>
  <c r="L268" i="15" s="1"/>
  <c r="K269" i="15"/>
  <c r="K270" i="15"/>
  <c r="K271" i="15"/>
  <c r="K272" i="15"/>
  <c r="K273" i="15"/>
  <c r="K274" i="15"/>
  <c r="M274" i="15" s="1"/>
  <c r="K275" i="15"/>
  <c r="M275" i="15" s="1"/>
  <c r="K276" i="15"/>
  <c r="K277" i="15"/>
  <c r="M277" i="15" s="1"/>
  <c r="K278" i="15"/>
  <c r="M278" i="15" s="1"/>
  <c r="K279" i="15"/>
  <c r="M279" i="15" s="1"/>
  <c r="K280" i="15"/>
  <c r="L280" i="15" s="1"/>
  <c r="K281" i="15"/>
  <c r="K282" i="15"/>
  <c r="K283" i="15"/>
  <c r="K284" i="15"/>
  <c r="K285" i="15"/>
  <c r="K286" i="15"/>
  <c r="K287" i="15"/>
  <c r="M287" i="15" s="1"/>
  <c r="K288" i="15"/>
  <c r="K289" i="15"/>
  <c r="N289" i="15" s="1"/>
  <c r="K290" i="15"/>
  <c r="M290" i="15" s="1"/>
  <c r="K291" i="15"/>
  <c r="M291" i="15" s="1"/>
  <c r="K292" i="15"/>
  <c r="K293" i="15"/>
  <c r="O293" i="15" s="1"/>
  <c r="K294" i="15"/>
  <c r="K295" i="15"/>
  <c r="K296" i="15"/>
  <c r="K297" i="15"/>
  <c r="K298" i="15"/>
  <c r="K299" i="15"/>
  <c r="M299" i="15" s="1"/>
  <c r="K300" i="15"/>
  <c r="N300" i="15" s="1"/>
  <c r="K301" i="15"/>
  <c r="N301" i="15" s="1"/>
  <c r="K302" i="15"/>
  <c r="M302" i="15" s="1"/>
  <c r="K303" i="15"/>
  <c r="M303" i="15" s="1"/>
  <c r="K304" i="15"/>
  <c r="O304" i="15" s="1"/>
  <c r="K305" i="15"/>
  <c r="K306" i="15"/>
  <c r="K307" i="15"/>
  <c r="K308" i="15"/>
  <c r="K309" i="15"/>
  <c r="K310" i="15"/>
  <c r="K311" i="15"/>
  <c r="M311" i="15" s="1"/>
  <c r="K312" i="15"/>
  <c r="K313" i="15"/>
  <c r="M313" i="15" s="1"/>
  <c r="K314" i="15"/>
  <c r="M314" i="15" s="1"/>
  <c r="K315" i="15"/>
  <c r="M315" i="15" s="1"/>
  <c r="K316" i="15"/>
  <c r="L316" i="15" s="1"/>
  <c r="K317" i="15"/>
  <c r="K318" i="15"/>
  <c r="K319" i="15"/>
  <c r="K320" i="15"/>
  <c r="K321" i="15"/>
  <c r="N321" i="15" s="1"/>
  <c r="K322" i="15"/>
  <c r="K323" i="15"/>
  <c r="M323" i="15" s="1"/>
  <c r="K324" i="15"/>
  <c r="K325" i="15"/>
  <c r="N325" i="15" s="1"/>
  <c r="K326" i="15"/>
  <c r="M326" i="15" s="1"/>
  <c r="K327" i="15"/>
  <c r="M327" i="15" s="1"/>
  <c r="K328" i="15"/>
  <c r="L328" i="15" s="1"/>
  <c r="K329" i="15"/>
  <c r="K330" i="15"/>
  <c r="K331" i="15"/>
  <c r="K332" i="15"/>
  <c r="K333" i="15"/>
  <c r="K334" i="15"/>
  <c r="K335" i="15"/>
  <c r="M335" i="15" s="1"/>
  <c r="K336" i="15"/>
  <c r="K337" i="15"/>
  <c r="N337" i="15" s="1"/>
  <c r="K338" i="15"/>
  <c r="M338" i="15" s="1"/>
  <c r="K339" i="15"/>
  <c r="M339" i="15" s="1"/>
  <c r="K340" i="15"/>
  <c r="L340" i="15" s="1"/>
  <c r="K341" i="15"/>
  <c r="K342" i="15"/>
  <c r="K343" i="15"/>
  <c r="K344" i="15"/>
  <c r="K345" i="15"/>
  <c r="K346" i="15"/>
  <c r="K347" i="15"/>
  <c r="M347" i="15" s="1"/>
  <c r="K348" i="15"/>
  <c r="K349" i="15"/>
  <c r="M349" i="15" s="1"/>
  <c r="K350" i="15"/>
  <c r="M350" i="15" s="1"/>
  <c r="K351" i="15"/>
  <c r="M351" i="15" s="1"/>
  <c r="K352" i="15"/>
  <c r="L352" i="15" s="1"/>
  <c r="K353" i="15"/>
  <c r="K354" i="15"/>
  <c r="K355" i="15"/>
  <c r="K356" i="15"/>
  <c r="K357" i="15"/>
  <c r="K358" i="15"/>
  <c r="N358" i="15" s="1"/>
  <c r="K359" i="15"/>
  <c r="M359" i="15" s="1"/>
  <c r="K360" i="15"/>
  <c r="K361" i="15"/>
  <c r="M361" i="15" s="1"/>
  <c r="K362" i="15"/>
  <c r="M362" i="15" s="1"/>
  <c r="K363" i="15"/>
  <c r="M363" i="15" s="1"/>
  <c r="K364" i="15"/>
  <c r="L364" i="15" s="1"/>
  <c r="K365" i="15"/>
  <c r="K366" i="15"/>
  <c r="K367" i="15"/>
  <c r="N367" i="15" s="1"/>
  <c r="K368" i="15"/>
  <c r="K369" i="15"/>
  <c r="K370" i="15"/>
  <c r="K371" i="15"/>
  <c r="M371" i="15" s="1"/>
  <c r="K372" i="15"/>
  <c r="K373" i="15"/>
  <c r="M373" i="15" s="1"/>
  <c r="K374" i="15"/>
  <c r="M374" i="15" s="1"/>
  <c r="K375" i="15"/>
  <c r="M375" i="15" s="1"/>
  <c r="K376" i="15"/>
  <c r="L376" i="15" s="1"/>
  <c r="K377" i="15"/>
  <c r="K378" i="15"/>
  <c r="K379" i="15"/>
  <c r="K380" i="15"/>
  <c r="K381" i="15"/>
  <c r="N381" i="15" s="1"/>
  <c r="K382" i="15"/>
  <c r="N382" i="15" s="1"/>
  <c r="K383" i="15"/>
  <c r="M383" i="15" s="1"/>
  <c r="K384" i="15"/>
  <c r="K385" i="15"/>
  <c r="N385" i="15" s="1"/>
  <c r="K386" i="15"/>
  <c r="M386" i="15" s="1"/>
  <c r="K387" i="15"/>
  <c r="M387" i="15" s="1"/>
  <c r="K388" i="15"/>
  <c r="L388" i="15" s="1"/>
  <c r="K389" i="15"/>
  <c r="K390" i="15"/>
  <c r="K391" i="15"/>
  <c r="N391" i="15" s="1"/>
  <c r="K392" i="15"/>
  <c r="K393" i="15"/>
  <c r="K394" i="15"/>
  <c r="K395" i="15"/>
  <c r="M395" i="15" s="1"/>
  <c r="K396" i="15"/>
  <c r="K397" i="15"/>
  <c r="M397" i="15" s="1"/>
  <c r="K398" i="15"/>
  <c r="M398" i="15" s="1"/>
  <c r="K399" i="15"/>
  <c r="M399" i="15" s="1"/>
  <c r="K400" i="15"/>
  <c r="L400" i="15" s="1"/>
  <c r="K401" i="15"/>
  <c r="K402" i="15"/>
  <c r="K403" i="15"/>
  <c r="K404" i="15"/>
  <c r="K405" i="15"/>
  <c r="K406" i="15"/>
  <c r="K407" i="15"/>
  <c r="M407" i="15" s="1"/>
  <c r="K408" i="15"/>
  <c r="K409" i="15"/>
  <c r="M409" i="15" s="1"/>
  <c r="K410" i="15"/>
  <c r="M410" i="15" s="1"/>
  <c r="K411" i="15"/>
  <c r="M411" i="15" s="1"/>
  <c r="K412" i="15"/>
  <c r="O412" i="15" s="1"/>
  <c r="K413" i="15"/>
  <c r="K414" i="15"/>
  <c r="K415" i="15"/>
  <c r="K416" i="15"/>
  <c r="K417" i="15"/>
  <c r="K418" i="15"/>
  <c r="K419" i="15"/>
  <c r="M419" i="15" s="1"/>
  <c r="K420" i="15"/>
  <c r="K421" i="15"/>
  <c r="N421" i="15" s="1"/>
  <c r="K422" i="15"/>
  <c r="L422" i="15" s="1"/>
  <c r="K423" i="15"/>
  <c r="L423" i="15" s="1"/>
  <c r="K424" i="15"/>
  <c r="L424" i="15" s="1"/>
  <c r="K425" i="15"/>
  <c r="K426" i="15"/>
  <c r="K427" i="15"/>
  <c r="N427" i="15" s="1"/>
  <c r="K428" i="15"/>
  <c r="K429" i="15"/>
  <c r="K430" i="15"/>
  <c r="L430" i="15" s="1"/>
  <c r="K431" i="15"/>
  <c r="M431" i="15" s="1"/>
  <c r="K432" i="15"/>
  <c r="K433" i="15"/>
  <c r="M433" i="15" s="1"/>
  <c r="K434" i="15"/>
  <c r="M434" i="15" s="1"/>
  <c r="K435" i="15"/>
  <c r="K436" i="15"/>
  <c r="O436" i="15" s="1"/>
  <c r="K437" i="15"/>
  <c r="K438" i="15"/>
  <c r="K439" i="15"/>
  <c r="K440" i="15"/>
  <c r="K441" i="15"/>
  <c r="K442" i="15"/>
  <c r="L442" i="15" s="1"/>
  <c r="K443" i="15"/>
  <c r="L443" i="15" s="1"/>
  <c r="K444" i="15"/>
  <c r="K445" i="15"/>
  <c r="M445" i="15" s="1"/>
  <c r="K446" i="15"/>
  <c r="M446" i="15" s="1"/>
  <c r="K447" i="15"/>
  <c r="M447" i="15" s="1"/>
  <c r="K448" i="15"/>
  <c r="L448" i="15" s="1"/>
  <c r="K449" i="15"/>
  <c r="K450" i="15"/>
  <c r="K451" i="15"/>
  <c r="N451" i="15" s="1"/>
  <c r="K452" i="15"/>
  <c r="K453" i="15"/>
  <c r="K454" i="15"/>
  <c r="L454" i="15" s="1"/>
  <c r="K455" i="15"/>
  <c r="K456" i="15"/>
  <c r="K457" i="15"/>
  <c r="K458" i="15"/>
  <c r="M458" i="15" s="1"/>
  <c r="K459" i="15"/>
  <c r="L459" i="15" s="1"/>
  <c r="K460" i="15"/>
  <c r="L460" i="15" s="1"/>
  <c r="K461" i="15"/>
  <c r="K462" i="15"/>
  <c r="K463" i="15"/>
  <c r="K464" i="15"/>
  <c r="K465" i="15"/>
  <c r="N465" i="15" s="1"/>
  <c r="K466" i="15"/>
  <c r="L466" i="15" s="1"/>
  <c r="K467" i="15"/>
  <c r="K468" i="15"/>
  <c r="K469" i="15"/>
  <c r="K470" i="15"/>
  <c r="M470" i="15" s="1"/>
  <c r="K471" i="15"/>
  <c r="L471" i="15" s="1"/>
  <c r="K472" i="15"/>
  <c r="L472" i="15" s="1"/>
  <c r="K473" i="15"/>
  <c r="K474" i="15"/>
  <c r="K475" i="15"/>
  <c r="K476" i="15"/>
  <c r="K477" i="15"/>
  <c r="K478" i="15"/>
  <c r="L478" i="15" s="1"/>
  <c r="K479" i="15"/>
  <c r="M479" i="15" s="1"/>
  <c r="K480" i="15"/>
  <c r="K481" i="15"/>
  <c r="K482" i="15"/>
  <c r="M482" i="15" s="1"/>
  <c r="K483" i="15"/>
  <c r="L483" i="15" s="1"/>
  <c r="K484" i="15"/>
  <c r="L484" i="15" s="1"/>
  <c r="K485" i="15"/>
  <c r="K486" i="15"/>
  <c r="K487" i="15"/>
  <c r="N487" i="15" s="1"/>
  <c r="K488" i="15"/>
  <c r="K489" i="15"/>
  <c r="L489" i="15" s="1"/>
  <c r="K490" i="15"/>
  <c r="L490" i="15" s="1"/>
  <c r="K491" i="15"/>
  <c r="L491" i="15" s="1"/>
  <c r="K492" i="15"/>
  <c r="K493" i="15"/>
  <c r="K494" i="15"/>
  <c r="M494" i="15" s="1"/>
  <c r="K495" i="15"/>
  <c r="L495" i="15" s="1"/>
  <c r="K496" i="15"/>
  <c r="L496" i="15" s="1"/>
  <c r="K497" i="15"/>
  <c r="K498" i="15"/>
  <c r="K499" i="15"/>
  <c r="K500" i="15"/>
  <c r="K501" i="15"/>
  <c r="L501" i="15" s="1"/>
  <c r="K502" i="15"/>
  <c r="L502" i="15" s="1"/>
  <c r="K503" i="15"/>
  <c r="L503" i="15" s="1"/>
  <c r="K504" i="15"/>
  <c r="M504" i="15" s="1"/>
  <c r="K505" i="15"/>
  <c r="M505" i="15" s="1"/>
  <c r="K506" i="15"/>
  <c r="M506" i="15" s="1"/>
  <c r="K507" i="15"/>
  <c r="L507" i="15" s="1"/>
  <c r="K508" i="15"/>
  <c r="O508" i="15" s="1"/>
  <c r="K509" i="15"/>
  <c r="O509" i="15" s="1"/>
  <c r="K510" i="15"/>
  <c r="K511" i="15"/>
  <c r="N511" i="15" s="1"/>
  <c r="K512" i="15"/>
  <c r="K513" i="15"/>
  <c r="N513" i="15" s="1"/>
  <c r="K514" i="15"/>
  <c r="N514" i="15" s="1"/>
  <c r="K515" i="15"/>
  <c r="M515" i="15" s="1"/>
  <c r="K516" i="15"/>
  <c r="K517" i="15"/>
  <c r="K518" i="15"/>
  <c r="M518" i="15" s="1"/>
  <c r="K519" i="15"/>
  <c r="L519" i="15" s="1"/>
  <c r="K520" i="15"/>
  <c r="O520" i="15" s="1"/>
  <c r="K521" i="15"/>
  <c r="K522" i="15"/>
  <c r="K523" i="15"/>
  <c r="K524" i="15"/>
  <c r="K525" i="15"/>
  <c r="L525" i="15" s="1"/>
  <c r="K526" i="15"/>
  <c r="L526" i="15" s="1"/>
  <c r="K527" i="15"/>
  <c r="L527" i="15" s="1"/>
  <c r="K528" i="15"/>
  <c r="K529" i="15"/>
  <c r="K530" i="15"/>
  <c r="M530" i="15" s="1"/>
  <c r="K531" i="15"/>
  <c r="L531" i="15" s="1"/>
  <c r="K532" i="15"/>
  <c r="L532" i="15" s="1"/>
  <c r="K533" i="15"/>
  <c r="K534" i="15"/>
  <c r="K535" i="15"/>
  <c r="K536" i="15"/>
  <c r="K537" i="15"/>
  <c r="K538" i="15"/>
  <c r="L538" i="15" s="1"/>
  <c r="K539" i="15"/>
  <c r="K540" i="15"/>
  <c r="K541" i="15"/>
  <c r="K542" i="15"/>
  <c r="M542" i="15" s="1"/>
  <c r="K543" i="15"/>
  <c r="L543" i="15" s="1"/>
  <c r="K544" i="15"/>
  <c r="O544" i="15" s="1"/>
  <c r="K545" i="15"/>
  <c r="K546" i="15"/>
  <c r="K547" i="15"/>
  <c r="K548" i="15"/>
  <c r="K549" i="15"/>
  <c r="K550" i="15"/>
  <c r="L550" i="15" s="1"/>
  <c r="K551" i="15"/>
  <c r="L551" i="15" s="1"/>
  <c r="K552" i="15"/>
  <c r="K553" i="15"/>
  <c r="K554" i="15"/>
  <c r="M554" i="15" s="1"/>
  <c r="K555" i="15"/>
  <c r="L555" i="15" s="1"/>
  <c r="K556" i="15"/>
  <c r="L556" i="15" s="1"/>
  <c r="K557" i="15"/>
  <c r="K558" i="15"/>
  <c r="K559" i="15"/>
  <c r="K560" i="15"/>
  <c r="K561" i="15"/>
  <c r="L561" i="15" s="1"/>
  <c r="K562" i="15"/>
  <c r="L562" i="15" s="1"/>
  <c r="K563" i="15"/>
  <c r="L563" i="15" s="1"/>
  <c r="K564" i="15"/>
  <c r="K565" i="15"/>
  <c r="M565" i="15" s="1"/>
  <c r="K566" i="15"/>
  <c r="L566" i="15" s="1"/>
  <c r="K567" i="15"/>
  <c r="L567" i="15" s="1"/>
  <c r="K568" i="15"/>
  <c r="L568" i="15" s="1"/>
  <c r="K569" i="15"/>
  <c r="K570" i="15"/>
  <c r="K571" i="15"/>
  <c r="N571" i="15" s="1"/>
  <c r="K572" i="15"/>
  <c r="K573" i="15"/>
  <c r="L573" i="15" s="1"/>
  <c r="K574" i="15"/>
  <c r="L574" i="15" s="1"/>
  <c r="K575" i="15"/>
  <c r="L575" i="15" s="1"/>
  <c r="K576" i="15"/>
  <c r="K577" i="15"/>
  <c r="M577" i="15" s="1"/>
  <c r="K578" i="15"/>
  <c r="M578" i="15" s="1"/>
  <c r="K579" i="15"/>
  <c r="K580" i="15"/>
  <c r="L580" i="15" s="1"/>
  <c r="K581" i="15"/>
  <c r="K582" i="15"/>
  <c r="K583" i="15"/>
  <c r="K584" i="15"/>
  <c r="K585" i="15"/>
  <c r="L585" i="15" s="1"/>
  <c r="K586" i="15"/>
  <c r="L586" i="15" s="1"/>
  <c r="K587" i="15"/>
  <c r="L587" i="15" s="1"/>
  <c r="K588" i="15"/>
  <c r="K589" i="15"/>
  <c r="M589" i="15" s="1"/>
  <c r="K590" i="15"/>
  <c r="M590" i="15" s="1"/>
  <c r="K591" i="15"/>
  <c r="L591" i="15" s="1"/>
  <c r="K592" i="15"/>
  <c r="L592" i="15" s="1"/>
  <c r="K593" i="15"/>
  <c r="K594" i="15"/>
  <c r="K595" i="15"/>
  <c r="N595" i="15" s="1"/>
  <c r="K596" i="15"/>
  <c r="K597" i="15"/>
  <c r="L597" i="15" s="1"/>
  <c r="K598" i="15"/>
  <c r="L598" i="15" s="1"/>
  <c r="K599" i="15"/>
  <c r="L599" i="15" s="1"/>
  <c r="K600" i="15"/>
  <c r="K601" i="15"/>
  <c r="K602" i="15"/>
  <c r="M602" i="15" s="1"/>
  <c r="K603" i="15"/>
  <c r="L603" i="15" s="1"/>
  <c r="K604" i="15"/>
  <c r="L604" i="15" s="1"/>
  <c r="K605" i="15"/>
  <c r="K606" i="15"/>
  <c r="K607" i="15"/>
  <c r="K608" i="15"/>
  <c r="K609" i="15"/>
  <c r="K610" i="15"/>
  <c r="L610" i="15" s="1"/>
  <c r="K611" i="15"/>
  <c r="L611" i="15" s="1"/>
  <c r="K612" i="15"/>
  <c r="K613" i="15"/>
  <c r="K614" i="15"/>
  <c r="M614" i="15" s="1"/>
  <c r="K615" i="15"/>
  <c r="L615" i="15" s="1"/>
  <c r="K616" i="15"/>
  <c r="K617" i="15"/>
  <c r="K618" i="15"/>
  <c r="K619" i="15"/>
  <c r="K620" i="15"/>
  <c r="K621" i="15"/>
  <c r="K622" i="15"/>
  <c r="L622" i="15" s="1"/>
  <c r="K623" i="15"/>
  <c r="L623" i="15" s="1"/>
  <c r="K624" i="15"/>
  <c r="K625" i="15"/>
  <c r="K626" i="15"/>
  <c r="M626" i="15" s="1"/>
  <c r="K627" i="15"/>
  <c r="L627" i="15" s="1"/>
  <c r="K628" i="15"/>
  <c r="L628" i="15" s="1"/>
  <c r="K629" i="15"/>
  <c r="K630" i="15"/>
  <c r="K631" i="15"/>
  <c r="N631" i="15" s="1"/>
  <c r="K632" i="15"/>
  <c r="K633" i="15"/>
  <c r="K634" i="15"/>
  <c r="L634" i="15" s="1"/>
  <c r="K635" i="15"/>
  <c r="L635" i="15" s="1"/>
  <c r="K636" i="15"/>
  <c r="M636" i="15" s="1"/>
  <c r="K637" i="15"/>
  <c r="K638" i="15"/>
  <c r="M638" i="15" s="1"/>
  <c r="K639" i="15"/>
  <c r="L639" i="15" s="1"/>
  <c r="K640" i="15"/>
  <c r="L640" i="15" s="1"/>
  <c r="K641" i="15"/>
  <c r="K642" i="15"/>
  <c r="K643" i="15"/>
  <c r="K644" i="15"/>
  <c r="K645" i="15"/>
  <c r="L645" i="15" s="1"/>
  <c r="K646" i="15"/>
  <c r="L646" i="15" s="1"/>
  <c r="K647" i="15"/>
  <c r="L647" i="15" s="1"/>
  <c r="K648" i="15"/>
  <c r="M648" i="15" s="1"/>
  <c r="K649" i="15"/>
  <c r="M649" i="15" s="1"/>
  <c r="K650" i="15"/>
  <c r="M650" i="15" s="1"/>
  <c r="K651" i="15"/>
  <c r="L651" i="15" s="1"/>
  <c r="K652" i="15"/>
  <c r="L652" i="15" s="1"/>
  <c r="K653" i="15"/>
  <c r="K654" i="15"/>
  <c r="K655" i="15"/>
  <c r="N655" i="15" s="1"/>
  <c r="K656" i="15"/>
  <c r="K657" i="15"/>
  <c r="K658" i="15"/>
  <c r="L658" i="15" s="1"/>
  <c r="K659" i="15"/>
  <c r="L659" i="15" s="1"/>
  <c r="K660" i="15"/>
  <c r="K661" i="15"/>
  <c r="K662" i="15"/>
  <c r="M662" i="15" s="1"/>
  <c r="K663" i="15"/>
  <c r="L663" i="15" s="1"/>
  <c r="K664" i="15"/>
  <c r="L664" i="15" s="1"/>
  <c r="K665" i="15"/>
  <c r="K666" i="15"/>
  <c r="K667" i="15"/>
  <c r="K668" i="15"/>
  <c r="K669" i="15"/>
  <c r="L669" i="15" s="1"/>
  <c r="K670" i="15"/>
  <c r="L670" i="15" s="1"/>
  <c r="K671" i="15"/>
  <c r="L671" i="15" s="1"/>
  <c r="K672" i="15"/>
  <c r="K673" i="15"/>
  <c r="K674" i="15"/>
  <c r="M674" i="15" s="1"/>
  <c r="K675" i="15"/>
  <c r="L675" i="15" s="1"/>
  <c r="K676" i="15"/>
  <c r="L676" i="15" s="1"/>
  <c r="K677" i="15"/>
  <c r="K678" i="15"/>
  <c r="K679" i="15"/>
  <c r="K680" i="15"/>
  <c r="K681" i="15"/>
  <c r="L681" i="15" s="1"/>
  <c r="K682" i="15"/>
  <c r="L682" i="15" s="1"/>
  <c r="K683" i="15"/>
  <c r="K684" i="15"/>
  <c r="K685" i="15"/>
  <c r="M685" i="15" s="1"/>
  <c r="K686" i="15"/>
  <c r="M686" i="15" s="1"/>
  <c r="K687" i="15"/>
  <c r="L687" i="15" s="1"/>
  <c r="K688" i="15"/>
  <c r="L688" i="15" s="1"/>
  <c r="K689" i="15"/>
  <c r="O689" i="15" s="1"/>
  <c r="K690" i="15"/>
  <c r="K691" i="15"/>
  <c r="K692" i="15"/>
  <c r="K693" i="15"/>
  <c r="L693" i="15" s="1"/>
  <c r="K694" i="15"/>
  <c r="L694" i="15" s="1"/>
  <c r="K695" i="15"/>
  <c r="M695" i="15" s="1"/>
  <c r="K696" i="15"/>
  <c r="K697" i="15"/>
  <c r="K698" i="15"/>
  <c r="M698" i="15" s="1"/>
  <c r="K699" i="15"/>
  <c r="L699" i="15" s="1"/>
  <c r="K700" i="15"/>
  <c r="L700" i="15" s="1"/>
  <c r="K701" i="15"/>
  <c r="K702" i="15"/>
  <c r="K703" i="15"/>
  <c r="K704" i="15"/>
  <c r="K705" i="15"/>
  <c r="L705" i="15" s="1"/>
  <c r="K706" i="15"/>
  <c r="L706" i="15" s="1"/>
  <c r="K707" i="15"/>
  <c r="M707" i="15" s="1"/>
  <c r="K708" i="15"/>
  <c r="M708" i="15" s="1"/>
  <c r="K709" i="15"/>
  <c r="M709" i="15" s="1"/>
  <c r="K710" i="15"/>
  <c r="L710" i="15" s="1"/>
  <c r="K711" i="15"/>
  <c r="M711" i="15" s="1"/>
  <c r="K712" i="15"/>
  <c r="L712" i="15" s="1"/>
  <c r="K713" i="15"/>
  <c r="O713" i="15" s="1"/>
  <c r="K714" i="15"/>
  <c r="K715" i="15"/>
  <c r="N715" i="15" s="1"/>
  <c r="K716" i="15"/>
  <c r="K717" i="15"/>
  <c r="L717" i="15" s="1"/>
  <c r="K718" i="15"/>
  <c r="L718" i="15" s="1"/>
  <c r="K719" i="15"/>
  <c r="K720" i="15"/>
  <c r="K721" i="15"/>
  <c r="K722" i="15"/>
  <c r="M722" i="15" s="1"/>
  <c r="K723" i="15"/>
  <c r="L723" i="15" s="1"/>
  <c r="K724" i="15"/>
  <c r="L724" i="15" s="1"/>
  <c r="K725" i="15"/>
  <c r="K726" i="15"/>
  <c r="K727" i="15"/>
  <c r="K728" i="15"/>
  <c r="K729" i="15"/>
  <c r="L729" i="15" s="1"/>
  <c r="K730" i="15"/>
  <c r="L730" i="15" s="1"/>
  <c r="K731" i="15"/>
  <c r="L731" i="15" s="1"/>
  <c r="K732" i="15"/>
  <c r="K733" i="15"/>
  <c r="K734" i="15"/>
  <c r="M734" i="15" s="1"/>
  <c r="K735" i="15"/>
  <c r="M735" i="15" s="1"/>
  <c r="K736" i="15"/>
  <c r="L736" i="15" s="1"/>
  <c r="K737" i="15"/>
  <c r="K738" i="15"/>
  <c r="K739" i="15"/>
  <c r="K740" i="15"/>
  <c r="K741" i="15"/>
  <c r="K742" i="15"/>
  <c r="L742" i="15" s="1"/>
  <c r="K743" i="15"/>
  <c r="K744" i="15"/>
  <c r="K745" i="15"/>
  <c r="K746" i="15"/>
  <c r="M746" i="15" s="1"/>
  <c r="K747" i="15"/>
  <c r="L747" i="15" s="1"/>
  <c r="K748" i="15"/>
  <c r="L748" i="15" s="1"/>
  <c r="K749" i="15"/>
  <c r="K750" i="15"/>
  <c r="K751" i="15"/>
  <c r="K752" i="15"/>
  <c r="K753" i="15"/>
  <c r="L753" i="15" s="1"/>
  <c r="K754" i="15"/>
  <c r="L754" i="15" s="1"/>
  <c r="K755" i="15"/>
  <c r="L755" i="15" s="1"/>
  <c r="K756" i="15"/>
  <c r="K757" i="15"/>
  <c r="K758" i="15"/>
  <c r="M758" i="15" s="1"/>
  <c r="K759" i="15"/>
  <c r="L759" i="15" s="1"/>
  <c r="K760" i="15"/>
  <c r="L760" i="15" s="1"/>
  <c r="K761" i="15"/>
  <c r="O761" i="15" s="1"/>
  <c r="K762" i="15"/>
  <c r="O762" i="15" s="1"/>
  <c r="K763" i="15"/>
  <c r="K764" i="15"/>
  <c r="K765" i="15"/>
  <c r="K766" i="15"/>
  <c r="L766" i="15" s="1"/>
  <c r="K767" i="15"/>
  <c r="M767" i="15" s="1"/>
  <c r="K768" i="15"/>
  <c r="M768" i="15" s="1"/>
  <c r="K769" i="15"/>
  <c r="K770" i="15"/>
  <c r="P770" i="15" s="1"/>
  <c r="K771" i="15"/>
  <c r="L771" i="15" s="1"/>
  <c r="K772" i="15"/>
  <c r="L772" i="15" s="1"/>
  <c r="K773" i="15"/>
  <c r="K774" i="15"/>
  <c r="K775" i="15"/>
  <c r="N775" i="15" s="1"/>
  <c r="K776" i="15"/>
  <c r="K777" i="15"/>
  <c r="K778" i="15"/>
  <c r="L778" i="15" s="1"/>
  <c r="K779" i="15"/>
  <c r="L779" i="15" s="1"/>
  <c r="K780" i="15"/>
  <c r="M780" i="15" s="1"/>
  <c r="K781" i="15"/>
  <c r="K782" i="15"/>
  <c r="M782" i="15" s="1"/>
  <c r="K783" i="15"/>
  <c r="L783" i="15" s="1"/>
  <c r="K784" i="15"/>
  <c r="L784" i="15" s="1"/>
  <c r="K785" i="15"/>
  <c r="K786" i="15"/>
  <c r="K787" i="15"/>
  <c r="K788" i="15"/>
  <c r="K789" i="15"/>
  <c r="K790" i="15"/>
  <c r="L790" i="15" s="1"/>
  <c r="K791" i="15"/>
  <c r="L791" i="15" s="1"/>
  <c r="K792" i="15"/>
  <c r="K793" i="15"/>
  <c r="N793" i="15" s="1"/>
  <c r="K794" i="15"/>
  <c r="M794" i="15" s="1"/>
  <c r="K795" i="15"/>
  <c r="L795" i="15" s="1"/>
  <c r="K796" i="15"/>
  <c r="L796" i="15" s="1"/>
  <c r="K797" i="15"/>
  <c r="K798" i="15"/>
  <c r="K799" i="15"/>
  <c r="N799" i="15" s="1"/>
  <c r="K800" i="15"/>
  <c r="K801" i="15"/>
  <c r="L801" i="15" s="1"/>
  <c r="K802" i="15"/>
  <c r="L802" i="15" s="1"/>
  <c r="K803" i="15"/>
  <c r="L803" i="15" s="1"/>
  <c r="K804" i="15"/>
  <c r="K805" i="15"/>
  <c r="K806" i="15"/>
  <c r="M806" i="15" s="1"/>
  <c r="K807" i="15"/>
  <c r="L807" i="15" s="1"/>
  <c r="K808" i="15"/>
  <c r="L808" i="15" s="1"/>
  <c r="K809" i="15"/>
  <c r="K810" i="15"/>
  <c r="K811" i="15"/>
  <c r="K812" i="15"/>
  <c r="K813" i="15"/>
  <c r="L813" i="15" s="1"/>
  <c r="K814" i="15"/>
  <c r="L814" i="15" s="1"/>
  <c r="K815" i="15"/>
  <c r="L815" i="15" s="1"/>
  <c r="K816" i="15"/>
  <c r="K817" i="15"/>
  <c r="K818" i="15"/>
  <c r="M818" i="15" s="1"/>
  <c r="K819" i="15"/>
  <c r="L819" i="15" s="1"/>
  <c r="K820" i="15"/>
  <c r="L820" i="15" s="1"/>
  <c r="K821" i="15"/>
  <c r="K822" i="15"/>
  <c r="K823" i="15"/>
  <c r="K824" i="15"/>
  <c r="K825" i="15"/>
  <c r="L825" i="15" s="1"/>
  <c r="K826" i="15"/>
  <c r="L826" i="15" s="1"/>
  <c r="K827" i="15"/>
  <c r="M827" i="15" s="1"/>
  <c r="K828" i="15"/>
  <c r="K829" i="15"/>
  <c r="M829" i="15" s="1"/>
  <c r="K830" i="15"/>
  <c r="M830" i="15" s="1"/>
  <c r="K831" i="15"/>
  <c r="L831" i="15" s="1"/>
  <c r="K832" i="15"/>
  <c r="O832" i="15" s="1"/>
  <c r="K833" i="15"/>
  <c r="K834" i="15"/>
  <c r="K835" i="15"/>
  <c r="K836" i="15"/>
  <c r="K837" i="15"/>
  <c r="L837" i="15" s="1"/>
  <c r="K838" i="15"/>
  <c r="L838" i="15" s="1"/>
  <c r="K839" i="15"/>
  <c r="M839" i="15" s="1"/>
  <c r="K840" i="15"/>
  <c r="K841" i="15"/>
  <c r="K842" i="15"/>
  <c r="M842" i="15" s="1"/>
  <c r="K843" i="15"/>
  <c r="L843" i="15" s="1"/>
  <c r="K844" i="15"/>
  <c r="L844" i="15" s="1"/>
  <c r="K845" i="15"/>
  <c r="K846" i="15"/>
  <c r="K847" i="15"/>
  <c r="K848" i="15"/>
  <c r="K849" i="15"/>
  <c r="L849" i="15" s="1"/>
  <c r="K850" i="15"/>
  <c r="L850" i="15" s="1"/>
  <c r="K851" i="15"/>
  <c r="M851" i="15" s="1"/>
  <c r="K852" i="15"/>
  <c r="K853" i="15"/>
  <c r="K854" i="15"/>
  <c r="L854" i="15" s="1"/>
  <c r="K855" i="15"/>
  <c r="L855" i="15" s="1"/>
  <c r="K856" i="15"/>
  <c r="K857" i="15"/>
  <c r="O857" i="15" s="1"/>
  <c r="K858" i="15"/>
  <c r="K859" i="15"/>
  <c r="O859" i="15" s="1"/>
  <c r="K860" i="15"/>
  <c r="O860" i="15" s="1"/>
  <c r="K861" i="15"/>
  <c r="L861" i="15" s="1"/>
  <c r="K862" i="15"/>
  <c r="L862" i="15" s="1"/>
  <c r="K863" i="15"/>
  <c r="L863" i="15" s="1"/>
  <c r="K864" i="15"/>
  <c r="K865" i="15"/>
  <c r="K866" i="15"/>
  <c r="M866" i="15" s="1"/>
  <c r="K867" i="15"/>
  <c r="L867" i="15" s="1"/>
  <c r="K868" i="15"/>
  <c r="K869" i="15"/>
  <c r="K870" i="15"/>
  <c r="K871" i="15"/>
  <c r="K872" i="15"/>
  <c r="K873" i="15"/>
  <c r="K874" i="15"/>
  <c r="L874" i="15" s="1"/>
  <c r="K875" i="15"/>
  <c r="L875" i="15" s="1"/>
  <c r="K876" i="15"/>
  <c r="K877" i="15"/>
  <c r="K878" i="15"/>
  <c r="L878" i="15" s="1"/>
  <c r="K879" i="15"/>
  <c r="L879" i="15" s="1"/>
  <c r="K880" i="15"/>
  <c r="L880" i="15" s="1"/>
  <c r="K881" i="15"/>
  <c r="K882" i="15"/>
  <c r="K883" i="15"/>
  <c r="K884" i="15"/>
  <c r="K885" i="15"/>
  <c r="K886" i="15"/>
  <c r="L886" i="15" s="1"/>
  <c r="K887" i="15"/>
  <c r="L887" i="15" s="1"/>
  <c r="K888" i="15"/>
  <c r="M888" i="15" s="1"/>
  <c r="K889" i="15"/>
  <c r="K890" i="15"/>
  <c r="M890" i="15" s="1"/>
  <c r="K891" i="15"/>
  <c r="M891" i="15" s="1"/>
  <c r="K892" i="15"/>
  <c r="L892" i="15" s="1"/>
  <c r="K893" i="15"/>
  <c r="K894" i="15"/>
  <c r="K895" i="15"/>
  <c r="K896" i="15"/>
  <c r="K897" i="15"/>
  <c r="L897" i="15" s="1"/>
  <c r="K898" i="15"/>
  <c r="L898" i="15" s="1"/>
  <c r="K899" i="15"/>
  <c r="L899" i="15" s="1"/>
  <c r="K900" i="15"/>
  <c r="K901" i="15"/>
  <c r="K902" i="15"/>
  <c r="M902" i="15" s="1"/>
  <c r="K903" i="15"/>
  <c r="M903" i="15" s="1"/>
  <c r="K904" i="15"/>
  <c r="O904" i="15" s="1"/>
  <c r="K905" i="15"/>
  <c r="K906" i="15"/>
  <c r="K907" i="15"/>
  <c r="K908" i="15"/>
  <c r="K909" i="15"/>
  <c r="L909" i="15" s="1"/>
  <c r="K910" i="15"/>
  <c r="L910" i="15" s="1"/>
  <c r="K911" i="15"/>
  <c r="M911" i="15" s="1"/>
  <c r="K912" i="15"/>
  <c r="K913" i="15"/>
  <c r="K914" i="15"/>
  <c r="M914" i="15" s="1"/>
  <c r="K915" i="15"/>
  <c r="L915" i="15" s="1"/>
  <c r="K916" i="15"/>
  <c r="L916" i="15" s="1"/>
  <c r="K917" i="15"/>
  <c r="K918" i="15"/>
  <c r="K919" i="15"/>
  <c r="N919" i="15" s="1"/>
  <c r="K920" i="15"/>
  <c r="K921" i="15"/>
  <c r="K922" i="15"/>
  <c r="L922" i="15" s="1"/>
  <c r="K923" i="15"/>
  <c r="L923" i="15" s="1"/>
  <c r="K924" i="15"/>
  <c r="K925" i="15"/>
  <c r="K926" i="15"/>
  <c r="M926" i="15" s="1"/>
  <c r="K927" i="15"/>
  <c r="L927" i="15" s="1"/>
  <c r="K928" i="15"/>
  <c r="O928" i="15" s="1"/>
  <c r="K929" i="15"/>
  <c r="O929" i="15" s="1"/>
  <c r="K930" i="15"/>
  <c r="K931" i="15"/>
  <c r="O931" i="15" s="1"/>
  <c r="K932" i="15"/>
  <c r="K933" i="15"/>
  <c r="K934" i="15"/>
  <c r="K935" i="15"/>
  <c r="K936" i="15"/>
  <c r="N936" i="15" s="1"/>
  <c r="K937" i="15"/>
  <c r="M937" i="15" s="1"/>
  <c r="K938" i="15"/>
  <c r="M938" i="15" s="1"/>
  <c r="K939" i="15"/>
  <c r="L939" i="15" s="1"/>
  <c r="K940" i="15"/>
  <c r="O940" i="15" s="1"/>
  <c r="K941" i="15"/>
  <c r="K942" i="15"/>
  <c r="K943" i="15"/>
  <c r="K944" i="15"/>
  <c r="K945" i="15"/>
  <c r="L945" i="15" s="1"/>
  <c r="K946" i="15"/>
  <c r="L946" i="15" s="1"/>
  <c r="K947" i="15"/>
  <c r="M947" i="15" s="1"/>
  <c r="K948" i="15"/>
  <c r="K949" i="15"/>
  <c r="K950" i="15"/>
  <c r="L950" i="15" s="1"/>
  <c r="K951" i="15"/>
  <c r="L951" i="15" s="1"/>
  <c r="K952" i="15"/>
  <c r="L952" i="15" s="1"/>
  <c r="K953" i="15"/>
  <c r="K954" i="15"/>
  <c r="K955" i="15"/>
  <c r="K956" i="15"/>
  <c r="K957" i="15"/>
  <c r="L957" i="15" s="1"/>
  <c r="K958" i="15"/>
  <c r="L958" i="15" s="1"/>
  <c r="K959" i="15"/>
  <c r="M959" i="15" s="1"/>
  <c r="K960" i="15"/>
  <c r="K961" i="15"/>
  <c r="K962" i="15"/>
  <c r="M962" i="15" s="1"/>
  <c r="K963" i="15"/>
  <c r="M963" i="15" s="1"/>
  <c r="K964" i="15"/>
  <c r="K965" i="15"/>
  <c r="O965" i="15" s="1"/>
  <c r="K966" i="15"/>
  <c r="K967" i="15"/>
  <c r="K968" i="15"/>
  <c r="K969" i="15"/>
  <c r="L969" i="15" s="1"/>
  <c r="K970" i="15"/>
  <c r="L970" i="15" s="1"/>
  <c r="K971" i="15"/>
  <c r="L971" i="15" s="1"/>
  <c r="K972" i="15"/>
  <c r="K973" i="15"/>
  <c r="K974" i="15"/>
  <c r="M974" i="15" s="1"/>
  <c r="K975" i="15"/>
  <c r="L975" i="15" s="1"/>
  <c r="K976" i="15"/>
  <c r="L976" i="15" s="1"/>
  <c r="K977" i="15"/>
  <c r="K978" i="15"/>
  <c r="K979" i="15"/>
  <c r="K980" i="15"/>
  <c r="K981" i="15"/>
  <c r="L981" i="15" s="1"/>
  <c r="K982" i="15"/>
  <c r="L982" i="15" s="1"/>
  <c r="K983" i="15"/>
  <c r="L983" i="15" s="1"/>
  <c r="K984" i="15"/>
  <c r="K985" i="15"/>
  <c r="K986" i="15"/>
  <c r="M986" i="15" s="1"/>
  <c r="K987" i="15"/>
  <c r="L987" i="15" s="1"/>
  <c r="K988" i="15"/>
  <c r="L988" i="15" s="1"/>
  <c r="K989" i="15"/>
  <c r="K990" i="15"/>
  <c r="K991" i="15"/>
  <c r="K992" i="15"/>
  <c r="K993" i="15"/>
  <c r="L993" i="15" s="1"/>
  <c r="K994" i="15"/>
  <c r="K995" i="15"/>
  <c r="L995" i="15" s="1"/>
  <c r="K996" i="15"/>
  <c r="N996" i="15" s="1"/>
  <c r="K997" i="15"/>
  <c r="M997" i="15" s="1"/>
  <c r="K998" i="15"/>
  <c r="L998" i="15" s="1"/>
  <c r="K999" i="15"/>
  <c r="L999" i="15" s="1"/>
  <c r="K1000" i="15"/>
  <c r="O1000" i="15" s="1"/>
  <c r="K1001" i="15"/>
  <c r="O1001" i="15" s="1"/>
  <c r="K1002" i="15"/>
  <c r="K1003" i="15"/>
  <c r="K1004" i="15"/>
  <c r="K1005" i="15"/>
  <c r="L1005" i="15" s="1"/>
  <c r="K1006" i="15"/>
  <c r="L1006" i="15" s="1"/>
  <c r="K1007" i="15"/>
  <c r="L1007" i="15" s="1"/>
  <c r="K1008" i="15"/>
  <c r="K1009" i="15"/>
  <c r="M1009" i="15" s="1"/>
  <c r="K1010" i="15"/>
  <c r="M1010" i="15" s="1"/>
  <c r="K1011" i="15"/>
  <c r="L1011" i="15" s="1"/>
  <c r="K1012" i="15"/>
  <c r="O1012" i="15" s="1"/>
  <c r="K1013" i="15"/>
  <c r="K1014" i="15"/>
  <c r="K1015" i="15"/>
  <c r="K1016" i="15"/>
  <c r="K1017" i="15"/>
  <c r="L1017" i="15" s="1"/>
  <c r="K1018" i="15"/>
  <c r="L1018" i="15" s="1"/>
  <c r="K1019" i="15"/>
  <c r="K1020" i="15"/>
  <c r="K1021" i="15"/>
  <c r="M1021" i="15" s="1"/>
  <c r="K1022" i="15"/>
  <c r="N1022" i="15" s="1"/>
  <c r="K1023" i="15"/>
  <c r="K1024" i="15"/>
  <c r="L1024" i="15" s="1"/>
  <c r="K1025" i="15"/>
  <c r="K1026" i="15"/>
  <c r="K1027" i="15"/>
  <c r="K1028" i="15"/>
  <c r="K1029" i="15"/>
  <c r="K1030" i="15"/>
  <c r="L1030" i="15" s="1"/>
  <c r="K1031" i="15"/>
  <c r="K1032" i="15"/>
  <c r="K1033" i="15"/>
  <c r="K1034" i="15"/>
  <c r="M1034" i="15" s="1"/>
  <c r="K1035" i="15"/>
  <c r="K1036" i="15"/>
  <c r="K1037" i="15"/>
  <c r="O1037" i="15" s="1"/>
  <c r="K1038" i="15"/>
  <c r="K1039" i="15"/>
  <c r="K1040" i="15"/>
  <c r="K1041" i="15"/>
  <c r="K1042" i="15"/>
  <c r="L1042" i="15" s="1"/>
  <c r="K1043" i="15"/>
  <c r="K1044" i="15"/>
  <c r="K1045" i="15"/>
  <c r="N1045" i="15" s="1"/>
  <c r="K1046" i="15"/>
  <c r="M1046" i="15" s="1"/>
  <c r="K1047" i="15"/>
  <c r="K1048" i="15"/>
  <c r="L1048" i="15" s="1"/>
  <c r="K1049" i="15"/>
  <c r="K1050" i="15"/>
  <c r="K1051" i="15"/>
  <c r="K1052" i="15"/>
  <c r="K1053" i="15"/>
  <c r="K1054" i="15"/>
  <c r="L1054" i="15" s="1"/>
  <c r="K1055" i="15"/>
  <c r="M1055" i="15" s="1"/>
  <c r="K1056" i="15"/>
  <c r="M1056" i="15" s="1"/>
  <c r="K1057" i="15"/>
  <c r="K1058" i="15"/>
  <c r="N1058" i="15" s="1"/>
  <c r="K1059" i="15"/>
  <c r="K1060" i="15"/>
  <c r="K1061" i="15"/>
  <c r="K1062" i="15"/>
  <c r="K1063" i="15"/>
  <c r="K1064" i="15"/>
  <c r="K1065" i="15"/>
  <c r="K1066" i="15"/>
  <c r="L1066" i="15" s="1"/>
  <c r="K1067" i="15"/>
  <c r="K1068" i="15"/>
  <c r="M1068" i="15" s="1"/>
  <c r="K1069" i="15"/>
  <c r="K1070" i="15"/>
  <c r="M1070" i="15" s="1"/>
  <c r="K1071" i="15"/>
  <c r="K1072" i="15"/>
  <c r="L1072" i="15" s="1"/>
  <c r="K1073" i="15"/>
  <c r="K1074" i="15"/>
  <c r="K1075" i="15"/>
  <c r="P1075" i="15" s="1"/>
  <c r="K1076" i="15"/>
  <c r="K1077" i="15"/>
  <c r="K1078" i="15"/>
  <c r="L1078" i="15" s="1"/>
  <c r="K1079" i="15"/>
  <c r="K1080" i="15"/>
  <c r="M1080" i="15" s="1"/>
  <c r="K1081" i="15"/>
  <c r="K1082" i="15"/>
  <c r="N1082" i="15" s="1"/>
  <c r="K1083" i="15"/>
  <c r="K1084" i="15"/>
  <c r="O1084" i="15" s="1"/>
  <c r="K1085" i="15"/>
  <c r="K1086" i="15"/>
  <c r="K1087" i="15"/>
  <c r="N1087" i="15" s="1"/>
  <c r="K1088" i="15"/>
  <c r="K1089" i="15"/>
  <c r="K1090" i="15"/>
  <c r="L1090" i="15" s="1"/>
  <c r="K1091" i="15"/>
  <c r="K1092" i="15"/>
  <c r="K1093" i="15"/>
  <c r="K1094" i="15"/>
  <c r="M1094" i="15" s="1"/>
  <c r="K1095" i="15"/>
  <c r="K1096" i="15"/>
  <c r="L1096" i="15" s="1"/>
  <c r="K1097" i="15"/>
  <c r="K1098" i="15"/>
  <c r="K1099" i="15"/>
  <c r="K1100" i="15"/>
  <c r="K1101" i="15"/>
  <c r="K1102" i="15"/>
  <c r="K1103" i="15"/>
  <c r="K1104" i="15"/>
  <c r="K1105" i="15"/>
  <c r="K1106" i="15"/>
  <c r="N1106" i="15" s="1"/>
  <c r="K1107" i="15"/>
  <c r="K1108" i="15"/>
  <c r="K1109" i="15"/>
  <c r="O1109" i="15" s="1"/>
  <c r="K1110" i="15"/>
  <c r="K1111" i="15"/>
  <c r="O1111" i="15" s="1"/>
  <c r="K1112" i="15"/>
  <c r="K1113" i="15"/>
  <c r="K1114" i="15"/>
  <c r="L1114" i="15" s="1"/>
  <c r="K1115" i="15"/>
  <c r="M1115" i="15" s="1"/>
  <c r="K1116" i="15"/>
  <c r="K1117" i="15"/>
  <c r="M1117" i="15" s="1"/>
  <c r="K1118" i="15"/>
  <c r="M1118" i="15" s="1"/>
  <c r="K1119" i="15"/>
  <c r="K1120" i="15"/>
  <c r="O1120" i="15" s="1"/>
  <c r="K1121" i="15"/>
  <c r="K1122" i="15"/>
  <c r="K1123" i="15"/>
  <c r="K1124" i="15"/>
  <c r="K1125" i="15"/>
  <c r="K1126" i="15"/>
  <c r="L1126" i="15" s="1"/>
  <c r="K1127" i="15"/>
  <c r="M1127" i="15" s="1"/>
  <c r="K1128" i="15"/>
  <c r="K1129" i="15"/>
  <c r="M1129" i="15" s="1"/>
  <c r="K1130" i="15"/>
  <c r="M1130" i="15" s="1"/>
  <c r="K1131" i="15"/>
  <c r="K1132" i="15"/>
  <c r="L1132" i="15" s="1"/>
  <c r="K1133" i="15"/>
  <c r="K1134" i="15"/>
  <c r="K1135" i="15"/>
  <c r="L1135" i="15" s="1"/>
  <c r="K1136" i="15"/>
  <c r="K1137" i="15"/>
  <c r="K1138" i="15"/>
  <c r="L1138" i="15" s="1"/>
  <c r="K1139" i="15"/>
  <c r="M1139" i="15" s="1"/>
  <c r="K1140" i="15"/>
  <c r="K1141" i="15"/>
  <c r="K1142" i="15"/>
  <c r="N1142" i="15" s="1"/>
  <c r="K1143" i="15"/>
  <c r="K1144" i="15"/>
  <c r="O1144" i="15" s="1"/>
  <c r="K1145" i="15"/>
  <c r="K1146" i="15"/>
  <c r="K1147" i="15"/>
  <c r="N1147" i="15" s="1"/>
  <c r="K1148" i="15"/>
  <c r="N1148" i="15" s="1"/>
  <c r="K1149" i="15"/>
  <c r="K1150" i="15"/>
  <c r="L1150" i="15" s="1"/>
  <c r="K1151" i="15"/>
  <c r="K1152" i="15"/>
  <c r="K1153" i="15"/>
  <c r="K1154" i="15"/>
  <c r="M1154" i="15" s="1"/>
  <c r="K1155" i="15"/>
  <c r="K1156" i="15"/>
  <c r="O1156" i="15" s="1"/>
  <c r="K1157" i="15"/>
  <c r="K1158" i="15"/>
  <c r="K1159" i="15"/>
  <c r="L1159" i="15" s="1"/>
  <c r="K1160" i="15"/>
  <c r="K1161" i="15"/>
  <c r="K1162" i="15"/>
  <c r="L1162" i="15" s="1"/>
  <c r="K1163" i="15"/>
  <c r="K1164" i="15"/>
  <c r="K1165" i="15"/>
  <c r="M1165" i="15" s="1"/>
  <c r="K1166" i="15"/>
  <c r="N1166" i="15" s="1"/>
  <c r="K1167" i="15"/>
  <c r="K1168" i="15"/>
  <c r="L1168" i="15" s="1"/>
  <c r="K1169" i="15"/>
  <c r="K1170" i="15"/>
  <c r="K1171" i="15"/>
  <c r="K1172" i="15"/>
  <c r="L2" i="15"/>
  <c r="L3" i="15"/>
  <c r="L5" i="15"/>
  <c r="L6" i="15"/>
  <c r="L7" i="15"/>
  <c r="L8" i="15"/>
  <c r="L9" i="15"/>
  <c r="L10" i="15"/>
  <c r="L11" i="15"/>
  <c r="L12" i="15"/>
  <c r="L14" i="15"/>
  <c r="L15" i="15"/>
  <c r="L16" i="15"/>
  <c r="L17" i="15"/>
  <c r="L18" i="15"/>
  <c r="L19" i="15"/>
  <c r="L21" i="15"/>
  <c r="L22" i="15"/>
  <c r="L23" i="15"/>
  <c r="L24" i="15"/>
  <c r="L26" i="15"/>
  <c r="L27" i="15"/>
  <c r="L29" i="15"/>
  <c r="L30" i="15"/>
  <c r="L31" i="15"/>
  <c r="L32" i="15"/>
  <c r="L33" i="15"/>
  <c r="L34" i="15"/>
  <c r="L35" i="15"/>
  <c r="L39" i="15"/>
  <c r="L43" i="15"/>
  <c r="L44" i="15"/>
  <c r="L45" i="15"/>
  <c r="L46" i="15"/>
  <c r="L47" i="15"/>
  <c r="L48" i="15"/>
  <c r="L50" i="15"/>
  <c r="L53" i="15"/>
  <c r="L54" i="15"/>
  <c r="L55" i="15"/>
  <c r="L56" i="15"/>
  <c r="L57" i="15"/>
  <c r="L58" i="15"/>
  <c r="L59" i="15"/>
  <c r="L60" i="15"/>
  <c r="L62" i="15"/>
  <c r="L65" i="15"/>
  <c r="L66" i="15"/>
  <c r="L67" i="15"/>
  <c r="L69" i="15"/>
  <c r="L70" i="15"/>
  <c r="L71" i="15"/>
  <c r="L72" i="15"/>
  <c r="L74" i="15"/>
  <c r="L77" i="15"/>
  <c r="L78" i="15"/>
  <c r="L79" i="15"/>
  <c r="L80" i="15"/>
  <c r="L81" i="15"/>
  <c r="L82" i="15"/>
  <c r="L83" i="15"/>
  <c r="L84" i="15"/>
  <c r="L86" i="15"/>
  <c r="L88" i="15"/>
  <c r="L89" i="15"/>
  <c r="L90" i="15"/>
  <c r="L91" i="15"/>
  <c r="L92" i="15"/>
  <c r="L93" i="15"/>
  <c r="L94" i="15"/>
  <c r="L95" i="15"/>
  <c r="L96" i="15"/>
  <c r="L98" i="15"/>
  <c r="L100" i="15"/>
  <c r="L101" i="15"/>
  <c r="L102" i="15"/>
  <c r="L103" i="15"/>
  <c r="L104" i="15"/>
  <c r="L105" i="15"/>
  <c r="L106" i="15"/>
  <c r="L107" i="15"/>
  <c r="L108" i="15"/>
  <c r="L110" i="15"/>
  <c r="L113" i="15"/>
  <c r="L114" i="15"/>
  <c r="L115" i="15"/>
  <c r="L116" i="15"/>
  <c r="L117" i="15"/>
  <c r="L118" i="15"/>
  <c r="L119" i="15"/>
  <c r="L122" i="15"/>
  <c r="L125" i="15"/>
  <c r="L126" i="15"/>
  <c r="L127" i="15"/>
  <c r="L128" i="15"/>
  <c r="L129" i="15"/>
  <c r="L130" i="15"/>
  <c r="L131" i="15"/>
  <c r="L132" i="15"/>
  <c r="L134" i="15"/>
  <c r="L137" i="15"/>
  <c r="L138" i="15"/>
  <c r="L139" i="15"/>
  <c r="L140" i="15"/>
  <c r="L141" i="15"/>
  <c r="L142" i="15"/>
  <c r="L143" i="15"/>
  <c r="L144" i="15"/>
  <c r="L146" i="15"/>
  <c r="L148" i="15"/>
  <c r="L149" i="15"/>
  <c r="L150" i="15"/>
  <c r="L151" i="15"/>
  <c r="L152" i="15"/>
  <c r="L153" i="15"/>
  <c r="L154" i="15"/>
  <c r="L155" i="15"/>
  <c r="L156" i="15"/>
  <c r="L158" i="15"/>
  <c r="L161" i="15"/>
  <c r="L162" i="15"/>
  <c r="L163" i="15"/>
  <c r="L164" i="15"/>
  <c r="L165" i="15"/>
  <c r="L166" i="15"/>
  <c r="L167" i="15"/>
  <c r="L168" i="15"/>
  <c r="L170" i="15"/>
  <c r="L173" i="15"/>
  <c r="L174" i="15"/>
  <c r="L175" i="15"/>
  <c r="L176" i="15"/>
  <c r="L177" i="15"/>
  <c r="L178" i="15"/>
  <c r="L179" i="15"/>
  <c r="L180" i="15"/>
  <c r="L182" i="15"/>
  <c r="L185" i="15"/>
  <c r="L187" i="15"/>
  <c r="L188" i="15"/>
  <c r="L189" i="15"/>
  <c r="L191" i="15"/>
  <c r="L192" i="15"/>
  <c r="L194" i="15"/>
  <c r="L197" i="15"/>
  <c r="L198" i="15"/>
  <c r="L199" i="15"/>
  <c r="L200" i="15"/>
  <c r="L201" i="15"/>
  <c r="L202" i="15"/>
  <c r="L203" i="15"/>
  <c r="L204" i="15"/>
  <c r="L206" i="15"/>
  <c r="L208" i="15"/>
  <c r="L209" i="15"/>
  <c r="L210" i="15"/>
  <c r="L211" i="15"/>
  <c r="L213" i="15"/>
  <c r="L214" i="15"/>
  <c r="L215" i="15"/>
  <c r="L216" i="15"/>
  <c r="L218" i="15"/>
  <c r="L221" i="15"/>
  <c r="L222" i="15"/>
  <c r="L223" i="15"/>
  <c r="L224" i="15"/>
  <c r="L225" i="15"/>
  <c r="L226" i="15"/>
  <c r="L227" i="15"/>
  <c r="L228" i="15"/>
  <c r="L230" i="15"/>
  <c r="L233" i="15"/>
  <c r="L234" i="15"/>
  <c r="L235" i="15"/>
  <c r="L236" i="15"/>
  <c r="L237" i="15"/>
  <c r="L238" i="15"/>
  <c r="L239" i="15"/>
  <c r="L240" i="15"/>
  <c r="L242" i="15"/>
  <c r="L245" i="15"/>
  <c r="L246" i="15"/>
  <c r="L247" i="15"/>
  <c r="L248" i="15"/>
  <c r="L250" i="15"/>
  <c r="L251" i="15"/>
  <c r="L252" i="15"/>
  <c r="L254" i="15"/>
  <c r="L257" i="15"/>
  <c r="L258" i="15"/>
  <c r="L259" i="15"/>
  <c r="L260" i="15"/>
  <c r="L261" i="15"/>
  <c r="L263" i="15"/>
  <c r="L266" i="15"/>
  <c r="L269" i="15"/>
  <c r="L270" i="15"/>
  <c r="L271" i="15"/>
  <c r="L272" i="15"/>
  <c r="L274" i="15"/>
  <c r="L275" i="15"/>
  <c r="L276" i="15"/>
  <c r="L278" i="15"/>
  <c r="L281" i="15"/>
  <c r="L282" i="15"/>
  <c r="L283" i="15"/>
  <c r="L284" i="15"/>
  <c r="L287" i="15"/>
  <c r="L288" i="15"/>
  <c r="L290" i="15"/>
  <c r="L293" i="15"/>
  <c r="L294" i="15"/>
  <c r="L295" i="15"/>
  <c r="L296" i="15"/>
  <c r="L299" i="15"/>
  <c r="L300" i="15"/>
  <c r="L304" i="15"/>
  <c r="L305" i="15"/>
  <c r="L306" i="15"/>
  <c r="L307" i="15"/>
  <c r="L308" i="15"/>
  <c r="L311" i="15"/>
  <c r="L312" i="15"/>
  <c r="L314" i="15"/>
  <c r="L317" i="15"/>
  <c r="L318" i="15"/>
  <c r="L319" i="15"/>
  <c r="L320" i="15"/>
  <c r="L321" i="15"/>
  <c r="L323" i="15"/>
  <c r="L324" i="15"/>
  <c r="L329" i="15"/>
  <c r="L331" i="15"/>
  <c r="L332" i="15"/>
  <c r="L335" i="15"/>
  <c r="L336" i="15"/>
  <c r="L338" i="15"/>
  <c r="L341" i="15"/>
  <c r="L342" i="15"/>
  <c r="L343" i="15"/>
  <c r="L344" i="15"/>
  <c r="L347" i="15"/>
  <c r="L348" i="15"/>
  <c r="L350" i="15"/>
  <c r="L353" i="15"/>
  <c r="L354" i="15"/>
  <c r="L355" i="15"/>
  <c r="L358" i="15"/>
  <c r="L359" i="15"/>
  <c r="L360" i="15"/>
  <c r="L362" i="15"/>
  <c r="L365" i="15"/>
  <c r="L366" i="15"/>
  <c r="L367" i="15"/>
  <c r="L368" i="15"/>
  <c r="L369" i="15"/>
  <c r="L371" i="15"/>
  <c r="L372" i="15"/>
  <c r="L374" i="15"/>
  <c r="L377" i="15"/>
  <c r="L378" i="15"/>
  <c r="L379" i="15"/>
  <c r="L380" i="15"/>
  <c r="L381" i="15"/>
  <c r="L382" i="15"/>
  <c r="L383" i="15"/>
  <c r="L384" i="15"/>
  <c r="L389" i="15"/>
  <c r="L390" i="15"/>
  <c r="L391" i="15"/>
  <c r="L392" i="15"/>
  <c r="L394" i="15"/>
  <c r="L395" i="15"/>
  <c r="L396" i="15"/>
  <c r="L398" i="15"/>
  <c r="L401" i="15"/>
  <c r="L402" i="15"/>
  <c r="L403" i="15"/>
  <c r="L404" i="15"/>
  <c r="L407" i="15"/>
  <c r="L410" i="15"/>
  <c r="L413" i="15"/>
  <c r="L414" i="15"/>
  <c r="L415" i="15"/>
  <c r="L416" i="15"/>
  <c r="L419" i="15"/>
  <c r="L420" i="15"/>
  <c r="L425" i="15"/>
  <c r="L426" i="15"/>
  <c r="L427" i="15"/>
  <c r="L428" i="15"/>
  <c r="L429" i="15"/>
  <c r="L431" i="15"/>
  <c r="L432" i="15"/>
  <c r="L434" i="15"/>
  <c r="L437" i="15"/>
  <c r="L438" i="15"/>
  <c r="L439" i="15"/>
  <c r="L440" i="15"/>
  <c r="L444" i="15"/>
  <c r="L446" i="15"/>
  <c r="L449" i="15"/>
  <c r="L450" i="15"/>
  <c r="L451" i="15"/>
  <c r="L452" i="15"/>
  <c r="L455" i="15"/>
  <c r="L456" i="15"/>
  <c r="L461" i="15"/>
  <c r="L462" i="15"/>
  <c r="L463" i="15"/>
  <c r="L464" i="15"/>
  <c r="L465" i="15"/>
  <c r="L467" i="15"/>
  <c r="L468" i="15"/>
  <c r="L473" i="15"/>
  <c r="L475" i="15"/>
  <c r="L476" i="15"/>
  <c r="L477" i="15"/>
  <c r="L479" i="15"/>
  <c r="L480" i="15"/>
  <c r="L485" i="15"/>
  <c r="L486" i="15"/>
  <c r="L487" i="15"/>
  <c r="L488" i="15"/>
  <c r="L492" i="15"/>
  <c r="L497" i="15"/>
  <c r="L498" i="15"/>
  <c r="L499" i="15"/>
  <c r="L504" i="15"/>
  <c r="L506" i="15"/>
  <c r="L509" i="15"/>
  <c r="L510" i="15"/>
  <c r="L511" i="15"/>
  <c r="L512" i="15"/>
  <c r="L516" i="15"/>
  <c r="L518" i="15"/>
  <c r="L520" i="15"/>
  <c r="L521" i="15"/>
  <c r="L522" i="15"/>
  <c r="L523" i="15"/>
  <c r="L524" i="15"/>
  <c r="L528" i="15"/>
  <c r="L533" i="15"/>
  <c r="L534" i="15"/>
  <c r="L535" i="15"/>
  <c r="L536" i="15"/>
  <c r="L540" i="15"/>
  <c r="L542" i="15"/>
  <c r="L545" i="15"/>
  <c r="L546" i="15"/>
  <c r="L547" i="15"/>
  <c r="L548" i="15"/>
  <c r="L549" i="15"/>
  <c r="L557" i="15"/>
  <c r="L558" i="15"/>
  <c r="L559" i="15"/>
  <c r="L560" i="15"/>
  <c r="L564" i="15"/>
  <c r="L569" i="15"/>
  <c r="L570" i="15"/>
  <c r="L571" i="15"/>
  <c r="L572" i="15"/>
  <c r="L576" i="15"/>
  <c r="L581" i="15"/>
  <c r="L582" i="15"/>
  <c r="L583" i="15"/>
  <c r="L584" i="15"/>
  <c r="L588" i="15"/>
  <c r="L590" i="15"/>
  <c r="L593" i="15"/>
  <c r="L594" i="15"/>
  <c r="L595" i="15"/>
  <c r="L596" i="15"/>
  <c r="L600" i="15"/>
  <c r="L605" i="15"/>
  <c r="L606" i="15"/>
  <c r="L607" i="15"/>
  <c r="L608" i="15"/>
  <c r="L609" i="15"/>
  <c r="L612" i="15"/>
  <c r="L614" i="15"/>
  <c r="L617" i="15"/>
  <c r="L619" i="15"/>
  <c r="L620" i="15"/>
  <c r="L624" i="15"/>
  <c r="L626" i="15"/>
  <c r="L629" i="15"/>
  <c r="L630" i="15"/>
  <c r="L631" i="15"/>
  <c r="L632" i="15"/>
  <c r="L636" i="15"/>
  <c r="L641" i="15"/>
  <c r="L642" i="15"/>
  <c r="L643" i="15"/>
  <c r="L648" i="15"/>
  <c r="L650" i="15"/>
  <c r="L653" i="15"/>
  <c r="L654" i="15"/>
  <c r="L655" i="15"/>
  <c r="L656" i="15"/>
  <c r="L660" i="15"/>
  <c r="L665" i="15"/>
  <c r="L666" i="15"/>
  <c r="L667" i="15"/>
  <c r="L668" i="15"/>
  <c r="L672" i="15"/>
  <c r="L677" i="15"/>
  <c r="L678" i="15"/>
  <c r="L679" i="15"/>
  <c r="L680" i="15"/>
  <c r="L684" i="15"/>
  <c r="L689" i="15"/>
  <c r="L690" i="15"/>
  <c r="L691" i="15"/>
  <c r="L692" i="15"/>
  <c r="L696" i="15"/>
  <c r="L698" i="15"/>
  <c r="L701" i="15"/>
  <c r="L702" i="15"/>
  <c r="L703" i="15"/>
  <c r="L704" i="15"/>
  <c r="L708" i="15"/>
  <c r="L713" i="15"/>
  <c r="L714" i="15"/>
  <c r="L715" i="15"/>
  <c r="L716" i="15"/>
  <c r="L719" i="15"/>
  <c r="L720" i="15"/>
  <c r="L722" i="15"/>
  <c r="L725" i="15"/>
  <c r="L726" i="15"/>
  <c r="L727" i="15"/>
  <c r="L728" i="15"/>
  <c r="L732" i="15"/>
  <c r="L737" i="15"/>
  <c r="L738" i="15"/>
  <c r="L739" i="15"/>
  <c r="L740" i="15"/>
  <c r="L743" i="15"/>
  <c r="L744" i="15"/>
  <c r="L746" i="15"/>
  <c r="L749" i="15"/>
  <c r="L750" i="15"/>
  <c r="L751" i="15"/>
  <c r="L752" i="15"/>
  <c r="L756" i="15"/>
  <c r="L761" i="15"/>
  <c r="L762" i="15"/>
  <c r="L763" i="15"/>
  <c r="L764" i="15"/>
  <c r="L765" i="15"/>
  <c r="L768" i="15"/>
  <c r="L773" i="15"/>
  <c r="L774" i="15"/>
  <c r="L775" i="15"/>
  <c r="L776" i="15"/>
  <c r="L777" i="15"/>
  <c r="L780" i="15"/>
  <c r="L785" i="15"/>
  <c r="L786" i="15"/>
  <c r="L787" i="15"/>
  <c r="L788" i="15"/>
  <c r="L789" i="15"/>
  <c r="L792" i="15"/>
  <c r="L797" i="15"/>
  <c r="L798" i="15"/>
  <c r="L799" i="15"/>
  <c r="L800" i="15"/>
  <c r="L804" i="15"/>
  <c r="L809" i="15"/>
  <c r="L810" i="15"/>
  <c r="L811" i="15"/>
  <c r="L812" i="15"/>
  <c r="L816" i="15"/>
  <c r="L821" i="15"/>
  <c r="L822" i="15"/>
  <c r="L823" i="15"/>
  <c r="L824" i="15"/>
  <c r="L828" i="15"/>
  <c r="L833" i="15"/>
  <c r="L834" i="15"/>
  <c r="L835" i="15"/>
  <c r="L836" i="15"/>
  <c r="L840" i="15"/>
  <c r="L845" i="15"/>
  <c r="L846" i="15"/>
  <c r="L847" i="15"/>
  <c r="L848" i="15"/>
  <c r="L852" i="15"/>
  <c r="L857" i="15"/>
  <c r="L858" i="15"/>
  <c r="L859" i="15"/>
  <c r="L860" i="15"/>
  <c r="L864" i="15"/>
  <c r="L869" i="15"/>
  <c r="L870" i="15"/>
  <c r="L871" i="15"/>
  <c r="L872" i="15"/>
  <c r="L876" i="15"/>
  <c r="L881" i="15"/>
  <c r="L882" i="15"/>
  <c r="L883" i="15"/>
  <c r="L884" i="15"/>
  <c r="L888" i="15"/>
  <c r="L893" i="15"/>
  <c r="L894" i="15"/>
  <c r="L895" i="15"/>
  <c r="L896" i="15"/>
  <c r="L900" i="15"/>
  <c r="L902" i="15"/>
  <c r="L903" i="15"/>
  <c r="L905" i="15"/>
  <c r="L906" i="15"/>
  <c r="L907" i="15"/>
  <c r="L908" i="15"/>
  <c r="L912" i="15"/>
  <c r="L917" i="15"/>
  <c r="L918" i="15"/>
  <c r="L919" i="15"/>
  <c r="L920" i="15"/>
  <c r="L921" i="15"/>
  <c r="L924" i="15"/>
  <c r="L928" i="15"/>
  <c r="L929" i="15"/>
  <c r="L930" i="15"/>
  <c r="L931" i="15"/>
  <c r="L932" i="15"/>
  <c r="L933" i="15"/>
  <c r="L934" i="15"/>
  <c r="L935" i="15"/>
  <c r="L936" i="15"/>
  <c r="L941" i="15"/>
  <c r="L942" i="15"/>
  <c r="L943" i="15"/>
  <c r="L944" i="15"/>
  <c r="L948" i="15"/>
  <c r="L953" i="15"/>
  <c r="L954" i="15"/>
  <c r="L955" i="15"/>
  <c r="L956" i="15"/>
  <c r="L960" i="15"/>
  <c r="L962" i="15"/>
  <c r="L965" i="15"/>
  <c r="L966" i="15"/>
  <c r="L967" i="15"/>
  <c r="L968" i="15"/>
  <c r="L972" i="15"/>
  <c r="L977" i="15"/>
  <c r="L978" i="15"/>
  <c r="L979" i="15"/>
  <c r="L980" i="15"/>
  <c r="L984" i="15"/>
  <c r="L986" i="15"/>
  <c r="L989" i="15"/>
  <c r="L990" i="15"/>
  <c r="L991" i="15"/>
  <c r="L992" i="15"/>
  <c r="L996" i="15"/>
  <c r="L1001" i="15"/>
  <c r="L1002" i="15"/>
  <c r="L1003" i="15"/>
  <c r="L1004" i="15"/>
  <c r="L1008" i="15"/>
  <c r="L1013" i="15"/>
  <c r="L1014" i="15"/>
  <c r="L1015" i="15"/>
  <c r="L1016" i="15"/>
  <c r="L1019" i="15"/>
  <c r="L1020" i="15"/>
  <c r="L1022" i="15"/>
  <c r="L1023" i="15"/>
  <c r="L1025" i="15"/>
  <c r="L1026" i="15"/>
  <c r="L1027" i="15"/>
  <c r="L1028" i="15"/>
  <c r="L1031" i="15"/>
  <c r="L1032" i="15"/>
  <c r="L1034" i="15"/>
  <c r="L1035" i="15"/>
  <c r="L1037" i="15"/>
  <c r="L1038" i="15"/>
  <c r="L1039" i="15"/>
  <c r="L1040" i="15"/>
  <c r="L1043" i="15"/>
  <c r="L1044" i="15"/>
  <c r="L1046" i="15"/>
  <c r="L1047" i="15"/>
  <c r="L1049" i="15"/>
  <c r="L1050" i="15"/>
  <c r="L1051" i="15"/>
  <c r="L1052" i="15"/>
  <c r="L1055" i="15"/>
  <c r="L1056" i="15"/>
  <c r="L1058" i="15"/>
  <c r="L1059" i="15"/>
  <c r="L1060" i="15"/>
  <c r="L1061" i="15"/>
  <c r="L1062" i="15"/>
  <c r="L1063" i="15"/>
  <c r="L1064" i="15"/>
  <c r="L1067" i="15"/>
  <c r="L1068" i="15"/>
  <c r="L1070" i="15"/>
  <c r="L1071" i="15"/>
  <c r="L1073" i="15"/>
  <c r="L1074" i="15"/>
  <c r="L1075" i="15"/>
  <c r="L1076" i="15"/>
  <c r="L1079" i="15"/>
  <c r="L1080" i="15"/>
  <c r="L1082" i="15"/>
  <c r="L1083" i="15"/>
  <c r="L1084" i="15"/>
  <c r="L1085" i="15"/>
  <c r="L1086" i="15"/>
  <c r="L1087" i="15"/>
  <c r="L1088" i="15"/>
  <c r="L1091" i="15"/>
  <c r="L1092" i="15"/>
  <c r="L1094" i="15"/>
  <c r="L1095" i="15"/>
  <c r="L1097" i="15"/>
  <c r="L1098" i="15"/>
  <c r="L1099" i="15"/>
  <c r="L1100" i="15"/>
  <c r="L1103" i="15"/>
  <c r="L1104" i="15"/>
  <c r="L1106" i="15"/>
  <c r="L1107" i="15"/>
  <c r="L1109" i="15"/>
  <c r="L1110" i="15"/>
  <c r="L1111" i="15"/>
  <c r="L1112" i="15"/>
  <c r="L1115" i="15"/>
  <c r="L1116" i="15"/>
  <c r="L1118" i="15"/>
  <c r="L1119" i="15"/>
  <c r="L1121" i="15"/>
  <c r="L1122" i="15"/>
  <c r="L1123" i="15"/>
  <c r="L1124" i="15"/>
  <c r="L1127" i="15"/>
  <c r="L1128" i="15"/>
  <c r="L1130" i="15"/>
  <c r="L1131" i="15"/>
  <c r="L1133" i="15"/>
  <c r="L1134" i="15"/>
  <c r="L1136" i="15"/>
  <c r="L1139" i="15"/>
  <c r="L1140" i="15"/>
  <c r="L1142" i="15"/>
  <c r="L1143" i="15"/>
  <c r="L1145" i="15"/>
  <c r="L1146" i="15"/>
  <c r="L1147" i="15"/>
  <c r="L1148" i="15"/>
  <c r="L1151" i="15"/>
  <c r="L1152" i="15"/>
  <c r="L1154" i="15"/>
  <c r="L1155" i="15"/>
  <c r="L1157" i="15"/>
  <c r="L1158" i="15"/>
  <c r="L1160" i="15"/>
  <c r="L1163" i="15"/>
  <c r="L1164" i="15"/>
  <c r="L1166" i="15"/>
  <c r="L1167" i="15"/>
  <c r="L1169" i="15"/>
  <c r="L1170" i="15"/>
  <c r="L1171" i="15"/>
  <c r="L1172" i="15"/>
  <c r="I1012" i="15"/>
  <c r="I1013" i="15"/>
  <c r="I1014" i="15"/>
  <c r="I1015" i="15"/>
  <c r="I1016" i="15"/>
  <c r="I1017" i="15"/>
  <c r="I1018" i="15"/>
  <c r="I1019" i="15"/>
  <c r="I1020" i="15"/>
  <c r="I1021" i="15"/>
  <c r="I1022" i="15"/>
  <c r="I1023" i="15"/>
  <c r="I1024" i="15"/>
  <c r="I1025" i="15"/>
  <c r="I1026" i="15"/>
  <c r="I1027" i="15"/>
  <c r="I1028" i="15"/>
  <c r="I1029" i="15"/>
  <c r="I1030" i="15"/>
  <c r="I1031" i="15"/>
  <c r="I1032" i="15"/>
  <c r="I1033" i="15"/>
  <c r="I1034" i="15"/>
  <c r="I1035" i="15"/>
  <c r="I1036" i="15"/>
  <c r="I1037" i="15"/>
  <c r="I1038" i="15"/>
  <c r="I1039" i="15"/>
  <c r="I1040" i="15"/>
  <c r="I1041" i="15"/>
  <c r="I1042" i="15"/>
  <c r="I1043" i="15"/>
  <c r="I1044" i="15"/>
  <c r="I1045" i="15"/>
  <c r="I1046" i="15"/>
  <c r="I1047" i="15"/>
  <c r="I1048" i="15"/>
  <c r="I1049" i="15"/>
  <c r="I1050" i="15"/>
  <c r="I1051" i="15"/>
  <c r="I1052" i="15"/>
  <c r="I1053" i="15"/>
  <c r="I1054" i="15"/>
  <c r="I1055" i="15"/>
  <c r="I1056" i="15"/>
  <c r="I1057" i="15"/>
  <c r="I1058" i="15"/>
  <c r="I1059" i="15"/>
  <c r="I1060" i="15"/>
  <c r="I1061" i="15"/>
  <c r="I1062" i="15"/>
  <c r="I1063" i="15"/>
  <c r="I1064" i="15"/>
  <c r="I1065" i="15"/>
  <c r="I1066" i="15"/>
  <c r="I1067" i="15"/>
  <c r="I1068" i="15"/>
  <c r="I1069" i="15"/>
  <c r="I1070" i="15"/>
  <c r="I1071" i="15"/>
  <c r="I1072" i="15"/>
  <c r="I1073" i="15"/>
  <c r="I1074" i="15"/>
  <c r="I1075" i="15"/>
  <c r="I1076" i="15"/>
  <c r="I1077" i="15"/>
  <c r="I1078" i="15"/>
  <c r="I1079" i="15"/>
  <c r="I1080" i="15"/>
  <c r="I1081" i="15"/>
  <c r="I1082" i="15"/>
  <c r="I1083" i="15"/>
  <c r="I1084" i="15"/>
  <c r="I1085" i="15"/>
  <c r="I1086" i="15"/>
  <c r="I1087" i="15"/>
  <c r="I1088" i="15"/>
  <c r="I1089" i="15"/>
  <c r="I1090" i="15"/>
  <c r="I1091" i="15"/>
  <c r="I1092" i="15"/>
  <c r="I1093" i="15"/>
  <c r="I1094" i="15"/>
  <c r="I1095" i="15"/>
  <c r="I1096" i="15"/>
  <c r="I1097" i="15"/>
  <c r="I1098" i="15"/>
  <c r="I1099" i="15"/>
  <c r="I1100" i="15"/>
  <c r="I1101" i="15"/>
  <c r="I1102" i="15"/>
  <c r="I1103" i="15"/>
  <c r="I1104" i="15"/>
  <c r="I1105" i="15"/>
  <c r="I1106" i="15"/>
  <c r="I1107" i="15"/>
  <c r="I1108" i="15"/>
  <c r="I1109" i="15"/>
  <c r="I1110" i="15"/>
  <c r="I1111" i="15"/>
  <c r="I1112" i="15"/>
  <c r="I1113" i="15"/>
  <c r="I1114" i="15"/>
  <c r="I1115" i="15"/>
  <c r="I1116" i="15"/>
  <c r="I1117" i="15"/>
  <c r="I1118" i="15"/>
  <c r="I1119" i="15"/>
  <c r="I1120" i="15"/>
  <c r="I1121" i="15"/>
  <c r="I1122" i="15"/>
  <c r="I1123" i="15"/>
  <c r="I1124" i="15"/>
  <c r="I1125" i="15"/>
  <c r="I1126" i="15"/>
  <c r="I1127" i="15"/>
  <c r="I1128" i="15"/>
  <c r="I1129" i="15"/>
  <c r="I1130" i="15"/>
  <c r="I1131" i="15"/>
  <c r="I1132" i="15"/>
  <c r="I1133" i="15"/>
  <c r="I1134" i="15"/>
  <c r="I1135" i="15"/>
  <c r="I1136" i="15"/>
  <c r="I1137" i="15"/>
  <c r="I1138" i="15"/>
  <c r="I1139" i="15"/>
  <c r="I1140" i="15"/>
  <c r="I1141" i="15"/>
  <c r="I1142" i="15"/>
  <c r="I1143" i="15"/>
  <c r="I1144" i="15"/>
  <c r="I1145" i="15"/>
  <c r="I1146" i="15"/>
  <c r="I1147" i="15"/>
  <c r="I1148" i="15"/>
  <c r="I1149" i="15"/>
  <c r="I1150" i="15"/>
  <c r="I1151" i="15"/>
  <c r="I1152" i="15"/>
  <c r="I1153" i="15"/>
  <c r="I1154" i="15"/>
  <c r="I1155" i="15"/>
  <c r="I1156" i="15"/>
  <c r="I1157" i="15"/>
  <c r="I1158" i="15"/>
  <c r="I1159" i="15"/>
  <c r="I1160" i="15"/>
  <c r="I1161" i="15"/>
  <c r="I1162" i="15"/>
  <c r="I1163" i="15"/>
  <c r="I1164" i="15"/>
  <c r="I1165" i="15"/>
  <c r="I1166" i="15"/>
  <c r="I1167" i="15"/>
  <c r="I1168" i="15"/>
  <c r="I1169" i="15"/>
  <c r="I1170" i="15"/>
  <c r="I1171" i="15"/>
  <c r="I1172" i="15"/>
  <c r="L830" i="15" l="1"/>
  <c r="L758" i="15"/>
  <c r="L827" i="15"/>
  <c r="L482" i="15"/>
  <c r="L806" i="15"/>
  <c r="L734" i="15"/>
  <c r="L866" i="15"/>
  <c r="L839" i="15"/>
  <c r="L794" i="15"/>
  <c r="L279" i="15"/>
  <c r="L914" i="15"/>
  <c r="L686" i="15"/>
  <c r="L578" i="15"/>
  <c r="L470" i="15"/>
  <c r="L411" i="15"/>
  <c r="L291" i="15"/>
  <c r="L770" i="15"/>
  <c r="L707" i="15"/>
  <c r="L662" i="15"/>
  <c r="L554" i="15"/>
  <c r="L171" i="15"/>
  <c r="L231" i="15"/>
  <c r="L963" i="15"/>
  <c r="L447" i="15"/>
  <c r="L87" i="15"/>
  <c r="L399" i="15"/>
  <c r="L351" i="15"/>
  <c r="L315" i="15"/>
  <c r="L99" i="15"/>
  <c r="L947" i="15"/>
  <c r="L842" i="15"/>
  <c r="L327" i="15"/>
  <c r="L243" i="15"/>
  <c r="L183" i="15"/>
  <c r="L111" i="15"/>
  <c r="L363" i="15"/>
  <c r="L326" i="15"/>
  <c r="M878" i="15"/>
  <c r="M567" i="15"/>
  <c r="N190" i="15"/>
  <c r="L735" i="15"/>
  <c r="L255" i="15"/>
  <c r="L123" i="15"/>
  <c r="L911" i="15"/>
  <c r="L767" i="15"/>
  <c r="L375" i="15"/>
  <c r="L195" i="15"/>
  <c r="N82" i="15"/>
  <c r="L339" i="15"/>
  <c r="L135" i="15"/>
  <c r="M385" i="15"/>
  <c r="L959" i="15"/>
  <c r="L926" i="15"/>
  <c r="L782" i="15"/>
  <c r="L515" i="15"/>
  <c r="L890" i="15"/>
  <c r="L530" i="15"/>
  <c r="L494" i="15"/>
  <c r="L387" i="15"/>
  <c r="L303" i="15"/>
  <c r="L207" i="15"/>
  <c r="L818" i="15"/>
  <c r="L891" i="15"/>
  <c r="L938" i="15"/>
  <c r="L851" i="15"/>
  <c r="L695" i="15"/>
  <c r="L638" i="15"/>
  <c r="L1010" i="15"/>
  <c r="L711" i="15"/>
  <c r="L674" i="15"/>
  <c r="L602" i="15"/>
  <c r="L458" i="15"/>
  <c r="L386" i="15"/>
  <c r="L302" i="15"/>
  <c r="L267" i="15"/>
  <c r="L147" i="15"/>
  <c r="L219" i="15"/>
  <c r="L159" i="15"/>
  <c r="L75" i="15"/>
  <c r="L508" i="15"/>
  <c r="O1108" i="15"/>
  <c r="L1108" i="15"/>
  <c r="O1036" i="15"/>
  <c r="L1036" i="15"/>
  <c r="L964" i="15"/>
  <c r="O964" i="15"/>
  <c r="O868" i="15"/>
  <c r="L868" i="15"/>
  <c r="O856" i="15"/>
  <c r="L856" i="15"/>
  <c r="O616" i="15"/>
  <c r="L616" i="15"/>
  <c r="L940" i="15"/>
  <c r="L832" i="15"/>
  <c r="L544" i="15"/>
  <c r="L1144" i="15"/>
  <c r="L412" i="15"/>
  <c r="L1156" i="15"/>
  <c r="L1000" i="15"/>
  <c r="N1102" i="15"/>
  <c r="L1102" i="15"/>
  <c r="N994" i="15"/>
  <c r="L994" i="15"/>
  <c r="M418" i="15"/>
  <c r="L418" i="15"/>
  <c r="N406" i="15"/>
  <c r="L406" i="15"/>
  <c r="M394" i="15"/>
  <c r="N394" i="15"/>
  <c r="M370" i="15"/>
  <c r="L370" i="15"/>
  <c r="N370" i="15"/>
  <c r="M346" i="15"/>
  <c r="L346" i="15"/>
  <c r="M334" i="15"/>
  <c r="N334" i="15"/>
  <c r="L334" i="15"/>
  <c r="N322" i="15"/>
  <c r="L322" i="15"/>
  <c r="M310" i="15"/>
  <c r="L310" i="15"/>
  <c r="M298" i="15"/>
  <c r="L298" i="15"/>
  <c r="N286" i="15"/>
  <c r="L286" i="15"/>
  <c r="M262" i="15"/>
  <c r="L262" i="15"/>
  <c r="N262" i="15"/>
  <c r="N418" i="15"/>
  <c r="M453" i="15"/>
  <c r="N453" i="15"/>
  <c r="L453" i="15"/>
  <c r="N441" i="15"/>
  <c r="L441" i="15"/>
  <c r="M429" i="15"/>
  <c r="N429" i="15"/>
  <c r="M417" i="15"/>
  <c r="L417" i="15"/>
  <c r="N405" i="15"/>
  <c r="L405" i="15"/>
  <c r="M393" i="15"/>
  <c r="L393" i="15"/>
  <c r="N393" i="15"/>
  <c r="M369" i="15"/>
  <c r="N369" i="15"/>
  <c r="N357" i="15"/>
  <c r="L357" i="15"/>
  <c r="M345" i="15"/>
  <c r="L345" i="15"/>
  <c r="M333" i="15"/>
  <c r="N333" i="15"/>
  <c r="L333" i="15"/>
  <c r="M309" i="15"/>
  <c r="L309" i="15"/>
  <c r="N309" i="15"/>
  <c r="M297" i="15"/>
  <c r="L297" i="15"/>
  <c r="N297" i="15"/>
  <c r="N285" i="15"/>
  <c r="L285" i="15"/>
  <c r="M273" i="15"/>
  <c r="L273" i="15"/>
  <c r="N273" i="15"/>
  <c r="M261" i="15"/>
  <c r="N261" i="15"/>
  <c r="N249" i="15"/>
  <c r="L249" i="15"/>
  <c r="N298" i="15"/>
  <c r="L1120" i="15"/>
  <c r="L1012" i="15"/>
  <c r="L904" i="15"/>
  <c r="L436" i="15"/>
  <c r="L514" i="15"/>
  <c r="O292" i="15"/>
  <c r="L292" i="15"/>
  <c r="O220" i="15"/>
  <c r="L220" i="15"/>
  <c r="O196" i="15"/>
  <c r="L196" i="15"/>
  <c r="O184" i="15"/>
  <c r="L184" i="15"/>
  <c r="L40" i="15"/>
  <c r="O40" i="15"/>
  <c r="M1022" i="15"/>
  <c r="M195" i="15"/>
  <c r="N397" i="15"/>
  <c r="N189" i="15"/>
  <c r="N81" i="15"/>
  <c r="M421" i="15"/>
  <c r="M194" i="15"/>
  <c r="M13" i="15"/>
  <c r="N165" i="15"/>
  <c r="L974" i="15"/>
  <c r="M1166" i="15"/>
  <c r="M337" i="15"/>
  <c r="M301" i="15"/>
  <c r="M265" i="15"/>
  <c r="M229" i="15"/>
  <c r="M193" i="15"/>
  <c r="M157" i="15"/>
  <c r="M121" i="15"/>
  <c r="M85" i="15"/>
  <c r="N154" i="15"/>
  <c r="M950" i="15"/>
  <c r="N859" i="15"/>
  <c r="N153" i="15"/>
  <c r="M1106" i="15"/>
  <c r="N361" i="15"/>
  <c r="N237" i="15"/>
  <c r="N129" i="15"/>
  <c r="M770" i="15"/>
  <c r="M325" i="15"/>
  <c r="M289" i="15"/>
  <c r="M253" i="15"/>
  <c r="M217" i="15"/>
  <c r="M181" i="15"/>
  <c r="M145" i="15"/>
  <c r="M109" i="15"/>
  <c r="M73" i="15"/>
  <c r="M1082" i="15"/>
  <c r="M70" i="15"/>
  <c r="N226" i="15"/>
  <c r="N118" i="15"/>
  <c r="N12" i="15"/>
  <c r="N445" i="15"/>
  <c r="N225" i="15"/>
  <c r="N117" i="15"/>
  <c r="L190" i="15"/>
  <c r="M1058" i="15"/>
  <c r="N201" i="15"/>
  <c r="N93" i="15"/>
  <c r="P1137" i="15"/>
  <c r="O1137" i="15"/>
  <c r="N1137" i="15"/>
  <c r="M1137" i="15"/>
  <c r="P645" i="15"/>
  <c r="O645" i="15"/>
  <c r="N645" i="15"/>
  <c r="M645" i="15"/>
  <c r="N1167" i="15"/>
  <c r="P1167" i="15"/>
  <c r="O1167" i="15"/>
  <c r="P1155" i="15"/>
  <c r="N1155" i="15"/>
  <c r="O1155" i="15"/>
  <c r="N1143" i="15"/>
  <c r="O1143" i="15"/>
  <c r="P1143" i="15"/>
  <c r="N1131" i="15"/>
  <c r="P1131" i="15"/>
  <c r="O1131" i="15"/>
  <c r="M1131" i="15"/>
  <c r="P1119" i="15"/>
  <c r="N1119" i="15"/>
  <c r="O1119" i="15"/>
  <c r="M1119" i="15"/>
  <c r="N1107" i="15"/>
  <c r="O1107" i="15"/>
  <c r="P1107" i="15"/>
  <c r="N1095" i="15"/>
  <c r="P1095" i="15"/>
  <c r="O1095" i="15"/>
  <c r="M1095" i="15"/>
  <c r="P1083" i="15"/>
  <c r="N1083" i="15"/>
  <c r="O1083" i="15"/>
  <c r="M1083" i="15"/>
  <c r="N1071" i="15"/>
  <c r="O1071" i="15"/>
  <c r="P1071" i="15"/>
  <c r="M1071" i="15"/>
  <c r="N1059" i="15"/>
  <c r="P1059" i="15"/>
  <c r="O1059" i="15"/>
  <c r="M1059" i="15"/>
  <c r="P1047" i="15"/>
  <c r="N1047" i="15"/>
  <c r="O1047" i="15"/>
  <c r="N1035" i="15"/>
  <c r="O1035" i="15"/>
  <c r="P1035" i="15"/>
  <c r="N1023" i="15"/>
  <c r="P1023" i="15"/>
  <c r="O1023" i="15"/>
  <c r="N1011" i="15"/>
  <c r="P1011" i="15"/>
  <c r="O1011" i="15"/>
  <c r="P999" i="15"/>
  <c r="N999" i="15"/>
  <c r="O999" i="15"/>
  <c r="P987" i="15"/>
  <c r="N987" i="15"/>
  <c r="O987" i="15"/>
  <c r="M987" i="15"/>
  <c r="P975" i="15"/>
  <c r="N975" i="15"/>
  <c r="O975" i="15"/>
  <c r="M975" i="15"/>
  <c r="P963" i="15"/>
  <c r="N963" i="15"/>
  <c r="O963" i="15"/>
  <c r="P951" i="15"/>
  <c r="N951" i="15"/>
  <c r="O951" i="15"/>
  <c r="M951" i="15"/>
  <c r="P939" i="15"/>
  <c r="N939" i="15"/>
  <c r="O939" i="15"/>
  <c r="M939" i="15"/>
  <c r="N927" i="15"/>
  <c r="O927" i="15"/>
  <c r="P927" i="15"/>
  <c r="M927" i="15"/>
  <c r="N915" i="15"/>
  <c r="O915" i="15"/>
  <c r="P915" i="15"/>
  <c r="M915" i="15"/>
  <c r="P903" i="15"/>
  <c r="N903" i="15"/>
  <c r="O903" i="15"/>
  <c r="P891" i="15"/>
  <c r="N891" i="15"/>
  <c r="O891" i="15"/>
  <c r="N879" i="15"/>
  <c r="P879" i="15"/>
  <c r="O879" i="15"/>
  <c r="N867" i="15"/>
  <c r="P867" i="15"/>
  <c r="O867" i="15"/>
  <c r="M867" i="15"/>
  <c r="P855" i="15"/>
  <c r="N855" i="15"/>
  <c r="O855" i="15"/>
  <c r="P843" i="15"/>
  <c r="N843" i="15"/>
  <c r="O843" i="15"/>
  <c r="M843" i="15"/>
  <c r="P831" i="15"/>
  <c r="N831" i="15"/>
  <c r="O831" i="15"/>
  <c r="M831" i="15"/>
  <c r="P819" i="15"/>
  <c r="N819" i="15"/>
  <c r="O819" i="15"/>
  <c r="P807" i="15"/>
  <c r="O807" i="15"/>
  <c r="N807" i="15"/>
  <c r="M807" i="15"/>
  <c r="P795" i="15"/>
  <c r="O795" i="15"/>
  <c r="N795" i="15"/>
  <c r="M795" i="15"/>
  <c r="O783" i="15"/>
  <c r="N783" i="15"/>
  <c r="P783" i="15"/>
  <c r="M783" i="15"/>
  <c r="O771" i="15"/>
  <c r="N771" i="15"/>
  <c r="M771" i="15"/>
  <c r="P771" i="15"/>
  <c r="P759" i="15"/>
  <c r="O759" i="15"/>
  <c r="N759" i="15"/>
  <c r="P747" i="15"/>
  <c r="O747" i="15"/>
  <c r="N747" i="15"/>
  <c r="O735" i="15"/>
  <c r="N735" i="15"/>
  <c r="P735" i="15"/>
  <c r="O723" i="15"/>
  <c r="N723" i="15"/>
  <c r="P723" i="15"/>
  <c r="M723" i="15"/>
  <c r="P711" i="15"/>
  <c r="O711" i="15"/>
  <c r="N711" i="15"/>
  <c r="P699" i="15"/>
  <c r="O699" i="15"/>
  <c r="N699" i="15"/>
  <c r="M699" i="15"/>
  <c r="O687" i="15"/>
  <c r="P687" i="15"/>
  <c r="N687" i="15"/>
  <c r="M687" i="15"/>
  <c r="O675" i="15"/>
  <c r="P675" i="15"/>
  <c r="N675" i="15"/>
  <c r="P663" i="15"/>
  <c r="O663" i="15"/>
  <c r="N663" i="15"/>
  <c r="M663" i="15"/>
  <c r="P651" i="15"/>
  <c r="O651" i="15"/>
  <c r="N651" i="15"/>
  <c r="M651" i="15"/>
  <c r="O639" i="15"/>
  <c r="N639" i="15"/>
  <c r="P639" i="15"/>
  <c r="M639" i="15"/>
  <c r="O627" i="15"/>
  <c r="N627" i="15"/>
  <c r="P627" i="15"/>
  <c r="M627" i="15"/>
  <c r="P615" i="15"/>
  <c r="O615" i="15"/>
  <c r="N615" i="15"/>
  <c r="P603" i="15"/>
  <c r="O603" i="15"/>
  <c r="N603" i="15"/>
  <c r="O591" i="15"/>
  <c r="N591" i="15"/>
  <c r="P591" i="15"/>
  <c r="O579" i="15"/>
  <c r="N579" i="15"/>
  <c r="P579" i="15"/>
  <c r="M579" i="15"/>
  <c r="L579" i="15"/>
  <c r="P567" i="15"/>
  <c r="O567" i="15"/>
  <c r="N567" i="15"/>
  <c r="P555" i="15"/>
  <c r="O555" i="15"/>
  <c r="N555" i="15"/>
  <c r="M555" i="15"/>
  <c r="O543" i="15"/>
  <c r="P543" i="15"/>
  <c r="N543" i="15"/>
  <c r="M543" i="15"/>
  <c r="O531" i="15"/>
  <c r="P531" i="15"/>
  <c r="N531" i="15"/>
  <c r="P519" i="15"/>
  <c r="O519" i="15"/>
  <c r="N519" i="15"/>
  <c r="M519" i="15"/>
  <c r="P507" i="15"/>
  <c r="O507" i="15"/>
  <c r="N507" i="15"/>
  <c r="M507" i="15"/>
  <c r="O495" i="15"/>
  <c r="N495" i="15"/>
  <c r="P495" i="15"/>
  <c r="M495" i="15"/>
  <c r="O483" i="15"/>
  <c r="N483" i="15"/>
  <c r="P483" i="15"/>
  <c r="M483" i="15"/>
  <c r="P471" i="15"/>
  <c r="O471" i="15"/>
  <c r="N471" i="15"/>
  <c r="P459" i="15"/>
  <c r="O459" i="15"/>
  <c r="N459" i="15"/>
  <c r="M459" i="15"/>
  <c r="O447" i="15"/>
  <c r="N447" i="15"/>
  <c r="P447" i="15"/>
  <c r="O435" i="15"/>
  <c r="N435" i="15"/>
  <c r="P435" i="15"/>
  <c r="M435" i="15"/>
  <c r="L435" i="15"/>
  <c r="P423" i="15"/>
  <c r="O423" i="15"/>
  <c r="N423" i="15"/>
  <c r="M1011" i="15"/>
  <c r="M1167" i="15"/>
  <c r="M999" i="15"/>
  <c r="M819" i="15"/>
  <c r="M759" i="15"/>
  <c r="O1164" i="15"/>
  <c r="P1164" i="15"/>
  <c r="N1164" i="15"/>
  <c r="M1164" i="15"/>
  <c r="P1152" i="15"/>
  <c r="O1152" i="15"/>
  <c r="N1152" i="15"/>
  <c r="M1152" i="15"/>
  <c r="O1140" i="15"/>
  <c r="P1140" i="15"/>
  <c r="N1140" i="15"/>
  <c r="O1128" i="15"/>
  <c r="P1128" i="15"/>
  <c r="M1128" i="15"/>
  <c r="N1128" i="15"/>
  <c r="P1116" i="15"/>
  <c r="O1116" i="15"/>
  <c r="N1116" i="15"/>
  <c r="M1116" i="15"/>
  <c r="O1104" i="15"/>
  <c r="M1104" i="15"/>
  <c r="P1104" i="15"/>
  <c r="N1104" i="15"/>
  <c r="O1092" i="15"/>
  <c r="P1092" i="15"/>
  <c r="N1092" i="15"/>
  <c r="M1092" i="15"/>
  <c r="P1080" i="15"/>
  <c r="O1080" i="15"/>
  <c r="N1080" i="15"/>
  <c r="O1068" i="15"/>
  <c r="N1068" i="15"/>
  <c r="P1068" i="15"/>
  <c r="O1056" i="15"/>
  <c r="P1056" i="15"/>
  <c r="N1056" i="15"/>
  <c r="P1044" i="15"/>
  <c r="O1044" i="15"/>
  <c r="N1044" i="15"/>
  <c r="O1032" i="15"/>
  <c r="N1032" i="15"/>
  <c r="P1032" i="15"/>
  <c r="P1020" i="15"/>
  <c r="O1020" i="15"/>
  <c r="N1020" i="15"/>
  <c r="M1020" i="15"/>
  <c r="P1008" i="15"/>
  <c r="O1008" i="15"/>
  <c r="N1008" i="15"/>
  <c r="M1008" i="15"/>
  <c r="P996" i="15"/>
  <c r="O996" i="15"/>
  <c r="P984" i="15"/>
  <c r="O984" i="15"/>
  <c r="N984" i="15"/>
  <c r="M984" i="15"/>
  <c r="P972" i="15"/>
  <c r="O972" i="15"/>
  <c r="M972" i="15"/>
  <c r="N972" i="15"/>
  <c r="P960" i="15"/>
  <c r="O960" i="15"/>
  <c r="N960" i="15"/>
  <c r="M960" i="15"/>
  <c r="P948" i="15"/>
  <c r="O948" i="15"/>
  <c r="N948" i="15"/>
  <c r="M948" i="15"/>
  <c r="P936" i="15"/>
  <c r="O936" i="15"/>
  <c r="P924" i="15"/>
  <c r="O924" i="15"/>
  <c r="N924" i="15"/>
  <c r="P912" i="15"/>
  <c r="O912" i="15"/>
  <c r="N912" i="15"/>
  <c r="P900" i="15"/>
  <c r="O900" i="15"/>
  <c r="N900" i="15"/>
  <c r="M900" i="15"/>
  <c r="P888" i="15"/>
  <c r="O888" i="15"/>
  <c r="N888" i="15"/>
  <c r="P876" i="15"/>
  <c r="O876" i="15"/>
  <c r="N876" i="15"/>
  <c r="M876" i="15"/>
  <c r="P864" i="15"/>
  <c r="O864" i="15"/>
  <c r="N864" i="15"/>
  <c r="M864" i="15"/>
  <c r="P852" i="15"/>
  <c r="O852" i="15"/>
  <c r="N852" i="15"/>
  <c r="P840" i="15"/>
  <c r="O840" i="15"/>
  <c r="N840" i="15"/>
  <c r="M840" i="15"/>
  <c r="P828" i="15"/>
  <c r="O828" i="15"/>
  <c r="M828" i="15"/>
  <c r="N828" i="15"/>
  <c r="P816" i="15"/>
  <c r="O816" i="15"/>
  <c r="N816" i="15"/>
  <c r="M816" i="15"/>
  <c r="P804" i="15"/>
  <c r="O804" i="15"/>
  <c r="N804" i="15"/>
  <c r="M804" i="15"/>
  <c r="P792" i="15"/>
  <c r="O792" i="15"/>
  <c r="N792" i="15"/>
  <c r="P780" i="15"/>
  <c r="O780" i="15"/>
  <c r="N780" i="15"/>
  <c r="P768" i="15"/>
  <c r="O768" i="15"/>
  <c r="N768" i="15"/>
  <c r="P756" i="15"/>
  <c r="O756" i="15"/>
  <c r="N756" i="15"/>
  <c r="M756" i="15"/>
  <c r="P744" i="15"/>
  <c r="O744" i="15"/>
  <c r="N744" i="15"/>
  <c r="P732" i="15"/>
  <c r="O732" i="15"/>
  <c r="N732" i="15"/>
  <c r="M732" i="15"/>
  <c r="P720" i="15"/>
  <c r="N720" i="15"/>
  <c r="O720" i="15"/>
  <c r="M720" i="15"/>
  <c r="P708" i="15"/>
  <c r="O708" i="15"/>
  <c r="N708" i="15"/>
  <c r="P696" i="15"/>
  <c r="N696" i="15"/>
  <c r="M696" i="15"/>
  <c r="O696" i="15"/>
  <c r="P684" i="15"/>
  <c r="O684" i="15"/>
  <c r="M684" i="15"/>
  <c r="N684" i="15"/>
  <c r="P672" i="15"/>
  <c r="N672" i="15"/>
  <c r="O672" i="15"/>
  <c r="M672" i="15"/>
  <c r="P660" i="15"/>
  <c r="O660" i="15"/>
  <c r="N660" i="15"/>
  <c r="M660" i="15"/>
  <c r="P648" i="15"/>
  <c r="O648" i="15"/>
  <c r="N648" i="15"/>
  <c r="P636" i="15"/>
  <c r="O636" i="15"/>
  <c r="N636" i="15"/>
  <c r="P624" i="15"/>
  <c r="O624" i="15"/>
  <c r="N624" i="15"/>
  <c r="P612" i="15"/>
  <c r="O612" i="15"/>
  <c r="N612" i="15"/>
  <c r="M612" i="15"/>
  <c r="P600" i="15"/>
  <c r="O600" i="15"/>
  <c r="N600" i="15"/>
  <c r="P588" i="15"/>
  <c r="O588" i="15"/>
  <c r="N588" i="15"/>
  <c r="M588" i="15"/>
  <c r="P576" i="15"/>
  <c r="O576" i="15"/>
  <c r="N576" i="15"/>
  <c r="M576" i="15"/>
  <c r="P564" i="15"/>
  <c r="O564" i="15"/>
  <c r="N564" i="15"/>
  <c r="P552" i="15"/>
  <c r="O552" i="15"/>
  <c r="N552" i="15"/>
  <c r="M552" i="15"/>
  <c r="L552" i="15"/>
  <c r="P540" i="15"/>
  <c r="O540" i="15"/>
  <c r="M540" i="15"/>
  <c r="N540" i="15"/>
  <c r="P528" i="15"/>
  <c r="O528" i="15"/>
  <c r="N528" i="15"/>
  <c r="M528" i="15"/>
  <c r="P516" i="15"/>
  <c r="N516" i="15"/>
  <c r="M516" i="15"/>
  <c r="O516" i="15"/>
  <c r="P504" i="15"/>
  <c r="O504" i="15"/>
  <c r="N504" i="15"/>
  <c r="P492" i="15"/>
  <c r="O492" i="15"/>
  <c r="N492" i="15"/>
  <c r="M492" i="15"/>
  <c r="P480" i="15"/>
  <c r="O480" i="15"/>
  <c r="N480" i="15"/>
  <c r="P468" i="15"/>
  <c r="O468" i="15"/>
  <c r="N468" i="15"/>
  <c r="M468" i="15"/>
  <c r="P456" i="15"/>
  <c r="O456" i="15"/>
  <c r="N456" i="15"/>
  <c r="P444" i="15"/>
  <c r="O444" i="15"/>
  <c r="N444" i="15"/>
  <c r="M444" i="15"/>
  <c r="P432" i="15"/>
  <c r="O432" i="15"/>
  <c r="N432" i="15"/>
  <c r="M432" i="15"/>
  <c r="P420" i="15"/>
  <c r="O420" i="15"/>
  <c r="N420" i="15"/>
  <c r="P408" i="15"/>
  <c r="N408" i="15"/>
  <c r="O408" i="15"/>
  <c r="M408" i="15"/>
  <c r="L408" i="15"/>
  <c r="P396" i="15"/>
  <c r="O396" i="15"/>
  <c r="M396" i="15"/>
  <c r="N396" i="15"/>
  <c r="P384" i="15"/>
  <c r="O384" i="15"/>
  <c r="N384" i="15"/>
  <c r="M384" i="15"/>
  <c r="P372" i="15"/>
  <c r="N372" i="15"/>
  <c r="O372" i="15"/>
  <c r="M372" i="15"/>
  <c r="P360" i="15"/>
  <c r="O360" i="15"/>
  <c r="N360" i="15"/>
  <c r="M360" i="15"/>
  <c r="P348" i="15"/>
  <c r="O348" i="15"/>
  <c r="N348" i="15"/>
  <c r="M348" i="15"/>
  <c r="P336" i="15"/>
  <c r="O336" i="15"/>
  <c r="N336" i="15"/>
  <c r="M336" i="15"/>
  <c r="P324" i="15"/>
  <c r="O324" i="15"/>
  <c r="N324" i="15"/>
  <c r="M324" i="15"/>
  <c r="P312" i="15"/>
  <c r="O312" i="15"/>
  <c r="N312" i="15"/>
  <c r="M312" i="15"/>
  <c r="P300" i="15"/>
  <c r="M300" i="15"/>
  <c r="P288" i="15"/>
  <c r="O288" i="15"/>
  <c r="N288" i="15"/>
  <c r="M288" i="15"/>
  <c r="P276" i="15"/>
  <c r="O276" i="15"/>
  <c r="N276" i="15"/>
  <c r="P264" i="15"/>
  <c r="O264" i="15"/>
  <c r="N264" i="15"/>
  <c r="M264" i="15"/>
  <c r="L264" i="15"/>
  <c r="P252" i="15"/>
  <c r="O252" i="15"/>
  <c r="N252" i="15"/>
  <c r="M252" i="15"/>
  <c r="P240" i="15"/>
  <c r="O240" i="15"/>
  <c r="N240" i="15"/>
  <c r="M240" i="15"/>
  <c r="P228" i="15"/>
  <c r="O228" i="15"/>
  <c r="N228" i="15"/>
  <c r="M228" i="15"/>
  <c r="P216" i="15"/>
  <c r="O216" i="15"/>
  <c r="N216" i="15"/>
  <c r="M216" i="15"/>
  <c r="P204" i="15"/>
  <c r="O204" i="15"/>
  <c r="N204" i="15"/>
  <c r="M204" i="15"/>
  <c r="P192" i="15"/>
  <c r="O192" i="15"/>
  <c r="N192" i="15"/>
  <c r="M192" i="15"/>
  <c r="P180" i="15"/>
  <c r="O180" i="15"/>
  <c r="N180" i="15"/>
  <c r="M180" i="15"/>
  <c r="P168" i="15"/>
  <c r="O168" i="15"/>
  <c r="N168" i="15"/>
  <c r="M168" i="15"/>
  <c r="P156" i="15"/>
  <c r="O156" i="15"/>
  <c r="N156" i="15"/>
  <c r="M156" i="15"/>
  <c r="P144" i="15"/>
  <c r="O144" i="15"/>
  <c r="N144" i="15"/>
  <c r="M144" i="15"/>
  <c r="P132" i="15"/>
  <c r="O132" i="15"/>
  <c r="N132" i="15"/>
  <c r="P120" i="15"/>
  <c r="O120" i="15"/>
  <c r="M120" i="15"/>
  <c r="L120" i="15"/>
  <c r="N120" i="15"/>
  <c r="P108" i="15"/>
  <c r="O108" i="15"/>
  <c r="N108" i="15"/>
  <c r="M108" i="15"/>
  <c r="P96" i="15"/>
  <c r="O96" i="15"/>
  <c r="N96" i="15"/>
  <c r="M96" i="15"/>
  <c r="P84" i="15"/>
  <c r="O84" i="15"/>
  <c r="M84" i="15"/>
  <c r="N84" i="15"/>
  <c r="P72" i="15"/>
  <c r="O72" i="15"/>
  <c r="N72" i="15"/>
  <c r="M72" i="15"/>
  <c r="P60" i="15"/>
  <c r="O60" i="15"/>
  <c r="N60" i="15"/>
  <c r="M60" i="15"/>
  <c r="P48" i="15"/>
  <c r="M48" i="15"/>
  <c r="O48" i="15"/>
  <c r="N48" i="15"/>
  <c r="P24" i="15"/>
  <c r="O24" i="15"/>
  <c r="N24" i="15"/>
  <c r="M24" i="15"/>
  <c r="M1107" i="15"/>
  <c r="M879" i="15"/>
  <c r="M624" i="15"/>
  <c r="M564" i="15"/>
  <c r="M423" i="15"/>
  <c r="M276" i="15"/>
  <c r="P1153" i="15"/>
  <c r="O1153" i="15"/>
  <c r="N1153" i="15"/>
  <c r="P1117" i="15"/>
  <c r="O1117" i="15"/>
  <c r="N1117" i="15"/>
  <c r="P1093" i="15"/>
  <c r="O1093" i="15"/>
  <c r="N1093" i="15"/>
  <c r="M1093" i="15"/>
  <c r="P1069" i="15"/>
  <c r="O1069" i="15"/>
  <c r="N1069" i="15"/>
  <c r="M1069" i="15"/>
  <c r="P1045" i="15"/>
  <c r="O1045" i="15"/>
  <c r="M1045" i="15"/>
  <c r="L1009" i="15"/>
  <c r="P1009" i="15"/>
  <c r="O1009" i="15"/>
  <c r="N1009" i="15"/>
  <c r="L985" i="15"/>
  <c r="P985" i="15"/>
  <c r="O985" i="15"/>
  <c r="N985" i="15"/>
  <c r="L961" i="15"/>
  <c r="P961" i="15"/>
  <c r="O961" i="15"/>
  <c r="N961" i="15"/>
  <c r="M961" i="15"/>
  <c r="L925" i="15"/>
  <c r="P925" i="15"/>
  <c r="O925" i="15"/>
  <c r="N925" i="15"/>
  <c r="M925" i="15"/>
  <c r="L901" i="15"/>
  <c r="P901" i="15"/>
  <c r="O901" i="15"/>
  <c r="N901" i="15"/>
  <c r="M901" i="15"/>
  <c r="L877" i="15"/>
  <c r="P877" i="15"/>
  <c r="O877" i="15"/>
  <c r="N877" i="15"/>
  <c r="L829" i="15"/>
  <c r="P829" i="15"/>
  <c r="O829" i="15"/>
  <c r="N829" i="15"/>
  <c r="L805" i="15"/>
  <c r="P805" i="15"/>
  <c r="O805" i="15"/>
  <c r="N805" i="15"/>
  <c r="M805" i="15"/>
  <c r="L769" i="15"/>
  <c r="P769" i="15"/>
  <c r="O769" i="15"/>
  <c r="M769" i="15"/>
  <c r="N769" i="15"/>
  <c r="L745" i="15"/>
  <c r="P745" i="15"/>
  <c r="O745" i="15"/>
  <c r="N745" i="15"/>
  <c r="M745" i="15"/>
  <c r="L721" i="15"/>
  <c r="P721" i="15"/>
  <c r="O721" i="15"/>
  <c r="N721" i="15"/>
  <c r="L685" i="15"/>
  <c r="P685" i="15"/>
  <c r="O685" i="15"/>
  <c r="N685" i="15"/>
  <c r="L637" i="15"/>
  <c r="P637" i="15"/>
  <c r="O637" i="15"/>
  <c r="N637" i="15"/>
  <c r="M637" i="15"/>
  <c r="L601" i="15"/>
  <c r="P601" i="15"/>
  <c r="O601" i="15"/>
  <c r="N601" i="15"/>
  <c r="M601" i="15"/>
  <c r="L577" i="15"/>
  <c r="P577" i="15"/>
  <c r="O577" i="15"/>
  <c r="N577" i="15"/>
  <c r="L553" i="15"/>
  <c r="P553" i="15"/>
  <c r="O553" i="15"/>
  <c r="N553" i="15"/>
  <c r="M553" i="15"/>
  <c r="L517" i="15"/>
  <c r="P517" i="15"/>
  <c r="O517" i="15"/>
  <c r="N517" i="15"/>
  <c r="M517" i="15"/>
  <c r="L493" i="15"/>
  <c r="P493" i="15"/>
  <c r="O493" i="15"/>
  <c r="N493" i="15"/>
  <c r="M493" i="15"/>
  <c r="L469" i="15"/>
  <c r="P469" i="15"/>
  <c r="O469" i="15"/>
  <c r="N469" i="15"/>
  <c r="M469" i="15"/>
  <c r="O1163" i="15"/>
  <c r="P1163" i="15"/>
  <c r="N1163" i="15"/>
  <c r="M1163" i="15"/>
  <c r="O1151" i="15"/>
  <c r="N1151" i="15"/>
  <c r="P1151" i="15"/>
  <c r="M1151" i="15"/>
  <c r="O1139" i="15"/>
  <c r="N1139" i="15"/>
  <c r="P1139" i="15"/>
  <c r="O1127" i="15"/>
  <c r="P1127" i="15"/>
  <c r="N1127" i="15"/>
  <c r="O1115" i="15"/>
  <c r="N1115" i="15"/>
  <c r="P1115" i="15"/>
  <c r="O1103" i="15"/>
  <c r="N1103" i="15"/>
  <c r="P1103" i="15"/>
  <c r="O1091" i="15"/>
  <c r="P1091" i="15"/>
  <c r="N1091" i="15"/>
  <c r="O1079" i="15"/>
  <c r="N1079" i="15"/>
  <c r="P1079" i="15"/>
  <c r="M1079" i="15"/>
  <c r="O1067" i="15"/>
  <c r="N1067" i="15"/>
  <c r="M1067" i="15"/>
  <c r="P1067" i="15"/>
  <c r="O1055" i="15"/>
  <c r="P1055" i="15"/>
  <c r="N1055" i="15"/>
  <c r="O1043" i="15"/>
  <c r="N1043" i="15"/>
  <c r="P1043" i="15"/>
  <c r="M1043" i="15"/>
  <c r="O1031" i="15"/>
  <c r="N1031" i="15"/>
  <c r="P1031" i="15"/>
  <c r="M1031" i="15"/>
  <c r="P1019" i="15"/>
  <c r="O1019" i="15"/>
  <c r="N1019" i="15"/>
  <c r="M1019" i="15"/>
  <c r="P1007" i="15"/>
  <c r="O1007" i="15"/>
  <c r="N1007" i="15"/>
  <c r="M1007" i="15"/>
  <c r="P995" i="15"/>
  <c r="O995" i="15"/>
  <c r="N995" i="15"/>
  <c r="P983" i="15"/>
  <c r="O983" i="15"/>
  <c r="N983" i="15"/>
  <c r="P971" i="15"/>
  <c r="O971" i="15"/>
  <c r="N971" i="15"/>
  <c r="P959" i="15"/>
  <c r="O959" i="15"/>
  <c r="N959" i="15"/>
  <c r="P947" i="15"/>
  <c r="O947" i="15"/>
  <c r="N947" i="15"/>
  <c r="P935" i="15"/>
  <c r="O935" i="15"/>
  <c r="N935" i="15"/>
  <c r="M935" i="15"/>
  <c r="P923" i="15"/>
  <c r="O923" i="15"/>
  <c r="N923" i="15"/>
  <c r="M923" i="15"/>
  <c r="P911" i="15"/>
  <c r="O911" i="15"/>
  <c r="N911" i="15"/>
  <c r="P899" i="15"/>
  <c r="O899" i="15"/>
  <c r="N899" i="15"/>
  <c r="M899" i="15"/>
  <c r="P887" i="15"/>
  <c r="O887" i="15"/>
  <c r="N887" i="15"/>
  <c r="M887" i="15"/>
  <c r="P875" i="15"/>
  <c r="O875" i="15"/>
  <c r="N875" i="15"/>
  <c r="M875" i="15"/>
  <c r="P863" i="15"/>
  <c r="O863" i="15"/>
  <c r="N863" i="15"/>
  <c r="M863" i="15"/>
  <c r="P851" i="15"/>
  <c r="O851" i="15"/>
  <c r="N851" i="15"/>
  <c r="P839" i="15"/>
  <c r="O839" i="15"/>
  <c r="N839" i="15"/>
  <c r="P827" i="15"/>
  <c r="O827" i="15"/>
  <c r="N827" i="15"/>
  <c r="P815" i="15"/>
  <c r="O815" i="15"/>
  <c r="N815" i="15"/>
  <c r="M815" i="15"/>
  <c r="P803" i="15"/>
  <c r="O803" i="15"/>
  <c r="N803" i="15"/>
  <c r="P791" i="15"/>
  <c r="O791" i="15"/>
  <c r="N791" i="15"/>
  <c r="M791" i="15"/>
  <c r="P779" i="15"/>
  <c r="O779" i="15"/>
  <c r="N779" i="15"/>
  <c r="M779" i="15"/>
  <c r="P767" i="15"/>
  <c r="O767" i="15"/>
  <c r="N767" i="15"/>
  <c r="P755" i="15"/>
  <c r="O755" i="15"/>
  <c r="N755" i="15"/>
  <c r="M755" i="15"/>
  <c r="P743" i="15"/>
  <c r="O743" i="15"/>
  <c r="N743" i="15"/>
  <c r="M743" i="15"/>
  <c r="P731" i="15"/>
  <c r="O731" i="15"/>
  <c r="N731" i="15"/>
  <c r="M731" i="15"/>
  <c r="P719" i="15"/>
  <c r="O719" i="15"/>
  <c r="N719" i="15"/>
  <c r="M719" i="15"/>
  <c r="P707" i="15"/>
  <c r="O707" i="15"/>
  <c r="N707" i="15"/>
  <c r="P695" i="15"/>
  <c r="O695" i="15"/>
  <c r="N695" i="15"/>
  <c r="P683" i="15"/>
  <c r="O683" i="15"/>
  <c r="N683" i="15"/>
  <c r="L683" i="15"/>
  <c r="P671" i="15"/>
  <c r="O671" i="15"/>
  <c r="N671" i="15"/>
  <c r="M671" i="15"/>
  <c r="P659" i="15"/>
  <c r="O659" i="15"/>
  <c r="N659" i="15"/>
  <c r="P647" i="15"/>
  <c r="O647" i="15"/>
  <c r="N647" i="15"/>
  <c r="M647" i="15"/>
  <c r="P635" i="15"/>
  <c r="O635" i="15"/>
  <c r="N635" i="15"/>
  <c r="M635" i="15"/>
  <c r="P623" i="15"/>
  <c r="O623" i="15"/>
  <c r="N623" i="15"/>
  <c r="P611" i="15"/>
  <c r="O611" i="15"/>
  <c r="N611" i="15"/>
  <c r="M611" i="15"/>
  <c r="P599" i="15"/>
  <c r="O599" i="15"/>
  <c r="N599" i="15"/>
  <c r="M599" i="15"/>
  <c r="P587" i="15"/>
  <c r="O587" i="15"/>
  <c r="N587" i="15"/>
  <c r="M587" i="15"/>
  <c r="P575" i="15"/>
  <c r="O575" i="15"/>
  <c r="N575" i="15"/>
  <c r="M575" i="15"/>
  <c r="P563" i="15"/>
  <c r="O563" i="15"/>
  <c r="N563" i="15"/>
  <c r="P551" i="15"/>
  <c r="O551" i="15"/>
  <c r="N551" i="15"/>
  <c r="P539" i="15"/>
  <c r="O539" i="15"/>
  <c r="N539" i="15"/>
  <c r="L539" i="15"/>
  <c r="P527" i="15"/>
  <c r="O527" i="15"/>
  <c r="N527" i="15"/>
  <c r="M527" i="15"/>
  <c r="P515" i="15"/>
  <c r="O515" i="15"/>
  <c r="N515" i="15"/>
  <c r="P503" i="15"/>
  <c r="O503" i="15"/>
  <c r="N503" i="15"/>
  <c r="M503" i="15"/>
  <c r="P491" i="15"/>
  <c r="O491" i="15"/>
  <c r="N491" i="15"/>
  <c r="M491" i="15"/>
  <c r="P479" i="15"/>
  <c r="O479" i="15"/>
  <c r="N479" i="15"/>
  <c r="P467" i="15"/>
  <c r="O467" i="15"/>
  <c r="N467" i="15"/>
  <c r="M467" i="15"/>
  <c r="P455" i="15"/>
  <c r="O455" i="15"/>
  <c r="N455" i="15"/>
  <c r="M455" i="15"/>
  <c r="P443" i="15"/>
  <c r="O443" i="15"/>
  <c r="N443" i="15"/>
  <c r="M443" i="15"/>
  <c r="M1047" i="15"/>
  <c r="M996" i="15"/>
  <c r="M747" i="15"/>
  <c r="M683" i="15"/>
  <c r="M623" i="15"/>
  <c r="M563" i="15"/>
  <c r="M132" i="15"/>
  <c r="P1165" i="15"/>
  <c r="O1165" i="15"/>
  <c r="N1165" i="15"/>
  <c r="P1141" i="15"/>
  <c r="O1141" i="15"/>
  <c r="N1141" i="15"/>
  <c r="P1129" i="15"/>
  <c r="O1129" i="15"/>
  <c r="N1129" i="15"/>
  <c r="P1105" i="15"/>
  <c r="O1105" i="15"/>
  <c r="N1105" i="15"/>
  <c r="M1105" i="15"/>
  <c r="P1081" i="15"/>
  <c r="O1081" i="15"/>
  <c r="N1081" i="15"/>
  <c r="P1057" i="15"/>
  <c r="O1057" i="15"/>
  <c r="N1057" i="15"/>
  <c r="M1057" i="15"/>
  <c r="P1033" i="15"/>
  <c r="O1033" i="15"/>
  <c r="N1033" i="15"/>
  <c r="M1033" i="15"/>
  <c r="L1021" i="15"/>
  <c r="P1021" i="15"/>
  <c r="O1021" i="15"/>
  <c r="N1021" i="15"/>
  <c r="L997" i="15"/>
  <c r="P997" i="15"/>
  <c r="O997" i="15"/>
  <c r="N997" i="15"/>
  <c r="L973" i="15"/>
  <c r="P973" i="15"/>
  <c r="O973" i="15"/>
  <c r="N973" i="15"/>
  <c r="L949" i="15"/>
  <c r="P949" i="15"/>
  <c r="O949" i="15"/>
  <c r="N949" i="15"/>
  <c r="M949" i="15"/>
  <c r="L937" i="15"/>
  <c r="P937" i="15"/>
  <c r="O937" i="15"/>
  <c r="N937" i="15"/>
  <c r="L913" i="15"/>
  <c r="P913" i="15"/>
  <c r="O913" i="15"/>
  <c r="M913" i="15"/>
  <c r="N913" i="15"/>
  <c r="L889" i="15"/>
  <c r="P889" i="15"/>
  <c r="O889" i="15"/>
  <c r="N889" i="15"/>
  <c r="M889" i="15"/>
  <c r="L865" i="15"/>
  <c r="P865" i="15"/>
  <c r="O865" i="15"/>
  <c r="N865" i="15"/>
  <c r="L853" i="15"/>
  <c r="P853" i="15"/>
  <c r="O853" i="15"/>
  <c r="N853" i="15"/>
  <c r="L841" i="15"/>
  <c r="P841" i="15"/>
  <c r="O841" i="15"/>
  <c r="N841" i="15"/>
  <c r="M841" i="15"/>
  <c r="L817" i="15"/>
  <c r="P817" i="15"/>
  <c r="O817" i="15"/>
  <c r="N817" i="15"/>
  <c r="M817" i="15"/>
  <c r="L793" i="15"/>
  <c r="P793" i="15"/>
  <c r="O793" i="15"/>
  <c r="L781" i="15"/>
  <c r="P781" i="15"/>
  <c r="O781" i="15"/>
  <c r="N781" i="15"/>
  <c r="M781" i="15"/>
  <c r="L757" i="15"/>
  <c r="P757" i="15"/>
  <c r="O757" i="15"/>
  <c r="N757" i="15"/>
  <c r="M757" i="15"/>
  <c r="L733" i="15"/>
  <c r="P733" i="15"/>
  <c r="O733" i="15"/>
  <c r="N733" i="15"/>
  <c r="L709" i="15"/>
  <c r="P709" i="15"/>
  <c r="O709" i="15"/>
  <c r="N709" i="15"/>
  <c r="L697" i="15"/>
  <c r="P697" i="15"/>
  <c r="O697" i="15"/>
  <c r="N697" i="15"/>
  <c r="M697" i="15"/>
  <c r="L673" i="15"/>
  <c r="P673" i="15"/>
  <c r="O673" i="15"/>
  <c r="N673" i="15"/>
  <c r="M673" i="15"/>
  <c r="L661" i="15"/>
  <c r="P661" i="15"/>
  <c r="O661" i="15"/>
  <c r="N661" i="15"/>
  <c r="M661" i="15"/>
  <c r="L649" i="15"/>
  <c r="P649" i="15"/>
  <c r="O649" i="15"/>
  <c r="N649" i="15"/>
  <c r="L625" i="15"/>
  <c r="P625" i="15"/>
  <c r="O625" i="15"/>
  <c r="M625" i="15"/>
  <c r="N625" i="15"/>
  <c r="L613" i="15"/>
  <c r="P613" i="15"/>
  <c r="O613" i="15"/>
  <c r="N613" i="15"/>
  <c r="M613" i="15"/>
  <c r="L589" i="15"/>
  <c r="P589" i="15"/>
  <c r="O589" i="15"/>
  <c r="L565" i="15"/>
  <c r="P565" i="15"/>
  <c r="O565" i="15"/>
  <c r="N565" i="15"/>
  <c r="L541" i="15"/>
  <c r="P541" i="15"/>
  <c r="O541" i="15"/>
  <c r="N541" i="15"/>
  <c r="L529" i="15"/>
  <c r="P529" i="15"/>
  <c r="O529" i="15"/>
  <c r="N529" i="15"/>
  <c r="M529" i="15"/>
  <c r="L505" i="15"/>
  <c r="P505" i="15"/>
  <c r="O505" i="15"/>
  <c r="N505" i="15"/>
  <c r="L481" i="15"/>
  <c r="P481" i="15"/>
  <c r="O481" i="15"/>
  <c r="M481" i="15"/>
  <c r="N481" i="15"/>
  <c r="L457" i="15"/>
  <c r="P457" i="15"/>
  <c r="O457" i="15"/>
  <c r="N457" i="15"/>
  <c r="M457" i="15"/>
  <c r="L1165" i="15"/>
  <c r="L1153" i="15"/>
  <c r="L1141" i="15"/>
  <c r="L1129" i="15"/>
  <c r="L1117" i="15"/>
  <c r="L1105" i="15"/>
  <c r="L1093" i="15"/>
  <c r="L1081" i="15"/>
  <c r="L1069" i="15"/>
  <c r="L1057" i="15"/>
  <c r="L1045" i="15"/>
  <c r="L1033" i="15"/>
  <c r="M1155" i="15"/>
  <c r="M1103" i="15"/>
  <c r="M995" i="15"/>
  <c r="M936" i="15"/>
  <c r="M877" i="15"/>
  <c r="M803" i="15"/>
  <c r="M744" i="15"/>
  <c r="M675" i="15"/>
  <c r="M615" i="15"/>
  <c r="M551" i="15"/>
  <c r="M480" i="15"/>
  <c r="M420" i="15"/>
  <c r="N717" i="15"/>
  <c r="P1149" i="15"/>
  <c r="O1149" i="15"/>
  <c r="M1149" i="15"/>
  <c r="N1149" i="15"/>
  <c r="P1101" i="15"/>
  <c r="O1101" i="15"/>
  <c r="M1101" i="15"/>
  <c r="N1101" i="15"/>
  <c r="P1065" i="15"/>
  <c r="O1065" i="15"/>
  <c r="M1065" i="15"/>
  <c r="N1065" i="15"/>
  <c r="P1029" i="15"/>
  <c r="O1029" i="15"/>
  <c r="N1029" i="15"/>
  <c r="M1029" i="15"/>
  <c r="P981" i="15"/>
  <c r="O981" i="15"/>
  <c r="N981" i="15"/>
  <c r="M981" i="15"/>
  <c r="P945" i="15"/>
  <c r="O945" i="15"/>
  <c r="M945" i="15"/>
  <c r="N945" i="15"/>
  <c r="P909" i="15"/>
  <c r="O909" i="15"/>
  <c r="M909" i="15"/>
  <c r="N909" i="15"/>
  <c r="P873" i="15"/>
  <c r="O873" i="15"/>
  <c r="N873" i="15"/>
  <c r="M873" i="15"/>
  <c r="P813" i="15"/>
  <c r="O813" i="15"/>
  <c r="N813" i="15"/>
  <c r="M813" i="15"/>
  <c r="P789" i="15"/>
  <c r="O789" i="15"/>
  <c r="N789" i="15"/>
  <c r="M789" i="15"/>
  <c r="P753" i="15"/>
  <c r="O753" i="15"/>
  <c r="N753" i="15"/>
  <c r="M753" i="15"/>
  <c r="P705" i="15"/>
  <c r="O705" i="15"/>
  <c r="M705" i="15"/>
  <c r="N705" i="15"/>
  <c r="P657" i="15"/>
  <c r="O657" i="15"/>
  <c r="M657" i="15"/>
  <c r="L657" i="15"/>
  <c r="N657" i="15"/>
  <c r="P609" i="15"/>
  <c r="O609" i="15"/>
  <c r="N609" i="15"/>
  <c r="M609" i="15"/>
  <c r="M865" i="15"/>
  <c r="M541" i="15"/>
  <c r="P1172" i="15"/>
  <c r="N1172" i="15"/>
  <c r="M1172" i="15"/>
  <c r="O1172" i="15"/>
  <c r="P1160" i="15"/>
  <c r="O1160" i="15"/>
  <c r="M1160" i="15"/>
  <c r="N1160" i="15"/>
  <c r="P1148" i="15"/>
  <c r="M1148" i="15"/>
  <c r="O1148" i="15"/>
  <c r="P1136" i="15"/>
  <c r="N1136" i="15"/>
  <c r="M1136" i="15"/>
  <c r="O1136" i="15"/>
  <c r="P1124" i="15"/>
  <c r="O1124" i="15"/>
  <c r="M1124" i="15"/>
  <c r="N1124" i="15"/>
  <c r="P1112" i="15"/>
  <c r="N1112" i="15"/>
  <c r="M1112" i="15"/>
  <c r="O1112" i="15"/>
  <c r="P1100" i="15"/>
  <c r="M1100" i="15"/>
  <c r="O1100" i="15"/>
  <c r="N1100" i="15"/>
  <c r="P1088" i="15"/>
  <c r="O1088" i="15"/>
  <c r="M1088" i="15"/>
  <c r="N1088" i="15"/>
  <c r="P1076" i="15"/>
  <c r="N1076" i="15"/>
  <c r="M1076" i="15"/>
  <c r="O1076" i="15"/>
  <c r="P1064" i="15"/>
  <c r="M1064" i="15"/>
  <c r="O1064" i="15"/>
  <c r="N1064" i="15"/>
  <c r="P1052" i="15"/>
  <c r="O1052" i="15"/>
  <c r="N1052" i="15"/>
  <c r="M1052" i="15"/>
  <c r="P1040" i="15"/>
  <c r="M1040" i="15"/>
  <c r="N1040" i="15"/>
  <c r="O1040" i="15"/>
  <c r="P1028" i="15"/>
  <c r="N1028" i="15"/>
  <c r="M1028" i="15"/>
  <c r="O1028" i="15"/>
  <c r="P1016" i="15"/>
  <c r="N1016" i="15"/>
  <c r="O1016" i="15"/>
  <c r="M1016" i="15"/>
  <c r="P1004" i="15"/>
  <c r="N1004" i="15"/>
  <c r="M1004" i="15"/>
  <c r="O1004" i="15"/>
  <c r="P992" i="15"/>
  <c r="N992" i="15"/>
  <c r="M992" i="15"/>
  <c r="O992" i="15"/>
  <c r="P980" i="15"/>
  <c r="N980" i="15"/>
  <c r="O980" i="15"/>
  <c r="M980" i="15"/>
  <c r="P968" i="15"/>
  <c r="N968" i="15"/>
  <c r="M968" i="15"/>
  <c r="O968" i="15"/>
  <c r="P956" i="15"/>
  <c r="N956" i="15"/>
  <c r="M956" i="15"/>
  <c r="O956" i="15"/>
  <c r="P944" i="15"/>
  <c r="N944" i="15"/>
  <c r="O944" i="15"/>
  <c r="M944" i="15"/>
  <c r="P932" i="15"/>
  <c r="N932" i="15"/>
  <c r="M932" i="15"/>
  <c r="O932" i="15"/>
  <c r="P920" i="15"/>
  <c r="N920" i="15"/>
  <c r="M920" i="15"/>
  <c r="O920" i="15"/>
  <c r="P908" i="15"/>
  <c r="N908" i="15"/>
  <c r="O908" i="15"/>
  <c r="M908" i="15"/>
  <c r="P896" i="15"/>
  <c r="N896" i="15"/>
  <c r="M896" i="15"/>
  <c r="O896" i="15"/>
  <c r="P884" i="15"/>
  <c r="N884" i="15"/>
  <c r="M884" i="15"/>
  <c r="O884" i="15"/>
  <c r="P872" i="15"/>
  <c r="N872" i="15"/>
  <c r="O872" i="15"/>
  <c r="M872" i="15"/>
  <c r="P860" i="15"/>
  <c r="N860" i="15"/>
  <c r="M860" i="15"/>
  <c r="P848" i="15"/>
  <c r="N848" i="15"/>
  <c r="M848" i="15"/>
  <c r="O848" i="15"/>
  <c r="P836" i="15"/>
  <c r="N836" i="15"/>
  <c r="O836" i="15"/>
  <c r="M836" i="15"/>
  <c r="P824" i="15"/>
  <c r="N824" i="15"/>
  <c r="M824" i="15"/>
  <c r="O824" i="15"/>
  <c r="P812" i="15"/>
  <c r="N812" i="15"/>
  <c r="M812" i="15"/>
  <c r="O812" i="15"/>
  <c r="P800" i="15"/>
  <c r="O800" i="15"/>
  <c r="N800" i="15"/>
  <c r="M800" i="15"/>
  <c r="P788" i="15"/>
  <c r="N788" i="15"/>
  <c r="O788" i="15"/>
  <c r="M788" i="15"/>
  <c r="P776" i="15"/>
  <c r="O776" i="15"/>
  <c r="N776" i="15"/>
  <c r="M776" i="15"/>
  <c r="P764" i="15"/>
  <c r="N764" i="15"/>
  <c r="M764" i="15"/>
  <c r="O764" i="15"/>
  <c r="P752" i="15"/>
  <c r="O752" i="15"/>
  <c r="N752" i="15"/>
  <c r="M752" i="15"/>
  <c r="P740" i="15"/>
  <c r="N740" i="15"/>
  <c r="M740" i="15"/>
  <c r="O740" i="15"/>
  <c r="P728" i="15"/>
  <c r="O728" i="15"/>
  <c r="N728" i="15"/>
  <c r="M728" i="15"/>
  <c r="P716" i="15"/>
  <c r="N716" i="15"/>
  <c r="O716" i="15"/>
  <c r="M716" i="15"/>
  <c r="P704" i="15"/>
  <c r="O704" i="15"/>
  <c r="N704" i="15"/>
  <c r="M704" i="15"/>
  <c r="P692" i="15"/>
  <c r="N692" i="15"/>
  <c r="M692" i="15"/>
  <c r="O692" i="15"/>
  <c r="P680" i="15"/>
  <c r="O680" i="15"/>
  <c r="N680" i="15"/>
  <c r="M680" i="15"/>
  <c r="P668" i="15"/>
  <c r="N668" i="15"/>
  <c r="M668" i="15"/>
  <c r="O668" i="15"/>
  <c r="P656" i="15"/>
  <c r="O656" i="15"/>
  <c r="N656" i="15"/>
  <c r="M656" i="15"/>
  <c r="P644" i="15"/>
  <c r="N644" i="15"/>
  <c r="O644" i="15"/>
  <c r="M644" i="15"/>
  <c r="L644" i="15"/>
  <c r="P632" i="15"/>
  <c r="O632" i="15"/>
  <c r="N632" i="15"/>
  <c r="M632" i="15"/>
  <c r="P620" i="15"/>
  <c r="N620" i="15"/>
  <c r="M620" i="15"/>
  <c r="O620" i="15"/>
  <c r="P608" i="15"/>
  <c r="O608" i="15"/>
  <c r="N608" i="15"/>
  <c r="M608" i="15"/>
  <c r="P596" i="15"/>
  <c r="O596" i="15"/>
  <c r="N596" i="15"/>
  <c r="M596" i="15"/>
  <c r="P584" i="15"/>
  <c r="N584" i="15"/>
  <c r="O584" i="15"/>
  <c r="M584" i="15"/>
  <c r="P572" i="15"/>
  <c r="O572" i="15"/>
  <c r="N572" i="15"/>
  <c r="M572" i="15"/>
  <c r="P560" i="15"/>
  <c r="O560" i="15"/>
  <c r="N560" i="15"/>
  <c r="M560" i="15"/>
  <c r="P548" i="15"/>
  <c r="N548" i="15"/>
  <c r="O548" i="15"/>
  <c r="M548" i="15"/>
  <c r="P536" i="15"/>
  <c r="O536" i="15"/>
  <c r="N536" i="15"/>
  <c r="M536" i="15"/>
  <c r="P524" i="15"/>
  <c r="O524" i="15"/>
  <c r="N524" i="15"/>
  <c r="M524" i="15"/>
  <c r="P512" i="15"/>
  <c r="N512" i="15"/>
  <c r="O512" i="15"/>
  <c r="M512" i="15"/>
  <c r="P500" i="15"/>
  <c r="O500" i="15"/>
  <c r="N500" i="15"/>
  <c r="M500" i="15"/>
  <c r="L500" i="15"/>
  <c r="P488" i="15"/>
  <c r="O488" i="15"/>
  <c r="N488" i="15"/>
  <c r="M488" i="15"/>
  <c r="P476" i="15"/>
  <c r="N476" i="15"/>
  <c r="O476" i="15"/>
  <c r="M476" i="15"/>
  <c r="P464" i="15"/>
  <c r="O464" i="15"/>
  <c r="N464" i="15"/>
  <c r="M464" i="15"/>
  <c r="P452" i="15"/>
  <c r="O452" i="15"/>
  <c r="N452" i="15"/>
  <c r="M452" i="15"/>
  <c r="P440" i="15"/>
  <c r="N440" i="15"/>
  <c r="O440" i="15"/>
  <c r="M440" i="15"/>
  <c r="P428" i="15"/>
  <c r="O428" i="15"/>
  <c r="N428" i="15"/>
  <c r="M428" i="15"/>
  <c r="P416" i="15"/>
  <c r="O416" i="15"/>
  <c r="N416" i="15"/>
  <c r="M416" i="15"/>
  <c r="P404" i="15"/>
  <c r="N404" i="15"/>
  <c r="O404" i="15"/>
  <c r="M404" i="15"/>
  <c r="P392" i="15"/>
  <c r="O392" i="15"/>
  <c r="N392" i="15"/>
  <c r="M392" i="15"/>
  <c r="P380" i="15"/>
  <c r="O380" i="15"/>
  <c r="N380" i="15"/>
  <c r="M380" i="15"/>
  <c r="P368" i="15"/>
  <c r="N368" i="15"/>
  <c r="O368" i="15"/>
  <c r="M368" i="15"/>
  <c r="P356" i="15"/>
  <c r="O356" i="15"/>
  <c r="N356" i="15"/>
  <c r="M356" i="15"/>
  <c r="L356" i="15"/>
  <c r="P344" i="15"/>
  <c r="O344" i="15"/>
  <c r="N344" i="15"/>
  <c r="M344" i="15"/>
  <c r="P332" i="15"/>
  <c r="N332" i="15"/>
  <c r="O332" i="15"/>
  <c r="M332" i="15"/>
  <c r="P320" i="15"/>
  <c r="O320" i="15"/>
  <c r="N320" i="15"/>
  <c r="M320" i="15"/>
  <c r="P308" i="15"/>
  <c r="O308" i="15"/>
  <c r="N308" i="15"/>
  <c r="M308" i="15"/>
  <c r="P296" i="15"/>
  <c r="N296" i="15"/>
  <c r="O296" i="15"/>
  <c r="M296" i="15"/>
  <c r="P284" i="15"/>
  <c r="O284" i="15"/>
  <c r="N284" i="15"/>
  <c r="M284" i="15"/>
  <c r="P272" i="15"/>
  <c r="O272" i="15"/>
  <c r="N272" i="15"/>
  <c r="M272" i="15"/>
  <c r="P260" i="15"/>
  <c r="N260" i="15"/>
  <c r="O260" i="15"/>
  <c r="M260" i="15"/>
  <c r="P248" i="15"/>
  <c r="O248" i="15"/>
  <c r="N248" i="15"/>
  <c r="M248" i="15"/>
  <c r="P236" i="15"/>
  <c r="O236" i="15"/>
  <c r="N236" i="15"/>
  <c r="M236" i="15"/>
  <c r="P224" i="15"/>
  <c r="N224" i="15"/>
  <c r="O224" i="15"/>
  <c r="M224" i="15"/>
  <c r="P212" i="15"/>
  <c r="O212" i="15"/>
  <c r="N212" i="15"/>
  <c r="M212" i="15"/>
  <c r="L212" i="15"/>
  <c r="P200" i="15"/>
  <c r="O200" i="15"/>
  <c r="N200" i="15"/>
  <c r="M200" i="15"/>
  <c r="P188" i="15"/>
  <c r="N188" i="15"/>
  <c r="O188" i="15"/>
  <c r="M188" i="15"/>
  <c r="P176" i="15"/>
  <c r="O176" i="15"/>
  <c r="N176" i="15"/>
  <c r="M176" i="15"/>
  <c r="P164" i="15"/>
  <c r="O164" i="15"/>
  <c r="N164" i="15"/>
  <c r="M164" i="15"/>
  <c r="P152" i="15"/>
  <c r="N152" i="15"/>
  <c r="O152" i="15"/>
  <c r="M152" i="15"/>
  <c r="P140" i="15"/>
  <c r="O140" i="15"/>
  <c r="N140" i="15"/>
  <c r="M140" i="15"/>
  <c r="P128" i="15"/>
  <c r="O128" i="15"/>
  <c r="N128" i="15"/>
  <c r="M128" i="15"/>
  <c r="P116" i="15"/>
  <c r="N116" i="15"/>
  <c r="O116" i="15"/>
  <c r="M116" i="15"/>
  <c r="P104" i="15"/>
  <c r="O104" i="15"/>
  <c r="N104" i="15"/>
  <c r="M104" i="15"/>
  <c r="P92" i="15"/>
  <c r="O92" i="15"/>
  <c r="N92" i="15"/>
  <c r="M92" i="15"/>
  <c r="P80" i="15"/>
  <c r="N80" i="15"/>
  <c r="O80" i="15"/>
  <c r="M80" i="15"/>
  <c r="P68" i="15"/>
  <c r="M68" i="15"/>
  <c r="O68" i="15"/>
  <c r="N68" i="15"/>
  <c r="L68" i="15"/>
  <c r="P56" i="15"/>
  <c r="O56" i="15"/>
  <c r="M56" i="15"/>
  <c r="N56" i="15"/>
  <c r="P44" i="15"/>
  <c r="M44" i="15"/>
  <c r="N44" i="15"/>
  <c r="O44" i="15"/>
  <c r="P32" i="15"/>
  <c r="M32" i="15"/>
  <c r="O32" i="15"/>
  <c r="N32" i="15"/>
  <c r="P20" i="15"/>
  <c r="O20" i="15"/>
  <c r="M20" i="15"/>
  <c r="N20" i="15"/>
  <c r="L20" i="15"/>
  <c r="P8" i="15"/>
  <c r="M8" i="15"/>
  <c r="N8" i="15"/>
  <c r="O8" i="15"/>
  <c r="M1143" i="15"/>
  <c r="M1091" i="15"/>
  <c r="M1035" i="15"/>
  <c r="M983" i="15"/>
  <c r="M924" i="15"/>
  <c r="M855" i="15"/>
  <c r="M793" i="15"/>
  <c r="M603" i="15"/>
  <c r="M539" i="15"/>
  <c r="M471" i="15"/>
  <c r="N589" i="15"/>
  <c r="P1125" i="15"/>
  <c r="O1125" i="15"/>
  <c r="M1125" i="15"/>
  <c r="N1125" i="15"/>
  <c r="P1089" i="15"/>
  <c r="O1089" i="15"/>
  <c r="N1089" i="15"/>
  <c r="M1089" i="15"/>
  <c r="P1041" i="15"/>
  <c r="O1041" i="15"/>
  <c r="M1041" i="15"/>
  <c r="N1041" i="15"/>
  <c r="P1005" i="15"/>
  <c r="O1005" i="15"/>
  <c r="N1005" i="15"/>
  <c r="M1005" i="15"/>
  <c r="P969" i="15"/>
  <c r="O969" i="15"/>
  <c r="M969" i="15"/>
  <c r="N969" i="15"/>
  <c r="P933" i="15"/>
  <c r="O933" i="15"/>
  <c r="N933" i="15"/>
  <c r="M933" i="15"/>
  <c r="P897" i="15"/>
  <c r="O897" i="15"/>
  <c r="N897" i="15"/>
  <c r="M897" i="15"/>
  <c r="P861" i="15"/>
  <c r="O861" i="15"/>
  <c r="M861" i="15"/>
  <c r="N861" i="15"/>
  <c r="P825" i="15"/>
  <c r="O825" i="15"/>
  <c r="M825" i="15"/>
  <c r="N825" i="15"/>
  <c r="P777" i="15"/>
  <c r="O777" i="15"/>
  <c r="N777" i="15"/>
  <c r="M777" i="15"/>
  <c r="P741" i="15"/>
  <c r="O741" i="15"/>
  <c r="M741" i="15"/>
  <c r="N741" i="15"/>
  <c r="P717" i="15"/>
  <c r="O717" i="15"/>
  <c r="M717" i="15"/>
  <c r="P669" i="15"/>
  <c r="O669" i="15"/>
  <c r="N669" i="15"/>
  <c r="M669" i="15"/>
  <c r="P621" i="15"/>
  <c r="O621" i="15"/>
  <c r="M621" i="15"/>
  <c r="N621" i="15"/>
  <c r="P585" i="15"/>
  <c r="O585" i="15"/>
  <c r="N585" i="15"/>
  <c r="M585" i="15"/>
  <c r="P561" i="15"/>
  <c r="O561" i="15"/>
  <c r="M561" i="15"/>
  <c r="N561" i="15"/>
  <c r="P537" i="15"/>
  <c r="O537" i="15"/>
  <c r="M537" i="15"/>
  <c r="N537" i="15"/>
  <c r="P501" i="15"/>
  <c r="O501" i="15"/>
  <c r="N501" i="15"/>
  <c r="M501" i="15"/>
  <c r="P477" i="15"/>
  <c r="O477" i="15"/>
  <c r="M477" i="15"/>
  <c r="N477" i="15"/>
  <c r="M1153" i="15"/>
  <c r="M985" i="15"/>
  <c r="L873" i="15"/>
  <c r="L621" i="15"/>
  <c r="M1141" i="15"/>
  <c r="M1032" i="15"/>
  <c r="M973" i="15"/>
  <c r="M853" i="15"/>
  <c r="M792" i="15"/>
  <c r="M733" i="15"/>
  <c r="M659" i="15"/>
  <c r="M600" i="15"/>
  <c r="M531" i="15"/>
  <c r="O300" i="15"/>
  <c r="P1161" i="15"/>
  <c r="O1161" i="15"/>
  <c r="M1161" i="15"/>
  <c r="N1161" i="15"/>
  <c r="P1113" i="15"/>
  <c r="O1113" i="15"/>
  <c r="N1113" i="15"/>
  <c r="M1113" i="15"/>
  <c r="P1077" i="15"/>
  <c r="O1077" i="15"/>
  <c r="N1077" i="15"/>
  <c r="M1077" i="15"/>
  <c r="P1053" i="15"/>
  <c r="O1053" i="15"/>
  <c r="N1053" i="15"/>
  <c r="M1053" i="15"/>
  <c r="P1017" i="15"/>
  <c r="O1017" i="15"/>
  <c r="M1017" i="15"/>
  <c r="N1017" i="15"/>
  <c r="P993" i="15"/>
  <c r="O993" i="15"/>
  <c r="M993" i="15"/>
  <c r="N993" i="15"/>
  <c r="P957" i="15"/>
  <c r="O957" i="15"/>
  <c r="N957" i="15"/>
  <c r="M957" i="15"/>
  <c r="P921" i="15"/>
  <c r="O921" i="15"/>
  <c r="N921" i="15"/>
  <c r="M921" i="15"/>
  <c r="P885" i="15"/>
  <c r="O885" i="15"/>
  <c r="M885" i="15"/>
  <c r="N885" i="15"/>
  <c r="P849" i="15"/>
  <c r="O849" i="15"/>
  <c r="M849" i="15"/>
  <c r="N849" i="15"/>
  <c r="P837" i="15"/>
  <c r="O837" i="15"/>
  <c r="N837" i="15"/>
  <c r="M837" i="15"/>
  <c r="P801" i="15"/>
  <c r="O801" i="15"/>
  <c r="M801" i="15"/>
  <c r="N801" i="15"/>
  <c r="P765" i="15"/>
  <c r="O765" i="15"/>
  <c r="M765" i="15"/>
  <c r="N765" i="15"/>
  <c r="P729" i="15"/>
  <c r="O729" i="15"/>
  <c r="N729" i="15"/>
  <c r="M729" i="15"/>
  <c r="P693" i="15"/>
  <c r="O693" i="15"/>
  <c r="N693" i="15"/>
  <c r="M693" i="15"/>
  <c r="P681" i="15"/>
  <c r="O681" i="15"/>
  <c r="M681" i="15"/>
  <c r="N681" i="15"/>
  <c r="P633" i="15"/>
  <c r="O633" i="15"/>
  <c r="N633" i="15"/>
  <c r="M633" i="15"/>
  <c r="P597" i="15"/>
  <c r="O597" i="15"/>
  <c r="M597" i="15"/>
  <c r="N597" i="15"/>
  <c r="P573" i="15"/>
  <c r="O573" i="15"/>
  <c r="M573" i="15"/>
  <c r="N573" i="15"/>
  <c r="P549" i="15"/>
  <c r="O549" i="15"/>
  <c r="N549" i="15"/>
  <c r="M549" i="15"/>
  <c r="P525" i="15"/>
  <c r="O525" i="15"/>
  <c r="N525" i="15"/>
  <c r="M525" i="15"/>
  <c r="P513" i="15"/>
  <c r="O513" i="15"/>
  <c r="M513" i="15"/>
  <c r="L513" i="15"/>
  <c r="P489" i="15"/>
  <c r="O489" i="15"/>
  <c r="N489" i="15"/>
  <c r="M489" i="15"/>
  <c r="L1161" i="15"/>
  <c r="L1149" i="15"/>
  <c r="L1137" i="15"/>
  <c r="L1125" i="15"/>
  <c r="L1113" i="15"/>
  <c r="L1101" i="15"/>
  <c r="L1089" i="15"/>
  <c r="L1077" i="15"/>
  <c r="L1065" i="15"/>
  <c r="L1053" i="15"/>
  <c r="L1041" i="15"/>
  <c r="L1029" i="15"/>
  <c r="L885" i="15"/>
  <c r="L741" i="15"/>
  <c r="L633" i="15"/>
  <c r="L537" i="15"/>
  <c r="P1170" i="15"/>
  <c r="N1170" i="15"/>
  <c r="O1170" i="15"/>
  <c r="M1170" i="15"/>
  <c r="P1158" i="15"/>
  <c r="N1158" i="15"/>
  <c r="O1158" i="15"/>
  <c r="M1158" i="15"/>
  <c r="P1146" i="15"/>
  <c r="N1146" i="15"/>
  <c r="O1146" i="15"/>
  <c r="M1146" i="15"/>
  <c r="P1134" i="15"/>
  <c r="N1134" i="15"/>
  <c r="O1134" i="15"/>
  <c r="M1134" i="15"/>
  <c r="P1122" i="15"/>
  <c r="N1122" i="15"/>
  <c r="O1122" i="15"/>
  <c r="M1122" i="15"/>
  <c r="P1110" i="15"/>
  <c r="N1110" i="15"/>
  <c r="O1110" i="15"/>
  <c r="M1110" i="15"/>
  <c r="P1098" i="15"/>
  <c r="N1098" i="15"/>
  <c r="O1098" i="15"/>
  <c r="M1098" i="15"/>
  <c r="P1086" i="15"/>
  <c r="N1086" i="15"/>
  <c r="O1086" i="15"/>
  <c r="M1086" i="15"/>
  <c r="P1074" i="15"/>
  <c r="N1074" i="15"/>
  <c r="O1074" i="15"/>
  <c r="M1074" i="15"/>
  <c r="P1062" i="15"/>
  <c r="N1062" i="15"/>
  <c r="O1062" i="15"/>
  <c r="M1062" i="15"/>
  <c r="P1050" i="15"/>
  <c r="N1050" i="15"/>
  <c r="O1050" i="15"/>
  <c r="M1050" i="15"/>
  <c r="P1038" i="15"/>
  <c r="N1038" i="15"/>
  <c r="O1038" i="15"/>
  <c r="M1038" i="15"/>
  <c r="P1026" i="15"/>
  <c r="N1026" i="15"/>
  <c r="O1026" i="15"/>
  <c r="M1026" i="15"/>
  <c r="P1014" i="15"/>
  <c r="N1014" i="15"/>
  <c r="O1014" i="15"/>
  <c r="M1014" i="15"/>
  <c r="P1002" i="15"/>
  <c r="N1002" i="15"/>
  <c r="O1002" i="15"/>
  <c r="M1002" i="15"/>
  <c r="P990" i="15"/>
  <c r="N990" i="15"/>
  <c r="O990" i="15"/>
  <c r="M990" i="15"/>
  <c r="P978" i="15"/>
  <c r="N978" i="15"/>
  <c r="O978" i="15"/>
  <c r="M978" i="15"/>
  <c r="P966" i="15"/>
  <c r="N966" i="15"/>
  <c r="O966" i="15"/>
  <c r="M966" i="15"/>
  <c r="P954" i="15"/>
  <c r="N954" i="15"/>
  <c r="O954" i="15"/>
  <c r="M954" i="15"/>
  <c r="P942" i="15"/>
  <c r="N942" i="15"/>
  <c r="O942" i="15"/>
  <c r="M942" i="15"/>
  <c r="P930" i="15"/>
  <c r="N930" i="15"/>
  <c r="O930" i="15"/>
  <c r="M930" i="15"/>
  <c r="P918" i="15"/>
  <c r="N918" i="15"/>
  <c r="O918" i="15"/>
  <c r="M918" i="15"/>
  <c r="P906" i="15"/>
  <c r="N906" i="15"/>
  <c r="O906" i="15"/>
  <c r="M906" i="15"/>
  <c r="P894" i="15"/>
  <c r="N894" i="15"/>
  <c r="O894" i="15"/>
  <c r="M894" i="15"/>
  <c r="P882" i="15"/>
  <c r="N882" i="15"/>
  <c r="O882" i="15"/>
  <c r="M882" i="15"/>
  <c r="P870" i="15"/>
  <c r="N870" i="15"/>
  <c r="O870" i="15"/>
  <c r="M870" i="15"/>
  <c r="P858" i="15"/>
  <c r="N858" i="15"/>
  <c r="O858" i="15"/>
  <c r="M858" i="15"/>
  <c r="P846" i="15"/>
  <c r="N846" i="15"/>
  <c r="O846" i="15"/>
  <c r="M846" i="15"/>
  <c r="P834" i="15"/>
  <c r="N834" i="15"/>
  <c r="O834" i="15"/>
  <c r="M834" i="15"/>
  <c r="P822" i="15"/>
  <c r="N822" i="15"/>
  <c r="O822" i="15"/>
  <c r="M822" i="15"/>
  <c r="P810" i="15"/>
  <c r="N810" i="15"/>
  <c r="O810" i="15"/>
  <c r="M810" i="15"/>
  <c r="P798" i="15"/>
  <c r="O798" i="15"/>
  <c r="N798" i="15"/>
  <c r="M798" i="15"/>
  <c r="P786" i="15"/>
  <c r="N786" i="15"/>
  <c r="O786" i="15"/>
  <c r="M786" i="15"/>
  <c r="P774" i="15"/>
  <c r="O774" i="15"/>
  <c r="N774" i="15"/>
  <c r="M774" i="15"/>
  <c r="P762" i="15"/>
  <c r="N762" i="15"/>
  <c r="M762" i="15"/>
  <c r="P750" i="15"/>
  <c r="O750" i="15"/>
  <c r="N750" i="15"/>
  <c r="M750" i="15"/>
  <c r="P738" i="15"/>
  <c r="N738" i="15"/>
  <c r="M738" i="15"/>
  <c r="O738" i="15"/>
  <c r="P726" i="15"/>
  <c r="O726" i="15"/>
  <c r="N726" i="15"/>
  <c r="M726" i="15"/>
  <c r="P714" i="15"/>
  <c r="N714" i="15"/>
  <c r="O714" i="15"/>
  <c r="M714" i="15"/>
  <c r="P702" i="15"/>
  <c r="O702" i="15"/>
  <c r="N702" i="15"/>
  <c r="M702" i="15"/>
  <c r="P690" i="15"/>
  <c r="N690" i="15"/>
  <c r="M690" i="15"/>
  <c r="O690" i="15"/>
  <c r="P678" i="15"/>
  <c r="O678" i="15"/>
  <c r="N678" i="15"/>
  <c r="M678" i="15"/>
  <c r="P666" i="15"/>
  <c r="N666" i="15"/>
  <c r="M666" i="15"/>
  <c r="O666" i="15"/>
  <c r="P654" i="15"/>
  <c r="O654" i="15"/>
  <c r="N654" i="15"/>
  <c r="M654" i="15"/>
  <c r="P642" i="15"/>
  <c r="N642" i="15"/>
  <c r="O642" i="15"/>
  <c r="M642" i="15"/>
  <c r="P630" i="15"/>
  <c r="O630" i="15"/>
  <c r="N630" i="15"/>
  <c r="M630" i="15"/>
  <c r="P618" i="15"/>
  <c r="O618" i="15"/>
  <c r="N618" i="15"/>
  <c r="M618" i="15"/>
  <c r="L618" i="15"/>
  <c r="P606" i="15"/>
  <c r="O606" i="15"/>
  <c r="N606" i="15"/>
  <c r="M606" i="15"/>
  <c r="P594" i="15"/>
  <c r="O594" i="15"/>
  <c r="N594" i="15"/>
  <c r="M594" i="15"/>
  <c r="P582" i="15"/>
  <c r="O582" i="15"/>
  <c r="N582" i="15"/>
  <c r="M582" i="15"/>
  <c r="P570" i="15"/>
  <c r="O570" i="15"/>
  <c r="N570" i="15"/>
  <c r="M570" i="15"/>
  <c r="P558" i="15"/>
  <c r="O558" i="15"/>
  <c r="N558" i="15"/>
  <c r="M558" i="15"/>
  <c r="P546" i="15"/>
  <c r="O546" i="15"/>
  <c r="N546" i="15"/>
  <c r="M546" i="15"/>
  <c r="P534" i="15"/>
  <c r="O534" i="15"/>
  <c r="N534" i="15"/>
  <c r="M534" i="15"/>
  <c r="P522" i="15"/>
  <c r="O522" i="15"/>
  <c r="N522" i="15"/>
  <c r="M522" i="15"/>
  <c r="P510" i="15"/>
  <c r="O510" i="15"/>
  <c r="N510" i="15"/>
  <c r="M510" i="15"/>
  <c r="P498" i="15"/>
  <c r="O498" i="15"/>
  <c r="N498" i="15"/>
  <c r="M498" i="15"/>
  <c r="P486" i="15"/>
  <c r="O486" i="15"/>
  <c r="N486" i="15"/>
  <c r="M486" i="15"/>
  <c r="P474" i="15"/>
  <c r="O474" i="15"/>
  <c r="N474" i="15"/>
  <c r="M474" i="15"/>
  <c r="L474" i="15"/>
  <c r="P462" i="15"/>
  <c r="O462" i="15"/>
  <c r="N462" i="15"/>
  <c r="M462" i="15"/>
  <c r="P450" i="15"/>
  <c r="O450" i="15"/>
  <c r="N450" i="15"/>
  <c r="M450" i="15"/>
  <c r="P438" i="15"/>
  <c r="O438" i="15"/>
  <c r="N438" i="15"/>
  <c r="M438" i="15"/>
  <c r="P426" i="15"/>
  <c r="O426" i="15"/>
  <c r="N426" i="15"/>
  <c r="M426" i="15"/>
  <c r="P414" i="15"/>
  <c r="O414" i="15"/>
  <c r="N414" i="15"/>
  <c r="M414" i="15"/>
  <c r="P402" i="15"/>
  <c r="O402" i="15"/>
  <c r="N402" i="15"/>
  <c r="M402" i="15"/>
  <c r="P390" i="15"/>
  <c r="O390" i="15"/>
  <c r="N390" i="15"/>
  <c r="M390" i="15"/>
  <c r="P378" i="15"/>
  <c r="O378" i="15"/>
  <c r="N378" i="15"/>
  <c r="M378" i="15"/>
  <c r="P366" i="15"/>
  <c r="O366" i="15"/>
  <c r="N366" i="15"/>
  <c r="M366" i="15"/>
  <c r="P354" i="15"/>
  <c r="O354" i="15"/>
  <c r="N354" i="15"/>
  <c r="M354" i="15"/>
  <c r="P342" i="15"/>
  <c r="O342" i="15"/>
  <c r="N342" i="15"/>
  <c r="M342" i="15"/>
  <c r="P330" i="15"/>
  <c r="O330" i="15"/>
  <c r="N330" i="15"/>
  <c r="M330" i="15"/>
  <c r="L330" i="15"/>
  <c r="P318" i="15"/>
  <c r="O318" i="15"/>
  <c r="N318" i="15"/>
  <c r="M318" i="15"/>
  <c r="P306" i="15"/>
  <c r="O306" i="15"/>
  <c r="N306" i="15"/>
  <c r="M306" i="15"/>
  <c r="P294" i="15"/>
  <c r="O294" i="15"/>
  <c r="N294" i="15"/>
  <c r="M294" i="15"/>
  <c r="P282" i="15"/>
  <c r="O282" i="15"/>
  <c r="N282" i="15"/>
  <c r="M282" i="15"/>
  <c r="P270" i="15"/>
  <c r="O270" i="15"/>
  <c r="N270" i="15"/>
  <c r="M270" i="15"/>
  <c r="P258" i="15"/>
  <c r="O258" i="15"/>
  <c r="N258" i="15"/>
  <c r="M258" i="15"/>
  <c r="P246" i="15"/>
  <c r="O246" i="15"/>
  <c r="N246" i="15"/>
  <c r="M246" i="15"/>
  <c r="P234" i="15"/>
  <c r="O234" i="15"/>
  <c r="N234" i="15"/>
  <c r="M234" i="15"/>
  <c r="P222" i="15"/>
  <c r="O222" i="15"/>
  <c r="N222" i="15"/>
  <c r="M222" i="15"/>
  <c r="P210" i="15"/>
  <c r="O210" i="15"/>
  <c r="N210" i="15"/>
  <c r="M210" i="15"/>
  <c r="P198" i="15"/>
  <c r="O198" i="15"/>
  <c r="N198" i="15"/>
  <c r="M198" i="15"/>
  <c r="P186" i="15"/>
  <c r="O186" i="15"/>
  <c r="N186" i="15"/>
  <c r="M186" i="15"/>
  <c r="L186" i="15"/>
  <c r="P174" i="15"/>
  <c r="O174" i="15"/>
  <c r="N174" i="15"/>
  <c r="M174" i="15"/>
  <c r="P162" i="15"/>
  <c r="O162" i="15"/>
  <c r="N162" i="15"/>
  <c r="M162" i="15"/>
  <c r="P150" i="15"/>
  <c r="O150" i="15"/>
  <c r="N150" i="15"/>
  <c r="M150" i="15"/>
  <c r="P138" i="15"/>
  <c r="O138" i="15"/>
  <c r="N138" i="15"/>
  <c r="M138" i="15"/>
  <c r="P126" i="15"/>
  <c r="O126" i="15"/>
  <c r="N126" i="15"/>
  <c r="M126" i="15"/>
  <c r="P114" i="15"/>
  <c r="O114" i="15"/>
  <c r="N114" i="15"/>
  <c r="M114" i="15"/>
  <c r="P102" i="15"/>
  <c r="O102" i="15"/>
  <c r="N102" i="15"/>
  <c r="M102" i="15"/>
  <c r="P90" i="15"/>
  <c r="O90" i="15"/>
  <c r="N90" i="15"/>
  <c r="M90" i="15"/>
  <c r="P78" i="15"/>
  <c r="O78" i="15"/>
  <c r="N78" i="15"/>
  <c r="M78" i="15"/>
  <c r="P66" i="15"/>
  <c r="O66" i="15"/>
  <c r="N66" i="15"/>
  <c r="M66" i="15"/>
  <c r="P54" i="15"/>
  <c r="O54" i="15"/>
  <c r="N54" i="15"/>
  <c r="M54" i="15"/>
  <c r="P42" i="15"/>
  <c r="O42" i="15"/>
  <c r="N42" i="15"/>
  <c r="M42" i="15"/>
  <c r="L42" i="15"/>
  <c r="P30" i="15"/>
  <c r="O30" i="15"/>
  <c r="N30" i="15"/>
  <c r="M30" i="15"/>
  <c r="P18" i="15"/>
  <c r="O18" i="15"/>
  <c r="N18" i="15"/>
  <c r="M18" i="15"/>
  <c r="P6" i="15"/>
  <c r="O6" i="15"/>
  <c r="N6" i="15"/>
  <c r="M6" i="15"/>
  <c r="M1140" i="15"/>
  <c r="M1081" i="15"/>
  <c r="M1023" i="15"/>
  <c r="M971" i="15"/>
  <c r="M912" i="15"/>
  <c r="M852" i="15"/>
  <c r="M721" i="15"/>
  <c r="M591" i="15"/>
  <c r="M456" i="15"/>
  <c r="P1162" i="15"/>
  <c r="O1162" i="15"/>
  <c r="M1162" i="15"/>
  <c r="P1150" i="15"/>
  <c r="O1150" i="15"/>
  <c r="N1150" i="15"/>
  <c r="M1150" i="15"/>
  <c r="P1138" i="15"/>
  <c r="O1138" i="15"/>
  <c r="N1138" i="15"/>
  <c r="M1138" i="15"/>
  <c r="P1126" i="15"/>
  <c r="O1126" i="15"/>
  <c r="M1126" i="15"/>
  <c r="P1114" i="15"/>
  <c r="O1114" i="15"/>
  <c r="N1114" i="15"/>
  <c r="M1114" i="15"/>
  <c r="P1102" i="15"/>
  <c r="O1102" i="15"/>
  <c r="M1102" i="15"/>
  <c r="P1090" i="15"/>
  <c r="O1090" i="15"/>
  <c r="N1090" i="15"/>
  <c r="M1090" i="15"/>
  <c r="P1078" i="15"/>
  <c r="O1078" i="15"/>
  <c r="N1078" i="15"/>
  <c r="M1078" i="15"/>
  <c r="P1066" i="15"/>
  <c r="O1066" i="15"/>
  <c r="M1066" i="15"/>
  <c r="P1054" i="15"/>
  <c r="O1054" i="15"/>
  <c r="N1054" i="15"/>
  <c r="M1054" i="15"/>
  <c r="P1042" i="15"/>
  <c r="O1042" i="15"/>
  <c r="M1042" i="15"/>
  <c r="P1030" i="15"/>
  <c r="O1030" i="15"/>
  <c r="N1030" i="15"/>
  <c r="M1030" i="15"/>
  <c r="P1018" i="15"/>
  <c r="O1018" i="15"/>
  <c r="M1018" i="15"/>
  <c r="P1006" i="15"/>
  <c r="O1006" i="15"/>
  <c r="N1006" i="15"/>
  <c r="M1006" i="15"/>
  <c r="P994" i="15"/>
  <c r="O994" i="15"/>
  <c r="M994" i="15"/>
  <c r="P982" i="15"/>
  <c r="O982" i="15"/>
  <c r="N982" i="15"/>
  <c r="M982" i="15"/>
  <c r="P970" i="15"/>
  <c r="O970" i="15"/>
  <c r="M970" i="15"/>
  <c r="P958" i="15"/>
  <c r="O958" i="15"/>
  <c r="N958" i="15"/>
  <c r="M958" i="15"/>
  <c r="P946" i="15"/>
  <c r="O946" i="15"/>
  <c r="M946" i="15"/>
  <c r="P934" i="15"/>
  <c r="O934" i="15"/>
  <c r="N934" i="15"/>
  <c r="M934" i="15"/>
  <c r="P922" i="15"/>
  <c r="O922" i="15"/>
  <c r="N922" i="15"/>
  <c r="M922" i="15"/>
  <c r="P910" i="15"/>
  <c r="O910" i="15"/>
  <c r="M910" i="15"/>
  <c r="P898" i="15"/>
  <c r="O898" i="15"/>
  <c r="N898" i="15"/>
  <c r="M898" i="15"/>
  <c r="P886" i="15"/>
  <c r="O886" i="15"/>
  <c r="M886" i="15"/>
  <c r="P874" i="15"/>
  <c r="O874" i="15"/>
  <c r="N874" i="15"/>
  <c r="M874" i="15"/>
  <c r="P862" i="15"/>
  <c r="O862" i="15"/>
  <c r="N862" i="15"/>
  <c r="M862" i="15"/>
  <c r="P850" i="15"/>
  <c r="O850" i="15"/>
  <c r="M850" i="15"/>
  <c r="P838" i="15"/>
  <c r="O838" i="15"/>
  <c r="N838" i="15"/>
  <c r="M838" i="15"/>
  <c r="P826" i="15"/>
  <c r="O826" i="15"/>
  <c r="M826" i="15"/>
  <c r="P814" i="15"/>
  <c r="O814" i="15"/>
  <c r="N814" i="15"/>
  <c r="M814" i="15"/>
  <c r="P802" i="15"/>
  <c r="O802" i="15"/>
  <c r="M802" i="15"/>
  <c r="P790" i="15"/>
  <c r="O790" i="15"/>
  <c r="N790" i="15"/>
  <c r="M790" i="15"/>
  <c r="P778" i="15"/>
  <c r="O778" i="15"/>
  <c r="N778" i="15"/>
  <c r="M778" i="15"/>
  <c r="P766" i="15"/>
  <c r="O766" i="15"/>
  <c r="M766" i="15"/>
  <c r="P754" i="15"/>
  <c r="O754" i="15"/>
  <c r="N754" i="15"/>
  <c r="M754" i="15"/>
  <c r="P742" i="15"/>
  <c r="O742" i="15"/>
  <c r="M742" i="15"/>
  <c r="P730" i="15"/>
  <c r="O730" i="15"/>
  <c r="N730" i="15"/>
  <c r="M730" i="15"/>
  <c r="P718" i="15"/>
  <c r="O718" i="15"/>
  <c r="N718" i="15"/>
  <c r="M718" i="15"/>
  <c r="P706" i="15"/>
  <c r="O706" i="15"/>
  <c r="M706" i="15"/>
  <c r="P694" i="15"/>
  <c r="O694" i="15"/>
  <c r="N694" i="15"/>
  <c r="M694" i="15"/>
  <c r="P682" i="15"/>
  <c r="O682" i="15"/>
  <c r="M682" i="15"/>
  <c r="P670" i="15"/>
  <c r="O670" i="15"/>
  <c r="N670" i="15"/>
  <c r="M670" i="15"/>
  <c r="P658" i="15"/>
  <c r="O658" i="15"/>
  <c r="M658" i="15"/>
  <c r="P646" i="15"/>
  <c r="O646" i="15"/>
  <c r="N646" i="15"/>
  <c r="M646" i="15"/>
  <c r="P634" i="15"/>
  <c r="O634" i="15"/>
  <c r="N634" i="15"/>
  <c r="M634" i="15"/>
  <c r="P622" i="15"/>
  <c r="O622" i="15"/>
  <c r="M622" i="15"/>
  <c r="P610" i="15"/>
  <c r="O610" i="15"/>
  <c r="N610" i="15"/>
  <c r="M610" i="15"/>
  <c r="P598" i="15"/>
  <c r="O598" i="15"/>
  <c r="M598" i="15"/>
  <c r="P586" i="15"/>
  <c r="O586" i="15"/>
  <c r="N586" i="15"/>
  <c r="M586" i="15"/>
  <c r="P574" i="15"/>
  <c r="O574" i="15"/>
  <c r="N574" i="15"/>
  <c r="M574" i="15"/>
  <c r="P562" i="15"/>
  <c r="O562" i="15"/>
  <c r="M562" i="15"/>
  <c r="P550" i="15"/>
  <c r="O550" i="15"/>
  <c r="N550" i="15"/>
  <c r="M550" i="15"/>
  <c r="P538" i="15"/>
  <c r="O538" i="15"/>
  <c r="M538" i="15"/>
  <c r="P526" i="15"/>
  <c r="O526" i="15"/>
  <c r="N526" i="15"/>
  <c r="M526" i="15"/>
  <c r="P514" i="15"/>
  <c r="O514" i="15"/>
  <c r="M514" i="15"/>
  <c r="P502" i="15"/>
  <c r="O502" i="15"/>
  <c r="N502" i="15"/>
  <c r="M502" i="15"/>
  <c r="P490" i="15"/>
  <c r="O490" i="15"/>
  <c r="N490" i="15"/>
  <c r="M490" i="15"/>
  <c r="P478" i="15"/>
  <c r="O478" i="15"/>
  <c r="M478" i="15"/>
  <c r="P466" i="15"/>
  <c r="O466" i="15"/>
  <c r="N466" i="15"/>
  <c r="M466" i="15"/>
  <c r="P454" i="15"/>
  <c r="O454" i="15"/>
  <c r="M454" i="15"/>
  <c r="P442" i="15"/>
  <c r="O442" i="15"/>
  <c r="N442" i="15"/>
  <c r="M442" i="15"/>
  <c r="P430" i="15"/>
  <c r="O430" i="15"/>
  <c r="N430" i="15"/>
  <c r="M430" i="15"/>
  <c r="N1042" i="15"/>
  <c r="N850" i="15"/>
  <c r="N910" i="15"/>
  <c r="N706" i="15"/>
  <c r="P1171" i="15"/>
  <c r="M1171" i="15"/>
  <c r="O1171" i="15"/>
  <c r="P1159" i="15"/>
  <c r="O1159" i="15"/>
  <c r="M1159" i="15"/>
  <c r="N1159" i="15"/>
  <c r="P1147" i="15"/>
  <c r="M1147" i="15"/>
  <c r="P1135" i="15"/>
  <c r="N1135" i="15"/>
  <c r="M1135" i="15"/>
  <c r="O1135" i="15"/>
  <c r="P1123" i="15"/>
  <c r="O1123" i="15"/>
  <c r="M1123" i="15"/>
  <c r="P1111" i="15"/>
  <c r="N1111" i="15"/>
  <c r="M1111" i="15"/>
  <c r="P1099" i="15"/>
  <c r="M1099" i="15"/>
  <c r="O1099" i="15"/>
  <c r="N1099" i="15"/>
  <c r="P1087" i="15"/>
  <c r="O1087" i="15"/>
  <c r="M1087" i="15"/>
  <c r="N1075" i="15"/>
  <c r="M1075" i="15"/>
  <c r="P1063" i="15"/>
  <c r="M1063" i="15"/>
  <c r="O1063" i="15"/>
  <c r="P1051" i="15"/>
  <c r="O1051" i="15"/>
  <c r="N1051" i="15"/>
  <c r="M1051" i="15"/>
  <c r="M1039" i="15"/>
  <c r="P1039" i="15"/>
  <c r="N1039" i="15"/>
  <c r="P1027" i="15"/>
  <c r="N1027" i="15"/>
  <c r="M1027" i="15"/>
  <c r="O1027" i="15"/>
  <c r="P1015" i="15"/>
  <c r="O1015" i="15"/>
  <c r="M1015" i="15"/>
  <c r="N1015" i="15"/>
  <c r="P1003" i="15"/>
  <c r="N1003" i="15"/>
  <c r="M1003" i="15"/>
  <c r="P991" i="15"/>
  <c r="M991" i="15"/>
  <c r="O991" i="15"/>
  <c r="N991" i="15"/>
  <c r="P979" i="15"/>
  <c r="N979" i="15"/>
  <c r="O979" i="15"/>
  <c r="M979" i="15"/>
  <c r="P967" i="15"/>
  <c r="M967" i="15"/>
  <c r="P955" i="15"/>
  <c r="N955" i="15"/>
  <c r="M955" i="15"/>
  <c r="O955" i="15"/>
  <c r="P943" i="15"/>
  <c r="O943" i="15"/>
  <c r="M943" i="15"/>
  <c r="P931" i="15"/>
  <c r="M931" i="15"/>
  <c r="N931" i="15"/>
  <c r="P919" i="15"/>
  <c r="M919" i="15"/>
  <c r="O919" i="15"/>
  <c r="P907" i="15"/>
  <c r="O907" i="15"/>
  <c r="M907" i="15"/>
  <c r="N907" i="15"/>
  <c r="P895" i="15"/>
  <c r="N895" i="15"/>
  <c r="M895" i="15"/>
  <c r="P883" i="15"/>
  <c r="M883" i="15"/>
  <c r="O883" i="15"/>
  <c r="P871" i="15"/>
  <c r="O871" i="15"/>
  <c r="N871" i="15"/>
  <c r="M871" i="15"/>
  <c r="P859" i="15"/>
  <c r="M859" i="15"/>
  <c r="P847" i="15"/>
  <c r="M847" i="15"/>
  <c r="O847" i="15"/>
  <c r="N847" i="15"/>
  <c r="P835" i="15"/>
  <c r="N835" i="15"/>
  <c r="O835" i="15"/>
  <c r="M835" i="15"/>
  <c r="P823" i="15"/>
  <c r="M823" i="15"/>
  <c r="P811" i="15"/>
  <c r="N811" i="15"/>
  <c r="M811" i="15"/>
  <c r="O811" i="15"/>
  <c r="P799" i="15"/>
  <c r="O799" i="15"/>
  <c r="M799" i="15"/>
  <c r="P787" i="15"/>
  <c r="O787" i="15"/>
  <c r="M787" i="15"/>
  <c r="N787" i="15"/>
  <c r="P775" i="15"/>
  <c r="O775" i="15"/>
  <c r="M775" i="15"/>
  <c r="P763" i="15"/>
  <c r="O763" i="15"/>
  <c r="M763" i="15"/>
  <c r="N763" i="15"/>
  <c r="P751" i="15"/>
  <c r="O751" i="15"/>
  <c r="N751" i="15"/>
  <c r="M751" i="15"/>
  <c r="P739" i="15"/>
  <c r="O739" i="15"/>
  <c r="M739" i="15"/>
  <c r="P727" i="15"/>
  <c r="O727" i="15"/>
  <c r="N727" i="15"/>
  <c r="M727" i="15"/>
  <c r="P715" i="15"/>
  <c r="O715" i="15"/>
  <c r="M715" i="15"/>
  <c r="P703" i="15"/>
  <c r="O703" i="15"/>
  <c r="M703" i="15"/>
  <c r="N703" i="15"/>
  <c r="P691" i="15"/>
  <c r="O691" i="15"/>
  <c r="N691" i="15"/>
  <c r="M691" i="15"/>
  <c r="P679" i="15"/>
  <c r="O679" i="15"/>
  <c r="M679" i="15"/>
  <c r="P667" i="15"/>
  <c r="O667" i="15"/>
  <c r="N667" i="15"/>
  <c r="M667" i="15"/>
  <c r="P655" i="15"/>
  <c r="O655" i="15"/>
  <c r="M655" i="15"/>
  <c r="P643" i="15"/>
  <c r="O643" i="15"/>
  <c r="M643" i="15"/>
  <c r="N643" i="15"/>
  <c r="P631" i="15"/>
  <c r="O631" i="15"/>
  <c r="M631" i="15"/>
  <c r="P619" i="15"/>
  <c r="O619" i="15"/>
  <c r="M619" i="15"/>
  <c r="N619" i="15"/>
  <c r="P607" i="15"/>
  <c r="O607" i="15"/>
  <c r="N607" i="15"/>
  <c r="M607" i="15"/>
  <c r="P595" i="15"/>
  <c r="O595" i="15"/>
  <c r="M595" i="15"/>
  <c r="P583" i="15"/>
  <c r="O583" i="15"/>
  <c r="N583" i="15"/>
  <c r="M583" i="15"/>
  <c r="P571" i="15"/>
  <c r="O571" i="15"/>
  <c r="M571" i="15"/>
  <c r="P559" i="15"/>
  <c r="O559" i="15"/>
  <c r="M559" i="15"/>
  <c r="N559" i="15"/>
  <c r="P547" i="15"/>
  <c r="O547" i="15"/>
  <c r="N547" i="15"/>
  <c r="M547" i="15"/>
  <c r="P535" i="15"/>
  <c r="O535" i="15"/>
  <c r="M535" i="15"/>
  <c r="P523" i="15"/>
  <c r="O523" i="15"/>
  <c r="N523" i="15"/>
  <c r="M523" i="15"/>
  <c r="P511" i="15"/>
  <c r="O511" i="15"/>
  <c r="M511" i="15"/>
  <c r="P499" i="15"/>
  <c r="O499" i="15"/>
  <c r="M499" i="15"/>
  <c r="N499" i="15"/>
  <c r="P487" i="15"/>
  <c r="O487" i="15"/>
  <c r="M487" i="15"/>
  <c r="P475" i="15"/>
  <c r="O475" i="15"/>
  <c r="M475" i="15"/>
  <c r="N475" i="15"/>
  <c r="P463" i="15"/>
  <c r="O463" i="15"/>
  <c r="N463" i="15"/>
  <c r="M463" i="15"/>
  <c r="P451" i="15"/>
  <c r="O451" i="15"/>
  <c r="M451" i="15"/>
  <c r="P439" i="15"/>
  <c r="O439" i="15"/>
  <c r="N439" i="15"/>
  <c r="M439" i="15"/>
  <c r="P427" i="15"/>
  <c r="O427" i="15"/>
  <c r="M427" i="15"/>
  <c r="P415" i="15"/>
  <c r="O415" i="15"/>
  <c r="M415" i="15"/>
  <c r="N415" i="15"/>
  <c r="P403" i="15"/>
  <c r="O403" i="15"/>
  <c r="N403" i="15"/>
  <c r="M403" i="15"/>
  <c r="P391" i="15"/>
  <c r="O391" i="15"/>
  <c r="M391" i="15"/>
  <c r="P379" i="15"/>
  <c r="O379" i="15"/>
  <c r="N379" i="15"/>
  <c r="M379" i="15"/>
  <c r="P367" i="15"/>
  <c r="O367" i="15"/>
  <c r="M367" i="15"/>
  <c r="P355" i="15"/>
  <c r="O355" i="15"/>
  <c r="M355" i="15"/>
  <c r="N355" i="15"/>
  <c r="P343" i="15"/>
  <c r="O343" i="15"/>
  <c r="M343" i="15"/>
  <c r="P331" i="15"/>
  <c r="O331" i="15"/>
  <c r="N331" i="15"/>
  <c r="M331" i="15"/>
  <c r="P319" i="15"/>
  <c r="O319" i="15"/>
  <c r="N319" i="15"/>
  <c r="M319" i="15"/>
  <c r="P307" i="15"/>
  <c r="O307" i="15"/>
  <c r="N307" i="15"/>
  <c r="M307" i="15"/>
  <c r="P295" i="15"/>
  <c r="O295" i="15"/>
  <c r="N295" i="15"/>
  <c r="M295" i="15"/>
  <c r="P283" i="15"/>
  <c r="O283" i="15"/>
  <c r="N283" i="15"/>
  <c r="M283" i="15"/>
  <c r="P271" i="15"/>
  <c r="O271" i="15"/>
  <c r="N271" i="15"/>
  <c r="M271" i="15"/>
  <c r="P259" i="15"/>
  <c r="O259" i="15"/>
  <c r="N259" i="15"/>
  <c r="M259" i="15"/>
  <c r="P247" i="15"/>
  <c r="O247" i="15"/>
  <c r="N247" i="15"/>
  <c r="M247" i="15"/>
  <c r="P235" i="15"/>
  <c r="O235" i="15"/>
  <c r="N235" i="15"/>
  <c r="M235" i="15"/>
  <c r="P223" i="15"/>
  <c r="O223" i="15"/>
  <c r="N223" i="15"/>
  <c r="M223" i="15"/>
  <c r="P211" i="15"/>
  <c r="O211" i="15"/>
  <c r="N211" i="15"/>
  <c r="M211" i="15"/>
  <c r="P199" i="15"/>
  <c r="O199" i="15"/>
  <c r="N199" i="15"/>
  <c r="M199" i="15"/>
  <c r="P187" i="15"/>
  <c r="O187" i="15"/>
  <c r="N187" i="15"/>
  <c r="M187" i="15"/>
  <c r="P175" i="15"/>
  <c r="O175" i="15"/>
  <c r="N175" i="15"/>
  <c r="M175" i="15"/>
  <c r="P163" i="15"/>
  <c r="O163" i="15"/>
  <c r="N163" i="15"/>
  <c r="M163" i="15"/>
  <c r="P151" i="15"/>
  <c r="O151" i="15"/>
  <c r="N151" i="15"/>
  <c r="M151" i="15"/>
  <c r="P139" i="15"/>
  <c r="O139" i="15"/>
  <c r="N139" i="15"/>
  <c r="M139" i="15"/>
  <c r="P127" i="15"/>
  <c r="O127" i="15"/>
  <c r="N127" i="15"/>
  <c r="M127" i="15"/>
  <c r="P115" i="15"/>
  <c r="O115" i="15"/>
  <c r="N115" i="15"/>
  <c r="M115" i="15"/>
  <c r="P103" i="15"/>
  <c r="O103" i="15"/>
  <c r="N103" i="15"/>
  <c r="M103" i="15"/>
  <c r="P91" i="15"/>
  <c r="O91" i="15"/>
  <c r="N91" i="15"/>
  <c r="M91" i="15"/>
  <c r="P79" i="15"/>
  <c r="O79" i="15"/>
  <c r="N79" i="15"/>
  <c r="M79" i="15"/>
  <c r="P67" i="15"/>
  <c r="O67" i="15"/>
  <c r="N67" i="15"/>
  <c r="M67" i="15"/>
  <c r="P55" i="15"/>
  <c r="O55" i="15"/>
  <c r="N55" i="15"/>
  <c r="P43" i="15"/>
  <c r="O43" i="15"/>
  <c r="N43" i="15"/>
  <c r="M43" i="15"/>
  <c r="P31" i="15"/>
  <c r="O31" i="15"/>
  <c r="N31" i="15"/>
  <c r="P19" i="15"/>
  <c r="O19" i="15"/>
  <c r="N19" i="15"/>
  <c r="M19" i="15"/>
  <c r="P7" i="15"/>
  <c r="O7" i="15"/>
  <c r="N7" i="15"/>
  <c r="M7" i="15"/>
  <c r="M55" i="15"/>
  <c r="N1126" i="15"/>
  <c r="N970" i="15"/>
  <c r="N766" i="15"/>
  <c r="N562" i="15"/>
  <c r="N343" i="15"/>
  <c r="O1003" i="15"/>
  <c r="N1171" i="15"/>
  <c r="N826" i="15"/>
  <c r="N622" i="15"/>
  <c r="O823" i="15"/>
  <c r="P1169" i="15"/>
  <c r="N1169" i="15"/>
  <c r="M1169" i="15"/>
  <c r="O1169" i="15"/>
  <c r="P1157" i="15"/>
  <c r="N1157" i="15"/>
  <c r="O1157" i="15"/>
  <c r="M1157" i="15"/>
  <c r="P1145" i="15"/>
  <c r="N1145" i="15"/>
  <c r="M1145" i="15"/>
  <c r="P1133" i="15"/>
  <c r="N1133" i="15"/>
  <c r="M1133" i="15"/>
  <c r="O1133" i="15"/>
  <c r="P1121" i="15"/>
  <c r="N1121" i="15"/>
  <c r="O1121" i="15"/>
  <c r="M1121" i="15"/>
  <c r="P1109" i="15"/>
  <c r="N1109" i="15"/>
  <c r="M1109" i="15"/>
  <c r="P1097" i="15"/>
  <c r="N1097" i="15"/>
  <c r="M1097" i="15"/>
  <c r="O1097" i="15"/>
  <c r="P1085" i="15"/>
  <c r="N1085" i="15"/>
  <c r="O1085" i="15"/>
  <c r="M1085" i="15"/>
  <c r="P1073" i="15"/>
  <c r="N1073" i="15"/>
  <c r="M1073" i="15"/>
  <c r="P1061" i="15"/>
  <c r="N1061" i="15"/>
  <c r="M1061" i="15"/>
  <c r="O1061" i="15"/>
  <c r="P1049" i="15"/>
  <c r="N1049" i="15"/>
  <c r="O1049" i="15"/>
  <c r="M1049" i="15"/>
  <c r="P1037" i="15"/>
  <c r="N1037" i="15"/>
  <c r="M1037" i="15"/>
  <c r="P1025" i="15"/>
  <c r="N1025" i="15"/>
  <c r="M1025" i="15"/>
  <c r="O1025" i="15"/>
  <c r="P1013" i="15"/>
  <c r="N1013" i="15"/>
  <c r="O1013" i="15"/>
  <c r="M1013" i="15"/>
  <c r="P1001" i="15"/>
  <c r="N1001" i="15"/>
  <c r="M1001" i="15"/>
  <c r="P989" i="15"/>
  <c r="N989" i="15"/>
  <c r="M989" i="15"/>
  <c r="O989" i="15"/>
  <c r="P977" i="15"/>
  <c r="N977" i="15"/>
  <c r="O977" i="15"/>
  <c r="M977" i="15"/>
  <c r="P965" i="15"/>
  <c r="N965" i="15"/>
  <c r="M965" i="15"/>
  <c r="P953" i="15"/>
  <c r="N953" i="15"/>
  <c r="M953" i="15"/>
  <c r="O953" i="15"/>
  <c r="N941" i="15"/>
  <c r="O941" i="15"/>
  <c r="M941" i="15"/>
  <c r="P941" i="15"/>
  <c r="P929" i="15"/>
  <c r="N929" i="15"/>
  <c r="M929" i="15"/>
  <c r="P917" i="15"/>
  <c r="N917" i="15"/>
  <c r="M917" i="15"/>
  <c r="O917" i="15"/>
  <c r="P905" i="15"/>
  <c r="N905" i="15"/>
  <c r="O905" i="15"/>
  <c r="M905" i="15"/>
  <c r="N893" i="15"/>
  <c r="P893" i="15"/>
  <c r="M893" i="15"/>
  <c r="P881" i="15"/>
  <c r="N881" i="15"/>
  <c r="M881" i="15"/>
  <c r="O881" i="15"/>
  <c r="P869" i="15"/>
  <c r="N869" i="15"/>
  <c r="O869" i="15"/>
  <c r="M869" i="15"/>
  <c r="P857" i="15"/>
  <c r="N857" i="15"/>
  <c r="M857" i="15"/>
  <c r="P845" i="15"/>
  <c r="N845" i="15"/>
  <c r="M845" i="15"/>
  <c r="O845" i="15"/>
  <c r="P833" i="15"/>
  <c r="N833" i="15"/>
  <c r="O833" i="15"/>
  <c r="M833" i="15"/>
  <c r="P821" i="15"/>
  <c r="N821" i="15"/>
  <c r="M821" i="15"/>
  <c r="P809" i="15"/>
  <c r="N809" i="15"/>
  <c r="M809" i="15"/>
  <c r="O809" i="15"/>
  <c r="O797" i="15"/>
  <c r="N797" i="15"/>
  <c r="P797" i="15"/>
  <c r="M797" i="15"/>
  <c r="P785" i="15"/>
  <c r="N785" i="15"/>
  <c r="M785" i="15"/>
  <c r="P773" i="15"/>
  <c r="O773" i="15"/>
  <c r="N773" i="15"/>
  <c r="M773" i="15"/>
  <c r="P761" i="15"/>
  <c r="N761" i="15"/>
  <c r="M761" i="15"/>
  <c r="O749" i="15"/>
  <c r="N749" i="15"/>
  <c r="P749" i="15"/>
  <c r="M749" i="15"/>
  <c r="P737" i="15"/>
  <c r="N737" i="15"/>
  <c r="M737" i="15"/>
  <c r="O737" i="15"/>
  <c r="P725" i="15"/>
  <c r="O725" i="15"/>
  <c r="N725" i="15"/>
  <c r="M725" i="15"/>
  <c r="P713" i="15"/>
  <c r="N713" i="15"/>
  <c r="M713" i="15"/>
  <c r="O701" i="15"/>
  <c r="P701" i="15"/>
  <c r="N701" i="15"/>
  <c r="M701" i="15"/>
  <c r="P689" i="15"/>
  <c r="N689" i="15"/>
  <c r="M689" i="15"/>
  <c r="P677" i="15"/>
  <c r="O677" i="15"/>
  <c r="N677" i="15"/>
  <c r="M677" i="15"/>
  <c r="P665" i="15"/>
  <c r="N665" i="15"/>
  <c r="M665" i="15"/>
  <c r="O665" i="15"/>
  <c r="O653" i="15"/>
  <c r="N653" i="15"/>
  <c r="M653" i="15"/>
  <c r="P641" i="15"/>
  <c r="N641" i="15"/>
  <c r="M641" i="15"/>
  <c r="P629" i="15"/>
  <c r="O629" i="15"/>
  <c r="N629" i="15"/>
  <c r="M629" i="15"/>
  <c r="P617" i="15"/>
  <c r="N617" i="15"/>
  <c r="M617" i="15"/>
  <c r="N605" i="15"/>
  <c r="O605" i="15"/>
  <c r="P605" i="15"/>
  <c r="M605" i="15"/>
  <c r="P593" i="15"/>
  <c r="O593" i="15"/>
  <c r="N593" i="15"/>
  <c r="M593" i="15"/>
  <c r="P581" i="15"/>
  <c r="N581" i="15"/>
  <c r="M581" i="15"/>
  <c r="O581" i="15"/>
  <c r="P569" i="15"/>
  <c r="N569" i="15"/>
  <c r="O569" i="15"/>
  <c r="M569" i="15"/>
  <c r="O557" i="15"/>
  <c r="P557" i="15"/>
  <c r="N557" i="15"/>
  <c r="M557" i="15"/>
  <c r="P545" i="15"/>
  <c r="N545" i="15"/>
  <c r="O545" i="15"/>
  <c r="M545" i="15"/>
  <c r="P533" i="15"/>
  <c r="N533" i="15"/>
  <c r="O533" i="15"/>
  <c r="M533" i="15"/>
  <c r="P521" i="15"/>
  <c r="O521" i="15"/>
  <c r="N521" i="15"/>
  <c r="M521" i="15"/>
  <c r="N509" i="15"/>
  <c r="M509" i="15"/>
  <c r="P509" i="15"/>
  <c r="P497" i="15"/>
  <c r="N497" i="15"/>
  <c r="O497" i="15"/>
  <c r="M497" i="15"/>
  <c r="P485" i="15"/>
  <c r="O485" i="15"/>
  <c r="N485" i="15"/>
  <c r="M485" i="15"/>
  <c r="P473" i="15"/>
  <c r="N473" i="15"/>
  <c r="M473" i="15"/>
  <c r="O473" i="15"/>
  <c r="N461" i="15"/>
  <c r="O461" i="15"/>
  <c r="P461" i="15"/>
  <c r="M461" i="15"/>
  <c r="P449" i="15"/>
  <c r="O449" i="15"/>
  <c r="N449" i="15"/>
  <c r="M449" i="15"/>
  <c r="P437" i="15"/>
  <c r="N437" i="15"/>
  <c r="O437" i="15"/>
  <c r="M437" i="15"/>
  <c r="P425" i="15"/>
  <c r="N425" i="15"/>
  <c r="O425" i="15"/>
  <c r="M425" i="15"/>
  <c r="O413" i="15"/>
  <c r="P413" i="15"/>
  <c r="N413" i="15"/>
  <c r="M413" i="15"/>
  <c r="P401" i="15"/>
  <c r="N401" i="15"/>
  <c r="M401" i="15"/>
  <c r="P389" i="15"/>
  <c r="N389" i="15"/>
  <c r="O389" i="15"/>
  <c r="M389" i="15"/>
  <c r="P377" i="15"/>
  <c r="O377" i="15"/>
  <c r="N377" i="15"/>
  <c r="M377" i="15"/>
  <c r="N365" i="15"/>
  <c r="M365" i="15"/>
  <c r="P365" i="15"/>
  <c r="O365" i="15"/>
  <c r="P353" i="15"/>
  <c r="N353" i="15"/>
  <c r="O353" i="15"/>
  <c r="M353" i="15"/>
  <c r="P341" i="15"/>
  <c r="O341" i="15"/>
  <c r="N341" i="15"/>
  <c r="M341" i="15"/>
  <c r="P329" i="15"/>
  <c r="N329" i="15"/>
  <c r="O329" i="15"/>
  <c r="M329" i="15"/>
  <c r="N317" i="15"/>
  <c r="O317" i="15"/>
  <c r="P317" i="15"/>
  <c r="M317" i="15"/>
  <c r="P305" i="15"/>
  <c r="O305" i="15"/>
  <c r="N305" i="15"/>
  <c r="M305" i="15"/>
  <c r="P293" i="15"/>
  <c r="N293" i="15"/>
  <c r="M293" i="15"/>
  <c r="P281" i="15"/>
  <c r="N281" i="15"/>
  <c r="O281" i="15"/>
  <c r="M281" i="15"/>
  <c r="O269" i="15"/>
  <c r="P269" i="15"/>
  <c r="N269" i="15"/>
  <c r="M269" i="15"/>
  <c r="P257" i="15"/>
  <c r="N257" i="15"/>
  <c r="M257" i="15"/>
  <c r="O257" i="15"/>
  <c r="P245" i="15"/>
  <c r="N245" i="15"/>
  <c r="O245" i="15"/>
  <c r="M245" i="15"/>
  <c r="P233" i="15"/>
  <c r="O233" i="15"/>
  <c r="N233" i="15"/>
  <c r="M233" i="15"/>
  <c r="N221" i="15"/>
  <c r="P221" i="15"/>
  <c r="O221" i="15"/>
  <c r="M221" i="15"/>
  <c r="P209" i="15"/>
  <c r="N209" i="15"/>
  <c r="O209" i="15"/>
  <c r="M209" i="15"/>
  <c r="P197" i="15"/>
  <c r="O197" i="15"/>
  <c r="N197" i="15"/>
  <c r="M197" i="15"/>
  <c r="P185" i="15"/>
  <c r="N185" i="15"/>
  <c r="M185" i="15"/>
  <c r="P173" i="15"/>
  <c r="N173" i="15"/>
  <c r="O173" i="15"/>
  <c r="M173" i="15"/>
  <c r="P161" i="15"/>
  <c r="O161" i="15"/>
  <c r="N161" i="15"/>
  <c r="M161" i="15"/>
  <c r="P149" i="15"/>
  <c r="N149" i="15"/>
  <c r="M149" i="15"/>
  <c r="O149" i="15"/>
  <c r="P137" i="15"/>
  <c r="N137" i="15"/>
  <c r="O137" i="15"/>
  <c r="M137" i="15"/>
  <c r="P125" i="15"/>
  <c r="O125" i="15"/>
  <c r="N125" i="15"/>
  <c r="M125" i="15"/>
  <c r="P113" i="15"/>
  <c r="N113" i="15"/>
  <c r="M113" i="15"/>
  <c r="O113" i="15"/>
  <c r="P101" i="15"/>
  <c r="N101" i="15"/>
  <c r="O101" i="15"/>
  <c r="M101" i="15"/>
  <c r="P89" i="15"/>
  <c r="O89" i="15"/>
  <c r="N89" i="15"/>
  <c r="M89" i="15"/>
  <c r="P77" i="15"/>
  <c r="N77" i="15"/>
  <c r="M77" i="15"/>
  <c r="P65" i="15"/>
  <c r="N65" i="15"/>
  <c r="O65" i="15"/>
  <c r="M65" i="15"/>
  <c r="P53" i="15"/>
  <c r="O53" i="15"/>
  <c r="N53" i="15"/>
  <c r="P29" i="15"/>
  <c r="N29" i="15"/>
  <c r="O29" i="15"/>
  <c r="M29" i="15"/>
  <c r="P17" i="15"/>
  <c r="O17" i="15"/>
  <c r="N17" i="15"/>
  <c r="P5" i="15"/>
  <c r="N5" i="15"/>
  <c r="M5" i="15"/>
  <c r="O5" i="15"/>
  <c r="M53" i="15"/>
  <c r="N1066" i="15"/>
  <c r="N967" i="15"/>
  <c r="N886" i="15"/>
  <c r="N682" i="15"/>
  <c r="N478" i="15"/>
  <c r="O1075" i="15"/>
  <c r="O821" i="15"/>
  <c r="O641" i="15"/>
  <c r="P1168" i="15"/>
  <c r="N1168" i="15"/>
  <c r="M1168" i="15"/>
  <c r="O1168" i="15"/>
  <c r="P1156" i="15"/>
  <c r="N1156" i="15"/>
  <c r="M1156" i="15"/>
  <c r="P1144" i="15"/>
  <c r="N1144" i="15"/>
  <c r="M1144" i="15"/>
  <c r="P1132" i="15"/>
  <c r="N1132" i="15"/>
  <c r="M1132" i="15"/>
  <c r="O1132" i="15"/>
  <c r="P1120" i="15"/>
  <c r="N1120" i="15"/>
  <c r="M1120" i="15"/>
  <c r="P1108" i="15"/>
  <c r="N1108" i="15"/>
  <c r="M1108" i="15"/>
  <c r="P1096" i="15"/>
  <c r="N1096" i="15"/>
  <c r="M1096" i="15"/>
  <c r="O1096" i="15"/>
  <c r="P1084" i="15"/>
  <c r="N1084" i="15"/>
  <c r="M1084" i="15"/>
  <c r="P1072" i="15"/>
  <c r="N1072" i="15"/>
  <c r="M1072" i="15"/>
  <c r="P1060" i="15"/>
  <c r="N1060" i="15"/>
  <c r="M1060" i="15"/>
  <c r="O1060" i="15"/>
  <c r="P1048" i="15"/>
  <c r="N1048" i="15"/>
  <c r="M1048" i="15"/>
  <c r="P1036" i="15"/>
  <c r="N1036" i="15"/>
  <c r="M1036" i="15"/>
  <c r="P1024" i="15"/>
  <c r="N1024" i="15"/>
  <c r="M1024" i="15"/>
  <c r="O1024" i="15"/>
  <c r="P1012" i="15"/>
  <c r="N1012" i="15"/>
  <c r="M1012" i="15"/>
  <c r="P1000" i="15"/>
  <c r="N1000" i="15"/>
  <c r="M1000" i="15"/>
  <c r="P988" i="15"/>
  <c r="N988" i="15"/>
  <c r="M988" i="15"/>
  <c r="O988" i="15"/>
  <c r="P976" i="15"/>
  <c r="N976" i="15"/>
  <c r="M976" i="15"/>
  <c r="P964" i="15"/>
  <c r="N964" i="15"/>
  <c r="M964" i="15"/>
  <c r="P952" i="15"/>
  <c r="N952" i="15"/>
  <c r="M952" i="15"/>
  <c r="O952" i="15"/>
  <c r="P940" i="15"/>
  <c r="N940" i="15"/>
  <c r="M940" i="15"/>
  <c r="P928" i="15"/>
  <c r="N928" i="15"/>
  <c r="M928" i="15"/>
  <c r="P916" i="15"/>
  <c r="N916" i="15"/>
  <c r="M916" i="15"/>
  <c r="O916" i="15"/>
  <c r="P904" i="15"/>
  <c r="N904" i="15"/>
  <c r="M904" i="15"/>
  <c r="P892" i="15"/>
  <c r="N892" i="15"/>
  <c r="M892" i="15"/>
  <c r="P880" i="15"/>
  <c r="N880" i="15"/>
  <c r="M880" i="15"/>
  <c r="O880" i="15"/>
  <c r="P868" i="15"/>
  <c r="N868" i="15"/>
  <c r="M868" i="15"/>
  <c r="P856" i="15"/>
  <c r="N856" i="15"/>
  <c r="M856" i="15"/>
  <c r="P844" i="15"/>
  <c r="N844" i="15"/>
  <c r="M844" i="15"/>
  <c r="O844" i="15"/>
  <c r="P832" i="15"/>
  <c r="N832" i="15"/>
  <c r="M832" i="15"/>
  <c r="P820" i="15"/>
  <c r="N820" i="15"/>
  <c r="M820" i="15"/>
  <c r="P808" i="15"/>
  <c r="N808" i="15"/>
  <c r="M808" i="15"/>
  <c r="O808" i="15"/>
  <c r="P796" i="15"/>
  <c r="O796" i="15"/>
  <c r="N796" i="15"/>
  <c r="M796" i="15"/>
  <c r="P784" i="15"/>
  <c r="N784" i="15"/>
  <c r="O784" i="15"/>
  <c r="M784" i="15"/>
  <c r="P772" i="15"/>
  <c r="O772" i="15"/>
  <c r="N772" i="15"/>
  <c r="M772" i="15"/>
  <c r="P760" i="15"/>
  <c r="N760" i="15"/>
  <c r="O760" i="15"/>
  <c r="M760" i="15"/>
  <c r="P748" i="15"/>
  <c r="O748" i="15"/>
  <c r="N748" i="15"/>
  <c r="M748" i="15"/>
  <c r="P736" i="15"/>
  <c r="N736" i="15"/>
  <c r="O736" i="15"/>
  <c r="M736" i="15"/>
  <c r="P724" i="15"/>
  <c r="O724" i="15"/>
  <c r="N724" i="15"/>
  <c r="M724" i="15"/>
  <c r="P712" i="15"/>
  <c r="N712" i="15"/>
  <c r="O712" i="15"/>
  <c r="M712" i="15"/>
  <c r="P700" i="15"/>
  <c r="O700" i="15"/>
  <c r="N700" i="15"/>
  <c r="M700" i="15"/>
  <c r="P688" i="15"/>
  <c r="N688" i="15"/>
  <c r="O688" i="15"/>
  <c r="M688" i="15"/>
  <c r="P676" i="15"/>
  <c r="O676" i="15"/>
  <c r="N676" i="15"/>
  <c r="M676" i="15"/>
  <c r="P664" i="15"/>
  <c r="N664" i="15"/>
  <c r="O664" i="15"/>
  <c r="M664" i="15"/>
  <c r="P652" i="15"/>
  <c r="O652" i="15"/>
  <c r="N652" i="15"/>
  <c r="M652" i="15"/>
  <c r="P640" i="15"/>
  <c r="N640" i="15"/>
  <c r="O640" i="15"/>
  <c r="M640" i="15"/>
  <c r="P628" i="15"/>
  <c r="O628" i="15"/>
  <c r="N628" i="15"/>
  <c r="M628" i="15"/>
  <c r="P616" i="15"/>
  <c r="N616" i="15"/>
  <c r="M616" i="15"/>
  <c r="P604" i="15"/>
  <c r="N604" i="15"/>
  <c r="O604" i="15"/>
  <c r="M604" i="15"/>
  <c r="P592" i="15"/>
  <c r="N592" i="15"/>
  <c r="M592" i="15"/>
  <c r="O592" i="15"/>
  <c r="P580" i="15"/>
  <c r="N580" i="15"/>
  <c r="M580" i="15"/>
  <c r="O580" i="15"/>
  <c r="P568" i="15"/>
  <c r="N568" i="15"/>
  <c r="O568" i="15"/>
  <c r="M568" i="15"/>
  <c r="P556" i="15"/>
  <c r="N556" i="15"/>
  <c r="M556" i="15"/>
  <c r="O556" i="15"/>
  <c r="P544" i="15"/>
  <c r="N544" i="15"/>
  <c r="M544" i="15"/>
  <c r="P532" i="15"/>
  <c r="N532" i="15"/>
  <c r="O532" i="15"/>
  <c r="M532" i="15"/>
  <c r="P520" i="15"/>
  <c r="N520" i="15"/>
  <c r="M520" i="15"/>
  <c r="P508" i="15"/>
  <c r="N508" i="15"/>
  <c r="M508" i="15"/>
  <c r="P496" i="15"/>
  <c r="N496" i="15"/>
  <c r="O496" i="15"/>
  <c r="M496" i="15"/>
  <c r="P484" i="15"/>
  <c r="N484" i="15"/>
  <c r="M484" i="15"/>
  <c r="O484" i="15"/>
  <c r="P472" i="15"/>
  <c r="N472" i="15"/>
  <c r="M472" i="15"/>
  <c r="O472" i="15"/>
  <c r="P460" i="15"/>
  <c r="N460" i="15"/>
  <c r="O460" i="15"/>
  <c r="M460" i="15"/>
  <c r="P448" i="15"/>
  <c r="N448" i="15"/>
  <c r="M448" i="15"/>
  <c r="O448" i="15"/>
  <c r="P436" i="15"/>
  <c r="N436" i="15"/>
  <c r="M436" i="15"/>
  <c r="P424" i="15"/>
  <c r="N424" i="15"/>
  <c r="O424" i="15"/>
  <c r="M424" i="15"/>
  <c r="P412" i="15"/>
  <c r="N412" i="15"/>
  <c r="M412" i="15"/>
  <c r="P400" i="15"/>
  <c r="N400" i="15"/>
  <c r="M400" i="15"/>
  <c r="P388" i="15"/>
  <c r="N388" i="15"/>
  <c r="O388" i="15"/>
  <c r="M388" i="15"/>
  <c r="P376" i="15"/>
  <c r="N376" i="15"/>
  <c r="M376" i="15"/>
  <c r="O376" i="15"/>
  <c r="P364" i="15"/>
  <c r="N364" i="15"/>
  <c r="M364" i="15"/>
  <c r="O364" i="15"/>
  <c r="P352" i="15"/>
  <c r="N352" i="15"/>
  <c r="O352" i="15"/>
  <c r="M352" i="15"/>
  <c r="P340" i="15"/>
  <c r="N340" i="15"/>
  <c r="M340" i="15"/>
  <c r="O340" i="15"/>
  <c r="P328" i="15"/>
  <c r="N328" i="15"/>
  <c r="M328" i="15"/>
  <c r="P316" i="15"/>
  <c r="N316" i="15"/>
  <c r="O316" i="15"/>
  <c r="M316" i="15"/>
  <c r="P304" i="15"/>
  <c r="N304" i="15"/>
  <c r="M304" i="15"/>
  <c r="P292" i="15"/>
  <c r="N292" i="15"/>
  <c r="M292" i="15"/>
  <c r="P280" i="15"/>
  <c r="N280" i="15"/>
  <c r="O280" i="15"/>
  <c r="M280" i="15"/>
  <c r="P268" i="15"/>
  <c r="N268" i="15"/>
  <c r="M268" i="15"/>
  <c r="O268" i="15"/>
  <c r="P256" i="15"/>
  <c r="N256" i="15"/>
  <c r="M256" i="15"/>
  <c r="O256" i="15"/>
  <c r="P244" i="15"/>
  <c r="N244" i="15"/>
  <c r="O244" i="15"/>
  <c r="M244" i="15"/>
  <c r="P232" i="15"/>
  <c r="N232" i="15"/>
  <c r="M232" i="15"/>
  <c r="O232" i="15"/>
  <c r="P220" i="15"/>
  <c r="N220" i="15"/>
  <c r="M220" i="15"/>
  <c r="P208" i="15"/>
  <c r="N208" i="15"/>
  <c r="O208" i="15"/>
  <c r="M208" i="15"/>
  <c r="P196" i="15"/>
  <c r="N196" i="15"/>
  <c r="M196" i="15"/>
  <c r="P184" i="15"/>
  <c r="N184" i="15"/>
  <c r="M184" i="15"/>
  <c r="P172" i="15"/>
  <c r="N172" i="15"/>
  <c r="O172" i="15"/>
  <c r="M172" i="15"/>
  <c r="P160" i="15"/>
  <c r="N160" i="15"/>
  <c r="O160" i="15"/>
  <c r="M160" i="15"/>
  <c r="P148" i="15"/>
  <c r="N148" i="15"/>
  <c r="M148" i="15"/>
  <c r="O148" i="15"/>
  <c r="P136" i="15"/>
  <c r="N136" i="15"/>
  <c r="O136" i="15"/>
  <c r="M136" i="15"/>
  <c r="P124" i="15"/>
  <c r="N124" i="15"/>
  <c r="O124" i="15"/>
  <c r="M124" i="15"/>
  <c r="P112" i="15"/>
  <c r="N112" i="15"/>
  <c r="M112" i="15"/>
  <c r="O112" i="15"/>
  <c r="P100" i="15"/>
  <c r="N100" i="15"/>
  <c r="O100" i="15"/>
  <c r="M100" i="15"/>
  <c r="P88" i="15"/>
  <c r="N88" i="15"/>
  <c r="O88" i="15"/>
  <c r="M88" i="15"/>
  <c r="P76" i="15"/>
  <c r="N76" i="15"/>
  <c r="M76" i="15"/>
  <c r="P64" i="15"/>
  <c r="N64" i="15"/>
  <c r="O64" i="15"/>
  <c r="M64" i="15"/>
  <c r="P52" i="15"/>
  <c r="N52" i="15"/>
  <c r="M52" i="15"/>
  <c r="O52" i="15"/>
  <c r="P40" i="15"/>
  <c r="N40" i="15"/>
  <c r="M40" i="15"/>
  <c r="P28" i="15"/>
  <c r="N28" i="15"/>
  <c r="O28" i="15"/>
  <c r="M28" i="15"/>
  <c r="P16" i="15"/>
  <c r="N16" i="15"/>
  <c r="M16" i="15"/>
  <c r="O16" i="15"/>
  <c r="P4" i="15"/>
  <c r="N4" i="15"/>
  <c r="M4" i="15"/>
  <c r="O4" i="15"/>
  <c r="N1123" i="15"/>
  <c r="N1018" i="15"/>
  <c r="N946" i="15"/>
  <c r="N823" i="15"/>
  <c r="N742" i="15"/>
  <c r="N538" i="15"/>
  <c r="O1073" i="15"/>
  <c r="O976" i="15"/>
  <c r="O895" i="15"/>
  <c r="O820" i="15"/>
  <c r="O401" i="15"/>
  <c r="O77" i="15"/>
  <c r="P653" i="15"/>
  <c r="N883" i="15"/>
  <c r="N802" i="15"/>
  <c r="N679" i="15"/>
  <c r="N598" i="15"/>
  <c r="O1147" i="15"/>
  <c r="O1072" i="15"/>
  <c r="O893" i="15"/>
  <c r="O785" i="15"/>
  <c r="O400" i="15"/>
  <c r="O76" i="15"/>
  <c r="P1166" i="15"/>
  <c r="O1166" i="15"/>
  <c r="P1154" i="15"/>
  <c r="O1154" i="15"/>
  <c r="N1154" i="15"/>
  <c r="P1142" i="15"/>
  <c r="O1142" i="15"/>
  <c r="P1130" i="15"/>
  <c r="O1130" i="15"/>
  <c r="N1130" i="15"/>
  <c r="P1118" i="15"/>
  <c r="O1118" i="15"/>
  <c r="N1118" i="15"/>
  <c r="P1106" i="15"/>
  <c r="O1106" i="15"/>
  <c r="P1094" i="15"/>
  <c r="O1094" i="15"/>
  <c r="N1094" i="15"/>
  <c r="P1082" i="15"/>
  <c r="O1082" i="15"/>
  <c r="P1070" i="15"/>
  <c r="O1070" i="15"/>
  <c r="N1070" i="15"/>
  <c r="P1058" i="15"/>
  <c r="O1058" i="15"/>
  <c r="P1046" i="15"/>
  <c r="O1046" i="15"/>
  <c r="N1046" i="15"/>
  <c r="P1034" i="15"/>
  <c r="O1034" i="15"/>
  <c r="N1034" i="15"/>
  <c r="P1022" i="15"/>
  <c r="O1022" i="15"/>
  <c r="P1010" i="15"/>
  <c r="O1010" i="15"/>
  <c r="N1010" i="15"/>
  <c r="P998" i="15"/>
  <c r="O998" i="15"/>
  <c r="P986" i="15"/>
  <c r="O986" i="15"/>
  <c r="N986" i="15"/>
  <c r="P974" i="15"/>
  <c r="N974" i="15"/>
  <c r="O974" i="15"/>
  <c r="N962" i="15"/>
  <c r="O962" i="15"/>
  <c r="P962" i="15"/>
  <c r="P950" i="15"/>
  <c r="N950" i="15"/>
  <c r="O950" i="15"/>
  <c r="P938" i="15"/>
  <c r="N938" i="15"/>
  <c r="O938" i="15"/>
  <c r="P926" i="15"/>
  <c r="N926" i="15"/>
  <c r="O926" i="15"/>
  <c r="N914" i="15"/>
  <c r="O914" i="15"/>
  <c r="P914" i="15"/>
  <c r="P902" i="15"/>
  <c r="N902" i="15"/>
  <c r="O902" i="15"/>
  <c r="P890" i="15"/>
  <c r="N890" i="15"/>
  <c r="O890" i="15"/>
  <c r="P878" i="15"/>
  <c r="N878" i="15"/>
  <c r="O878" i="15"/>
  <c r="N866" i="15"/>
  <c r="P866" i="15"/>
  <c r="O866" i="15"/>
  <c r="P854" i="15"/>
  <c r="N854" i="15"/>
  <c r="O854" i="15"/>
  <c r="P842" i="15"/>
  <c r="N842" i="15"/>
  <c r="O842" i="15"/>
  <c r="P830" i="15"/>
  <c r="N830" i="15"/>
  <c r="O830" i="15"/>
  <c r="N818" i="15"/>
  <c r="O818" i="15"/>
  <c r="P818" i="15"/>
  <c r="P806" i="15"/>
  <c r="N806" i="15"/>
  <c r="O806" i="15"/>
  <c r="P794" i="15"/>
  <c r="O794" i="15"/>
  <c r="N794" i="15"/>
  <c r="O782" i="15"/>
  <c r="P782" i="15"/>
  <c r="N782" i="15"/>
  <c r="O770" i="15"/>
  <c r="N770" i="15"/>
  <c r="P758" i="15"/>
  <c r="O758" i="15"/>
  <c r="N758" i="15"/>
  <c r="P746" i="15"/>
  <c r="O746" i="15"/>
  <c r="N746" i="15"/>
  <c r="O734" i="15"/>
  <c r="P734" i="15"/>
  <c r="N734" i="15"/>
  <c r="O722" i="15"/>
  <c r="N722" i="15"/>
  <c r="P722" i="15"/>
  <c r="P710" i="15"/>
  <c r="O710" i="15"/>
  <c r="N710" i="15"/>
  <c r="P698" i="15"/>
  <c r="O698" i="15"/>
  <c r="N698" i="15"/>
  <c r="O686" i="15"/>
  <c r="P686" i="15"/>
  <c r="N686" i="15"/>
  <c r="O674" i="15"/>
  <c r="N674" i="15"/>
  <c r="P674" i="15"/>
  <c r="P662" i="15"/>
  <c r="O662" i="15"/>
  <c r="N662" i="15"/>
  <c r="P650" i="15"/>
  <c r="O650" i="15"/>
  <c r="N650" i="15"/>
  <c r="O638" i="15"/>
  <c r="P638" i="15"/>
  <c r="N638" i="15"/>
  <c r="O626" i="15"/>
  <c r="N626" i="15"/>
  <c r="P614" i="15"/>
  <c r="O614" i="15"/>
  <c r="N614" i="15"/>
  <c r="P602" i="15"/>
  <c r="O602" i="15"/>
  <c r="N602" i="15"/>
  <c r="O590" i="15"/>
  <c r="P590" i="15"/>
  <c r="N590" i="15"/>
  <c r="O578" i="15"/>
  <c r="N578" i="15"/>
  <c r="P578" i="15"/>
  <c r="P566" i="15"/>
  <c r="O566" i="15"/>
  <c r="N566" i="15"/>
  <c r="P554" i="15"/>
  <c r="O554" i="15"/>
  <c r="N554" i="15"/>
  <c r="O542" i="15"/>
  <c r="P542" i="15"/>
  <c r="N542" i="15"/>
  <c r="O530" i="15"/>
  <c r="N530" i="15"/>
  <c r="P530" i="15"/>
  <c r="P518" i="15"/>
  <c r="O518" i="15"/>
  <c r="N518" i="15"/>
  <c r="P506" i="15"/>
  <c r="O506" i="15"/>
  <c r="N506" i="15"/>
  <c r="O494" i="15"/>
  <c r="P494" i="15"/>
  <c r="N494" i="15"/>
  <c r="O482" i="15"/>
  <c r="N482" i="15"/>
  <c r="P482" i="15"/>
  <c r="P470" i="15"/>
  <c r="O470" i="15"/>
  <c r="N470" i="15"/>
  <c r="P458" i="15"/>
  <c r="O458" i="15"/>
  <c r="N458" i="15"/>
  <c r="O446" i="15"/>
  <c r="P446" i="15"/>
  <c r="N446" i="15"/>
  <c r="O434" i="15"/>
  <c r="N434" i="15"/>
  <c r="P434" i="15"/>
  <c r="P422" i="15"/>
  <c r="O422" i="15"/>
  <c r="N422" i="15"/>
  <c r="P410" i="15"/>
  <c r="O410" i="15"/>
  <c r="N410" i="15"/>
  <c r="O398" i="15"/>
  <c r="P398" i="15"/>
  <c r="N398" i="15"/>
  <c r="O386" i="15"/>
  <c r="N386" i="15"/>
  <c r="P386" i="15"/>
  <c r="P374" i="15"/>
  <c r="O374" i="15"/>
  <c r="N374" i="15"/>
  <c r="P362" i="15"/>
  <c r="O362" i="15"/>
  <c r="N362" i="15"/>
  <c r="M1142" i="15"/>
  <c r="M998" i="15"/>
  <c r="M854" i="15"/>
  <c r="M710" i="15"/>
  <c r="M566" i="15"/>
  <c r="M422" i="15"/>
  <c r="N1162" i="15"/>
  <c r="N1063" i="15"/>
  <c r="N998" i="15"/>
  <c r="N943" i="15"/>
  <c r="N739" i="15"/>
  <c r="N658" i="15"/>
  <c r="N535" i="15"/>
  <c r="N454" i="15"/>
  <c r="O1145" i="15"/>
  <c r="O1048" i="15"/>
  <c r="O967" i="15"/>
  <c r="O892" i="15"/>
  <c r="O617" i="15"/>
  <c r="O328" i="15"/>
  <c r="P626" i="15"/>
  <c r="P411" i="15"/>
  <c r="O411" i="15"/>
  <c r="N411" i="15"/>
  <c r="O399" i="15"/>
  <c r="P399" i="15"/>
  <c r="N399" i="15"/>
  <c r="O387" i="15"/>
  <c r="P387" i="15"/>
  <c r="N387" i="15"/>
  <c r="P375" i="15"/>
  <c r="O375" i="15"/>
  <c r="N375" i="15"/>
  <c r="P363" i="15"/>
  <c r="O363" i="15"/>
  <c r="N363" i="15"/>
  <c r="O351" i="15"/>
  <c r="N351" i="15"/>
  <c r="P351" i="15"/>
  <c r="O339" i="15"/>
  <c r="N339" i="15"/>
  <c r="P327" i="15"/>
  <c r="O327" i="15"/>
  <c r="N327" i="15"/>
  <c r="P315" i="15"/>
  <c r="O315" i="15"/>
  <c r="N315" i="15"/>
  <c r="O303" i="15"/>
  <c r="N303" i="15"/>
  <c r="P303" i="15"/>
  <c r="O291" i="15"/>
  <c r="N291" i="15"/>
  <c r="P291" i="15"/>
  <c r="P279" i="15"/>
  <c r="O279" i="15"/>
  <c r="N279" i="15"/>
  <c r="P267" i="15"/>
  <c r="O267" i="15"/>
  <c r="N267" i="15"/>
  <c r="O255" i="15"/>
  <c r="P255" i="15"/>
  <c r="N255" i="15"/>
  <c r="O243" i="15"/>
  <c r="P243" i="15"/>
  <c r="N243" i="15"/>
  <c r="P231" i="15"/>
  <c r="O231" i="15"/>
  <c r="N231" i="15"/>
  <c r="P219" i="15"/>
  <c r="O219" i="15"/>
  <c r="N219" i="15"/>
  <c r="O207" i="15"/>
  <c r="N207" i="15"/>
  <c r="P207" i="15"/>
  <c r="O195" i="15"/>
  <c r="N195" i="15"/>
  <c r="P183" i="15"/>
  <c r="O183" i="15"/>
  <c r="N183" i="15"/>
  <c r="P171" i="15"/>
  <c r="O171" i="15"/>
  <c r="N171" i="15"/>
  <c r="O159" i="15"/>
  <c r="N159" i="15"/>
  <c r="P159" i="15"/>
  <c r="O147" i="15"/>
  <c r="N147" i="15"/>
  <c r="P147" i="15"/>
  <c r="P135" i="15"/>
  <c r="O135" i="15"/>
  <c r="N135" i="15"/>
  <c r="P123" i="15"/>
  <c r="O123" i="15"/>
  <c r="N123" i="15"/>
  <c r="O111" i="15"/>
  <c r="N111" i="15"/>
  <c r="P111" i="15"/>
  <c r="O99" i="15"/>
  <c r="N99" i="15"/>
  <c r="P99" i="15"/>
  <c r="P87" i="15"/>
  <c r="O87" i="15"/>
  <c r="N87" i="15"/>
  <c r="P75" i="15"/>
  <c r="O75" i="15"/>
  <c r="N75" i="15"/>
  <c r="O63" i="15"/>
  <c r="P63" i="15"/>
  <c r="N63" i="15"/>
  <c r="O51" i="15"/>
  <c r="N51" i="15"/>
  <c r="P51" i="15"/>
  <c r="P39" i="15"/>
  <c r="O39" i="15"/>
  <c r="N39" i="15"/>
  <c r="P27" i="15"/>
  <c r="O27" i="15"/>
  <c r="N27" i="15"/>
  <c r="O15" i="15"/>
  <c r="N15" i="15"/>
  <c r="P15" i="15"/>
  <c r="O3" i="15"/>
  <c r="N3" i="15"/>
  <c r="M406" i="15"/>
  <c r="M382" i="15"/>
  <c r="M358" i="15"/>
  <c r="M322" i="15"/>
  <c r="M286" i="15"/>
  <c r="M250" i="15"/>
  <c r="M214" i="15"/>
  <c r="M178" i="15"/>
  <c r="M142" i="15"/>
  <c r="M106" i="15"/>
  <c r="M69" i="15"/>
  <c r="M51" i="15"/>
  <c r="M12" i="15"/>
  <c r="N417" i="15"/>
  <c r="O12" i="15"/>
  <c r="O350" i="15"/>
  <c r="P350" i="15"/>
  <c r="N350" i="15"/>
  <c r="O338" i="15"/>
  <c r="N338" i="15"/>
  <c r="P326" i="15"/>
  <c r="O326" i="15"/>
  <c r="N326" i="15"/>
  <c r="P314" i="15"/>
  <c r="O314" i="15"/>
  <c r="N314" i="15"/>
  <c r="O302" i="15"/>
  <c r="P302" i="15"/>
  <c r="N302" i="15"/>
  <c r="O290" i="15"/>
  <c r="N290" i="15"/>
  <c r="P290" i="15"/>
  <c r="P278" i="15"/>
  <c r="O278" i="15"/>
  <c r="N278" i="15"/>
  <c r="P266" i="15"/>
  <c r="O266" i="15"/>
  <c r="N266" i="15"/>
  <c r="O254" i="15"/>
  <c r="P254" i="15"/>
  <c r="N254" i="15"/>
  <c r="O242" i="15"/>
  <c r="N242" i="15"/>
  <c r="P242" i="15"/>
  <c r="P230" i="15"/>
  <c r="O230" i="15"/>
  <c r="N230" i="15"/>
  <c r="P218" i="15"/>
  <c r="O218" i="15"/>
  <c r="N218" i="15"/>
  <c r="O206" i="15"/>
  <c r="P206" i="15"/>
  <c r="N206" i="15"/>
  <c r="O194" i="15"/>
  <c r="N194" i="15"/>
  <c r="P182" i="15"/>
  <c r="O182" i="15"/>
  <c r="N182" i="15"/>
  <c r="P170" i="15"/>
  <c r="O170" i="15"/>
  <c r="N170" i="15"/>
  <c r="O158" i="15"/>
  <c r="P158" i="15"/>
  <c r="N158" i="15"/>
  <c r="O146" i="15"/>
  <c r="N146" i="15"/>
  <c r="P146" i="15"/>
  <c r="P134" i="15"/>
  <c r="O134" i="15"/>
  <c r="N134" i="15"/>
  <c r="P122" i="15"/>
  <c r="O122" i="15"/>
  <c r="N122" i="15"/>
  <c r="O110" i="15"/>
  <c r="P110" i="15"/>
  <c r="N110" i="15"/>
  <c r="O98" i="15"/>
  <c r="N98" i="15"/>
  <c r="P98" i="15"/>
  <c r="P86" i="15"/>
  <c r="O86" i="15"/>
  <c r="N86" i="15"/>
  <c r="P74" i="15"/>
  <c r="O74" i="15"/>
  <c r="N74" i="15"/>
  <c r="O62" i="15"/>
  <c r="P62" i="15"/>
  <c r="N62" i="15"/>
  <c r="O50" i="15"/>
  <c r="N50" i="15"/>
  <c r="P26" i="15"/>
  <c r="O26" i="15"/>
  <c r="N26" i="15"/>
  <c r="O14" i="15"/>
  <c r="P14" i="15"/>
  <c r="N14" i="15"/>
  <c r="O2" i="15"/>
  <c r="N2" i="15"/>
  <c r="M465" i="15"/>
  <c r="M441" i="15"/>
  <c r="M405" i="15"/>
  <c r="M381" i="15"/>
  <c r="M357" i="15"/>
  <c r="M321" i="15"/>
  <c r="M285" i="15"/>
  <c r="M249" i="15"/>
  <c r="M213" i="15"/>
  <c r="M177" i="15"/>
  <c r="M141" i="15"/>
  <c r="M105" i="15"/>
  <c r="M50" i="15"/>
  <c r="L445" i="15"/>
  <c r="P445" i="15"/>
  <c r="O445" i="15"/>
  <c r="L433" i="15"/>
  <c r="P433" i="15"/>
  <c r="O433" i="15"/>
  <c r="L421" i="15"/>
  <c r="P421" i="15"/>
  <c r="O421" i="15"/>
  <c r="L409" i="15"/>
  <c r="P409" i="15"/>
  <c r="O409" i="15"/>
  <c r="L397" i="15"/>
  <c r="P397" i="15"/>
  <c r="O397" i="15"/>
  <c r="L385" i="15"/>
  <c r="P385" i="15"/>
  <c r="O385" i="15"/>
  <c r="L373" i="15"/>
  <c r="P373" i="15"/>
  <c r="O373" i="15"/>
  <c r="L361" i="15"/>
  <c r="P361" i="15"/>
  <c r="O361" i="15"/>
  <c r="L349" i="15"/>
  <c r="P349" i="15"/>
  <c r="O349" i="15"/>
  <c r="L337" i="15"/>
  <c r="P337" i="15"/>
  <c r="O337" i="15"/>
  <c r="L325" i="15"/>
  <c r="P325" i="15"/>
  <c r="O325" i="15"/>
  <c r="L313" i="15"/>
  <c r="P313" i="15"/>
  <c r="O313" i="15"/>
  <c r="L301" i="15"/>
  <c r="P301" i="15"/>
  <c r="O301" i="15"/>
  <c r="L289" i="15"/>
  <c r="P289" i="15"/>
  <c r="O289" i="15"/>
  <c r="L277" i="15"/>
  <c r="P277" i="15"/>
  <c r="O277" i="15"/>
  <c r="L265" i="15"/>
  <c r="P265" i="15"/>
  <c r="O265" i="15"/>
  <c r="L253" i="15"/>
  <c r="P253" i="15"/>
  <c r="O253" i="15"/>
  <c r="L241" i="15"/>
  <c r="P241" i="15"/>
  <c r="O241" i="15"/>
  <c r="L229" i="15"/>
  <c r="P229" i="15"/>
  <c r="O229" i="15"/>
  <c r="L217" i="15"/>
  <c r="P217" i="15"/>
  <c r="O217" i="15"/>
  <c r="L205" i="15"/>
  <c r="P205" i="15"/>
  <c r="O205" i="15"/>
  <c r="L193" i="15"/>
  <c r="P193" i="15"/>
  <c r="O193" i="15"/>
  <c r="L181" i="15"/>
  <c r="P181" i="15"/>
  <c r="O181" i="15"/>
  <c r="L169" i="15"/>
  <c r="P169" i="15"/>
  <c r="O169" i="15"/>
  <c r="L157" i="15"/>
  <c r="P157" i="15"/>
  <c r="O157" i="15"/>
  <c r="L145" i="15"/>
  <c r="P145" i="15"/>
  <c r="O145" i="15"/>
  <c r="L133" i="15"/>
  <c r="P133" i="15"/>
  <c r="O133" i="15"/>
  <c r="L121" i="15"/>
  <c r="P121" i="15"/>
  <c r="O121" i="15"/>
  <c r="L109" i="15"/>
  <c r="P109" i="15"/>
  <c r="O109" i="15"/>
  <c r="L97" i="15"/>
  <c r="P97" i="15"/>
  <c r="O97" i="15"/>
  <c r="L85" i="15"/>
  <c r="P85" i="15"/>
  <c r="O85" i="15"/>
  <c r="L73" i="15"/>
  <c r="P73" i="15"/>
  <c r="O73" i="15"/>
  <c r="L61" i="15"/>
  <c r="P61" i="15"/>
  <c r="O61" i="15"/>
  <c r="L49" i="15"/>
  <c r="P49" i="15"/>
  <c r="O49" i="15"/>
  <c r="L25" i="15"/>
  <c r="P25" i="15"/>
  <c r="O25" i="15"/>
  <c r="L13" i="15"/>
  <c r="P13" i="15"/>
  <c r="O13" i="15"/>
  <c r="M49" i="15"/>
  <c r="M27" i="15"/>
  <c r="N409" i="15"/>
  <c r="M26" i="15"/>
  <c r="N349" i="15"/>
  <c r="P431" i="15"/>
  <c r="O431" i="15"/>
  <c r="N431" i="15"/>
  <c r="P419" i="15"/>
  <c r="O419" i="15"/>
  <c r="N419" i="15"/>
  <c r="P407" i="15"/>
  <c r="O407" i="15"/>
  <c r="N407" i="15"/>
  <c r="P395" i="15"/>
  <c r="O395" i="15"/>
  <c r="N395" i="15"/>
  <c r="P383" i="15"/>
  <c r="O383" i="15"/>
  <c r="N383" i="15"/>
  <c r="P371" i="15"/>
  <c r="O371" i="15"/>
  <c r="N371" i="15"/>
  <c r="P359" i="15"/>
  <c r="O359" i="15"/>
  <c r="N359" i="15"/>
  <c r="P347" i="15"/>
  <c r="O347" i="15"/>
  <c r="N347" i="15"/>
  <c r="P335" i="15"/>
  <c r="O335" i="15"/>
  <c r="N335" i="15"/>
  <c r="P323" i="15"/>
  <c r="O323" i="15"/>
  <c r="N323" i="15"/>
  <c r="P311" i="15"/>
  <c r="O311" i="15"/>
  <c r="N311" i="15"/>
  <c r="P299" i="15"/>
  <c r="O299" i="15"/>
  <c r="N299" i="15"/>
  <c r="P287" i="15"/>
  <c r="O287" i="15"/>
  <c r="N287" i="15"/>
  <c r="P275" i="15"/>
  <c r="O275" i="15"/>
  <c r="N275" i="15"/>
  <c r="P263" i="15"/>
  <c r="O263" i="15"/>
  <c r="N263" i="15"/>
  <c r="P251" i="15"/>
  <c r="O251" i="15"/>
  <c r="N251" i="15"/>
  <c r="P239" i="15"/>
  <c r="O239" i="15"/>
  <c r="N239" i="15"/>
  <c r="P227" i="15"/>
  <c r="O227" i="15"/>
  <c r="N227" i="15"/>
  <c r="P215" i="15"/>
  <c r="O215" i="15"/>
  <c r="N215" i="15"/>
  <c r="P203" i="15"/>
  <c r="O203" i="15"/>
  <c r="N203" i="15"/>
  <c r="P191" i="15"/>
  <c r="O191" i="15"/>
  <c r="N191" i="15"/>
  <c r="P179" i="15"/>
  <c r="O179" i="15"/>
  <c r="N179" i="15"/>
  <c r="P167" i="15"/>
  <c r="O167" i="15"/>
  <c r="N167" i="15"/>
  <c r="P155" i="15"/>
  <c r="O155" i="15"/>
  <c r="N155" i="15"/>
  <c r="P143" i="15"/>
  <c r="O143" i="15"/>
  <c r="N143" i="15"/>
  <c r="P131" i="15"/>
  <c r="O131" i="15"/>
  <c r="N131" i="15"/>
  <c r="P119" i="15"/>
  <c r="O119" i="15"/>
  <c r="N119" i="15"/>
  <c r="P107" i="15"/>
  <c r="O107" i="15"/>
  <c r="N107" i="15"/>
  <c r="P95" i="15"/>
  <c r="O95" i="15"/>
  <c r="N95" i="15"/>
  <c r="P83" i="15"/>
  <c r="O83" i="15"/>
  <c r="N83" i="15"/>
  <c r="P71" i="15"/>
  <c r="O71" i="15"/>
  <c r="M71" i="15"/>
  <c r="N71" i="15"/>
  <c r="P59" i="15"/>
  <c r="O59" i="15"/>
  <c r="M59" i="15"/>
  <c r="N59" i="15"/>
  <c r="P47" i="15"/>
  <c r="O47" i="15"/>
  <c r="M47" i="15"/>
  <c r="N47" i="15"/>
  <c r="P35" i="15"/>
  <c r="O35" i="15"/>
  <c r="M35" i="15"/>
  <c r="N35" i="15"/>
  <c r="P23" i="15"/>
  <c r="O23" i="15"/>
  <c r="M23" i="15"/>
  <c r="N23" i="15"/>
  <c r="P11" i="15"/>
  <c r="O11" i="15"/>
  <c r="M11" i="15"/>
  <c r="N11" i="15"/>
  <c r="M63" i="15"/>
  <c r="M25" i="15"/>
  <c r="M3" i="15"/>
  <c r="N433" i="15"/>
  <c r="N313" i="15"/>
  <c r="N277" i="15"/>
  <c r="N241" i="15"/>
  <c r="N205" i="15"/>
  <c r="N169" i="15"/>
  <c r="N133" i="15"/>
  <c r="N97" i="15"/>
  <c r="N61" i="15"/>
  <c r="N25" i="15"/>
  <c r="P339" i="15"/>
  <c r="P418" i="15"/>
  <c r="O418" i="15"/>
  <c r="P406" i="15"/>
  <c r="O406" i="15"/>
  <c r="P394" i="15"/>
  <c r="O394" i="15"/>
  <c r="P382" i="15"/>
  <c r="O382" i="15"/>
  <c r="P370" i="15"/>
  <c r="O370" i="15"/>
  <c r="P358" i="15"/>
  <c r="O358" i="15"/>
  <c r="P346" i="15"/>
  <c r="O346" i="15"/>
  <c r="P334" i="15"/>
  <c r="O334" i="15"/>
  <c r="P322" i="15"/>
  <c r="O322" i="15"/>
  <c r="P310" i="15"/>
  <c r="O310" i="15"/>
  <c r="P298" i="15"/>
  <c r="O298" i="15"/>
  <c r="P286" i="15"/>
  <c r="O286" i="15"/>
  <c r="P274" i="15"/>
  <c r="O274" i="15"/>
  <c r="P262" i="15"/>
  <c r="O262" i="15"/>
  <c r="P250" i="15"/>
  <c r="O250" i="15"/>
  <c r="P238" i="15"/>
  <c r="O238" i="15"/>
  <c r="P226" i="15"/>
  <c r="O226" i="15"/>
  <c r="P214" i="15"/>
  <c r="O214" i="15"/>
  <c r="P202" i="15"/>
  <c r="O202" i="15"/>
  <c r="P190" i="15"/>
  <c r="O190" i="15"/>
  <c r="P178" i="15"/>
  <c r="O178" i="15"/>
  <c r="P166" i="15"/>
  <c r="O166" i="15"/>
  <c r="P154" i="15"/>
  <c r="O154" i="15"/>
  <c r="P142" i="15"/>
  <c r="O142" i="15"/>
  <c r="P130" i="15"/>
  <c r="O130" i="15"/>
  <c r="P118" i="15"/>
  <c r="O118" i="15"/>
  <c r="P106" i="15"/>
  <c r="O106" i="15"/>
  <c r="P94" i="15"/>
  <c r="O94" i="15"/>
  <c r="P82" i="15"/>
  <c r="O82" i="15"/>
  <c r="P70" i="15"/>
  <c r="O70" i="15"/>
  <c r="P58" i="15"/>
  <c r="O58" i="15"/>
  <c r="P46" i="15"/>
  <c r="O46" i="15"/>
  <c r="M46" i="15"/>
  <c r="P34" i="15"/>
  <c r="O34" i="15"/>
  <c r="M34" i="15"/>
  <c r="P22" i="15"/>
  <c r="O22" i="15"/>
  <c r="M22" i="15"/>
  <c r="P10" i="15"/>
  <c r="O10" i="15"/>
  <c r="M10" i="15"/>
  <c r="M62" i="15"/>
  <c r="M2" i="15"/>
  <c r="N373" i="15"/>
  <c r="N346" i="15"/>
  <c r="P338" i="15"/>
  <c r="P465" i="15"/>
  <c r="O465" i="15"/>
  <c r="P453" i="15"/>
  <c r="O453" i="15"/>
  <c r="P441" i="15"/>
  <c r="O441" i="15"/>
  <c r="P429" i="15"/>
  <c r="O429" i="15"/>
  <c r="P417" i="15"/>
  <c r="O417" i="15"/>
  <c r="P405" i="15"/>
  <c r="O405" i="15"/>
  <c r="P393" i="15"/>
  <c r="O393" i="15"/>
  <c r="P381" i="15"/>
  <c r="O381" i="15"/>
  <c r="P369" i="15"/>
  <c r="O369" i="15"/>
  <c r="P357" i="15"/>
  <c r="O357" i="15"/>
  <c r="P345" i="15"/>
  <c r="O345" i="15"/>
  <c r="P333" i="15"/>
  <c r="O333" i="15"/>
  <c r="P321" i="15"/>
  <c r="O321" i="15"/>
  <c r="P309" i="15"/>
  <c r="O309" i="15"/>
  <c r="P297" i="15"/>
  <c r="O297" i="15"/>
  <c r="P285" i="15"/>
  <c r="O285" i="15"/>
  <c r="P273" i="15"/>
  <c r="O273" i="15"/>
  <c r="P261" i="15"/>
  <c r="O261" i="15"/>
  <c r="P249" i="15"/>
  <c r="O249" i="15"/>
  <c r="P237" i="15"/>
  <c r="O237" i="15"/>
  <c r="P225" i="15"/>
  <c r="O225" i="15"/>
  <c r="P213" i="15"/>
  <c r="O213" i="15"/>
  <c r="P201" i="15"/>
  <c r="O201" i="15"/>
  <c r="P189" i="15"/>
  <c r="O189" i="15"/>
  <c r="P177" i="15"/>
  <c r="O177" i="15"/>
  <c r="P165" i="15"/>
  <c r="O165" i="15"/>
  <c r="P153" i="15"/>
  <c r="O153" i="15"/>
  <c r="P141" i="15"/>
  <c r="O141" i="15"/>
  <c r="P129" i="15"/>
  <c r="O129" i="15"/>
  <c r="P117" i="15"/>
  <c r="O117" i="15"/>
  <c r="P105" i="15"/>
  <c r="O105" i="15"/>
  <c r="P93" i="15"/>
  <c r="O93" i="15"/>
  <c r="P81" i="15"/>
  <c r="O81" i="15"/>
  <c r="P69" i="15"/>
  <c r="O69" i="15"/>
  <c r="P57" i="15"/>
  <c r="O57" i="15"/>
  <c r="M57" i="15"/>
  <c r="P45" i="15"/>
  <c r="O45" i="15"/>
  <c r="M45" i="15"/>
  <c r="P33" i="15"/>
  <c r="O33" i="15"/>
  <c r="M33" i="15"/>
  <c r="P21" i="15"/>
  <c r="O21" i="15"/>
  <c r="M21" i="15"/>
  <c r="P9" i="15"/>
  <c r="O9" i="15"/>
  <c r="M9" i="15"/>
  <c r="M61" i="15"/>
  <c r="N345" i="15"/>
  <c r="N310" i="15"/>
  <c r="N274" i="15"/>
  <c r="N238" i="15"/>
  <c r="N202" i="15"/>
  <c r="N166" i="15"/>
  <c r="N130" i="15"/>
  <c r="N94" i="15"/>
  <c r="N58" i="15"/>
  <c r="N22" i="15"/>
  <c r="N2" i="6" l="1"/>
  <c r="S2" i="6"/>
  <c r="S3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3" i="6"/>
  <c r="S34" i="6"/>
  <c r="S35" i="6"/>
  <c r="S36" i="6"/>
  <c r="S37" i="6"/>
  <c r="S38" i="6"/>
  <c r="S39" i="6"/>
  <c r="S40" i="6"/>
  <c r="S41" i="6"/>
  <c r="S42" i="6"/>
  <c r="S43" i="6"/>
  <c r="S44" i="6"/>
  <c r="S45" i="6"/>
  <c r="S46" i="6"/>
  <c r="S47" i="6"/>
  <c r="S48" i="6"/>
  <c r="S49" i="6"/>
  <c r="S50" i="6"/>
  <c r="S51" i="6"/>
  <c r="S52" i="6"/>
  <c r="S53" i="6"/>
  <c r="S54" i="6"/>
  <c r="S55" i="6"/>
  <c r="S56" i="6"/>
  <c r="S57" i="6"/>
  <c r="S58" i="6"/>
  <c r="S59" i="6"/>
  <c r="S60" i="6"/>
  <c r="S61" i="6"/>
  <c r="S62" i="6"/>
  <c r="S63" i="6"/>
  <c r="S64" i="6"/>
  <c r="S65" i="6"/>
  <c r="S66" i="6"/>
  <c r="S67" i="6"/>
  <c r="S68" i="6"/>
  <c r="S69" i="6"/>
  <c r="S70" i="6"/>
  <c r="S71" i="6"/>
  <c r="S72" i="6"/>
  <c r="S73" i="6"/>
  <c r="S74" i="6"/>
  <c r="S75" i="6"/>
  <c r="S76" i="6"/>
  <c r="S77" i="6"/>
  <c r="S78" i="6"/>
  <c r="S79" i="6"/>
  <c r="S80" i="6"/>
  <c r="S81" i="6"/>
  <c r="S82" i="6"/>
  <c r="S83" i="6"/>
  <c r="S84" i="6"/>
  <c r="S85" i="6"/>
  <c r="S86" i="6"/>
  <c r="S87" i="6"/>
  <c r="S88" i="6"/>
  <c r="S89" i="6"/>
  <c r="S90" i="6"/>
  <c r="S91" i="6"/>
  <c r="S92" i="6"/>
  <c r="S93" i="6"/>
  <c r="S94" i="6"/>
  <c r="S95" i="6"/>
  <c r="S96" i="6"/>
  <c r="S97" i="6"/>
  <c r="S98" i="6"/>
  <c r="S99" i="6"/>
  <c r="S100" i="6"/>
  <c r="S101" i="6"/>
  <c r="S102" i="6"/>
  <c r="S103" i="6"/>
  <c r="S104" i="6"/>
  <c r="S105" i="6"/>
  <c r="S106" i="6"/>
  <c r="S107" i="6"/>
  <c r="S108" i="6"/>
  <c r="S109" i="6"/>
  <c r="S110" i="6"/>
  <c r="S111" i="6"/>
  <c r="S112" i="6"/>
  <c r="S113" i="6"/>
  <c r="S114" i="6"/>
  <c r="S115" i="6"/>
  <c r="S116" i="6"/>
  <c r="S117" i="6"/>
  <c r="S118" i="6"/>
  <c r="S119" i="6"/>
  <c r="S120" i="6"/>
  <c r="S121" i="6"/>
  <c r="S122" i="6"/>
  <c r="S123" i="6"/>
  <c r="S124" i="6"/>
  <c r="S125" i="6"/>
  <c r="S126" i="6"/>
  <c r="S127" i="6"/>
  <c r="S128" i="6"/>
  <c r="S129" i="6"/>
  <c r="S130" i="6"/>
  <c r="S131" i="6"/>
  <c r="S132" i="6"/>
  <c r="S133" i="6"/>
  <c r="S134" i="6"/>
  <c r="S135" i="6"/>
  <c r="S136" i="6"/>
  <c r="S137" i="6"/>
  <c r="S138" i="6"/>
  <c r="S139" i="6"/>
  <c r="S140" i="6"/>
  <c r="S141" i="6"/>
  <c r="S142" i="6"/>
  <c r="S143" i="6"/>
  <c r="S144" i="6"/>
  <c r="S145" i="6"/>
  <c r="S146" i="6"/>
  <c r="S147" i="6"/>
  <c r="S148" i="6"/>
  <c r="S149" i="6"/>
  <c r="S150" i="6"/>
  <c r="S151" i="6"/>
  <c r="S152" i="6"/>
  <c r="S153" i="6"/>
  <c r="S154" i="6"/>
  <c r="S155" i="6"/>
  <c r="S156" i="6"/>
  <c r="S157" i="6"/>
  <c r="S158" i="6"/>
  <c r="S159" i="6"/>
  <c r="S160" i="6"/>
  <c r="S161" i="6"/>
  <c r="S162" i="6"/>
  <c r="S163" i="6"/>
  <c r="S164" i="6"/>
  <c r="S165" i="6"/>
  <c r="S166" i="6"/>
  <c r="S167" i="6"/>
  <c r="S168" i="6"/>
  <c r="S169" i="6"/>
  <c r="S170" i="6"/>
  <c r="S171" i="6"/>
  <c r="S172" i="6"/>
  <c r="S173" i="6"/>
  <c r="S174" i="6"/>
  <c r="S175" i="6"/>
  <c r="S176" i="6"/>
  <c r="S177" i="6"/>
  <c r="S178" i="6"/>
  <c r="S179" i="6"/>
  <c r="S180" i="6"/>
  <c r="S181" i="6"/>
  <c r="S182" i="6"/>
  <c r="S183" i="6"/>
  <c r="S184" i="6"/>
  <c r="S185" i="6"/>
  <c r="S186" i="6"/>
  <c r="S187" i="6"/>
  <c r="S188" i="6"/>
  <c r="S189" i="6"/>
  <c r="S190" i="6"/>
  <c r="S191" i="6"/>
  <c r="S192" i="6"/>
  <c r="S193" i="6"/>
  <c r="S194" i="6"/>
  <c r="S195" i="6"/>
  <c r="S196" i="6"/>
  <c r="S197" i="6"/>
  <c r="S198" i="6"/>
  <c r="S199" i="6"/>
  <c r="S200" i="6"/>
  <c r="S201" i="6"/>
  <c r="S202" i="6"/>
  <c r="S203" i="6"/>
  <c r="S204" i="6"/>
  <c r="S205" i="6"/>
  <c r="S206" i="6"/>
  <c r="S207" i="6"/>
  <c r="S208" i="6"/>
  <c r="S209" i="6"/>
  <c r="S210" i="6"/>
  <c r="S211" i="6"/>
  <c r="S212" i="6"/>
  <c r="S213" i="6"/>
  <c r="S214" i="6"/>
  <c r="S215" i="6"/>
  <c r="S216" i="6"/>
  <c r="S217" i="6"/>
  <c r="S218" i="6"/>
  <c r="S219" i="6"/>
  <c r="S220" i="6"/>
  <c r="S221" i="6"/>
  <c r="S222" i="6"/>
  <c r="S223" i="6"/>
  <c r="S224" i="6"/>
  <c r="S225" i="6"/>
  <c r="S226" i="6"/>
  <c r="S227" i="6"/>
  <c r="S228" i="6"/>
  <c r="S229" i="6"/>
  <c r="S230" i="6"/>
  <c r="S231" i="6"/>
  <c r="S232" i="6"/>
  <c r="S233" i="6"/>
  <c r="S234" i="6"/>
  <c r="S235" i="6"/>
  <c r="S236" i="6"/>
  <c r="S237" i="6"/>
  <c r="S238" i="6"/>
  <c r="S239" i="6"/>
  <c r="S240" i="6"/>
  <c r="S241" i="6"/>
  <c r="S242" i="6"/>
  <c r="S243" i="6"/>
  <c r="S244" i="6"/>
  <c r="S245" i="6"/>
  <c r="S246" i="6"/>
  <c r="S247" i="6"/>
  <c r="S248" i="6"/>
  <c r="S249" i="6"/>
  <c r="S250" i="6"/>
  <c r="S251" i="6"/>
  <c r="S252" i="6"/>
  <c r="S253" i="6"/>
  <c r="S254" i="6"/>
  <c r="S255" i="6"/>
  <c r="S256" i="6"/>
  <c r="S257" i="6"/>
  <c r="S258" i="6"/>
  <c r="S259" i="6"/>
  <c r="S260" i="6"/>
  <c r="S261" i="6"/>
  <c r="S262" i="6"/>
  <c r="S263" i="6"/>
  <c r="S264" i="6"/>
  <c r="S265" i="6"/>
  <c r="S266" i="6"/>
  <c r="S267" i="6"/>
  <c r="S268" i="6"/>
  <c r="S269" i="6"/>
  <c r="S270" i="6"/>
  <c r="S271" i="6"/>
  <c r="S272" i="6"/>
  <c r="S273" i="6"/>
  <c r="S274" i="6"/>
  <c r="S275" i="6"/>
  <c r="S276" i="6"/>
  <c r="S277" i="6"/>
  <c r="S278" i="6"/>
  <c r="S279" i="6"/>
  <c r="S280" i="6"/>
  <c r="R2" i="6"/>
  <c r="R3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Q2" i="6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106" i="6"/>
  <c r="Q107" i="6"/>
  <c r="Q108" i="6"/>
  <c r="Q109" i="6"/>
  <c r="Q110" i="6"/>
  <c r="Q111" i="6"/>
  <c r="Q112" i="6"/>
  <c r="Q113" i="6"/>
  <c r="Q114" i="6"/>
  <c r="Q115" i="6"/>
  <c r="Q116" i="6"/>
  <c r="Q117" i="6"/>
  <c r="Q118" i="6"/>
  <c r="Q119" i="6"/>
  <c r="Q120" i="6"/>
  <c r="Q121" i="6"/>
  <c r="Q122" i="6"/>
  <c r="Q123" i="6"/>
  <c r="Q124" i="6"/>
  <c r="Q125" i="6"/>
  <c r="Q126" i="6"/>
  <c r="Q127" i="6"/>
  <c r="Q128" i="6"/>
  <c r="Q129" i="6"/>
  <c r="Q130" i="6"/>
  <c r="Q131" i="6"/>
  <c r="Q132" i="6"/>
  <c r="Q133" i="6"/>
  <c r="Q134" i="6"/>
  <c r="Q135" i="6"/>
  <c r="Q136" i="6"/>
  <c r="Q137" i="6"/>
  <c r="Q138" i="6"/>
  <c r="Q139" i="6"/>
  <c r="Q140" i="6"/>
  <c r="Q141" i="6"/>
  <c r="Q142" i="6"/>
  <c r="Q143" i="6"/>
  <c r="Q144" i="6"/>
  <c r="Q145" i="6"/>
  <c r="Q146" i="6"/>
  <c r="Q147" i="6"/>
  <c r="Q148" i="6"/>
  <c r="Q149" i="6"/>
  <c r="Q150" i="6"/>
  <c r="Q151" i="6"/>
  <c r="Q152" i="6"/>
  <c r="Q153" i="6"/>
  <c r="Q154" i="6"/>
  <c r="Q155" i="6"/>
  <c r="Q156" i="6"/>
  <c r="Q157" i="6"/>
  <c r="Q158" i="6"/>
  <c r="Q159" i="6"/>
  <c r="Q160" i="6"/>
  <c r="Q161" i="6"/>
  <c r="Q162" i="6"/>
  <c r="Q163" i="6"/>
  <c r="Q164" i="6"/>
  <c r="Q165" i="6"/>
  <c r="Q166" i="6"/>
  <c r="Q167" i="6"/>
  <c r="Q168" i="6"/>
  <c r="Q169" i="6"/>
  <c r="Q170" i="6"/>
  <c r="Q171" i="6"/>
  <c r="Q172" i="6"/>
  <c r="Q173" i="6"/>
  <c r="Q174" i="6"/>
  <c r="Q175" i="6"/>
  <c r="Q176" i="6"/>
  <c r="Q177" i="6"/>
  <c r="Q178" i="6"/>
  <c r="Q179" i="6"/>
  <c r="Q180" i="6"/>
  <c r="Q181" i="6"/>
  <c r="Q182" i="6"/>
  <c r="Q183" i="6"/>
  <c r="Q184" i="6"/>
  <c r="Q185" i="6"/>
  <c r="Q186" i="6"/>
  <c r="Q187" i="6"/>
  <c r="Q188" i="6"/>
  <c r="Q189" i="6"/>
  <c r="Q190" i="6"/>
  <c r="Q191" i="6"/>
  <c r="Q192" i="6"/>
  <c r="Q193" i="6"/>
  <c r="Q194" i="6"/>
  <c r="Q195" i="6"/>
  <c r="Q196" i="6"/>
  <c r="Q197" i="6"/>
  <c r="Q198" i="6"/>
  <c r="Q199" i="6"/>
  <c r="Q200" i="6"/>
  <c r="Q201" i="6"/>
  <c r="Q202" i="6"/>
  <c r="Q203" i="6"/>
  <c r="Q204" i="6"/>
  <c r="Q205" i="6"/>
  <c r="Q206" i="6"/>
  <c r="Q207" i="6"/>
  <c r="Q208" i="6"/>
  <c r="Q209" i="6"/>
  <c r="Q210" i="6"/>
  <c r="Q211" i="6"/>
  <c r="Q212" i="6"/>
  <c r="Q213" i="6"/>
  <c r="Q214" i="6"/>
  <c r="Q215" i="6"/>
  <c r="Q216" i="6"/>
  <c r="Q217" i="6"/>
  <c r="Q218" i="6"/>
  <c r="Q219" i="6"/>
  <c r="Q220" i="6"/>
  <c r="Q221" i="6"/>
  <c r="Q222" i="6"/>
  <c r="Q223" i="6"/>
  <c r="Q224" i="6"/>
  <c r="Q225" i="6"/>
  <c r="Q226" i="6"/>
  <c r="Q227" i="6"/>
  <c r="Q228" i="6"/>
  <c r="Q229" i="6"/>
  <c r="Q230" i="6"/>
  <c r="Q231" i="6"/>
  <c r="Q232" i="6"/>
  <c r="Q233" i="6"/>
  <c r="Q234" i="6"/>
  <c r="Q235" i="6"/>
  <c r="Q236" i="6"/>
  <c r="Q237" i="6"/>
  <c r="Q238" i="6"/>
  <c r="Q239" i="6"/>
  <c r="Q240" i="6"/>
  <c r="Q241" i="6"/>
  <c r="Q242" i="6"/>
  <c r="Q243" i="6"/>
  <c r="Q244" i="6"/>
  <c r="Q245" i="6"/>
  <c r="Q246" i="6"/>
  <c r="Q247" i="6"/>
  <c r="Q248" i="6"/>
  <c r="Q249" i="6"/>
  <c r="Q250" i="6"/>
  <c r="Q251" i="6"/>
  <c r="Q252" i="6"/>
  <c r="Q253" i="6"/>
  <c r="Q254" i="6"/>
  <c r="Q255" i="6"/>
  <c r="Q256" i="6"/>
  <c r="Q257" i="6"/>
  <c r="Q258" i="6"/>
  <c r="Q259" i="6"/>
  <c r="Q260" i="6"/>
  <c r="Q261" i="6"/>
  <c r="Q262" i="6"/>
  <c r="Q263" i="6"/>
  <c r="Q264" i="6"/>
  <c r="Q265" i="6"/>
  <c r="Q266" i="6"/>
  <c r="Q267" i="6"/>
  <c r="Q268" i="6"/>
  <c r="Q269" i="6"/>
  <c r="Q270" i="6"/>
  <c r="Q271" i="6"/>
  <c r="Q272" i="6"/>
  <c r="Q273" i="6"/>
  <c r="Q274" i="6"/>
  <c r="Q275" i="6"/>
  <c r="Q276" i="6"/>
  <c r="Q277" i="6"/>
  <c r="Q278" i="6"/>
  <c r="Q279" i="6"/>
  <c r="Q280" i="6"/>
  <c r="P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U2" i="6" l="1"/>
  <c r="T2" i="6"/>
  <c r="N28" i="6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M2" i="17"/>
  <c r="M3" i="17"/>
  <c r="M4" i="17"/>
  <c r="M5" i="17"/>
  <c r="M6" i="17"/>
  <c r="M7" i="17"/>
  <c r="M8" i="17"/>
  <c r="M9" i="17"/>
  <c r="M10" i="17"/>
  <c r="M11" i="17"/>
  <c r="M12" i="17"/>
  <c r="M13" i="17"/>
  <c r="M14" i="17"/>
  <c r="M15" i="17"/>
  <c r="M16" i="17"/>
  <c r="M17" i="17"/>
  <c r="M18" i="17"/>
  <c r="M19" i="17"/>
  <c r="M20" i="17"/>
  <c r="M21" i="17"/>
  <c r="M22" i="17"/>
  <c r="M23" i="17"/>
  <c r="M24" i="17"/>
  <c r="M25" i="17"/>
  <c r="M26" i="17"/>
  <c r="M27" i="17"/>
  <c r="M28" i="17"/>
  <c r="M29" i="17"/>
  <c r="M30" i="17"/>
  <c r="M31" i="17"/>
  <c r="M32" i="17"/>
  <c r="M33" i="17"/>
  <c r="M34" i="17"/>
  <c r="M35" i="17"/>
  <c r="M36" i="17"/>
  <c r="M37" i="17"/>
  <c r="M38" i="17"/>
  <c r="M39" i="17"/>
  <c r="M40" i="17"/>
  <c r="M41" i="17"/>
  <c r="M42" i="17"/>
  <c r="M43" i="17"/>
  <c r="M44" i="17"/>
  <c r="M45" i="17"/>
  <c r="M46" i="17"/>
  <c r="M47" i="17"/>
  <c r="M48" i="17"/>
  <c r="M49" i="17"/>
  <c r="M50" i="17"/>
  <c r="M51" i="17"/>
  <c r="M52" i="17"/>
  <c r="M53" i="17"/>
  <c r="M54" i="17"/>
  <c r="M55" i="17"/>
  <c r="M56" i="17"/>
  <c r="M57" i="17"/>
  <c r="M58" i="17"/>
  <c r="M59" i="17"/>
  <c r="M60" i="17"/>
  <c r="M61" i="17"/>
  <c r="M62" i="17"/>
  <c r="M63" i="17"/>
  <c r="M64" i="17"/>
  <c r="M65" i="17"/>
  <c r="M66" i="17"/>
  <c r="M67" i="17"/>
  <c r="L2" i="17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R2" i="12"/>
  <c r="I2" i="17"/>
  <c r="I3" i="17"/>
  <c r="I4" i="17"/>
  <c r="I5" i="17"/>
  <c r="I6" i="17"/>
  <c r="I7" i="17"/>
  <c r="I8" i="17"/>
  <c r="I9" i="17"/>
  <c r="I10" i="17"/>
  <c r="I11" i="17"/>
  <c r="I12" i="17"/>
  <c r="I13" i="17"/>
  <c r="I14" i="17"/>
  <c r="I15" i="17"/>
  <c r="I16" i="17"/>
  <c r="I17" i="17"/>
  <c r="I18" i="17"/>
  <c r="I19" i="17"/>
  <c r="I20" i="17"/>
  <c r="I21" i="17"/>
  <c r="I22" i="17"/>
  <c r="I23" i="17"/>
  <c r="I24" i="17"/>
  <c r="I25" i="17"/>
  <c r="I26" i="17"/>
  <c r="I27" i="17"/>
  <c r="I28" i="17"/>
  <c r="I29" i="17"/>
  <c r="I30" i="17"/>
  <c r="I31" i="17"/>
  <c r="I32" i="17"/>
  <c r="I33" i="17"/>
  <c r="I34" i="17"/>
  <c r="I35" i="17"/>
  <c r="I36" i="17"/>
  <c r="I37" i="17"/>
  <c r="I38" i="17"/>
  <c r="I39" i="17"/>
  <c r="I40" i="17"/>
  <c r="I41" i="17"/>
  <c r="I42" i="17"/>
  <c r="I43" i="17"/>
  <c r="I44" i="17"/>
  <c r="I45" i="17"/>
  <c r="I46" i="17"/>
  <c r="I47" i="17"/>
  <c r="I48" i="17"/>
  <c r="I49" i="17"/>
  <c r="I50" i="17"/>
  <c r="I51" i="17"/>
  <c r="I52" i="17"/>
  <c r="I53" i="17"/>
  <c r="I54" i="17"/>
  <c r="I55" i="17"/>
  <c r="I56" i="17"/>
  <c r="I57" i="17"/>
  <c r="I58" i="17"/>
  <c r="I59" i="17"/>
  <c r="I60" i="17"/>
  <c r="I61" i="17"/>
  <c r="I62" i="17"/>
  <c r="I63" i="17"/>
  <c r="I64" i="17"/>
  <c r="I65" i="17"/>
  <c r="I66" i="17"/>
  <c r="I67" i="17"/>
  <c r="V2" i="12"/>
  <c r="V3" i="12"/>
  <c r="V4" i="12"/>
  <c r="V5" i="12"/>
  <c r="V6" i="12"/>
  <c r="V7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39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2" i="12"/>
  <c r="V73" i="12"/>
  <c r="V74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215" i="12"/>
  <c r="V216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2" i="12"/>
  <c r="V393" i="12"/>
  <c r="V394" i="12"/>
  <c r="V395" i="12"/>
  <c r="V396" i="12"/>
  <c r="V397" i="12"/>
  <c r="V398" i="12"/>
  <c r="V399" i="12"/>
  <c r="V400" i="12"/>
  <c r="V401" i="12"/>
  <c r="V402" i="12"/>
  <c r="V403" i="12"/>
  <c r="V404" i="12"/>
  <c r="V405" i="12"/>
  <c r="V406" i="12"/>
  <c r="V407" i="12"/>
  <c r="V408" i="12"/>
  <c r="V409" i="12"/>
  <c r="V410" i="12"/>
  <c r="V411" i="12"/>
  <c r="V412" i="12"/>
  <c r="V413" i="12"/>
  <c r="V414" i="12"/>
  <c r="V415" i="12"/>
  <c r="V416" i="12"/>
  <c r="V417" i="12"/>
  <c r="V418" i="12"/>
  <c r="V419" i="12"/>
  <c r="V420" i="12"/>
  <c r="V421" i="12"/>
  <c r="V422" i="12"/>
  <c r="V423" i="12"/>
  <c r="V424" i="12"/>
  <c r="V425" i="12"/>
  <c r="V426" i="12"/>
  <c r="V427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443" i="12"/>
  <c r="V444" i="12"/>
  <c r="V445" i="12"/>
  <c r="V446" i="12"/>
  <c r="V447" i="12"/>
  <c r="V448" i="12"/>
  <c r="V449" i="12"/>
  <c r="V450" i="12"/>
  <c r="V451" i="12"/>
  <c r="V452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8" i="12"/>
  <c r="V469" i="12"/>
  <c r="V470" i="12"/>
  <c r="V471" i="12"/>
  <c r="V472" i="12"/>
  <c r="V473" i="12"/>
  <c r="V474" i="12"/>
  <c r="V475" i="12"/>
  <c r="V476" i="12"/>
  <c r="V477" i="12"/>
  <c r="V478" i="12"/>
  <c r="V479" i="12"/>
  <c r="V480" i="12"/>
  <c r="V481" i="12"/>
  <c r="V482" i="12"/>
  <c r="V483" i="12"/>
  <c r="V484" i="12"/>
  <c r="V485" i="12"/>
  <c r="V486" i="12"/>
  <c r="V487" i="12"/>
  <c r="V488" i="12"/>
  <c r="V489" i="12"/>
  <c r="V490" i="12"/>
  <c r="V491" i="12"/>
  <c r="V492" i="12"/>
  <c r="V493" i="12"/>
  <c r="V494" i="12"/>
  <c r="V495" i="12"/>
  <c r="V496" i="12"/>
  <c r="V497" i="12"/>
  <c r="V498" i="12"/>
  <c r="V499" i="12"/>
  <c r="V500" i="12"/>
  <c r="V501" i="12"/>
  <c r="V502" i="12"/>
  <c r="V503" i="12"/>
  <c r="V504" i="12"/>
  <c r="V505" i="12"/>
  <c r="V506" i="12"/>
  <c r="V507" i="12"/>
  <c r="V508" i="12"/>
  <c r="V509" i="12"/>
  <c r="V510" i="12"/>
  <c r="V511" i="12"/>
  <c r="V512" i="12"/>
  <c r="V513" i="12"/>
  <c r="V514" i="12"/>
  <c r="V515" i="12"/>
  <c r="V516" i="12"/>
  <c r="V517" i="12"/>
  <c r="V518" i="12"/>
  <c r="V519" i="12"/>
  <c r="V520" i="12"/>
  <c r="V521" i="12"/>
  <c r="V522" i="12"/>
  <c r="V523" i="12"/>
  <c r="V524" i="12"/>
  <c r="V525" i="12"/>
  <c r="V526" i="12"/>
  <c r="V527" i="12"/>
  <c r="V528" i="12"/>
  <c r="V529" i="12"/>
  <c r="V530" i="12"/>
  <c r="V531" i="12"/>
  <c r="V532" i="12"/>
  <c r="V533" i="12"/>
  <c r="V534" i="12"/>
  <c r="V535" i="12"/>
  <c r="V536" i="12"/>
  <c r="V537" i="12"/>
  <c r="V538" i="12"/>
  <c r="V539" i="12"/>
  <c r="V540" i="12"/>
  <c r="V541" i="12"/>
  <c r="V542" i="12"/>
  <c r="V543" i="12"/>
  <c r="V544" i="12"/>
  <c r="V545" i="12"/>
  <c r="V546" i="12"/>
  <c r="V547" i="12"/>
  <c r="V548" i="12"/>
  <c r="V549" i="12"/>
  <c r="V550" i="12"/>
  <c r="V551" i="12"/>
  <c r="V552" i="12"/>
  <c r="V553" i="12"/>
  <c r="V554" i="12"/>
  <c r="V555" i="12"/>
  <c r="V556" i="12"/>
  <c r="V557" i="12"/>
  <c r="V558" i="12"/>
  <c r="U2" i="12"/>
  <c r="U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45" i="12"/>
  <c r="U46" i="12"/>
  <c r="U47" i="12"/>
  <c r="U48" i="12"/>
  <c r="U49" i="12"/>
  <c r="U50" i="12"/>
  <c r="U51" i="12"/>
  <c r="U52" i="12"/>
  <c r="U53" i="12"/>
  <c r="U54" i="12"/>
  <c r="U55" i="12"/>
  <c r="U56" i="12"/>
  <c r="U57" i="12"/>
  <c r="U58" i="12"/>
  <c r="U59" i="12"/>
  <c r="U60" i="12"/>
  <c r="U61" i="12"/>
  <c r="U62" i="12"/>
  <c r="U63" i="12"/>
  <c r="U64" i="12"/>
  <c r="U65" i="12"/>
  <c r="U66" i="12"/>
  <c r="U67" i="12"/>
  <c r="U68" i="12"/>
  <c r="U69" i="12"/>
  <c r="U70" i="12"/>
  <c r="U71" i="12"/>
  <c r="U72" i="12"/>
  <c r="U73" i="12"/>
  <c r="U74" i="12"/>
  <c r="U75" i="12"/>
  <c r="U76" i="12"/>
  <c r="U77" i="12"/>
  <c r="U78" i="12"/>
  <c r="U79" i="12"/>
  <c r="U80" i="12"/>
  <c r="U81" i="12"/>
  <c r="U82" i="12"/>
  <c r="U83" i="12"/>
  <c r="U84" i="12"/>
  <c r="U85" i="12"/>
  <c r="U86" i="12"/>
  <c r="U87" i="12"/>
  <c r="U88" i="12"/>
  <c r="U89" i="12"/>
  <c r="U90" i="12"/>
  <c r="U91" i="12"/>
  <c r="U92" i="12"/>
  <c r="U93" i="12"/>
  <c r="U94" i="12"/>
  <c r="U95" i="12"/>
  <c r="U96" i="12"/>
  <c r="U97" i="12"/>
  <c r="U98" i="12"/>
  <c r="U99" i="12"/>
  <c r="U100" i="12"/>
  <c r="U101" i="12"/>
  <c r="U102" i="12"/>
  <c r="U103" i="12"/>
  <c r="U104" i="12"/>
  <c r="U105" i="12"/>
  <c r="U106" i="12"/>
  <c r="U107" i="12"/>
  <c r="U108" i="12"/>
  <c r="U109" i="12"/>
  <c r="U110" i="12"/>
  <c r="U111" i="12"/>
  <c r="U112" i="12"/>
  <c r="U113" i="12"/>
  <c r="U114" i="12"/>
  <c r="U115" i="12"/>
  <c r="U116" i="12"/>
  <c r="U117" i="12"/>
  <c r="U118" i="12"/>
  <c r="U119" i="12"/>
  <c r="U120" i="12"/>
  <c r="U121" i="12"/>
  <c r="U122" i="12"/>
  <c r="U123" i="12"/>
  <c r="U124" i="12"/>
  <c r="U125" i="12"/>
  <c r="U126" i="12"/>
  <c r="U127" i="12"/>
  <c r="U128" i="12"/>
  <c r="U129" i="12"/>
  <c r="U130" i="12"/>
  <c r="U131" i="12"/>
  <c r="U132" i="12"/>
  <c r="U133" i="12"/>
  <c r="U134" i="12"/>
  <c r="U135" i="12"/>
  <c r="U136" i="12"/>
  <c r="U137" i="12"/>
  <c r="U138" i="12"/>
  <c r="U139" i="12"/>
  <c r="U140" i="12"/>
  <c r="U141" i="12"/>
  <c r="U142" i="12"/>
  <c r="U143" i="12"/>
  <c r="U144" i="12"/>
  <c r="U145" i="12"/>
  <c r="U146" i="12"/>
  <c r="U147" i="12"/>
  <c r="U148" i="12"/>
  <c r="U149" i="12"/>
  <c r="U150" i="12"/>
  <c r="U151" i="12"/>
  <c r="U152" i="12"/>
  <c r="U153" i="12"/>
  <c r="U154" i="12"/>
  <c r="U155" i="12"/>
  <c r="U156" i="12"/>
  <c r="U157" i="12"/>
  <c r="U158" i="12"/>
  <c r="U159" i="12"/>
  <c r="U160" i="12"/>
  <c r="U161" i="12"/>
  <c r="U162" i="12"/>
  <c r="U163" i="12"/>
  <c r="U164" i="12"/>
  <c r="U165" i="12"/>
  <c r="U166" i="12"/>
  <c r="U167" i="12"/>
  <c r="U168" i="12"/>
  <c r="U169" i="12"/>
  <c r="U170" i="12"/>
  <c r="U171" i="12"/>
  <c r="U172" i="12"/>
  <c r="U173" i="12"/>
  <c r="U174" i="12"/>
  <c r="U175" i="12"/>
  <c r="U176" i="12"/>
  <c r="U177" i="12"/>
  <c r="U178" i="12"/>
  <c r="U179" i="12"/>
  <c r="U180" i="12"/>
  <c r="U181" i="12"/>
  <c r="U182" i="12"/>
  <c r="U183" i="12"/>
  <c r="U184" i="12"/>
  <c r="U185" i="12"/>
  <c r="U186" i="12"/>
  <c r="U187" i="12"/>
  <c r="U188" i="12"/>
  <c r="U189" i="12"/>
  <c r="U190" i="12"/>
  <c r="U191" i="12"/>
  <c r="U192" i="12"/>
  <c r="U193" i="12"/>
  <c r="U194" i="12"/>
  <c r="U195" i="12"/>
  <c r="U196" i="12"/>
  <c r="U197" i="12"/>
  <c r="U198" i="12"/>
  <c r="U199" i="12"/>
  <c r="U200" i="12"/>
  <c r="U201" i="12"/>
  <c r="U202" i="12"/>
  <c r="U203" i="12"/>
  <c r="U204" i="12"/>
  <c r="U205" i="12"/>
  <c r="U206" i="12"/>
  <c r="U207" i="12"/>
  <c r="U208" i="12"/>
  <c r="U209" i="12"/>
  <c r="U210" i="12"/>
  <c r="U211" i="12"/>
  <c r="U212" i="12"/>
  <c r="U213" i="12"/>
  <c r="U214" i="12"/>
  <c r="U215" i="12"/>
  <c r="U216" i="12"/>
  <c r="U217" i="12"/>
  <c r="U218" i="12"/>
  <c r="U219" i="12"/>
  <c r="U220" i="12"/>
  <c r="U221" i="12"/>
  <c r="U222" i="12"/>
  <c r="U223" i="12"/>
  <c r="U224" i="12"/>
  <c r="U225" i="12"/>
  <c r="U226" i="12"/>
  <c r="U227" i="12"/>
  <c r="U228" i="12"/>
  <c r="U229" i="12"/>
  <c r="U230" i="12"/>
  <c r="U231" i="12"/>
  <c r="U232" i="12"/>
  <c r="U233" i="12"/>
  <c r="U234" i="12"/>
  <c r="U235" i="12"/>
  <c r="U236" i="12"/>
  <c r="U237" i="12"/>
  <c r="U238" i="12"/>
  <c r="U239" i="12"/>
  <c r="U240" i="12"/>
  <c r="U241" i="12"/>
  <c r="U242" i="12"/>
  <c r="U243" i="12"/>
  <c r="U244" i="12"/>
  <c r="U245" i="12"/>
  <c r="U246" i="12"/>
  <c r="U247" i="12"/>
  <c r="U248" i="12"/>
  <c r="U249" i="12"/>
  <c r="U250" i="12"/>
  <c r="U251" i="12"/>
  <c r="U252" i="12"/>
  <c r="U253" i="12"/>
  <c r="U254" i="12"/>
  <c r="U255" i="12"/>
  <c r="U256" i="12"/>
  <c r="U257" i="12"/>
  <c r="U258" i="12"/>
  <c r="U259" i="12"/>
  <c r="U260" i="12"/>
  <c r="U261" i="12"/>
  <c r="U262" i="12"/>
  <c r="U263" i="12"/>
  <c r="U264" i="12"/>
  <c r="U265" i="12"/>
  <c r="U266" i="12"/>
  <c r="U267" i="12"/>
  <c r="U268" i="12"/>
  <c r="U269" i="12"/>
  <c r="U270" i="12"/>
  <c r="U271" i="12"/>
  <c r="U272" i="12"/>
  <c r="U273" i="12"/>
  <c r="U274" i="12"/>
  <c r="U275" i="12"/>
  <c r="U276" i="12"/>
  <c r="U277" i="12"/>
  <c r="U278" i="12"/>
  <c r="U279" i="12"/>
  <c r="U280" i="12"/>
  <c r="U281" i="12"/>
  <c r="U282" i="12"/>
  <c r="U283" i="12"/>
  <c r="U284" i="12"/>
  <c r="U285" i="12"/>
  <c r="U286" i="12"/>
  <c r="U287" i="12"/>
  <c r="U288" i="12"/>
  <c r="U289" i="12"/>
  <c r="U290" i="12"/>
  <c r="U291" i="12"/>
  <c r="U292" i="12"/>
  <c r="U293" i="12"/>
  <c r="U294" i="12"/>
  <c r="U295" i="12"/>
  <c r="U296" i="12"/>
  <c r="U297" i="12"/>
  <c r="U298" i="12"/>
  <c r="U299" i="12"/>
  <c r="U300" i="12"/>
  <c r="U301" i="12"/>
  <c r="U302" i="12"/>
  <c r="U303" i="12"/>
  <c r="U304" i="12"/>
  <c r="U305" i="12"/>
  <c r="U306" i="12"/>
  <c r="U307" i="12"/>
  <c r="U308" i="12"/>
  <c r="U309" i="12"/>
  <c r="U310" i="12"/>
  <c r="U311" i="12"/>
  <c r="U312" i="12"/>
  <c r="U313" i="12"/>
  <c r="U314" i="12"/>
  <c r="U315" i="12"/>
  <c r="U316" i="12"/>
  <c r="U317" i="12"/>
  <c r="U318" i="12"/>
  <c r="U319" i="12"/>
  <c r="U320" i="12"/>
  <c r="U321" i="12"/>
  <c r="U322" i="12"/>
  <c r="U323" i="12"/>
  <c r="U324" i="12"/>
  <c r="U325" i="12"/>
  <c r="U326" i="12"/>
  <c r="U327" i="12"/>
  <c r="U328" i="12"/>
  <c r="U329" i="12"/>
  <c r="U330" i="12"/>
  <c r="U331" i="12"/>
  <c r="U332" i="12"/>
  <c r="U333" i="12"/>
  <c r="U334" i="12"/>
  <c r="U335" i="12"/>
  <c r="U336" i="12"/>
  <c r="U337" i="12"/>
  <c r="U338" i="12"/>
  <c r="U339" i="12"/>
  <c r="U340" i="12"/>
  <c r="U341" i="12"/>
  <c r="U342" i="12"/>
  <c r="U343" i="12"/>
  <c r="U344" i="12"/>
  <c r="U345" i="12"/>
  <c r="U346" i="12"/>
  <c r="U347" i="12"/>
  <c r="U348" i="12"/>
  <c r="U349" i="12"/>
  <c r="U350" i="12"/>
  <c r="U351" i="12"/>
  <c r="U352" i="12"/>
  <c r="U353" i="12"/>
  <c r="U354" i="12"/>
  <c r="U355" i="12"/>
  <c r="U356" i="12"/>
  <c r="U357" i="12"/>
  <c r="U358" i="12"/>
  <c r="U359" i="12"/>
  <c r="U360" i="12"/>
  <c r="U361" i="12"/>
  <c r="U362" i="12"/>
  <c r="U363" i="12"/>
  <c r="U364" i="12"/>
  <c r="U365" i="12"/>
  <c r="U366" i="12"/>
  <c r="U367" i="12"/>
  <c r="U368" i="12"/>
  <c r="U369" i="12"/>
  <c r="U370" i="12"/>
  <c r="U371" i="12"/>
  <c r="U372" i="12"/>
  <c r="U373" i="12"/>
  <c r="U374" i="12"/>
  <c r="U375" i="12"/>
  <c r="U376" i="12"/>
  <c r="U377" i="12"/>
  <c r="U378" i="12"/>
  <c r="U379" i="12"/>
  <c r="U380" i="12"/>
  <c r="U381" i="12"/>
  <c r="U382" i="12"/>
  <c r="U383" i="12"/>
  <c r="U384" i="12"/>
  <c r="U385" i="12"/>
  <c r="U386" i="12"/>
  <c r="U387" i="12"/>
  <c r="U388" i="12"/>
  <c r="U389" i="12"/>
  <c r="U390" i="12"/>
  <c r="U391" i="12"/>
  <c r="U392" i="12"/>
  <c r="U393" i="12"/>
  <c r="U394" i="12"/>
  <c r="U395" i="12"/>
  <c r="U396" i="12"/>
  <c r="U397" i="12"/>
  <c r="U398" i="12"/>
  <c r="U399" i="12"/>
  <c r="U400" i="12"/>
  <c r="U401" i="12"/>
  <c r="U402" i="12"/>
  <c r="U403" i="12"/>
  <c r="U404" i="12"/>
  <c r="U405" i="12"/>
  <c r="U406" i="12"/>
  <c r="U407" i="12"/>
  <c r="U408" i="12"/>
  <c r="U409" i="12"/>
  <c r="U410" i="12"/>
  <c r="U411" i="12"/>
  <c r="U412" i="12"/>
  <c r="U413" i="12"/>
  <c r="U414" i="12"/>
  <c r="U415" i="12"/>
  <c r="U416" i="12"/>
  <c r="U417" i="12"/>
  <c r="U418" i="12"/>
  <c r="U419" i="12"/>
  <c r="U420" i="12"/>
  <c r="U421" i="12"/>
  <c r="U422" i="12"/>
  <c r="U423" i="12"/>
  <c r="U424" i="12"/>
  <c r="U425" i="12"/>
  <c r="U426" i="12"/>
  <c r="U427" i="12"/>
  <c r="U428" i="12"/>
  <c r="U429" i="12"/>
  <c r="U430" i="12"/>
  <c r="U431" i="12"/>
  <c r="U432" i="12"/>
  <c r="U433" i="12"/>
  <c r="U434" i="12"/>
  <c r="U435" i="12"/>
  <c r="U436" i="12"/>
  <c r="U437" i="12"/>
  <c r="U438" i="12"/>
  <c r="U439" i="12"/>
  <c r="U440" i="12"/>
  <c r="U441" i="12"/>
  <c r="U442" i="12"/>
  <c r="U443" i="12"/>
  <c r="U444" i="12"/>
  <c r="U445" i="12"/>
  <c r="U446" i="12"/>
  <c r="U447" i="12"/>
  <c r="U448" i="12"/>
  <c r="U449" i="12"/>
  <c r="U450" i="12"/>
  <c r="U451" i="12"/>
  <c r="U452" i="12"/>
  <c r="U453" i="12"/>
  <c r="U454" i="12"/>
  <c r="U455" i="12"/>
  <c r="U456" i="12"/>
  <c r="U457" i="12"/>
  <c r="U458" i="12"/>
  <c r="U459" i="12"/>
  <c r="U460" i="12"/>
  <c r="U461" i="12"/>
  <c r="U462" i="12"/>
  <c r="U463" i="12"/>
  <c r="U464" i="12"/>
  <c r="U465" i="12"/>
  <c r="U466" i="12"/>
  <c r="U467" i="12"/>
  <c r="U468" i="12"/>
  <c r="U469" i="12"/>
  <c r="U470" i="12"/>
  <c r="U471" i="12"/>
  <c r="U472" i="12"/>
  <c r="U473" i="12"/>
  <c r="U474" i="12"/>
  <c r="U475" i="12"/>
  <c r="U476" i="12"/>
  <c r="U477" i="12"/>
  <c r="U478" i="12"/>
  <c r="U479" i="12"/>
  <c r="U480" i="12"/>
  <c r="U481" i="12"/>
  <c r="U482" i="12"/>
  <c r="U483" i="12"/>
  <c r="U484" i="12"/>
  <c r="U485" i="12"/>
  <c r="U486" i="12"/>
  <c r="U487" i="12"/>
  <c r="U488" i="12"/>
  <c r="U489" i="12"/>
  <c r="U490" i="12"/>
  <c r="U491" i="12"/>
  <c r="U492" i="12"/>
  <c r="U493" i="12"/>
  <c r="U494" i="12"/>
  <c r="U495" i="12"/>
  <c r="U496" i="12"/>
  <c r="U497" i="12"/>
  <c r="U498" i="12"/>
  <c r="U499" i="12"/>
  <c r="U500" i="12"/>
  <c r="U501" i="12"/>
  <c r="U502" i="12"/>
  <c r="U503" i="12"/>
  <c r="U504" i="12"/>
  <c r="U505" i="12"/>
  <c r="U506" i="12"/>
  <c r="U507" i="12"/>
  <c r="U508" i="12"/>
  <c r="U509" i="12"/>
  <c r="U510" i="12"/>
  <c r="U511" i="12"/>
  <c r="U512" i="12"/>
  <c r="U513" i="12"/>
  <c r="U514" i="12"/>
  <c r="U515" i="12"/>
  <c r="U516" i="12"/>
  <c r="U517" i="12"/>
  <c r="U518" i="12"/>
  <c r="U519" i="12"/>
  <c r="U520" i="12"/>
  <c r="U521" i="12"/>
  <c r="U522" i="12"/>
  <c r="U523" i="12"/>
  <c r="U524" i="12"/>
  <c r="U525" i="12"/>
  <c r="U526" i="12"/>
  <c r="U527" i="12"/>
  <c r="U528" i="12"/>
  <c r="U529" i="12"/>
  <c r="U530" i="12"/>
  <c r="U531" i="12"/>
  <c r="U532" i="12"/>
  <c r="U533" i="12"/>
  <c r="U534" i="12"/>
  <c r="U535" i="12"/>
  <c r="U536" i="12"/>
  <c r="U537" i="12"/>
  <c r="U538" i="12"/>
  <c r="U539" i="12"/>
  <c r="U540" i="12"/>
  <c r="U541" i="12"/>
  <c r="U542" i="12"/>
  <c r="U543" i="12"/>
  <c r="U544" i="12"/>
  <c r="U545" i="12"/>
  <c r="U546" i="12"/>
  <c r="U547" i="12"/>
  <c r="U548" i="12"/>
  <c r="U549" i="12"/>
  <c r="U550" i="12"/>
  <c r="U551" i="12"/>
  <c r="U552" i="12"/>
  <c r="U553" i="12"/>
  <c r="U554" i="12"/>
  <c r="U555" i="12"/>
  <c r="U556" i="12"/>
  <c r="U557" i="12"/>
  <c r="U558" i="12"/>
  <c r="T2" i="12"/>
  <c r="T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184" i="12"/>
  <c r="T185" i="12"/>
  <c r="T186" i="12"/>
  <c r="T187" i="12"/>
  <c r="T188" i="12"/>
  <c r="T189" i="12"/>
  <c r="T190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203" i="12"/>
  <c r="T204" i="12"/>
  <c r="T205" i="12"/>
  <c r="T206" i="12"/>
  <c r="T207" i="12"/>
  <c r="T208" i="12"/>
  <c r="T209" i="12"/>
  <c r="T210" i="12"/>
  <c r="T211" i="12"/>
  <c r="T212" i="12"/>
  <c r="T213" i="12"/>
  <c r="T214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235" i="12"/>
  <c r="T236" i="12"/>
  <c r="T237" i="12"/>
  <c r="T238" i="12"/>
  <c r="T239" i="12"/>
  <c r="T240" i="12"/>
  <c r="T241" i="12"/>
  <c r="T242" i="12"/>
  <c r="T243" i="12"/>
  <c r="T244" i="12"/>
  <c r="T245" i="12"/>
  <c r="T246" i="12"/>
  <c r="T247" i="12"/>
  <c r="T248" i="12"/>
  <c r="T249" i="12"/>
  <c r="T250" i="12"/>
  <c r="T251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7" i="12"/>
  <c r="T298" i="12"/>
  <c r="T299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334" i="12"/>
  <c r="T335" i="12"/>
  <c r="T336" i="12"/>
  <c r="T337" i="12"/>
  <c r="T338" i="12"/>
  <c r="T339" i="12"/>
  <c r="T340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400" i="12"/>
  <c r="T401" i="12"/>
  <c r="T402" i="12"/>
  <c r="T403" i="12"/>
  <c r="T404" i="12"/>
  <c r="T405" i="12"/>
  <c r="T406" i="12"/>
  <c r="T407" i="12"/>
  <c r="T408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421" i="12"/>
  <c r="T422" i="12"/>
  <c r="T423" i="12"/>
  <c r="T424" i="12"/>
  <c r="T425" i="12"/>
  <c r="T426" i="12"/>
  <c r="T427" i="12"/>
  <c r="T428" i="12"/>
  <c r="T429" i="12"/>
  <c r="T430" i="12"/>
  <c r="T431" i="12"/>
  <c r="T432" i="12"/>
  <c r="T433" i="12"/>
  <c r="T434" i="12"/>
  <c r="T435" i="12"/>
  <c r="T436" i="12"/>
  <c r="T437" i="12"/>
  <c r="T438" i="12"/>
  <c r="T439" i="12"/>
  <c r="T440" i="12"/>
  <c r="T441" i="12"/>
  <c r="T442" i="12"/>
  <c r="T443" i="12"/>
  <c r="T444" i="12"/>
  <c r="T445" i="12"/>
  <c r="T446" i="12"/>
  <c r="T447" i="12"/>
  <c r="T448" i="12"/>
  <c r="T449" i="12"/>
  <c r="T450" i="12"/>
  <c r="T451" i="12"/>
  <c r="T452" i="12"/>
  <c r="T453" i="12"/>
  <c r="T454" i="12"/>
  <c r="T455" i="12"/>
  <c r="T456" i="12"/>
  <c r="T457" i="12"/>
  <c r="T458" i="12"/>
  <c r="T459" i="12"/>
  <c r="T460" i="12"/>
  <c r="T461" i="12"/>
  <c r="T462" i="12"/>
  <c r="T463" i="12"/>
  <c r="T464" i="12"/>
  <c r="T465" i="12"/>
  <c r="T466" i="12"/>
  <c r="T467" i="12"/>
  <c r="T468" i="12"/>
  <c r="T469" i="12"/>
  <c r="T470" i="12"/>
  <c r="T471" i="12"/>
  <c r="T472" i="12"/>
  <c r="T473" i="12"/>
  <c r="T474" i="12"/>
  <c r="T475" i="12"/>
  <c r="T476" i="12"/>
  <c r="T477" i="12"/>
  <c r="T478" i="12"/>
  <c r="T479" i="12"/>
  <c r="T480" i="12"/>
  <c r="T481" i="12"/>
  <c r="T482" i="12"/>
  <c r="T483" i="12"/>
  <c r="T484" i="12"/>
  <c r="T485" i="12"/>
  <c r="T486" i="12"/>
  <c r="T487" i="12"/>
  <c r="T488" i="12"/>
  <c r="T489" i="12"/>
  <c r="T490" i="12"/>
  <c r="T491" i="12"/>
  <c r="T492" i="12"/>
  <c r="T493" i="12"/>
  <c r="T494" i="12"/>
  <c r="T495" i="12"/>
  <c r="T496" i="12"/>
  <c r="T497" i="12"/>
  <c r="T498" i="12"/>
  <c r="T499" i="12"/>
  <c r="T500" i="12"/>
  <c r="T501" i="12"/>
  <c r="T502" i="12"/>
  <c r="T503" i="12"/>
  <c r="T504" i="12"/>
  <c r="T505" i="12"/>
  <c r="T506" i="12"/>
  <c r="T507" i="12"/>
  <c r="T508" i="12"/>
  <c r="T509" i="12"/>
  <c r="T510" i="12"/>
  <c r="T511" i="12"/>
  <c r="T512" i="12"/>
  <c r="T513" i="12"/>
  <c r="T514" i="12"/>
  <c r="T515" i="12"/>
  <c r="T516" i="12"/>
  <c r="T517" i="12"/>
  <c r="T518" i="12"/>
  <c r="T519" i="12"/>
  <c r="T520" i="12"/>
  <c r="T521" i="12"/>
  <c r="T522" i="12"/>
  <c r="T523" i="12"/>
  <c r="T524" i="12"/>
  <c r="T525" i="12"/>
  <c r="T526" i="12"/>
  <c r="T527" i="12"/>
  <c r="T528" i="12"/>
  <c r="T529" i="12"/>
  <c r="T530" i="12"/>
  <c r="T531" i="12"/>
  <c r="T532" i="12"/>
  <c r="T533" i="12"/>
  <c r="T534" i="12"/>
  <c r="T535" i="12"/>
  <c r="T536" i="12"/>
  <c r="T537" i="12"/>
  <c r="T538" i="12"/>
  <c r="T539" i="12"/>
  <c r="T540" i="12"/>
  <c r="T541" i="12"/>
  <c r="T542" i="12"/>
  <c r="T543" i="12"/>
  <c r="T544" i="12"/>
  <c r="T545" i="12"/>
  <c r="T546" i="12"/>
  <c r="T547" i="12"/>
  <c r="T548" i="12"/>
  <c r="T549" i="12"/>
  <c r="T550" i="12"/>
  <c r="T551" i="12"/>
  <c r="T552" i="12"/>
  <c r="T553" i="12"/>
  <c r="T554" i="12"/>
  <c r="T555" i="12"/>
  <c r="T556" i="12"/>
  <c r="T557" i="12"/>
  <c r="T558" i="12"/>
  <c r="S2" i="12"/>
  <c r="S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3" i="12"/>
  <c r="S474" i="12"/>
  <c r="S475" i="12"/>
  <c r="S476" i="12"/>
  <c r="S477" i="12"/>
  <c r="S478" i="12"/>
  <c r="S479" i="12"/>
  <c r="S480" i="12"/>
  <c r="S481" i="12"/>
  <c r="S482" i="12"/>
  <c r="S483" i="12"/>
  <c r="S484" i="12"/>
  <c r="S485" i="12"/>
  <c r="S486" i="12"/>
  <c r="S487" i="12"/>
  <c r="S488" i="12"/>
  <c r="S489" i="12"/>
  <c r="S490" i="12"/>
  <c r="S491" i="12"/>
  <c r="S492" i="12"/>
  <c r="S493" i="12"/>
  <c r="S494" i="12"/>
  <c r="S495" i="12"/>
  <c r="S496" i="12"/>
  <c r="S497" i="12"/>
  <c r="S498" i="12"/>
  <c r="S499" i="12"/>
  <c r="S500" i="12"/>
  <c r="S501" i="12"/>
  <c r="S502" i="12"/>
  <c r="S503" i="12"/>
  <c r="S504" i="12"/>
  <c r="S505" i="12"/>
  <c r="S506" i="12"/>
  <c r="S507" i="12"/>
  <c r="S508" i="12"/>
  <c r="S509" i="12"/>
  <c r="S510" i="12"/>
  <c r="S511" i="12"/>
  <c r="S512" i="12"/>
  <c r="S513" i="12"/>
  <c r="S514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528" i="12"/>
  <c r="S529" i="12"/>
  <c r="S530" i="12"/>
  <c r="S531" i="12"/>
  <c r="S532" i="12"/>
  <c r="S533" i="12"/>
  <c r="S534" i="12"/>
  <c r="S535" i="12"/>
  <c r="S536" i="12"/>
  <c r="S537" i="12"/>
  <c r="S538" i="12"/>
  <c r="S539" i="12"/>
  <c r="S540" i="12"/>
  <c r="S541" i="12"/>
  <c r="S542" i="12"/>
  <c r="S543" i="12"/>
  <c r="S544" i="12"/>
  <c r="S545" i="12"/>
  <c r="S546" i="12"/>
  <c r="S547" i="12"/>
  <c r="S548" i="12"/>
  <c r="S549" i="12"/>
  <c r="S550" i="12"/>
  <c r="S551" i="12"/>
  <c r="S552" i="12"/>
  <c r="S553" i="12"/>
  <c r="S554" i="12"/>
  <c r="S555" i="12"/>
  <c r="S556" i="12"/>
  <c r="S557" i="12"/>
  <c r="S558" i="12"/>
  <c r="R3" i="12"/>
  <c r="R4" i="12"/>
  <c r="R5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J2" i="11"/>
  <c r="P2" i="11"/>
  <c r="P3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Q2" i="12"/>
  <c r="Q3" i="12"/>
  <c r="Q4" i="12"/>
  <c r="Q5" i="12"/>
  <c r="Q6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6" i="12"/>
  <c r="Q507" i="12"/>
  <c r="Q508" i="12"/>
  <c r="Q509" i="12"/>
  <c r="Q510" i="12"/>
  <c r="Q511" i="12"/>
  <c r="Q512" i="12"/>
  <c r="Q513" i="12"/>
  <c r="Q514" i="12"/>
  <c r="Q515" i="12"/>
  <c r="Q516" i="12"/>
  <c r="Q517" i="12"/>
  <c r="Q518" i="12"/>
  <c r="Q519" i="12"/>
  <c r="Q520" i="12"/>
  <c r="Q521" i="12"/>
  <c r="Q522" i="12"/>
  <c r="Q523" i="12"/>
  <c r="Q524" i="12"/>
  <c r="Q525" i="12"/>
  <c r="Q526" i="12"/>
  <c r="Q527" i="12"/>
  <c r="Q528" i="12"/>
  <c r="Q529" i="12"/>
  <c r="Q530" i="12"/>
  <c r="Q531" i="12"/>
  <c r="Q532" i="12"/>
  <c r="Q533" i="12"/>
  <c r="Q534" i="12"/>
  <c r="Q535" i="12"/>
  <c r="Q536" i="12"/>
  <c r="Q537" i="12"/>
  <c r="Q538" i="12"/>
  <c r="Q539" i="12"/>
  <c r="Q540" i="12"/>
  <c r="Q541" i="12"/>
  <c r="Q542" i="12"/>
  <c r="Q543" i="12"/>
  <c r="Q544" i="12"/>
  <c r="Q545" i="12"/>
  <c r="Q546" i="12"/>
  <c r="Q547" i="12"/>
  <c r="Q548" i="12"/>
  <c r="Q549" i="12"/>
  <c r="Q550" i="12"/>
  <c r="Q551" i="12"/>
  <c r="Q552" i="12"/>
  <c r="Q553" i="12"/>
  <c r="Q554" i="12"/>
  <c r="Q555" i="12"/>
  <c r="Q556" i="12"/>
  <c r="Q557" i="12"/>
  <c r="Q558" i="12"/>
  <c r="O2" i="5"/>
  <c r="O3" i="5"/>
  <c r="O4" i="5"/>
  <c r="O5" i="5"/>
  <c r="O6" i="5"/>
  <c r="O7" i="5"/>
  <c r="O8" i="5"/>
  <c r="O9" i="5"/>
  <c r="O10" i="5"/>
  <c r="O11" i="5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N2" i="5"/>
  <c r="N3" i="5"/>
  <c r="N4" i="5"/>
  <c r="N5" i="5"/>
  <c r="N6" i="5"/>
  <c r="N7" i="5"/>
  <c r="N8" i="5"/>
  <c r="N9" i="5"/>
  <c r="N10" i="5"/>
  <c r="N11" i="5"/>
  <c r="K2" i="5"/>
  <c r="K3" i="5"/>
  <c r="K4" i="5"/>
  <c r="K5" i="5"/>
  <c r="K6" i="5"/>
  <c r="K7" i="5"/>
  <c r="K8" i="5"/>
  <c r="K9" i="5"/>
  <c r="K10" i="5"/>
  <c r="K11" i="5"/>
  <c r="L2" i="5"/>
  <c r="L3" i="5"/>
  <c r="L4" i="5"/>
  <c r="L5" i="5"/>
  <c r="L6" i="5"/>
  <c r="L7" i="5"/>
  <c r="L8" i="5"/>
  <c r="L9" i="5"/>
  <c r="L10" i="5"/>
  <c r="L11" i="5"/>
  <c r="M2" i="5"/>
  <c r="M3" i="5"/>
  <c r="M4" i="5"/>
  <c r="M5" i="5"/>
  <c r="M6" i="5"/>
  <c r="M7" i="5"/>
  <c r="M8" i="5"/>
  <c r="M9" i="5"/>
  <c r="M10" i="5"/>
  <c r="M11" i="5"/>
  <c r="O5" i="1"/>
  <c r="J2" i="5"/>
  <c r="J3" i="5"/>
  <c r="J4" i="5"/>
  <c r="J5" i="5"/>
  <c r="J6" i="5"/>
  <c r="J7" i="5"/>
  <c r="J8" i="5"/>
  <c r="J9" i="5"/>
  <c r="J10" i="5"/>
  <c r="J11" i="5"/>
  <c r="I2" i="5"/>
  <c r="I3" i="5"/>
  <c r="I4" i="5"/>
  <c r="I5" i="5"/>
  <c r="I6" i="5"/>
  <c r="I7" i="5"/>
  <c r="I8" i="5"/>
  <c r="I9" i="5"/>
  <c r="I10" i="5"/>
  <c r="I11" i="5"/>
  <c r="H2" i="1"/>
  <c r="O2" i="1"/>
  <c r="O3" i="1"/>
  <c r="O4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I2" i="1"/>
  <c r="I16" i="1"/>
  <c r="I736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1775" i="1"/>
  <c r="I1775" i="1" s="1"/>
  <c r="H1776" i="1"/>
  <c r="I1776" i="1" s="1"/>
  <c r="H1777" i="1"/>
  <c r="I1777" i="1" s="1"/>
  <c r="H1778" i="1"/>
  <c r="I1778" i="1" s="1"/>
  <c r="H1779" i="1"/>
  <c r="I1779" i="1" s="1"/>
  <c r="H1780" i="1"/>
  <c r="I1780" i="1" s="1"/>
  <c r="H1781" i="1"/>
  <c r="I1781" i="1" s="1"/>
  <c r="H1782" i="1"/>
  <c r="I1782" i="1" s="1"/>
  <c r="H1783" i="1"/>
  <c r="I1783" i="1" s="1"/>
  <c r="H1784" i="1"/>
  <c r="I1784" i="1" s="1"/>
  <c r="H1785" i="1"/>
  <c r="I1785" i="1" s="1"/>
  <c r="H1786" i="1"/>
  <c r="I1786" i="1" s="1"/>
  <c r="H1787" i="1"/>
  <c r="I1787" i="1" s="1"/>
  <c r="H1788" i="1"/>
  <c r="I1788" i="1" s="1"/>
  <c r="H1789" i="1"/>
  <c r="I1789" i="1" s="1"/>
  <c r="H1790" i="1"/>
  <c r="I1790" i="1" s="1"/>
  <c r="H1791" i="1"/>
  <c r="I1791" i="1" s="1"/>
  <c r="H1792" i="1"/>
  <c r="I1792" i="1" s="1"/>
  <c r="H1793" i="1"/>
  <c r="I1793" i="1" s="1"/>
  <c r="H1794" i="1"/>
  <c r="I1794" i="1" s="1"/>
  <c r="H1795" i="1"/>
  <c r="I1795" i="1" s="1"/>
  <c r="H1796" i="1"/>
  <c r="I1796" i="1" s="1"/>
  <c r="H1797" i="1"/>
  <c r="I1797" i="1" s="1"/>
  <c r="H1798" i="1"/>
  <c r="I1798" i="1" s="1"/>
  <c r="H1799" i="1"/>
  <c r="I1799" i="1" s="1"/>
  <c r="H1800" i="1"/>
  <c r="I1800" i="1" s="1"/>
  <c r="H1801" i="1"/>
  <c r="I1801" i="1" s="1"/>
  <c r="H1802" i="1"/>
  <c r="I1802" i="1" s="1"/>
  <c r="H1803" i="1"/>
  <c r="I1803" i="1" s="1"/>
  <c r="H1804" i="1"/>
  <c r="I1804" i="1" s="1"/>
  <c r="H1805" i="1"/>
  <c r="I1805" i="1" s="1"/>
  <c r="H1806" i="1"/>
  <c r="I1806" i="1" s="1"/>
  <c r="H1807" i="1"/>
  <c r="I1807" i="1" s="1"/>
  <c r="H1808" i="1"/>
  <c r="I1808" i="1" s="1"/>
  <c r="H1809" i="1"/>
  <c r="I1809" i="1" s="1"/>
  <c r="H1810" i="1"/>
  <c r="I1810" i="1" s="1"/>
  <c r="H1811" i="1"/>
  <c r="I1811" i="1" s="1"/>
  <c r="H1812" i="1"/>
  <c r="I1812" i="1" s="1"/>
  <c r="H1813" i="1"/>
  <c r="I1813" i="1" s="1"/>
  <c r="H1814" i="1"/>
  <c r="I1814" i="1" s="1"/>
  <c r="H1815" i="1"/>
  <c r="I1815" i="1" s="1"/>
  <c r="H1816" i="1"/>
  <c r="I1816" i="1" s="1"/>
  <c r="H1817" i="1"/>
  <c r="I1817" i="1" s="1"/>
  <c r="H1818" i="1"/>
  <c r="I1818" i="1" s="1"/>
  <c r="H1819" i="1"/>
  <c r="I1819" i="1" s="1"/>
  <c r="H1820" i="1"/>
  <c r="I1820" i="1" s="1"/>
  <c r="H1821" i="1"/>
  <c r="I1821" i="1" s="1"/>
  <c r="H1822" i="1"/>
  <c r="I1822" i="1" s="1"/>
  <c r="H1823" i="1"/>
  <c r="I1823" i="1" s="1"/>
  <c r="H1824" i="1"/>
  <c r="I1824" i="1" s="1"/>
  <c r="H1825" i="1"/>
  <c r="I1825" i="1" s="1"/>
  <c r="H1826" i="1"/>
  <c r="I1826" i="1" s="1"/>
  <c r="H1827" i="1"/>
  <c r="I1827" i="1" s="1"/>
  <c r="H1828" i="1"/>
  <c r="I1828" i="1" s="1"/>
  <c r="H1829" i="1"/>
  <c r="I1829" i="1" s="1"/>
  <c r="H1830" i="1"/>
  <c r="I1830" i="1" s="1"/>
  <c r="H1831" i="1"/>
  <c r="I1831" i="1" s="1"/>
  <c r="H1832" i="1"/>
  <c r="I1832" i="1" s="1"/>
  <c r="H1833" i="1"/>
  <c r="I1833" i="1" s="1"/>
  <c r="H1834" i="1"/>
  <c r="I1834" i="1" s="1"/>
  <c r="H1835" i="1"/>
  <c r="I1835" i="1" s="1"/>
  <c r="H1836" i="1"/>
  <c r="I1836" i="1" s="1"/>
  <c r="H1837" i="1"/>
  <c r="I1837" i="1" s="1"/>
  <c r="H1838" i="1"/>
  <c r="I1838" i="1" s="1"/>
  <c r="H1839" i="1"/>
  <c r="I1839" i="1" s="1"/>
  <c r="H1840" i="1"/>
  <c r="I1840" i="1" s="1"/>
  <c r="H1841" i="1"/>
  <c r="I1841" i="1" s="1"/>
  <c r="H1842" i="1"/>
  <c r="I1842" i="1" s="1"/>
  <c r="H1843" i="1"/>
  <c r="I1843" i="1" s="1"/>
  <c r="H1844" i="1"/>
  <c r="I1844" i="1" s="1"/>
  <c r="H1845" i="1"/>
  <c r="I1845" i="1" s="1"/>
  <c r="H1846" i="1"/>
  <c r="I1846" i="1" s="1"/>
  <c r="H1847" i="1"/>
  <c r="I1847" i="1" s="1"/>
  <c r="H1848" i="1"/>
  <c r="I1848" i="1" s="1"/>
  <c r="H1849" i="1"/>
  <c r="I1849" i="1" s="1"/>
  <c r="H1850" i="1"/>
  <c r="I1850" i="1" s="1"/>
  <c r="H1851" i="1"/>
  <c r="I1851" i="1" s="1"/>
  <c r="H1852" i="1"/>
  <c r="I1852" i="1" s="1"/>
  <c r="H1853" i="1"/>
  <c r="I1853" i="1" s="1"/>
  <c r="H1854" i="1"/>
  <c r="I1854" i="1" s="1"/>
  <c r="H1855" i="1"/>
  <c r="I1855" i="1" s="1"/>
  <c r="H1856" i="1"/>
  <c r="I1856" i="1" s="1"/>
  <c r="H1857" i="1"/>
  <c r="I1857" i="1" s="1"/>
  <c r="H1858" i="1"/>
  <c r="I1858" i="1" s="1"/>
  <c r="H1859" i="1"/>
  <c r="I1859" i="1" s="1"/>
  <c r="H1860" i="1"/>
  <c r="I1860" i="1" s="1"/>
  <c r="H1861" i="1"/>
  <c r="I1861" i="1" s="1"/>
  <c r="H1862" i="1"/>
  <c r="I1862" i="1" s="1"/>
  <c r="H1863" i="1"/>
  <c r="I1863" i="1" s="1"/>
  <c r="H1864" i="1"/>
  <c r="I1864" i="1" s="1"/>
  <c r="H1865" i="1"/>
  <c r="I1865" i="1" s="1"/>
  <c r="H1866" i="1"/>
  <c r="I1866" i="1" s="1"/>
  <c r="H1867" i="1"/>
  <c r="I1867" i="1" s="1"/>
  <c r="H1868" i="1"/>
  <c r="I1868" i="1" s="1"/>
  <c r="H1869" i="1"/>
  <c r="I1869" i="1" s="1"/>
  <c r="H1870" i="1"/>
  <c r="I1870" i="1" s="1"/>
  <c r="H1871" i="1"/>
  <c r="I1871" i="1" s="1"/>
  <c r="H1872" i="1"/>
  <c r="I1872" i="1" s="1"/>
  <c r="H1873" i="1"/>
  <c r="I1873" i="1" s="1"/>
  <c r="H1874" i="1"/>
  <c r="I1874" i="1" s="1"/>
  <c r="H1875" i="1"/>
  <c r="I1875" i="1" s="1"/>
  <c r="H1876" i="1"/>
  <c r="I1876" i="1" s="1"/>
  <c r="H1877" i="1"/>
  <c r="I1877" i="1" s="1"/>
  <c r="H1878" i="1"/>
  <c r="I1878" i="1" s="1"/>
  <c r="H1879" i="1"/>
  <c r="I1879" i="1" s="1"/>
  <c r="H1880" i="1"/>
  <c r="I1880" i="1" s="1"/>
  <c r="H1881" i="1"/>
  <c r="I1881" i="1" s="1"/>
  <c r="H1882" i="1"/>
  <c r="I1882" i="1" s="1"/>
  <c r="H1883" i="1"/>
  <c r="I1883" i="1" s="1"/>
  <c r="H1884" i="1"/>
  <c r="I1884" i="1" s="1"/>
  <c r="H1885" i="1"/>
  <c r="I1885" i="1" s="1"/>
  <c r="H1886" i="1"/>
  <c r="I1886" i="1" s="1"/>
  <c r="H1887" i="1"/>
  <c r="I1887" i="1" s="1"/>
  <c r="H1888" i="1"/>
  <c r="I1888" i="1" s="1"/>
  <c r="H1889" i="1"/>
  <c r="I1889" i="1" s="1"/>
  <c r="H1890" i="1"/>
  <c r="I1890" i="1" s="1"/>
  <c r="H1891" i="1"/>
  <c r="I1891" i="1" s="1"/>
  <c r="H1892" i="1"/>
  <c r="I1892" i="1" s="1"/>
  <c r="H1893" i="1"/>
  <c r="I1893" i="1" s="1"/>
  <c r="H1894" i="1"/>
  <c r="I1894" i="1" s="1"/>
  <c r="H1895" i="1"/>
  <c r="I1895" i="1" s="1"/>
  <c r="H1896" i="1"/>
  <c r="I1896" i="1" s="1"/>
  <c r="H1897" i="1"/>
  <c r="I1897" i="1" s="1"/>
  <c r="H1898" i="1"/>
  <c r="I1898" i="1" s="1"/>
  <c r="H1899" i="1"/>
  <c r="I1899" i="1" s="1"/>
  <c r="H1900" i="1"/>
  <c r="I1900" i="1" s="1"/>
  <c r="H1901" i="1"/>
  <c r="I1901" i="1" s="1"/>
  <c r="H1902" i="1"/>
  <c r="I1902" i="1" s="1"/>
  <c r="H1903" i="1"/>
  <c r="I1903" i="1" s="1"/>
  <c r="H1904" i="1"/>
  <c r="I1904" i="1" s="1"/>
  <c r="H1905" i="1"/>
  <c r="I1905" i="1" s="1"/>
  <c r="H1906" i="1"/>
  <c r="I1906" i="1" s="1"/>
  <c r="H1907" i="1"/>
  <c r="I1907" i="1" s="1"/>
  <c r="H1908" i="1"/>
  <c r="I1908" i="1" s="1"/>
  <c r="H1909" i="1"/>
  <c r="I1909" i="1" s="1"/>
  <c r="H1910" i="1"/>
  <c r="I1910" i="1" s="1"/>
  <c r="H1911" i="1"/>
  <c r="I1911" i="1" s="1"/>
  <c r="H1912" i="1"/>
  <c r="I1912" i="1" s="1"/>
  <c r="H1913" i="1"/>
  <c r="I1913" i="1" s="1"/>
  <c r="H1914" i="1"/>
  <c r="I1914" i="1" s="1"/>
  <c r="H1915" i="1"/>
  <c r="I1915" i="1" s="1"/>
  <c r="H1916" i="1"/>
  <c r="I1916" i="1" s="1"/>
  <c r="H1917" i="1"/>
  <c r="I1917" i="1" s="1"/>
  <c r="H1918" i="1"/>
  <c r="I1918" i="1" s="1"/>
  <c r="H1919" i="1"/>
  <c r="I1919" i="1" s="1"/>
  <c r="H1920" i="1"/>
  <c r="I1920" i="1" s="1"/>
  <c r="H1921" i="1"/>
  <c r="I1921" i="1" s="1"/>
  <c r="H1922" i="1"/>
  <c r="I1922" i="1" s="1"/>
  <c r="H1923" i="1"/>
  <c r="I1923" i="1" s="1"/>
  <c r="H1924" i="1"/>
  <c r="I1924" i="1" s="1"/>
  <c r="H1925" i="1"/>
  <c r="I1925" i="1" s="1"/>
  <c r="H1926" i="1"/>
  <c r="I1926" i="1" s="1"/>
  <c r="H1927" i="1"/>
  <c r="I1927" i="1" s="1"/>
  <c r="H1928" i="1"/>
  <c r="I1928" i="1" s="1"/>
  <c r="H1929" i="1"/>
  <c r="I1929" i="1" s="1"/>
  <c r="H1930" i="1"/>
  <c r="I1930" i="1" s="1"/>
  <c r="H1931" i="1"/>
  <c r="I1931" i="1" s="1"/>
  <c r="H1932" i="1"/>
  <c r="I1932" i="1" s="1"/>
  <c r="H1933" i="1"/>
  <c r="I1933" i="1" s="1"/>
  <c r="H1934" i="1"/>
  <c r="I1934" i="1" s="1"/>
  <c r="H1935" i="1"/>
  <c r="I1935" i="1" s="1"/>
  <c r="H1936" i="1"/>
  <c r="I1936" i="1" s="1"/>
  <c r="H1937" i="1"/>
  <c r="I1937" i="1" s="1"/>
  <c r="H1938" i="1"/>
  <c r="I1938" i="1" s="1"/>
  <c r="H1939" i="1"/>
  <c r="I1939" i="1" s="1"/>
  <c r="H1940" i="1"/>
  <c r="I1940" i="1" s="1"/>
  <c r="H1941" i="1"/>
  <c r="I1941" i="1" s="1"/>
  <c r="H1942" i="1"/>
  <c r="I1942" i="1" s="1"/>
  <c r="H1943" i="1"/>
  <c r="I1943" i="1" s="1"/>
  <c r="H1944" i="1"/>
  <c r="I1944" i="1" s="1"/>
  <c r="H1945" i="1"/>
  <c r="I1945" i="1" s="1"/>
  <c r="H1946" i="1"/>
  <c r="I1946" i="1" s="1"/>
  <c r="H1947" i="1"/>
  <c r="I1947" i="1" s="1"/>
  <c r="H1948" i="1"/>
  <c r="I1948" i="1" s="1"/>
  <c r="H1949" i="1"/>
  <c r="I1949" i="1" s="1"/>
  <c r="H1950" i="1"/>
  <c r="I1950" i="1" s="1"/>
  <c r="H1951" i="1"/>
  <c r="I1951" i="1" s="1"/>
  <c r="H1952" i="1"/>
  <c r="I1952" i="1" s="1"/>
  <c r="H1953" i="1"/>
  <c r="I1953" i="1" s="1"/>
  <c r="H1954" i="1"/>
  <c r="I1954" i="1" s="1"/>
  <c r="H1955" i="1"/>
  <c r="I1955" i="1" s="1"/>
  <c r="H1956" i="1"/>
  <c r="I1956" i="1" s="1"/>
  <c r="H1957" i="1"/>
  <c r="I1957" i="1" s="1"/>
  <c r="H1958" i="1"/>
  <c r="I1958" i="1" s="1"/>
  <c r="H1959" i="1"/>
  <c r="I1959" i="1" s="1"/>
  <c r="H1960" i="1"/>
  <c r="I1960" i="1" s="1"/>
  <c r="H1961" i="1"/>
  <c r="I1961" i="1" s="1"/>
  <c r="H1962" i="1"/>
  <c r="I1962" i="1" s="1"/>
  <c r="H1963" i="1"/>
  <c r="I1963" i="1" s="1"/>
  <c r="H1964" i="1"/>
  <c r="I1964" i="1" s="1"/>
  <c r="H1965" i="1"/>
  <c r="I1965" i="1" s="1"/>
  <c r="H1966" i="1"/>
  <c r="I1966" i="1" s="1"/>
  <c r="H1967" i="1"/>
  <c r="I1967" i="1" s="1"/>
  <c r="H1968" i="1"/>
  <c r="I1968" i="1" s="1"/>
  <c r="H1969" i="1"/>
  <c r="I1969" i="1" s="1"/>
  <c r="H1970" i="1"/>
  <c r="I1970" i="1" s="1"/>
  <c r="H1971" i="1"/>
  <c r="I1971" i="1" s="1"/>
  <c r="H1972" i="1"/>
  <c r="I1972" i="1" s="1"/>
  <c r="H1973" i="1"/>
  <c r="I1973" i="1" s="1"/>
  <c r="H1974" i="1"/>
  <c r="I1974" i="1" s="1"/>
  <c r="H1975" i="1"/>
  <c r="I1975" i="1" s="1"/>
  <c r="H1976" i="1"/>
  <c r="I1976" i="1" s="1"/>
  <c r="H1977" i="1"/>
  <c r="I1977" i="1" s="1"/>
  <c r="H1978" i="1"/>
  <c r="I1978" i="1" s="1"/>
  <c r="H1979" i="1"/>
  <c r="I1979" i="1" s="1"/>
  <c r="H1980" i="1"/>
  <c r="I1980" i="1" s="1"/>
  <c r="H1981" i="1"/>
  <c r="I1981" i="1" s="1"/>
  <c r="H1982" i="1"/>
  <c r="I1982" i="1" s="1"/>
  <c r="H1983" i="1"/>
  <c r="I1983" i="1" s="1"/>
  <c r="H1984" i="1"/>
  <c r="I1984" i="1" s="1"/>
  <c r="H1985" i="1"/>
  <c r="I1985" i="1" s="1"/>
  <c r="H1986" i="1"/>
  <c r="I1986" i="1" s="1"/>
  <c r="H1987" i="1"/>
  <c r="I1987" i="1" s="1"/>
  <c r="H1988" i="1"/>
  <c r="I1988" i="1" s="1"/>
  <c r="H1989" i="1"/>
  <c r="I1989" i="1" s="1"/>
  <c r="H1990" i="1"/>
  <c r="I1990" i="1" s="1"/>
  <c r="H1991" i="1"/>
  <c r="I1991" i="1" s="1"/>
  <c r="H1992" i="1"/>
  <c r="I1992" i="1" s="1"/>
  <c r="H1993" i="1"/>
  <c r="I1993" i="1" s="1"/>
  <c r="H1994" i="1"/>
  <c r="I1994" i="1" s="1"/>
  <c r="H1995" i="1"/>
  <c r="I1995" i="1" s="1"/>
  <c r="H1996" i="1"/>
  <c r="I1996" i="1" s="1"/>
  <c r="H1997" i="1"/>
  <c r="I1997" i="1" s="1"/>
  <c r="H1998" i="1"/>
  <c r="I1998" i="1" s="1"/>
  <c r="H1999" i="1"/>
  <c r="I1999" i="1" s="1"/>
  <c r="H2000" i="1"/>
  <c r="I2000" i="1" s="1"/>
  <c r="H2001" i="1"/>
  <c r="I2001" i="1" s="1"/>
  <c r="H2002" i="1"/>
  <c r="I2002" i="1" s="1"/>
  <c r="H2003" i="1"/>
  <c r="I2003" i="1" s="1"/>
  <c r="H2004" i="1"/>
  <c r="I2004" i="1" s="1"/>
  <c r="H2005" i="1"/>
  <c r="I2005" i="1" s="1"/>
  <c r="H2006" i="1"/>
  <c r="I2006" i="1" s="1"/>
  <c r="H2007" i="1"/>
  <c r="I2007" i="1" s="1"/>
  <c r="H2008" i="1"/>
  <c r="I2008" i="1" s="1"/>
  <c r="H2009" i="1"/>
  <c r="I2009" i="1" s="1"/>
  <c r="H2010" i="1"/>
  <c r="I2010" i="1" s="1"/>
  <c r="H2011" i="1"/>
  <c r="I2011" i="1" s="1"/>
  <c r="H2012" i="1"/>
  <c r="I2012" i="1" s="1"/>
  <c r="H2013" i="1"/>
  <c r="I2013" i="1" s="1"/>
  <c r="H2014" i="1"/>
  <c r="I2014" i="1" s="1"/>
  <c r="H2015" i="1"/>
  <c r="I2015" i="1" s="1"/>
  <c r="H2016" i="1"/>
  <c r="I2016" i="1" s="1"/>
  <c r="H2017" i="1"/>
  <c r="I2017" i="1" s="1"/>
  <c r="H2018" i="1"/>
  <c r="I2018" i="1" s="1"/>
  <c r="H2019" i="1"/>
  <c r="I2019" i="1" s="1"/>
  <c r="H2020" i="1"/>
  <c r="I2020" i="1" s="1"/>
  <c r="H2021" i="1"/>
  <c r="I2021" i="1" s="1"/>
  <c r="H2022" i="1"/>
  <c r="I2022" i="1" s="1"/>
  <c r="H2023" i="1"/>
  <c r="I2023" i="1" s="1"/>
  <c r="H2024" i="1"/>
  <c r="I2024" i="1" s="1"/>
  <c r="H2025" i="1"/>
  <c r="I2025" i="1" s="1"/>
  <c r="H2026" i="1"/>
  <c r="I2026" i="1" s="1"/>
  <c r="H2027" i="1"/>
  <c r="I2027" i="1" s="1"/>
  <c r="H2028" i="1"/>
  <c r="I2028" i="1" s="1"/>
  <c r="H2029" i="1"/>
  <c r="I2029" i="1" s="1"/>
  <c r="H2030" i="1"/>
  <c r="I2030" i="1" s="1"/>
  <c r="H2031" i="1"/>
  <c r="I2031" i="1" s="1"/>
  <c r="H2032" i="1"/>
  <c r="I2032" i="1" s="1"/>
  <c r="H2033" i="1"/>
  <c r="I2033" i="1" s="1"/>
  <c r="H2034" i="1"/>
  <c r="I2034" i="1" s="1"/>
  <c r="H2035" i="1"/>
  <c r="I2035" i="1" s="1"/>
  <c r="H2036" i="1"/>
  <c r="I2036" i="1" s="1"/>
  <c r="H2037" i="1"/>
  <c r="I2037" i="1" s="1"/>
  <c r="H2038" i="1"/>
  <c r="I2038" i="1" s="1"/>
  <c r="H2039" i="1"/>
  <c r="I2039" i="1" s="1"/>
  <c r="H2040" i="1"/>
  <c r="I2040" i="1" s="1"/>
  <c r="H2041" i="1"/>
  <c r="I2041" i="1" s="1"/>
  <c r="H2042" i="1"/>
  <c r="I2042" i="1" s="1"/>
  <c r="H2043" i="1"/>
  <c r="I2043" i="1" s="1"/>
  <c r="H2044" i="1"/>
  <c r="I2044" i="1" s="1"/>
  <c r="H2045" i="1"/>
  <c r="I2045" i="1" s="1"/>
  <c r="H2046" i="1"/>
  <c r="I2046" i="1" s="1"/>
  <c r="H2047" i="1"/>
  <c r="I2047" i="1" s="1"/>
  <c r="H2048" i="1"/>
  <c r="I2048" i="1" s="1"/>
  <c r="H2049" i="1"/>
  <c r="I2049" i="1" s="1"/>
  <c r="H2050" i="1"/>
  <c r="I2050" i="1" s="1"/>
  <c r="H2051" i="1"/>
  <c r="I2051" i="1" s="1"/>
  <c r="H2052" i="1"/>
  <c r="I2052" i="1" s="1"/>
  <c r="H2053" i="1"/>
  <c r="I2053" i="1" s="1"/>
  <c r="H2054" i="1"/>
  <c r="I2054" i="1" s="1"/>
  <c r="H2055" i="1"/>
  <c r="I2055" i="1" s="1"/>
  <c r="H2056" i="1"/>
  <c r="I2056" i="1" s="1"/>
  <c r="N3" i="6"/>
  <c r="N4" i="6"/>
  <c r="N5" i="6"/>
  <c r="N6" i="6"/>
  <c r="N7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N65" i="6"/>
  <c r="N66" i="6"/>
  <c r="N67" i="6"/>
  <c r="N68" i="6"/>
  <c r="N69" i="6"/>
  <c r="N70" i="6"/>
  <c r="N71" i="6"/>
  <c r="N72" i="6"/>
  <c r="N73" i="6"/>
  <c r="N74" i="6"/>
  <c r="N75" i="6"/>
  <c r="N76" i="6"/>
  <c r="N77" i="6"/>
  <c r="N78" i="6"/>
  <c r="N79" i="6"/>
  <c r="N80" i="6"/>
  <c r="N81" i="6"/>
  <c r="N82" i="6"/>
  <c r="N83" i="6"/>
  <c r="N84" i="6"/>
  <c r="N85" i="6"/>
  <c r="N86" i="6"/>
  <c r="N87" i="6"/>
  <c r="N88" i="6"/>
  <c r="N89" i="6"/>
  <c r="N90" i="6"/>
  <c r="N91" i="6"/>
  <c r="N92" i="6"/>
  <c r="N93" i="6"/>
  <c r="N94" i="6"/>
  <c r="N95" i="6"/>
  <c r="N96" i="6"/>
  <c r="N97" i="6"/>
  <c r="N98" i="6"/>
  <c r="N99" i="6"/>
  <c r="N100" i="6"/>
  <c r="N101" i="6"/>
  <c r="N102" i="6"/>
  <c r="N103" i="6"/>
  <c r="N104" i="6"/>
  <c r="N105" i="6"/>
  <c r="N106" i="6"/>
  <c r="N107" i="6"/>
  <c r="N108" i="6"/>
  <c r="N109" i="6"/>
  <c r="N110" i="6"/>
  <c r="N111" i="6"/>
  <c r="N112" i="6"/>
  <c r="N113" i="6"/>
  <c r="N114" i="6"/>
  <c r="N115" i="6"/>
  <c r="N116" i="6"/>
  <c r="N117" i="6"/>
  <c r="N118" i="6"/>
  <c r="N119" i="6"/>
  <c r="N120" i="6"/>
  <c r="N121" i="6"/>
  <c r="N122" i="6"/>
  <c r="N123" i="6"/>
  <c r="N124" i="6"/>
  <c r="N125" i="6"/>
  <c r="N126" i="6"/>
  <c r="N127" i="6"/>
  <c r="N128" i="6"/>
  <c r="N129" i="6"/>
  <c r="N130" i="6"/>
  <c r="N131" i="6"/>
  <c r="N132" i="6"/>
  <c r="N133" i="6"/>
  <c r="N134" i="6"/>
  <c r="N135" i="6"/>
  <c r="N136" i="6"/>
  <c r="N137" i="6"/>
  <c r="N138" i="6"/>
  <c r="N139" i="6"/>
  <c r="N140" i="6"/>
  <c r="N141" i="6"/>
  <c r="N142" i="6"/>
  <c r="N143" i="6"/>
  <c r="N144" i="6"/>
  <c r="N145" i="6"/>
  <c r="N146" i="6"/>
  <c r="N147" i="6"/>
  <c r="N148" i="6"/>
  <c r="N149" i="6"/>
  <c r="N150" i="6"/>
  <c r="N151" i="6"/>
  <c r="N152" i="6"/>
  <c r="N153" i="6"/>
  <c r="N154" i="6"/>
  <c r="N155" i="6"/>
  <c r="N156" i="6"/>
  <c r="N157" i="6"/>
  <c r="N158" i="6"/>
  <c r="N159" i="6"/>
  <c r="N160" i="6"/>
  <c r="N161" i="6"/>
  <c r="N162" i="6"/>
  <c r="N163" i="6"/>
  <c r="N164" i="6"/>
  <c r="N165" i="6"/>
  <c r="N166" i="6"/>
  <c r="N167" i="6"/>
  <c r="N168" i="6"/>
  <c r="N169" i="6"/>
  <c r="N170" i="6"/>
  <c r="N171" i="6"/>
  <c r="N172" i="6"/>
  <c r="N173" i="6"/>
  <c r="N174" i="6"/>
  <c r="N175" i="6"/>
  <c r="N176" i="6"/>
  <c r="N177" i="6"/>
  <c r="N178" i="6"/>
  <c r="N179" i="6"/>
  <c r="N180" i="6"/>
  <c r="N181" i="6"/>
  <c r="N182" i="6"/>
  <c r="N183" i="6"/>
  <c r="N184" i="6"/>
  <c r="N185" i="6"/>
  <c r="N186" i="6"/>
  <c r="N187" i="6"/>
  <c r="N188" i="6"/>
  <c r="N189" i="6"/>
  <c r="N190" i="6"/>
  <c r="N191" i="6"/>
  <c r="N192" i="6"/>
  <c r="N193" i="6"/>
  <c r="N194" i="6"/>
  <c r="N195" i="6"/>
  <c r="N196" i="6"/>
  <c r="N197" i="6"/>
  <c r="N198" i="6"/>
  <c r="N199" i="6"/>
  <c r="N200" i="6"/>
  <c r="N201" i="6"/>
  <c r="N202" i="6"/>
  <c r="N203" i="6"/>
  <c r="N204" i="6"/>
  <c r="N205" i="6"/>
  <c r="N206" i="6"/>
  <c r="N207" i="6"/>
  <c r="N208" i="6"/>
  <c r="N209" i="6"/>
  <c r="N210" i="6"/>
  <c r="N211" i="6"/>
  <c r="N212" i="6"/>
  <c r="N213" i="6"/>
  <c r="N214" i="6"/>
  <c r="N215" i="6"/>
  <c r="N216" i="6"/>
  <c r="N217" i="6"/>
  <c r="N218" i="6"/>
  <c r="N219" i="6"/>
  <c r="N220" i="6"/>
  <c r="N221" i="6"/>
  <c r="N222" i="6"/>
  <c r="N223" i="6"/>
  <c r="N224" i="6"/>
  <c r="N225" i="6"/>
  <c r="N226" i="6"/>
  <c r="N227" i="6"/>
  <c r="N228" i="6"/>
  <c r="N229" i="6"/>
  <c r="N230" i="6"/>
  <c r="N231" i="6"/>
  <c r="N232" i="6"/>
  <c r="N233" i="6"/>
  <c r="N234" i="6"/>
  <c r="N235" i="6"/>
  <c r="N236" i="6"/>
  <c r="N237" i="6"/>
  <c r="N238" i="6"/>
  <c r="N239" i="6"/>
  <c r="N240" i="6"/>
  <c r="N241" i="6"/>
  <c r="N242" i="6"/>
  <c r="N243" i="6"/>
  <c r="N244" i="6"/>
  <c r="N245" i="6"/>
  <c r="N246" i="6"/>
  <c r="N247" i="6"/>
  <c r="N248" i="6"/>
  <c r="N249" i="6"/>
  <c r="N250" i="6"/>
  <c r="N251" i="6"/>
  <c r="N252" i="6"/>
  <c r="N253" i="6"/>
  <c r="N254" i="6"/>
  <c r="N255" i="6"/>
  <c r="N256" i="6"/>
  <c r="N257" i="6"/>
  <c r="N258" i="6"/>
  <c r="N259" i="6"/>
  <c r="N260" i="6"/>
  <c r="N261" i="6"/>
  <c r="N262" i="6"/>
  <c r="N263" i="6"/>
  <c r="N264" i="6"/>
  <c r="N265" i="6"/>
  <c r="N266" i="6"/>
  <c r="N267" i="6"/>
  <c r="N268" i="6"/>
  <c r="N269" i="6"/>
  <c r="N270" i="6"/>
  <c r="N271" i="6"/>
  <c r="N272" i="6"/>
  <c r="N273" i="6"/>
  <c r="N274" i="6"/>
  <c r="N275" i="6"/>
  <c r="N276" i="6"/>
  <c r="N277" i="6"/>
  <c r="N278" i="6"/>
  <c r="N279" i="6"/>
  <c r="N280" i="6"/>
  <c r="R5" i="5"/>
  <c r="R2" i="5"/>
  <c r="R3" i="5"/>
  <c r="R4" i="5"/>
  <c r="R6" i="5"/>
  <c r="R7" i="5"/>
  <c r="R8" i="5"/>
  <c r="R9" i="5"/>
  <c r="R10" i="5"/>
  <c r="R11" i="5"/>
  <c r="P9" i="5" l="1"/>
  <c r="P8" i="5"/>
  <c r="P7" i="5"/>
  <c r="P6" i="5"/>
  <c r="P5" i="5"/>
  <c r="P4" i="5"/>
  <c r="P3" i="5"/>
  <c r="P2" i="5"/>
  <c r="P11" i="5"/>
  <c r="P10" i="5"/>
  <c r="T225" i="6"/>
  <c r="U225" i="6"/>
  <c r="T165" i="6"/>
  <c r="U165" i="6"/>
  <c r="T117" i="6"/>
  <c r="U117" i="6"/>
  <c r="T69" i="6"/>
  <c r="U69" i="6"/>
  <c r="U20" i="6"/>
  <c r="T20" i="6"/>
  <c r="T260" i="6"/>
  <c r="U260" i="6"/>
  <c r="U224" i="6"/>
  <c r="T224" i="6"/>
  <c r="U212" i="6"/>
  <c r="T212" i="6"/>
  <c r="U176" i="6"/>
  <c r="T176" i="6"/>
  <c r="U128" i="6"/>
  <c r="T128" i="6"/>
  <c r="U92" i="6"/>
  <c r="T92" i="6"/>
  <c r="U80" i="6"/>
  <c r="T80" i="6"/>
  <c r="U44" i="6"/>
  <c r="T44" i="6"/>
  <c r="T7" i="6"/>
  <c r="U7" i="6"/>
  <c r="U259" i="6"/>
  <c r="T259" i="6"/>
  <c r="U235" i="6"/>
  <c r="T235" i="6"/>
  <c r="U187" i="6"/>
  <c r="T187" i="6"/>
  <c r="U163" i="6"/>
  <c r="T163" i="6"/>
  <c r="U127" i="6"/>
  <c r="T127" i="6"/>
  <c r="U91" i="6"/>
  <c r="T91" i="6"/>
  <c r="U67" i="6"/>
  <c r="T67" i="6"/>
  <c r="U43" i="6"/>
  <c r="T43" i="6"/>
  <c r="U18" i="6"/>
  <c r="T18" i="6"/>
  <c r="U222" i="6"/>
  <c r="T222" i="6"/>
  <c r="U162" i="6"/>
  <c r="T162" i="6"/>
  <c r="U102" i="6"/>
  <c r="T102" i="6"/>
  <c r="U30" i="6"/>
  <c r="T30" i="6"/>
  <c r="U269" i="6"/>
  <c r="T269" i="6"/>
  <c r="U257" i="6"/>
  <c r="T257" i="6"/>
  <c r="U245" i="6"/>
  <c r="T245" i="6"/>
  <c r="U233" i="6"/>
  <c r="T233" i="6"/>
  <c r="U221" i="6"/>
  <c r="T221" i="6"/>
  <c r="U209" i="6"/>
  <c r="T209" i="6"/>
  <c r="U197" i="6"/>
  <c r="T197" i="6"/>
  <c r="U185" i="6"/>
  <c r="T185" i="6"/>
  <c r="U173" i="6"/>
  <c r="T173" i="6"/>
  <c r="U161" i="6"/>
  <c r="T161" i="6"/>
  <c r="U149" i="6"/>
  <c r="T149" i="6"/>
  <c r="U137" i="6"/>
  <c r="T137" i="6"/>
  <c r="U125" i="6"/>
  <c r="T125" i="6"/>
  <c r="U113" i="6"/>
  <c r="T113" i="6"/>
  <c r="U101" i="6"/>
  <c r="T101" i="6"/>
  <c r="U89" i="6"/>
  <c r="T89" i="6"/>
  <c r="U77" i="6"/>
  <c r="T77" i="6"/>
  <c r="U65" i="6"/>
  <c r="T65" i="6"/>
  <c r="U53" i="6"/>
  <c r="T53" i="6"/>
  <c r="U41" i="6"/>
  <c r="T41" i="6"/>
  <c r="U29" i="6"/>
  <c r="T29" i="6"/>
  <c r="U16" i="6"/>
  <c r="T16" i="6"/>
  <c r="U4" i="6"/>
  <c r="T4" i="6"/>
  <c r="U268" i="6"/>
  <c r="T268" i="6"/>
  <c r="U256" i="6"/>
  <c r="T256" i="6"/>
  <c r="U244" i="6"/>
  <c r="T244" i="6"/>
  <c r="U232" i="6"/>
  <c r="T232" i="6"/>
  <c r="U220" i="6"/>
  <c r="T220" i="6"/>
  <c r="U208" i="6"/>
  <c r="T208" i="6"/>
  <c r="U196" i="6"/>
  <c r="T196" i="6"/>
  <c r="U184" i="6"/>
  <c r="T184" i="6"/>
  <c r="U172" i="6"/>
  <c r="T172" i="6"/>
  <c r="U160" i="6"/>
  <c r="T160" i="6"/>
  <c r="U148" i="6"/>
  <c r="T148" i="6"/>
  <c r="U136" i="6"/>
  <c r="T136" i="6"/>
  <c r="U124" i="6"/>
  <c r="T124" i="6"/>
  <c r="U112" i="6"/>
  <c r="T112" i="6"/>
  <c r="U100" i="6"/>
  <c r="T100" i="6"/>
  <c r="U88" i="6"/>
  <c r="T88" i="6"/>
  <c r="U76" i="6"/>
  <c r="T76" i="6"/>
  <c r="U64" i="6"/>
  <c r="T64" i="6"/>
  <c r="U52" i="6"/>
  <c r="T52" i="6"/>
  <c r="U40" i="6"/>
  <c r="T40" i="6"/>
  <c r="U27" i="6"/>
  <c r="T27" i="6"/>
  <c r="U15" i="6"/>
  <c r="T15" i="6"/>
  <c r="U3" i="6"/>
  <c r="T3" i="6"/>
  <c r="U8" i="6"/>
  <c r="T8" i="6"/>
  <c r="U231" i="6"/>
  <c r="T231" i="6"/>
  <c r="U219" i="6"/>
  <c r="T219" i="6"/>
  <c r="U207" i="6"/>
  <c r="T207" i="6"/>
  <c r="U195" i="6"/>
  <c r="T195" i="6"/>
  <c r="U183" i="6"/>
  <c r="T183" i="6"/>
  <c r="U171" i="6"/>
  <c r="T171" i="6"/>
  <c r="U159" i="6"/>
  <c r="T159" i="6"/>
  <c r="U147" i="6"/>
  <c r="T147" i="6"/>
  <c r="U135" i="6"/>
  <c r="T135" i="6"/>
  <c r="U123" i="6"/>
  <c r="T123" i="6"/>
  <c r="U111" i="6"/>
  <c r="T111" i="6"/>
  <c r="U99" i="6"/>
  <c r="T99" i="6"/>
  <c r="U87" i="6"/>
  <c r="T87" i="6"/>
  <c r="U75" i="6"/>
  <c r="T75" i="6"/>
  <c r="U63" i="6"/>
  <c r="T63" i="6"/>
  <c r="U51" i="6"/>
  <c r="T51" i="6"/>
  <c r="U39" i="6"/>
  <c r="T39" i="6"/>
  <c r="U26" i="6"/>
  <c r="T26" i="6"/>
  <c r="U14" i="6"/>
  <c r="T14" i="6"/>
  <c r="T249" i="6"/>
  <c r="U249" i="6"/>
  <c r="U201" i="6"/>
  <c r="T201" i="6"/>
  <c r="T129" i="6"/>
  <c r="U129" i="6"/>
  <c r="T57" i="6"/>
  <c r="U57" i="6"/>
  <c r="U236" i="6"/>
  <c r="T236" i="6"/>
  <c r="U188" i="6"/>
  <c r="T188" i="6"/>
  <c r="U56" i="6"/>
  <c r="T56" i="6"/>
  <c r="U247" i="6"/>
  <c r="T247" i="6"/>
  <c r="U211" i="6"/>
  <c r="T211" i="6"/>
  <c r="U151" i="6"/>
  <c r="T151" i="6"/>
  <c r="U31" i="6"/>
  <c r="T31" i="6"/>
  <c r="U54" i="6"/>
  <c r="T54" i="6"/>
  <c r="U267" i="6"/>
  <c r="T267" i="6"/>
  <c r="U278" i="6"/>
  <c r="T278" i="6"/>
  <c r="U266" i="6"/>
  <c r="T266" i="6"/>
  <c r="U254" i="6"/>
  <c r="T254" i="6"/>
  <c r="U242" i="6"/>
  <c r="T242" i="6"/>
  <c r="U230" i="6"/>
  <c r="T230" i="6"/>
  <c r="U218" i="6"/>
  <c r="T218" i="6"/>
  <c r="U206" i="6"/>
  <c r="T206" i="6"/>
  <c r="U194" i="6"/>
  <c r="T194" i="6"/>
  <c r="U182" i="6"/>
  <c r="T182" i="6"/>
  <c r="U170" i="6"/>
  <c r="T170" i="6"/>
  <c r="U158" i="6"/>
  <c r="T158" i="6"/>
  <c r="U146" i="6"/>
  <c r="T146" i="6"/>
  <c r="U134" i="6"/>
  <c r="T134" i="6"/>
  <c r="U122" i="6"/>
  <c r="T122" i="6"/>
  <c r="U110" i="6"/>
  <c r="T110" i="6"/>
  <c r="U98" i="6"/>
  <c r="T98" i="6"/>
  <c r="U86" i="6"/>
  <c r="T86" i="6"/>
  <c r="U74" i="6"/>
  <c r="T74" i="6"/>
  <c r="U62" i="6"/>
  <c r="T62" i="6"/>
  <c r="U50" i="6"/>
  <c r="T50" i="6"/>
  <c r="U38" i="6"/>
  <c r="T38" i="6"/>
  <c r="U25" i="6"/>
  <c r="T25" i="6"/>
  <c r="U13" i="6"/>
  <c r="T13" i="6"/>
  <c r="T237" i="6"/>
  <c r="U237" i="6"/>
  <c r="T177" i="6"/>
  <c r="U177" i="6"/>
  <c r="U93" i="6"/>
  <c r="T93" i="6"/>
  <c r="U116" i="6"/>
  <c r="T116" i="6"/>
  <c r="U199" i="6"/>
  <c r="T199" i="6"/>
  <c r="T258" i="6"/>
  <c r="U258" i="6"/>
  <c r="U210" i="6"/>
  <c r="T210" i="6"/>
  <c r="U150" i="6"/>
  <c r="T150" i="6"/>
  <c r="U126" i="6"/>
  <c r="T126" i="6"/>
  <c r="U78" i="6"/>
  <c r="T78" i="6"/>
  <c r="U17" i="6"/>
  <c r="T17" i="6"/>
  <c r="U255" i="6"/>
  <c r="T255" i="6"/>
  <c r="U277" i="6"/>
  <c r="T277" i="6"/>
  <c r="U265" i="6"/>
  <c r="T265" i="6"/>
  <c r="U253" i="6"/>
  <c r="T253" i="6"/>
  <c r="U241" i="6"/>
  <c r="T241" i="6"/>
  <c r="U229" i="6"/>
  <c r="T229" i="6"/>
  <c r="U217" i="6"/>
  <c r="T217" i="6"/>
  <c r="U205" i="6"/>
  <c r="T205" i="6"/>
  <c r="U193" i="6"/>
  <c r="T193" i="6"/>
  <c r="U181" i="6"/>
  <c r="T181" i="6"/>
  <c r="U169" i="6"/>
  <c r="T169" i="6"/>
  <c r="U157" i="6"/>
  <c r="T157" i="6"/>
  <c r="U145" i="6"/>
  <c r="T145" i="6"/>
  <c r="U133" i="6"/>
  <c r="T133" i="6"/>
  <c r="U121" i="6"/>
  <c r="T121" i="6"/>
  <c r="U109" i="6"/>
  <c r="T109" i="6"/>
  <c r="U97" i="6"/>
  <c r="T97" i="6"/>
  <c r="U85" i="6"/>
  <c r="T85" i="6"/>
  <c r="U73" i="6"/>
  <c r="T73" i="6"/>
  <c r="U61" i="6"/>
  <c r="T61" i="6"/>
  <c r="U49" i="6"/>
  <c r="T49" i="6"/>
  <c r="U37" i="6"/>
  <c r="T37" i="6"/>
  <c r="T24" i="6"/>
  <c r="U24" i="6"/>
  <c r="T12" i="6"/>
  <c r="U12" i="6"/>
  <c r="T273" i="6"/>
  <c r="U273" i="6"/>
  <c r="U213" i="6"/>
  <c r="T213" i="6"/>
  <c r="T153" i="6"/>
  <c r="U153" i="6"/>
  <c r="T105" i="6"/>
  <c r="U105" i="6"/>
  <c r="U81" i="6"/>
  <c r="T81" i="6"/>
  <c r="U33" i="6"/>
  <c r="T33" i="6"/>
  <c r="T272" i="6"/>
  <c r="U272" i="6"/>
  <c r="U248" i="6"/>
  <c r="T248" i="6"/>
  <c r="U200" i="6"/>
  <c r="T200" i="6"/>
  <c r="U164" i="6"/>
  <c r="T164" i="6"/>
  <c r="U140" i="6"/>
  <c r="T140" i="6"/>
  <c r="U104" i="6"/>
  <c r="T104" i="6"/>
  <c r="U68" i="6"/>
  <c r="T68" i="6"/>
  <c r="U32" i="6"/>
  <c r="T32" i="6"/>
  <c r="U19" i="6"/>
  <c r="T19" i="6"/>
  <c r="U271" i="6"/>
  <c r="T271" i="6"/>
  <c r="U223" i="6"/>
  <c r="T223" i="6"/>
  <c r="U175" i="6"/>
  <c r="T175" i="6"/>
  <c r="U139" i="6"/>
  <c r="T139" i="6"/>
  <c r="U115" i="6"/>
  <c r="T115" i="6"/>
  <c r="U103" i="6"/>
  <c r="T103" i="6"/>
  <c r="U79" i="6"/>
  <c r="T79" i="6"/>
  <c r="U55" i="6"/>
  <c r="T55" i="6"/>
  <c r="U6" i="6"/>
  <c r="T6" i="6"/>
  <c r="T270" i="6"/>
  <c r="U270" i="6"/>
  <c r="U234" i="6"/>
  <c r="T234" i="6"/>
  <c r="U174" i="6"/>
  <c r="T174" i="6"/>
  <c r="U90" i="6"/>
  <c r="T90" i="6"/>
  <c r="U42" i="6"/>
  <c r="T42" i="6"/>
  <c r="U279" i="6"/>
  <c r="T279" i="6"/>
  <c r="T276" i="6"/>
  <c r="U276" i="6"/>
  <c r="T264" i="6"/>
  <c r="U264" i="6"/>
  <c r="T252" i="6"/>
  <c r="U252" i="6"/>
  <c r="U240" i="6"/>
  <c r="T240" i="6"/>
  <c r="T228" i="6"/>
  <c r="U228" i="6"/>
  <c r="T216" i="6"/>
  <c r="U216" i="6"/>
  <c r="T204" i="6"/>
  <c r="U204" i="6"/>
  <c r="T192" i="6"/>
  <c r="U192" i="6"/>
  <c r="T180" i="6"/>
  <c r="U180" i="6"/>
  <c r="T168" i="6"/>
  <c r="U168" i="6"/>
  <c r="T156" i="6"/>
  <c r="U156" i="6"/>
  <c r="T144" i="6"/>
  <c r="U144" i="6"/>
  <c r="T132" i="6"/>
  <c r="U132" i="6"/>
  <c r="T120" i="6"/>
  <c r="U120" i="6"/>
  <c r="T108" i="6"/>
  <c r="U108" i="6"/>
  <c r="T96" i="6"/>
  <c r="U96" i="6"/>
  <c r="T84" i="6"/>
  <c r="U84" i="6"/>
  <c r="T72" i="6"/>
  <c r="U72" i="6"/>
  <c r="U60" i="6"/>
  <c r="T60" i="6"/>
  <c r="T48" i="6"/>
  <c r="U48" i="6"/>
  <c r="U36" i="6"/>
  <c r="T36" i="6"/>
  <c r="T23" i="6"/>
  <c r="U23" i="6"/>
  <c r="T11" i="6"/>
  <c r="U11" i="6"/>
  <c r="U152" i="6"/>
  <c r="T152" i="6"/>
  <c r="U186" i="6"/>
  <c r="T186" i="6"/>
  <c r="U280" i="6"/>
  <c r="T280" i="6"/>
  <c r="T275" i="6"/>
  <c r="U275" i="6"/>
  <c r="T263" i="6"/>
  <c r="U263" i="6"/>
  <c r="T251" i="6"/>
  <c r="U251" i="6"/>
  <c r="T239" i="6"/>
  <c r="U239" i="6"/>
  <c r="T227" i="6"/>
  <c r="U227" i="6"/>
  <c r="T215" i="6"/>
  <c r="U215" i="6"/>
  <c r="T203" i="6"/>
  <c r="U203" i="6"/>
  <c r="T191" i="6"/>
  <c r="U191" i="6"/>
  <c r="T179" i="6"/>
  <c r="U179" i="6"/>
  <c r="T167" i="6"/>
  <c r="U167" i="6"/>
  <c r="T155" i="6"/>
  <c r="U155" i="6"/>
  <c r="T143" i="6"/>
  <c r="U143" i="6"/>
  <c r="T131" i="6"/>
  <c r="U131" i="6"/>
  <c r="T119" i="6"/>
  <c r="U119" i="6"/>
  <c r="T107" i="6"/>
  <c r="U107" i="6"/>
  <c r="T95" i="6"/>
  <c r="U95" i="6"/>
  <c r="T83" i="6"/>
  <c r="U83" i="6"/>
  <c r="T71" i="6"/>
  <c r="U71" i="6"/>
  <c r="T59" i="6"/>
  <c r="U59" i="6"/>
  <c r="T47" i="6"/>
  <c r="U47" i="6"/>
  <c r="T35" i="6"/>
  <c r="U35" i="6"/>
  <c r="T22" i="6"/>
  <c r="U22" i="6"/>
  <c r="T10" i="6"/>
  <c r="U10" i="6"/>
  <c r="T246" i="6"/>
  <c r="U246" i="6"/>
  <c r="U198" i="6"/>
  <c r="T198" i="6"/>
  <c r="U138" i="6"/>
  <c r="T138" i="6"/>
  <c r="U114" i="6"/>
  <c r="T114" i="6"/>
  <c r="U66" i="6"/>
  <c r="T66" i="6"/>
  <c r="U5" i="6"/>
  <c r="T5" i="6"/>
  <c r="U243" i="6"/>
  <c r="T243" i="6"/>
  <c r="T274" i="6"/>
  <c r="U274" i="6"/>
  <c r="T262" i="6"/>
  <c r="U262" i="6"/>
  <c r="T250" i="6"/>
  <c r="U250" i="6"/>
  <c r="T238" i="6"/>
  <c r="U238" i="6"/>
  <c r="T226" i="6"/>
  <c r="U226" i="6"/>
  <c r="T214" i="6"/>
  <c r="U214" i="6"/>
  <c r="T202" i="6"/>
  <c r="U202" i="6"/>
  <c r="T190" i="6"/>
  <c r="U190" i="6"/>
  <c r="T178" i="6"/>
  <c r="U178" i="6"/>
  <c r="T166" i="6"/>
  <c r="U166" i="6"/>
  <c r="T154" i="6"/>
  <c r="U154" i="6"/>
  <c r="T142" i="6"/>
  <c r="U142" i="6"/>
  <c r="T130" i="6"/>
  <c r="U130" i="6"/>
  <c r="T118" i="6"/>
  <c r="U118" i="6"/>
  <c r="T106" i="6"/>
  <c r="U106" i="6"/>
  <c r="T94" i="6"/>
  <c r="U94" i="6"/>
  <c r="T82" i="6"/>
  <c r="U82" i="6"/>
  <c r="T70" i="6"/>
  <c r="U70" i="6"/>
  <c r="T58" i="6"/>
  <c r="U58" i="6"/>
  <c r="T46" i="6"/>
  <c r="U46" i="6"/>
  <c r="T34" i="6"/>
  <c r="U34" i="6"/>
  <c r="U21" i="6"/>
  <c r="T21" i="6"/>
  <c r="T9" i="6"/>
  <c r="U9" i="6"/>
  <c r="U28" i="6"/>
  <c r="T28" i="6"/>
  <c r="T261" i="6"/>
  <c r="U261" i="6"/>
  <c r="U189" i="6"/>
  <c r="T189" i="6"/>
  <c r="T141" i="6"/>
  <c r="U141" i="6"/>
  <c r="T45" i="6"/>
  <c r="U45" i="6"/>
  <c r="K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J2" i="17"/>
  <c r="J3" i="17"/>
  <c r="J4" i="17"/>
  <c r="J5" i="17"/>
  <c r="J6" i="17"/>
  <c r="J7" i="17"/>
  <c r="J8" i="17"/>
  <c r="J9" i="17"/>
  <c r="J10" i="17"/>
  <c r="J11" i="17"/>
  <c r="J12" i="17"/>
  <c r="J13" i="17"/>
  <c r="J14" i="17"/>
  <c r="J15" i="17"/>
  <c r="J16" i="17"/>
  <c r="J17" i="17"/>
  <c r="J18" i="17"/>
  <c r="J19" i="17"/>
  <c r="J20" i="17"/>
  <c r="J21" i="17"/>
  <c r="J22" i="17"/>
  <c r="J23" i="17"/>
  <c r="J24" i="17"/>
  <c r="J25" i="17"/>
  <c r="J26" i="17"/>
  <c r="J27" i="17"/>
  <c r="J28" i="17"/>
  <c r="J29" i="17"/>
  <c r="J30" i="17"/>
  <c r="J31" i="17"/>
  <c r="J32" i="17"/>
  <c r="J33" i="17"/>
  <c r="J34" i="17"/>
  <c r="J35" i="17"/>
  <c r="J36" i="17"/>
  <c r="J37" i="17"/>
  <c r="J38" i="17"/>
  <c r="J39" i="17"/>
  <c r="J40" i="17"/>
  <c r="J41" i="17"/>
  <c r="J42" i="17"/>
  <c r="J43" i="17"/>
  <c r="J44" i="17"/>
  <c r="J45" i="17"/>
  <c r="J46" i="17"/>
  <c r="J47" i="17"/>
  <c r="J48" i="17"/>
  <c r="J49" i="17"/>
  <c r="J50" i="17"/>
  <c r="J51" i="17"/>
  <c r="J52" i="17"/>
  <c r="J53" i="17"/>
  <c r="J54" i="17"/>
  <c r="J55" i="17"/>
  <c r="J56" i="17"/>
  <c r="J57" i="17"/>
  <c r="J58" i="17"/>
  <c r="J59" i="17"/>
  <c r="J60" i="17"/>
  <c r="J61" i="17"/>
  <c r="J62" i="17"/>
  <c r="J63" i="17"/>
  <c r="J64" i="17"/>
  <c r="J65" i="17"/>
  <c r="J66" i="17"/>
  <c r="J67" i="17"/>
  <c r="H2" i="14" l="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R2" i="13"/>
  <c r="R24" i="13"/>
  <c r="R3" i="13"/>
  <c r="R4" i="13"/>
  <c r="R5" i="13"/>
  <c r="R6" i="13"/>
  <c r="R7" i="13"/>
  <c r="R8" i="13"/>
  <c r="R9" i="13"/>
  <c r="R10" i="13"/>
  <c r="R11" i="13"/>
  <c r="R12" i="13"/>
  <c r="R13" i="13"/>
  <c r="R14" i="13"/>
  <c r="R15" i="13"/>
  <c r="R16" i="13"/>
  <c r="R17" i="13"/>
  <c r="R18" i="13"/>
  <c r="R19" i="13"/>
  <c r="R20" i="13"/>
  <c r="R21" i="13"/>
  <c r="R22" i="13"/>
  <c r="R23" i="13"/>
  <c r="R25" i="13"/>
  <c r="R26" i="13"/>
  <c r="R27" i="13"/>
  <c r="R28" i="13"/>
  <c r="R29" i="13"/>
  <c r="R30" i="13"/>
  <c r="R31" i="13"/>
  <c r="R32" i="13"/>
  <c r="R33" i="13"/>
  <c r="R34" i="13"/>
  <c r="R35" i="13"/>
  <c r="R36" i="13"/>
  <c r="R37" i="13"/>
  <c r="R38" i="13"/>
  <c r="R39" i="13"/>
  <c r="R40" i="13"/>
  <c r="R41" i="13"/>
  <c r="R42" i="13"/>
  <c r="R43" i="13"/>
  <c r="R44" i="13"/>
  <c r="R45" i="13"/>
  <c r="R46" i="13"/>
  <c r="R47" i="13"/>
  <c r="R48" i="13"/>
  <c r="R49" i="13"/>
  <c r="R50" i="13"/>
  <c r="R51" i="13"/>
  <c r="R52" i="13"/>
  <c r="R53" i="13"/>
  <c r="R54" i="13"/>
  <c r="R55" i="13"/>
  <c r="R56" i="13"/>
  <c r="R57" i="13"/>
  <c r="R58" i="13"/>
  <c r="R59" i="13"/>
  <c r="R60" i="13"/>
  <c r="R61" i="13"/>
  <c r="R62" i="13"/>
  <c r="R63" i="13"/>
  <c r="R64" i="13"/>
  <c r="R65" i="13"/>
  <c r="R66" i="13"/>
  <c r="R67" i="13"/>
  <c r="R68" i="13"/>
  <c r="R69" i="13"/>
  <c r="R70" i="13"/>
  <c r="R71" i="13"/>
  <c r="R72" i="13"/>
  <c r="R73" i="13"/>
  <c r="R74" i="13"/>
  <c r="R75" i="13"/>
  <c r="R76" i="13"/>
  <c r="R77" i="13"/>
  <c r="R78" i="13"/>
  <c r="R79" i="13"/>
  <c r="R80" i="13"/>
  <c r="R81" i="13"/>
  <c r="R82" i="13"/>
  <c r="R83" i="13"/>
  <c r="R84" i="13"/>
  <c r="R85" i="13"/>
  <c r="R86" i="13"/>
  <c r="R87" i="13"/>
  <c r="R88" i="13"/>
  <c r="R89" i="13"/>
  <c r="R90" i="13"/>
  <c r="R91" i="13"/>
  <c r="R92" i="13"/>
  <c r="R93" i="13"/>
  <c r="R94" i="13"/>
  <c r="R95" i="13"/>
  <c r="R96" i="13"/>
  <c r="R97" i="13"/>
  <c r="R98" i="13"/>
  <c r="R99" i="13"/>
  <c r="R100" i="13"/>
  <c r="R101" i="13"/>
  <c r="R102" i="13"/>
  <c r="R103" i="13"/>
  <c r="R104" i="13"/>
  <c r="R105" i="13"/>
  <c r="R106" i="13"/>
  <c r="R107" i="13"/>
  <c r="R108" i="13"/>
  <c r="R109" i="13"/>
  <c r="R110" i="13"/>
  <c r="R111" i="13"/>
  <c r="R112" i="13"/>
  <c r="R113" i="13"/>
  <c r="R114" i="13"/>
  <c r="R115" i="13"/>
  <c r="R116" i="13"/>
  <c r="R117" i="13"/>
  <c r="R118" i="13"/>
  <c r="R119" i="13"/>
  <c r="R120" i="13"/>
  <c r="R121" i="13"/>
  <c r="R122" i="13"/>
  <c r="R123" i="13"/>
  <c r="R124" i="13"/>
  <c r="R125" i="13"/>
  <c r="R126" i="13"/>
  <c r="R127" i="13"/>
  <c r="R128" i="13"/>
  <c r="R129" i="13"/>
  <c r="R130" i="13"/>
  <c r="R131" i="13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3" i="12"/>
  <c r="P504" i="12"/>
  <c r="P505" i="12"/>
  <c r="P506" i="12"/>
  <c r="P507" i="12"/>
  <c r="P508" i="12"/>
  <c r="P509" i="12"/>
  <c r="P510" i="12"/>
  <c r="P511" i="12"/>
  <c r="P512" i="12"/>
  <c r="P513" i="12"/>
  <c r="P514" i="12"/>
  <c r="P515" i="12"/>
  <c r="P516" i="12"/>
  <c r="P517" i="12"/>
  <c r="P518" i="12"/>
  <c r="P519" i="12"/>
  <c r="P520" i="12"/>
  <c r="P521" i="12"/>
  <c r="P522" i="12"/>
  <c r="P523" i="12"/>
  <c r="P524" i="12"/>
  <c r="P525" i="12"/>
  <c r="P526" i="12"/>
  <c r="P527" i="12"/>
  <c r="P528" i="12"/>
  <c r="P529" i="12"/>
  <c r="P530" i="12"/>
  <c r="P531" i="12"/>
  <c r="P532" i="12"/>
  <c r="P533" i="12"/>
  <c r="P534" i="12"/>
  <c r="P535" i="12"/>
  <c r="P536" i="12"/>
  <c r="P537" i="12"/>
  <c r="P538" i="12"/>
  <c r="P539" i="12"/>
  <c r="P540" i="12"/>
  <c r="P541" i="12"/>
  <c r="P542" i="12"/>
  <c r="P543" i="12"/>
  <c r="P544" i="12"/>
  <c r="P545" i="12"/>
  <c r="P546" i="12"/>
  <c r="P547" i="12"/>
  <c r="P548" i="12"/>
  <c r="P549" i="12"/>
  <c r="P550" i="12"/>
  <c r="P551" i="12"/>
  <c r="P552" i="12"/>
  <c r="P553" i="12"/>
  <c r="P554" i="12"/>
  <c r="P555" i="12"/>
  <c r="P556" i="12"/>
  <c r="P557" i="12"/>
  <c r="P558" i="12"/>
  <c r="V2" i="6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V119" i="6"/>
  <c r="M119" i="6"/>
  <c r="V266" i="6"/>
  <c r="V274" i="6"/>
  <c r="V275" i="6"/>
  <c r="V273" i="6"/>
  <c r="V152" i="6"/>
  <c r="V141" i="6"/>
  <c r="V125" i="6"/>
  <c r="V120" i="6"/>
  <c r="M120" i="6"/>
  <c r="M125" i="6"/>
  <c r="M141" i="6"/>
  <c r="M152" i="6"/>
  <c r="M266" i="6"/>
  <c r="M273" i="6"/>
  <c r="M274" i="6"/>
  <c r="M275" i="6"/>
  <c r="V3" i="6"/>
  <c r="V4" i="6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35" i="6"/>
  <c r="V36" i="6"/>
  <c r="V37" i="6"/>
  <c r="V38" i="6"/>
  <c r="V39" i="6"/>
  <c r="V40" i="6"/>
  <c r="V41" i="6"/>
  <c r="V42" i="6"/>
  <c r="V43" i="6"/>
  <c r="V44" i="6"/>
  <c r="V45" i="6"/>
  <c r="V46" i="6"/>
  <c r="V47" i="6"/>
  <c r="V48" i="6"/>
  <c r="V49" i="6"/>
  <c r="V50" i="6"/>
  <c r="V51" i="6"/>
  <c r="V52" i="6"/>
  <c r="V53" i="6"/>
  <c r="V54" i="6"/>
  <c r="V55" i="6"/>
  <c r="V56" i="6"/>
  <c r="V57" i="6"/>
  <c r="V58" i="6"/>
  <c r="V59" i="6"/>
  <c r="V60" i="6"/>
  <c r="V61" i="6"/>
  <c r="V62" i="6"/>
  <c r="V63" i="6"/>
  <c r="V64" i="6"/>
  <c r="V65" i="6"/>
  <c r="V66" i="6"/>
  <c r="V67" i="6"/>
  <c r="V68" i="6"/>
  <c r="V69" i="6"/>
  <c r="V70" i="6"/>
  <c r="V71" i="6"/>
  <c r="V72" i="6"/>
  <c r="V73" i="6"/>
  <c r="V74" i="6"/>
  <c r="V75" i="6"/>
  <c r="V76" i="6"/>
  <c r="V77" i="6"/>
  <c r="V78" i="6"/>
  <c r="V79" i="6"/>
  <c r="V80" i="6"/>
  <c r="V81" i="6"/>
  <c r="V82" i="6"/>
  <c r="V83" i="6"/>
  <c r="V84" i="6"/>
  <c r="V85" i="6"/>
  <c r="V86" i="6"/>
  <c r="V87" i="6"/>
  <c r="V88" i="6"/>
  <c r="V89" i="6"/>
  <c r="V90" i="6"/>
  <c r="V91" i="6"/>
  <c r="V92" i="6"/>
  <c r="V93" i="6"/>
  <c r="V94" i="6"/>
  <c r="V95" i="6"/>
  <c r="V96" i="6"/>
  <c r="V97" i="6"/>
  <c r="V98" i="6"/>
  <c r="V99" i="6"/>
  <c r="V100" i="6"/>
  <c r="V101" i="6"/>
  <c r="V102" i="6"/>
  <c r="V103" i="6"/>
  <c r="V104" i="6"/>
  <c r="V105" i="6"/>
  <c r="V106" i="6"/>
  <c r="V107" i="6"/>
  <c r="V108" i="6"/>
  <c r="V109" i="6"/>
  <c r="V110" i="6"/>
  <c r="V111" i="6"/>
  <c r="V112" i="6"/>
  <c r="V113" i="6"/>
  <c r="V114" i="6"/>
  <c r="V115" i="6"/>
  <c r="V116" i="6"/>
  <c r="V117" i="6"/>
  <c r="V118" i="6"/>
  <c r="V121" i="6"/>
  <c r="V122" i="6"/>
  <c r="V123" i="6"/>
  <c r="V124" i="6"/>
  <c r="V126" i="6"/>
  <c r="V127" i="6"/>
  <c r="V128" i="6"/>
  <c r="V129" i="6"/>
  <c r="V130" i="6"/>
  <c r="V131" i="6"/>
  <c r="V132" i="6"/>
  <c r="V133" i="6"/>
  <c r="V134" i="6"/>
  <c r="V135" i="6"/>
  <c r="V136" i="6"/>
  <c r="V137" i="6"/>
  <c r="V138" i="6"/>
  <c r="V139" i="6"/>
  <c r="V140" i="6"/>
  <c r="V142" i="6"/>
  <c r="V143" i="6"/>
  <c r="V144" i="6"/>
  <c r="V145" i="6"/>
  <c r="V146" i="6"/>
  <c r="V147" i="6"/>
  <c r="V148" i="6"/>
  <c r="V149" i="6"/>
  <c r="V150" i="6"/>
  <c r="V151" i="6"/>
  <c r="V153" i="6"/>
  <c r="V154" i="6"/>
  <c r="V155" i="6"/>
  <c r="V156" i="6"/>
  <c r="V157" i="6"/>
  <c r="V158" i="6"/>
  <c r="V159" i="6"/>
  <c r="V160" i="6"/>
  <c r="V161" i="6"/>
  <c r="V162" i="6"/>
  <c r="V163" i="6"/>
  <c r="V164" i="6"/>
  <c r="V165" i="6"/>
  <c r="V166" i="6"/>
  <c r="V167" i="6"/>
  <c r="V168" i="6"/>
  <c r="V169" i="6"/>
  <c r="V170" i="6"/>
  <c r="V171" i="6"/>
  <c r="V172" i="6"/>
  <c r="V173" i="6"/>
  <c r="V174" i="6"/>
  <c r="V175" i="6"/>
  <c r="V176" i="6"/>
  <c r="V177" i="6"/>
  <c r="V178" i="6"/>
  <c r="V179" i="6"/>
  <c r="V180" i="6"/>
  <c r="V181" i="6"/>
  <c r="V182" i="6"/>
  <c r="V183" i="6"/>
  <c r="V184" i="6"/>
  <c r="V185" i="6"/>
  <c r="V186" i="6"/>
  <c r="V187" i="6"/>
  <c r="V188" i="6"/>
  <c r="V189" i="6"/>
  <c r="V190" i="6"/>
  <c r="V191" i="6"/>
  <c r="V192" i="6"/>
  <c r="V193" i="6"/>
  <c r="V194" i="6"/>
  <c r="V195" i="6"/>
  <c r="V196" i="6"/>
  <c r="V197" i="6"/>
  <c r="V198" i="6"/>
  <c r="V199" i="6"/>
  <c r="V200" i="6"/>
  <c r="V201" i="6"/>
  <c r="V202" i="6"/>
  <c r="V203" i="6"/>
  <c r="V204" i="6"/>
  <c r="V205" i="6"/>
  <c r="V206" i="6"/>
  <c r="V207" i="6"/>
  <c r="V208" i="6"/>
  <c r="V209" i="6"/>
  <c r="V210" i="6"/>
  <c r="V211" i="6"/>
  <c r="V212" i="6"/>
  <c r="V213" i="6"/>
  <c r="V214" i="6"/>
  <c r="V215" i="6"/>
  <c r="V216" i="6"/>
  <c r="V217" i="6"/>
  <c r="V218" i="6"/>
  <c r="V219" i="6"/>
  <c r="V220" i="6"/>
  <c r="V221" i="6"/>
  <c r="V222" i="6"/>
  <c r="V223" i="6"/>
  <c r="V224" i="6"/>
  <c r="V233" i="6"/>
  <c r="V234" i="6"/>
  <c r="V235" i="6"/>
  <c r="V236" i="6"/>
  <c r="V237" i="6"/>
  <c r="V238" i="6"/>
  <c r="V239" i="6"/>
  <c r="V240" i="6"/>
  <c r="V241" i="6"/>
  <c r="V242" i="6"/>
  <c r="V243" i="6"/>
  <c r="V244" i="6"/>
  <c r="V245" i="6"/>
  <c r="V246" i="6"/>
  <c r="V247" i="6"/>
  <c r="V248" i="6"/>
  <c r="V231" i="6"/>
  <c r="V232" i="6"/>
  <c r="V230" i="6"/>
  <c r="V229" i="6"/>
  <c r="V228" i="6"/>
  <c r="V227" i="6"/>
  <c r="V226" i="6"/>
  <c r="V225" i="6"/>
  <c r="V249" i="6"/>
  <c r="V257" i="6"/>
  <c r="V258" i="6"/>
  <c r="V259" i="6"/>
  <c r="V260" i="6"/>
  <c r="V254" i="6"/>
  <c r="V253" i="6"/>
  <c r="V252" i="6"/>
  <c r="V251" i="6"/>
  <c r="V250" i="6"/>
  <c r="V255" i="6"/>
  <c r="V256" i="6"/>
  <c r="V261" i="6"/>
  <c r="V262" i="6"/>
  <c r="V263" i="6"/>
  <c r="V264" i="6"/>
  <c r="V265" i="6"/>
  <c r="V267" i="6"/>
  <c r="V268" i="6"/>
  <c r="V269" i="6"/>
  <c r="V270" i="6"/>
  <c r="V271" i="6"/>
  <c r="V272" i="6"/>
  <c r="V276" i="6"/>
  <c r="V277" i="6"/>
  <c r="V278" i="6"/>
  <c r="V279" i="6"/>
  <c r="V280" i="6"/>
  <c r="M280" i="6"/>
  <c r="M279" i="6"/>
  <c r="M278" i="6"/>
  <c r="M277" i="6"/>
  <c r="K2056" i="1"/>
  <c r="J2056" i="1"/>
  <c r="K2055" i="1"/>
  <c r="J2055" i="1"/>
  <c r="K2054" i="1"/>
  <c r="J2054" i="1"/>
  <c r="K2053" i="1"/>
  <c r="J2053" i="1"/>
  <c r="K2052" i="1"/>
  <c r="J2052" i="1"/>
  <c r="K2051" i="1"/>
  <c r="J2051" i="1"/>
  <c r="K2050" i="1"/>
  <c r="J2050" i="1"/>
  <c r="K2049" i="1"/>
  <c r="J2049" i="1"/>
  <c r="K2048" i="1"/>
  <c r="J2048" i="1"/>
  <c r="K2047" i="1"/>
  <c r="J2047" i="1"/>
  <c r="K2046" i="1"/>
  <c r="J2046" i="1"/>
  <c r="K2045" i="1"/>
  <c r="J2045" i="1"/>
  <c r="K2044" i="1"/>
  <c r="J2044" i="1"/>
  <c r="K2043" i="1"/>
  <c r="J2043" i="1"/>
  <c r="K2042" i="1"/>
  <c r="J2042" i="1"/>
  <c r="K2041" i="1"/>
  <c r="J2041" i="1"/>
  <c r="K2040" i="1"/>
  <c r="J2040" i="1"/>
  <c r="K2039" i="1"/>
  <c r="J2039" i="1"/>
  <c r="K2038" i="1"/>
  <c r="J2038" i="1"/>
  <c r="K2037" i="1"/>
  <c r="J2037" i="1"/>
  <c r="K2036" i="1"/>
  <c r="J2036" i="1"/>
  <c r="K2035" i="1"/>
  <c r="J2035" i="1"/>
  <c r="K2034" i="1"/>
  <c r="J2034" i="1"/>
  <c r="K2033" i="1"/>
  <c r="J2033" i="1"/>
  <c r="K2032" i="1"/>
  <c r="J2032" i="1"/>
  <c r="K2031" i="1"/>
  <c r="J2031" i="1"/>
  <c r="K2030" i="1"/>
  <c r="J2030" i="1"/>
  <c r="K2029" i="1"/>
  <c r="J2029" i="1"/>
  <c r="K2028" i="1"/>
  <c r="J2028" i="1"/>
  <c r="K2027" i="1"/>
  <c r="J2027" i="1"/>
  <c r="K2026" i="1"/>
  <c r="J2026" i="1"/>
  <c r="K2025" i="1"/>
  <c r="J2025" i="1"/>
  <c r="K2024" i="1"/>
  <c r="J2024" i="1"/>
  <c r="K2023" i="1"/>
  <c r="J2023" i="1"/>
  <c r="K2022" i="1"/>
  <c r="J2022" i="1"/>
  <c r="K2021" i="1"/>
  <c r="J2021" i="1"/>
  <c r="K2020" i="1"/>
  <c r="J2020" i="1"/>
  <c r="K2019" i="1"/>
  <c r="J2019" i="1"/>
  <c r="K2018" i="1"/>
  <c r="J2018" i="1"/>
  <c r="K2017" i="1"/>
  <c r="J2017" i="1"/>
  <c r="K2016" i="1"/>
  <c r="J2016" i="1"/>
  <c r="K2015" i="1"/>
  <c r="J2015" i="1"/>
  <c r="K2014" i="1"/>
  <c r="J2014" i="1"/>
  <c r="M276" i="6"/>
  <c r="J2013" i="1"/>
  <c r="K2013" i="1"/>
  <c r="J2012" i="1"/>
  <c r="K2012" i="1"/>
  <c r="M272" i="6"/>
  <c r="J2011" i="1"/>
  <c r="K2011" i="1"/>
  <c r="J2010" i="1"/>
  <c r="K2010" i="1"/>
  <c r="J2009" i="1"/>
  <c r="K2009" i="1"/>
  <c r="J2008" i="1"/>
  <c r="K2008" i="1"/>
  <c r="M271" i="6"/>
  <c r="J2007" i="1"/>
  <c r="K2007" i="1"/>
  <c r="J2006" i="1"/>
  <c r="K2006" i="1"/>
  <c r="J2005" i="1"/>
  <c r="K2005" i="1"/>
  <c r="J2004" i="1"/>
  <c r="K2004" i="1"/>
  <c r="J2003" i="1"/>
  <c r="K2003" i="1"/>
  <c r="J2002" i="1"/>
  <c r="K2002" i="1"/>
  <c r="J2001" i="1"/>
  <c r="K2001" i="1"/>
  <c r="J2000" i="1"/>
  <c r="K2000" i="1"/>
  <c r="J1999" i="1"/>
  <c r="K1999" i="1"/>
  <c r="J1998" i="1"/>
  <c r="K1998" i="1"/>
  <c r="J1997" i="1"/>
  <c r="K1997" i="1"/>
  <c r="J1996" i="1"/>
  <c r="K1996" i="1"/>
  <c r="J1995" i="1"/>
  <c r="K1995" i="1"/>
  <c r="J1994" i="1"/>
  <c r="K1994" i="1"/>
  <c r="J1993" i="1"/>
  <c r="K1993" i="1"/>
  <c r="J1992" i="1"/>
  <c r="K1992" i="1"/>
  <c r="J1991" i="1"/>
  <c r="K1991" i="1"/>
  <c r="J1990" i="1"/>
  <c r="K1990" i="1"/>
  <c r="J1989" i="1"/>
  <c r="K1989" i="1"/>
  <c r="J1988" i="1"/>
  <c r="K1988" i="1"/>
  <c r="J1987" i="1"/>
  <c r="K1987" i="1"/>
  <c r="J1986" i="1"/>
  <c r="K1986" i="1"/>
  <c r="J1985" i="1"/>
  <c r="K1985" i="1"/>
  <c r="J1984" i="1"/>
  <c r="K1984" i="1"/>
  <c r="J1983" i="1"/>
  <c r="K1983" i="1"/>
  <c r="J1982" i="1"/>
  <c r="K1982" i="1"/>
  <c r="J1981" i="1"/>
  <c r="K1981" i="1"/>
  <c r="J1980" i="1"/>
  <c r="K1980" i="1"/>
  <c r="J1979" i="1"/>
  <c r="K1979" i="1"/>
  <c r="J1978" i="1"/>
  <c r="K1978" i="1"/>
  <c r="J1977" i="1"/>
  <c r="K1977" i="1"/>
  <c r="J1976" i="1"/>
  <c r="K1976" i="1"/>
  <c r="J1975" i="1"/>
  <c r="K1975" i="1"/>
  <c r="J1974" i="1"/>
  <c r="K1974" i="1"/>
  <c r="J1973" i="1"/>
  <c r="K1973" i="1"/>
  <c r="J1972" i="1"/>
  <c r="K1972" i="1"/>
  <c r="J1971" i="1"/>
  <c r="K1971" i="1"/>
  <c r="J1970" i="1"/>
  <c r="K1970" i="1"/>
  <c r="J1969" i="1"/>
  <c r="K1969" i="1"/>
  <c r="J1968" i="1"/>
  <c r="K1968" i="1"/>
  <c r="J1967" i="1"/>
  <c r="K1967" i="1"/>
  <c r="J1966" i="1"/>
  <c r="K1966" i="1"/>
  <c r="J1965" i="1"/>
  <c r="K1965" i="1"/>
  <c r="J1964" i="1"/>
  <c r="K1964" i="1"/>
  <c r="J1963" i="1"/>
  <c r="K1963" i="1"/>
  <c r="J1962" i="1"/>
  <c r="K1962" i="1"/>
  <c r="J1961" i="1"/>
  <c r="K1961" i="1"/>
  <c r="J1960" i="1"/>
  <c r="K1960" i="1"/>
  <c r="J1959" i="1"/>
  <c r="K1959" i="1"/>
  <c r="J1958" i="1"/>
  <c r="K1958" i="1"/>
  <c r="J1957" i="1"/>
  <c r="K1957" i="1"/>
  <c r="J1956" i="1"/>
  <c r="K1956" i="1"/>
  <c r="J1955" i="1"/>
  <c r="K1955" i="1"/>
  <c r="J1954" i="1"/>
  <c r="K1954" i="1"/>
  <c r="J1953" i="1"/>
  <c r="K1953" i="1"/>
  <c r="J1952" i="1"/>
  <c r="K1952" i="1"/>
  <c r="J1951" i="1"/>
  <c r="K1951" i="1"/>
  <c r="J1950" i="1"/>
  <c r="K1950" i="1"/>
  <c r="J1949" i="1"/>
  <c r="K1949" i="1"/>
  <c r="J1948" i="1"/>
  <c r="K1948" i="1"/>
  <c r="J1947" i="1"/>
  <c r="K1947" i="1"/>
  <c r="J1946" i="1"/>
  <c r="K1946" i="1"/>
  <c r="J1945" i="1"/>
  <c r="K1945" i="1"/>
  <c r="J1944" i="1"/>
  <c r="K1944" i="1"/>
  <c r="J1943" i="1"/>
  <c r="K1943" i="1"/>
  <c r="J1942" i="1"/>
  <c r="K1942" i="1"/>
  <c r="J1941" i="1"/>
  <c r="K1941" i="1"/>
  <c r="J1940" i="1"/>
  <c r="K1940" i="1"/>
  <c r="J1939" i="1"/>
  <c r="K1939" i="1"/>
  <c r="J1938" i="1"/>
  <c r="K1938" i="1"/>
  <c r="J1937" i="1"/>
  <c r="K1937" i="1"/>
  <c r="J1936" i="1"/>
  <c r="K1936" i="1"/>
  <c r="J1935" i="1"/>
  <c r="K1935" i="1"/>
  <c r="J1934" i="1"/>
  <c r="K1934" i="1"/>
  <c r="J1933" i="1"/>
  <c r="K1933" i="1"/>
  <c r="J1932" i="1"/>
  <c r="K1932" i="1"/>
  <c r="J1931" i="1"/>
  <c r="K1931" i="1"/>
  <c r="J1930" i="1"/>
  <c r="K1930" i="1"/>
  <c r="J1929" i="1"/>
  <c r="K1929" i="1"/>
  <c r="J1928" i="1"/>
  <c r="K1928" i="1"/>
  <c r="J1927" i="1"/>
  <c r="K1927" i="1"/>
  <c r="J1926" i="1"/>
  <c r="K1926" i="1"/>
  <c r="J1925" i="1"/>
  <c r="K1925" i="1"/>
  <c r="J1924" i="1"/>
  <c r="K1924" i="1"/>
  <c r="J1923" i="1"/>
  <c r="K1923" i="1"/>
  <c r="J1922" i="1"/>
  <c r="K1922" i="1"/>
  <c r="J1921" i="1"/>
  <c r="K1921" i="1"/>
  <c r="J1920" i="1"/>
  <c r="K1920" i="1"/>
  <c r="J1919" i="1"/>
  <c r="K1919" i="1"/>
  <c r="J1918" i="1"/>
  <c r="K1918" i="1"/>
  <c r="J1917" i="1"/>
  <c r="K1917" i="1"/>
  <c r="J1916" i="1"/>
  <c r="K1916" i="1"/>
  <c r="J1915" i="1"/>
  <c r="K1915" i="1"/>
  <c r="J1914" i="1"/>
  <c r="K1914" i="1"/>
  <c r="J1913" i="1"/>
  <c r="K1913" i="1"/>
  <c r="J1912" i="1"/>
  <c r="K1912" i="1"/>
  <c r="J1911" i="1"/>
  <c r="K1911" i="1"/>
  <c r="J1910" i="1"/>
  <c r="K1910" i="1"/>
  <c r="J1909" i="1"/>
  <c r="K1909" i="1"/>
  <c r="M270" i="6"/>
  <c r="J1908" i="1"/>
  <c r="K1908" i="1"/>
  <c r="M269" i="6"/>
  <c r="M268" i="6"/>
  <c r="M267" i="6"/>
  <c r="J1907" i="1"/>
  <c r="K1907" i="1"/>
  <c r="J1906" i="1"/>
  <c r="K1906" i="1"/>
  <c r="J1905" i="1"/>
  <c r="K1905" i="1"/>
  <c r="J1904" i="1"/>
  <c r="K1904" i="1"/>
  <c r="J1903" i="1"/>
  <c r="K1903" i="1"/>
  <c r="J1902" i="1"/>
  <c r="K1902" i="1"/>
  <c r="J1901" i="1"/>
  <c r="K1901" i="1"/>
  <c r="J1900" i="1"/>
  <c r="K1900" i="1"/>
  <c r="J1899" i="1"/>
  <c r="K1899" i="1"/>
  <c r="J1898" i="1"/>
  <c r="K1898" i="1"/>
  <c r="J1897" i="1"/>
  <c r="K1897" i="1"/>
  <c r="J1896" i="1"/>
  <c r="K1896" i="1"/>
  <c r="J1895" i="1"/>
  <c r="K1895" i="1"/>
  <c r="J1894" i="1"/>
  <c r="K1894" i="1"/>
  <c r="J1893" i="1"/>
  <c r="K1893" i="1"/>
  <c r="J1892" i="1"/>
  <c r="K1892" i="1"/>
  <c r="J1891" i="1"/>
  <c r="K1891" i="1"/>
  <c r="J1890" i="1"/>
  <c r="K1890" i="1"/>
  <c r="J1889" i="1"/>
  <c r="K1889" i="1"/>
  <c r="J1888" i="1"/>
  <c r="K1888" i="1"/>
  <c r="O2" i="12"/>
  <c r="O3" i="12"/>
  <c r="O4" i="12"/>
  <c r="O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J1887" i="1"/>
  <c r="K1887" i="1"/>
  <c r="J1886" i="1"/>
  <c r="K1886" i="1"/>
  <c r="J1885" i="1"/>
  <c r="K1885" i="1"/>
  <c r="J1884" i="1"/>
  <c r="K1884" i="1"/>
  <c r="J1883" i="1"/>
  <c r="K1883" i="1"/>
  <c r="J1882" i="1"/>
  <c r="K1882" i="1"/>
  <c r="J1881" i="1"/>
  <c r="K1881" i="1"/>
  <c r="J1880" i="1"/>
  <c r="K1880" i="1"/>
  <c r="J1879" i="1"/>
  <c r="K1879" i="1"/>
  <c r="J1878" i="1"/>
  <c r="K1878" i="1"/>
  <c r="J1877" i="1"/>
  <c r="K1877" i="1"/>
  <c r="J1876" i="1"/>
  <c r="K1876" i="1"/>
  <c r="J1875" i="1"/>
  <c r="K1875" i="1"/>
  <c r="J1874" i="1"/>
  <c r="K1874" i="1"/>
  <c r="J1873" i="1"/>
  <c r="K1873" i="1"/>
  <c r="J1872" i="1"/>
  <c r="K1872" i="1"/>
  <c r="J1871" i="1"/>
  <c r="K1871" i="1"/>
  <c r="J1870" i="1"/>
  <c r="K1870" i="1"/>
  <c r="M2" i="6"/>
  <c r="M3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21" i="6"/>
  <c r="M122" i="6"/>
  <c r="M123" i="6"/>
  <c r="M124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2" i="6"/>
  <c r="M143" i="6"/>
  <c r="M144" i="6"/>
  <c r="M145" i="6"/>
  <c r="M146" i="6"/>
  <c r="M147" i="6"/>
  <c r="M148" i="6"/>
  <c r="M149" i="6"/>
  <c r="M150" i="6"/>
  <c r="M151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31" i="6"/>
  <c r="M232" i="6"/>
  <c r="M230" i="6"/>
  <c r="M229" i="6"/>
  <c r="M228" i="6"/>
  <c r="M227" i="6"/>
  <c r="M226" i="6"/>
  <c r="M225" i="6"/>
  <c r="M249" i="6"/>
  <c r="M257" i="6"/>
  <c r="M258" i="6"/>
  <c r="M259" i="6"/>
  <c r="M260" i="6"/>
  <c r="M254" i="6"/>
  <c r="M253" i="6"/>
  <c r="M252" i="6"/>
  <c r="M251" i="6"/>
  <c r="M250" i="6"/>
  <c r="M255" i="6"/>
  <c r="M256" i="6"/>
  <c r="M261" i="6"/>
  <c r="M262" i="6"/>
  <c r="M263" i="6"/>
  <c r="M264" i="6"/>
  <c r="M265" i="6"/>
  <c r="J1869" i="1"/>
  <c r="K1869" i="1"/>
  <c r="J1868" i="1"/>
  <c r="K1868" i="1"/>
  <c r="J1867" i="1"/>
  <c r="K1867" i="1"/>
  <c r="J1866" i="1"/>
  <c r="K1866" i="1"/>
  <c r="J1865" i="1"/>
  <c r="K1865" i="1"/>
  <c r="J1864" i="1"/>
  <c r="K1864" i="1"/>
  <c r="J1863" i="1"/>
  <c r="K1863" i="1"/>
  <c r="J1862" i="1"/>
  <c r="K1862" i="1"/>
  <c r="J1861" i="1"/>
  <c r="K1861" i="1"/>
  <c r="J1860" i="1"/>
  <c r="K1860" i="1"/>
  <c r="J1859" i="1"/>
  <c r="K1859" i="1"/>
  <c r="J1858" i="1"/>
  <c r="K1858" i="1"/>
  <c r="J1857" i="1"/>
  <c r="K1857" i="1"/>
  <c r="J1856" i="1"/>
  <c r="K1856" i="1"/>
  <c r="J1855" i="1"/>
  <c r="K1855" i="1"/>
  <c r="J1854" i="1"/>
  <c r="K1854" i="1"/>
  <c r="J1853" i="1"/>
  <c r="K1853" i="1"/>
  <c r="J1852" i="1"/>
  <c r="K1852" i="1"/>
  <c r="J1851" i="1"/>
  <c r="K1851" i="1"/>
  <c r="J1850" i="1"/>
  <c r="K1850" i="1"/>
  <c r="J1849" i="1"/>
  <c r="K1849" i="1"/>
  <c r="J1848" i="1"/>
  <c r="K1848" i="1"/>
  <c r="J1847" i="1"/>
  <c r="K1847" i="1"/>
  <c r="J1846" i="1"/>
  <c r="K1846" i="1"/>
  <c r="J1845" i="1"/>
  <c r="K1845" i="1"/>
  <c r="J1844" i="1"/>
  <c r="K1844" i="1"/>
  <c r="J1843" i="1"/>
  <c r="K1843" i="1"/>
  <c r="J1842" i="1"/>
  <c r="K1842" i="1"/>
  <c r="J1841" i="1"/>
  <c r="K1841" i="1"/>
  <c r="J1840" i="1"/>
  <c r="K1840" i="1"/>
  <c r="J1839" i="1"/>
  <c r="K1839" i="1"/>
  <c r="J1838" i="1"/>
  <c r="K1838" i="1"/>
  <c r="J1837" i="1"/>
  <c r="K1837" i="1"/>
  <c r="J1836" i="1"/>
  <c r="K1836" i="1"/>
  <c r="J1835" i="1"/>
  <c r="K1835" i="1"/>
  <c r="J1834" i="1"/>
  <c r="K1834" i="1"/>
  <c r="J1833" i="1"/>
  <c r="K1833" i="1"/>
  <c r="J1832" i="1"/>
  <c r="K1832" i="1"/>
  <c r="J1831" i="1"/>
  <c r="K1831" i="1"/>
  <c r="J1830" i="1"/>
  <c r="K1830" i="1"/>
  <c r="J1829" i="1"/>
  <c r="K1829" i="1"/>
  <c r="J1828" i="1"/>
  <c r="K1828" i="1"/>
  <c r="J1827" i="1"/>
  <c r="K1827" i="1"/>
  <c r="J1826" i="1"/>
  <c r="K1826" i="1"/>
  <c r="J1825" i="1"/>
  <c r="K1825" i="1"/>
  <c r="J1824" i="1"/>
  <c r="K1824" i="1"/>
  <c r="J1823" i="1"/>
  <c r="K1823" i="1"/>
  <c r="J1822" i="1"/>
  <c r="K1822" i="1"/>
  <c r="J1821" i="1"/>
  <c r="K1821" i="1"/>
  <c r="J1820" i="1"/>
  <c r="K1820" i="1"/>
  <c r="J1819" i="1"/>
  <c r="K1819" i="1"/>
  <c r="J1818" i="1"/>
  <c r="K1818" i="1"/>
  <c r="J1817" i="1"/>
  <c r="K1817" i="1"/>
  <c r="J1816" i="1"/>
  <c r="K1816" i="1"/>
  <c r="J1815" i="1"/>
  <c r="K1815" i="1"/>
  <c r="J1814" i="1"/>
  <c r="K1814" i="1"/>
  <c r="J1813" i="1"/>
  <c r="K1813" i="1"/>
  <c r="J1812" i="1"/>
  <c r="K1812" i="1"/>
  <c r="J1811" i="1"/>
  <c r="K1811" i="1"/>
  <c r="J1810" i="1"/>
  <c r="K1810" i="1"/>
  <c r="J1809" i="1"/>
  <c r="K1809" i="1"/>
  <c r="J1808" i="1"/>
  <c r="K1808" i="1"/>
  <c r="J1807" i="1"/>
  <c r="K1807" i="1"/>
  <c r="J1806" i="1"/>
  <c r="K1806" i="1"/>
  <c r="J1805" i="1"/>
  <c r="K1805" i="1"/>
  <c r="J1804" i="1"/>
  <c r="K1804" i="1"/>
  <c r="J1803" i="1"/>
  <c r="K1803" i="1"/>
  <c r="J1802" i="1"/>
  <c r="K1802" i="1"/>
  <c r="J1801" i="1"/>
  <c r="K1801" i="1"/>
  <c r="J1800" i="1"/>
  <c r="K1800" i="1"/>
  <c r="J1799" i="1"/>
  <c r="K1799" i="1"/>
  <c r="J1798" i="1"/>
  <c r="K1798" i="1"/>
  <c r="J1797" i="1"/>
  <c r="K1797" i="1"/>
  <c r="J1796" i="1"/>
  <c r="K1796" i="1"/>
  <c r="J1795" i="1"/>
  <c r="K1795" i="1"/>
  <c r="J1794" i="1"/>
  <c r="K1794" i="1"/>
  <c r="J1793" i="1"/>
  <c r="K1793" i="1"/>
  <c r="J1792" i="1"/>
  <c r="K1792" i="1"/>
  <c r="J1791" i="1"/>
  <c r="K1791" i="1"/>
  <c r="J1790" i="1"/>
  <c r="K1790" i="1"/>
  <c r="J1789" i="1"/>
  <c r="K1789" i="1"/>
  <c r="J1788" i="1"/>
  <c r="K1788" i="1"/>
  <c r="J1787" i="1"/>
  <c r="K1787" i="1"/>
  <c r="J1786" i="1"/>
  <c r="K1786" i="1"/>
  <c r="J1785" i="1"/>
  <c r="K1785" i="1"/>
  <c r="J1784" i="1"/>
  <c r="K1784" i="1"/>
  <c r="I548" i="15" l="1"/>
  <c r="L127" i="13" l="1"/>
  <c r="L128" i="13"/>
  <c r="Q128" i="13" s="1"/>
  <c r="L129" i="13"/>
  <c r="Q129" i="13" s="1"/>
  <c r="L130" i="13"/>
  <c r="P130" i="13" s="1"/>
  <c r="L131" i="13"/>
  <c r="O131" i="13" s="1"/>
  <c r="M127" i="13"/>
  <c r="M128" i="13"/>
  <c r="M129" i="13"/>
  <c r="M130" i="13"/>
  <c r="M131" i="13"/>
  <c r="N127" i="13"/>
  <c r="N128" i="13"/>
  <c r="N129" i="13"/>
  <c r="N130" i="13"/>
  <c r="N131" i="13"/>
  <c r="P131" i="13"/>
  <c r="Q131" i="13"/>
  <c r="I537" i="15"/>
  <c r="I538" i="15"/>
  <c r="I539" i="15"/>
  <c r="I540" i="15"/>
  <c r="I541" i="15"/>
  <c r="I542" i="15"/>
  <c r="I543" i="15"/>
  <c r="I544" i="15"/>
  <c r="I545" i="15"/>
  <c r="I546" i="15"/>
  <c r="I547" i="15"/>
  <c r="I532" i="15"/>
  <c r="I533" i="15"/>
  <c r="I534" i="15"/>
  <c r="I535" i="15"/>
  <c r="I536" i="15"/>
  <c r="I525" i="15"/>
  <c r="I526" i="15"/>
  <c r="I527" i="15"/>
  <c r="I528" i="15"/>
  <c r="I529" i="15"/>
  <c r="I530" i="15"/>
  <c r="I531" i="15"/>
  <c r="I524" i="15"/>
  <c r="K1783" i="1"/>
  <c r="J1783" i="1"/>
  <c r="K1782" i="1"/>
  <c r="J1782" i="1"/>
  <c r="K1781" i="1"/>
  <c r="J1781" i="1"/>
  <c r="K1780" i="1"/>
  <c r="J1780" i="1"/>
  <c r="K1779" i="1"/>
  <c r="J1779" i="1"/>
  <c r="K1778" i="1"/>
  <c r="J1778" i="1"/>
  <c r="K1777" i="1"/>
  <c r="J1777" i="1"/>
  <c r="K1776" i="1"/>
  <c r="J1776" i="1"/>
  <c r="K1775" i="1"/>
  <c r="J1775" i="1"/>
  <c r="K1774" i="1"/>
  <c r="J1774" i="1"/>
  <c r="K1773" i="1"/>
  <c r="J1773" i="1"/>
  <c r="K1772" i="1"/>
  <c r="J1772" i="1"/>
  <c r="K1771" i="1"/>
  <c r="J1771" i="1"/>
  <c r="K1770" i="1"/>
  <c r="J1770" i="1"/>
  <c r="K1769" i="1"/>
  <c r="J1769" i="1"/>
  <c r="K1768" i="1"/>
  <c r="J1768" i="1"/>
  <c r="K1767" i="1"/>
  <c r="J1767" i="1"/>
  <c r="K1766" i="1"/>
  <c r="J1766" i="1"/>
  <c r="K1765" i="1"/>
  <c r="J1765" i="1"/>
  <c r="K1764" i="1"/>
  <c r="J1764" i="1"/>
  <c r="K1763" i="1"/>
  <c r="J1763" i="1"/>
  <c r="K1762" i="1"/>
  <c r="J1762" i="1"/>
  <c r="K1761" i="1"/>
  <c r="J1761" i="1"/>
  <c r="K1760" i="1"/>
  <c r="J1760" i="1"/>
  <c r="K1759" i="1"/>
  <c r="J1759" i="1"/>
  <c r="K1758" i="1"/>
  <c r="J1758" i="1"/>
  <c r="K1757" i="1"/>
  <c r="J1757" i="1"/>
  <c r="K1756" i="1"/>
  <c r="J1756" i="1"/>
  <c r="K1755" i="1"/>
  <c r="J1755" i="1"/>
  <c r="K1754" i="1"/>
  <c r="J1754" i="1"/>
  <c r="K1753" i="1"/>
  <c r="J1753" i="1"/>
  <c r="K1752" i="1"/>
  <c r="J1752" i="1"/>
  <c r="K1751" i="1"/>
  <c r="J1751" i="1"/>
  <c r="K1750" i="1"/>
  <c r="J1750" i="1"/>
  <c r="K1749" i="1"/>
  <c r="J1749" i="1"/>
  <c r="K1748" i="1"/>
  <c r="J1748" i="1"/>
  <c r="K1747" i="1"/>
  <c r="J1747" i="1"/>
  <c r="K1746" i="1"/>
  <c r="J1746" i="1"/>
  <c r="K1745" i="1"/>
  <c r="J1745" i="1"/>
  <c r="K1744" i="1"/>
  <c r="J1744" i="1"/>
  <c r="K1743" i="1"/>
  <c r="J1743" i="1"/>
  <c r="K1742" i="1"/>
  <c r="J1742" i="1"/>
  <c r="K1741" i="1"/>
  <c r="J1741" i="1"/>
  <c r="K1740" i="1"/>
  <c r="J1740" i="1"/>
  <c r="K1739" i="1"/>
  <c r="J1739" i="1"/>
  <c r="K1738" i="1"/>
  <c r="J1738" i="1"/>
  <c r="K1737" i="1"/>
  <c r="J1737" i="1"/>
  <c r="K1736" i="1"/>
  <c r="J1736" i="1"/>
  <c r="K1735" i="1"/>
  <c r="J1735" i="1"/>
  <c r="K1734" i="1"/>
  <c r="J1734" i="1"/>
  <c r="K1733" i="1"/>
  <c r="J1733" i="1"/>
  <c r="K1732" i="1"/>
  <c r="J1732" i="1"/>
  <c r="K1731" i="1"/>
  <c r="J1731" i="1"/>
  <c r="Q127" i="13" l="1"/>
  <c r="O127" i="13"/>
  <c r="O130" i="13"/>
  <c r="Q130" i="13"/>
  <c r="P129" i="13"/>
  <c r="O129" i="13"/>
  <c r="P128" i="13"/>
  <c r="O128" i="13"/>
  <c r="P127" i="13"/>
  <c r="I1011" i="15" l="1"/>
  <c r="I1010" i="15"/>
  <c r="I1009" i="15"/>
  <c r="I1008" i="15"/>
  <c r="I1007" i="15"/>
  <c r="I1006" i="15"/>
  <c r="I1005" i="15"/>
  <c r="I1004" i="15"/>
  <c r="I1003" i="15"/>
  <c r="I1002" i="15"/>
  <c r="I1001" i="15"/>
  <c r="I1000" i="15"/>
  <c r="I999" i="15"/>
  <c r="I998" i="15"/>
  <c r="I997" i="15"/>
  <c r="I996" i="15"/>
  <c r="I995" i="15"/>
  <c r="I994" i="15"/>
  <c r="I993" i="15"/>
  <c r="I992" i="15"/>
  <c r="I991" i="15"/>
  <c r="I990" i="15"/>
  <c r="I989" i="15"/>
  <c r="I988" i="15"/>
  <c r="I987" i="15"/>
  <c r="I986" i="15"/>
  <c r="K1730" i="1"/>
  <c r="J1730" i="1"/>
  <c r="K1729" i="1"/>
  <c r="J1729" i="1"/>
  <c r="K1728" i="1"/>
  <c r="J1728" i="1"/>
  <c r="K1727" i="1"/>
  <c r="J1727" i="1"/>
  <c r="K1726" i="1"/>
  <c r="J1726" i="1"/>
  <c r="K1725" i="1"/>
  <c r="J1725" i="1"/>
  <c r="K1724" i="1"/>
  <c r="J1724" i="1"/>
  <c r="K1723" i="1"/>
  <c r="J1723" i="1"/>
  <c r="K1722" i="1"/>
  <c r="J1722" i="1"/>
  <c r="K1721" i="1"/>
  <c r="J1721" i="1"/>
  <c r="K1720" i="1"/>
  <c r="J1720" i="1"/>
  <c r="K1719" i="1"/>
  <c r="J1719" i="1"/>
  <c r="K1718" i="1"/>
  <c r="J1718" i="1"/>
  <c r="K1717" i="1"/>
  <c r="J1717" i="1"/>
  <c r="K1716" i="1"/>
  <c r="J1716" i="1"/>
  <c r="K1715" i="1"/>
  <c r="J1715" i="1"/>
  <c r="K1714" i="1"/>
  <c r="J1714" i="1"/>
  <c r="K1713" i="1"/>
  <c r="J1713" i="1"/>
  <c r="K1712" i="1"/>
  <c r="J1712" i="1"/>
  <c r="K1711" i="1"/>
  <c r="J1711" i="1"/>
  <c r="K1710" i="1"/>
  <c r="J1710" i="1"/>
  <c r="K1709" i="1"/>
  <c r="J1709" i="1"/>
  <c r="K1708" i="1"/>
  <c r="J1708" i="1"/>
  <c r="K1707" i="1"/>
  <c r="J1707" i="1"/>
  <c r="K1706" i="1"/>
  <c r="J1706" i="1"/>
  <c r="K1705" i="1"/>
  <c r="J1705" i="1"/>
  <c r="K1704" i="1"/>
  <c r="J1704" i="1"/>
  <c r="K1703" i="1"/>
  <c r="J1703" i="1"/>
  <c r="K1702" i="1"/>
  <c r="J1702" i="1"/>
  <c r="K1701" i="1"/>
  <c r="J1701" i="1"/>
  <c r="K1700" i="1"/>
  <c r="J1700" i="1"/>
  <c r="K1699" i="1"/>
  <c r="J1699" i="1"/>
  <c r="K1698" i="1"/>
  <c r="J1698" i="1"/>
  <c r="K1697" i="1"/>
  <c r="J1697" i="1"/>
  <c r="K1696" i="1"/>
  <c r="J1696" i="1"/>
  <c r="K1695" i="1"/>
  <c r="J1695" i="1"/>
  <c r="K1694" i="1"/>
  <c r="J1694" i="1"/>
  <c r="K1693" i="1"/>
  <c r="J1693" i="1"/>
  <c r="K1692" i="1"/>
  <c r="J1692" i="1"/>
  <c r="K1691" i="1"/>
  <c r="J1691" i="1"/>
  <c r="K1690" i="1"/>
  <c r="J1690" i="1"/>
  <c r="K1689" i="1"/>
  <c r="J1689" i="1"/>
  <c r="K1688" i="1"/>
  <c r="J1688" i="1"/>
  <c r="K1687" i="1"/>
  <c r="J1687" i="1"/>
  <c r="K1686" i="1"/>
  <c r="J1686" i="1"/>
  <c r="K1685" i="1"/>
  <c r="J1685" i="1"/>
  <c r="K1684" i="1"/>
  <c r="J1684" i="1"/>
  <c r="K1683" i="1"/>
  <c r="J1683" i="1"/>
  <c r="K1682" i="1"/>
  <c r="J1682" i="1"/>
  <c r="K1681" i="1"/>
  <c r="J1681" i="1"/>
  <c r="K1680" i="1"/>
  <c r="J1680" i="1"/>
  <c r="K1679" i="1"/>
  <c r="J1679" i="1"/>
  <c r="K1678" i="1"/>
  <c r="J1678" i="1"/>
  <c r="K1677" i="1"/>
  <c r="J1677" i="1"/>
  <c r="K1676" i="1"/>
  <c r="J1676" i="1"/>
  <c r="K1675" i="1"/>
  <c r="J1675" i="1"/>
  <c r="K1674" i="1"/>
  <c r="J1674" i="1"/>
  <c r="K1673" i="1"/>
  <c r="J1673" i="1"/>
  <c r="K1672" i="1"/>
  <c r="J1672" i="1"/>
  <c r="K1671" i="1"/>
  <c r="J1671" i="1"/>
  <c r="K1670" i="1"/>
  <c r="J1670" i="1"/>
  <c r="K1669" i="1"/>
  <c r="J1669" i="1"/>
  <c r="K1668" i="1"/>
  <c r="J1668" i="1"/>
  <c r="K1667" i="1"/>
  <c r="J1667" i="1"/>
  <c r="K1666" i="1"/>
  <c r="J1666" i="1"/>
  <c r="K1665" i="1"/>
  <c r="J1665" i="1"/>
  <c r="K1664" i="1"/>
  <c r="J1664" i="1"/>
  <c r="K1663" i="1"/>
  <c r="J1663" i="1"/>
  <c r="K1662" i="1"/>
  <c r="J1662" i="1"/>
  <c r="K1661" i="1"/>
  <c r="J1661" i="1"/>
  <c r="K40" i="10"/>
  <c r="J2" i="1"/>
  <c r="K2" i="1"/>
  <c r="J1660" i="1"/>
  <c r="K1660" i="1"/>
  <c r="J1659" i="1"/>
  <c r="K1659" i="1"/>
  <c r="J1658" i="1"/>
  <c r="K1658" i="1"/>
  <c r="J1657" i="1"/>
  <c r="K1657" i="1"/>
  <c r="J1656" i="1"/>
  <c r="K1656" i="1"/>
  <c r="J1655" i="1"/>
  <c r="K1655" i="1"/>
  <c r="J1654" i="1"/>
  <c r="K1654" i="1"/>
  <c r="J1653" i="1"/>
  <c r="K1653" i="1"/>
  <c r="J1652" i="1"/>
  <c r="K1652" i="1"/>
  <c r="J1651" i="1"/>
  <c r="K1651" i="1"/>
  <c r="J1650" i="1"/>
  <c r="K1650" i="1"/>
  <c r="J1649" i="1"/>
  <c r="K1649" i="1"/>
  <c r="J1648" i="1"/>
  <c r="K1648" i="1"/>
  <c r="J1647" i="1"/>
  <c r="K1647" i="1"/>
  <c r="J1646" i="1"/>
  <c r="K1646" i="1"/>
  <c r="J1645" i="1"/>
  <c r="K1645" i="1"/>
  <c r="J1644" i="1"/>
  <c r="K1644" i="1"/>
  <c r="J1643" i="1"/>
  <c r="K1643" i="1"/>
  <c r="J1642" i="1"/>
  <c r="K1642" i="1"/>
  <c r="J1641" i="1"/>
  <c r="K1641" i="1"/>
  <c r="J1640" i="1"/>
  <c r="K1640" i="1"/>
  <c r="J1639" i="1"/>
  <c r="K1639" i="1"/>
  <c r="J1638" i="1"/>
  <c r="K1638" i="1"/>
  <c r="J1637" i="1"/>
  <c r="K1637" i="1"/>
  <c r="J1636" i="1"/>
  <c r="K1636" i="1"/>
  <c r="J1635" i="1"/>
  <c r="K1635" i="1"/>
  <c r="J1634" i="1"/>
  <c r="K1634" i="1"/>
  <c r="J1633" i="1"/>
  <c r="K1633" i="1"/>
  <c r="J1632" i="1"/>
  <c r="K1632" i="1"/>
  <c r="J1631" i="1"/>
  <c r="K1631" i="1"/>
  <c r="J1630" i="1"/>
  <c r="K1630" i="1"/>
  <c r="J1629" i="1"/>
  <c r="K1629" i="1"/>
  <c r="J1628" i="1"/>
  <c r="K1628" i="1"/>
  <c r="J1627" i="1"/>
  <c r="K1627" i="1"/>
  <c r="J1626" i="1"/>
  <c r="K1626" i="1"/>
  <c r="J1625" i="1"/>
  <c r="K1625" i="1"/>
  <c r="J1624" i="1"/>
  <c r="K1624" i="1"/>
  <c r="J1623" i="1"/>
  <c r="K1623" i="1"/>
  <c r="J1622" i="1"/>
  <c r="K1622" i="1"/>
  <c r="J1621" i="1"/>
  <c r="K1621" i="1"/>
  <c r="J1620" i="1"/>
  <c r="K1620" i="1"/>
  <c r="J1619" i="1"/>
  <c r="K1619" i="1"/>
  <c r="J1618" i="1"/>
  <c r="K1618" i="1"/>
  <c r="J1617" i="1"/>
  <c r="K1617" i="1"/>
  <c r="J1616" i="1"/>
  <c r="K1616" i="1"/>
  <c r="J1615" i="1"/>
  <c r="K1615" i="1"/>
  <c r="J1614" i="1"/>
  <c r="K1614" i="1"/>
  <c r="J1613" i="1"/>
  <c r="K1613" i="1"/>
  <c r="J1612" i="1"/>
  <c r="K1612" i="1"/>
  <c r="J1611" i="1"/>
  <c r="K1611" i="1"/>
  <c r="J1610" i="1"/>
  <c r="K1610" i="1"/>
  <c r="J1609" i="1"/>
  <c r="K1609" i="1"/>
  <c r="J1608" i="1"/>
  <c r="K1608" i="1"/>
  <c r="J1607" i="1"/>
  <c r="K1607" i="1"/>
  <c r="J1606" i="1"/>
  <c r="K1606" i="1"/>
  <c r="J1605" i="1"/>
  <c r="K1605" i="1"/>
  <c r="J1604" i="1"/>
  <c r="K1604" i="1"/>
  <c r="J1603" i="1"/>
  <c r="K1603" i="1"/>
  <c r="J1602" i="1"/>
  <c r="K1602" i="1"/>
  <c r="J1601" i="1"/>
  <c r="K1601" i="1"/>
  <c r="J1600" i="1"/>
  <c r="K1600" i="1"/>
  <c r="J1599" i="1"/>
  <c r="K1599" i="1"/>
  <c r="J1598" i="1"/>
  <c r="K1598" i="1"/>
  <c r="J1597" i="1"/>
  <c r="K1597" i="1"/>
  <c r="J1596" i="1"/>
  <c r="K1596" i="1"/>
  <c r="I985" i="15"/>
  <c r="I984" i="15"/>
  <c r="I983" i="15"/>
  <c r="I982" i="15"/>
  <c r="I981" i="15"/>
  <c r="I980" i="15"/>
  <c r="I979" i="15"/>
  <c r="I978" i="15"/>
  <c r="I977" i="15"/>
  <c r="I976" i="15"/>
  <c r="I975" i="15"/>
  <c r="I974" i="15"/>
  <c r="I973" i="15"/>
  <c r="I972" i="15"/>
  <c r="I971" i="15"/>
  <c r="I970" i="15"/>
  <c r="I969" i="15"/>
  <c r="I968" i="15"/>
  <c r="I967" i="15"/>
  <c r="I966" i="15"/>
  <c r="I965" i="15"/>
  <c r="I964" i="15"/>
  <c r="I963" i="15"/>
  <c r="I962" i="15"/>
  <c r="I961" i="15"/>
  <c r="I960" i="15"/>
  <c r="I959" i="15"/>
  <c r="I958" i="15"/>
  <c r="I957" i="15"/>
  <c r="I956" i="15"/>
  <c r="I955" i="15"/>
  <c r="I954" i="15"/>
  <c r="I953" i="15"/>
  <c r="I952" i="15"/>
  <c r="I951" i="15"/>
  <c r="I950" i="15"/>
  <c r="I949" i="15"/>
  <c r="I948" i="15"/>
  <c r="I947" i="15"/>
  <c r="I946" i="15"/>
  <c r="I945" i="15"/>
  <c r="I944" i="15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4" i="10"/>
  <c r="K6" i="10"/>
  <c r="L6" i="10" s="1"/>
  <c r="K19" i="10"/>
  <c r="K24" i="10"/>
  <c r="K37" i="10"/>
  <c r="K13" i="10"/>
  <c r="K10" i="10"/>
  <c r="K5" i="10"/>
  <c r="K29" i="10"/>
  <c r="K26" i="10"/>
  <c r="K36" i="10"/>
  <c r="K14" i="10"/>
  <c r="K34" i="10"/>
  <c r="K23" i="10"/>
  <c r="K32" i="10"/>
  <c r="K27" i="10"/>
  <c r="K31" i="10"/>
  <c r="K22" i="10"/>
  <c r="K28" i="10"/>
  <c r="K41" i="10"/>
  <c r="K21" i="10"/>
  <c r="K12" i="10"/>
  <c r="K2" i="10"/>
  <c r="K42" i="10"/>
  <c r="K20" i="10"/>
  <c r="K3" i="10"/>
  <c r="K7" i="10"/>
  <c r="K8" i="10"/>
  <c r="K9" i="10"/>
  <c r="K11" i="10"/>
  <c r="K15" i="10"/>
  <c r="K16" i="10"/>
  <c r="K17" i="10"/>
  <c r="K18" i="10"/>
  <c r="K25" i="10"/>
  <c r="K30" i="10"/>
  <c r="K35" i="10"/>
  <c r="K39" i="10"/>
  <c r="K33" i="10"/>
  <c r="K43" i="10"/>
  <c r="K38" i="10"/>
  <c r="L23" i="10" l="1"/>
  <c r="L24" i="10"/>
  <c r="L19" i="10"/>
  <c r="L14" i="10"/>
  <c r="L32" i="10"/>
  <c r="L3" i="10"/>
  <c r="L20" i="10"/>
  <c r="L34" i="10"/>
  <c r="L4" i="10"/>
  <c r="L2005" i="1"/>
  <c r="L2002" i="1"/>
  <c r="L1999" i="1"/>
  <c r="L1996" i="1"/>
  <c r="L1993" i="1"/>
  <c r="L1990" i="1"/>
  <c r="L1987" i="1"/>
  <c r="L1984" i="1"/>
  <c r="L1981" i="1"/>
  <c r="L1978" i="1"/>
  <c r="L1975" i="1"/>
  <c r="L1972" i="1"/>
  <c r="L1969" i="1"/>
  <c r="L1966" i="1"/>
  <c r="L1963" i="1"/>
  <c r="L1960" i="1"/>
  <c r="L1957" i="1"/>
  <c r="L1954" i="1"/>
  <c r="L1951" i="1"/>
  <c r="L1948" i="1"/>
  <c r="L1945" i="1"/>
  <c r="L1942" i="1"/>
  <c r="L1939" i="1"/>
  <c r="L1936" i="1"/>
  <c r="L1933" i="1"/>
  <c r="L1930" i="1"/>
  <c r="L1927" i="1"/>
  <c r="L1924" i="1"/>
  <c r="L1921" i="1"/>
  <c r="L1918" i="1"/>
  <c r="L1915" i="1"/>
  <c r="L1912" i="1"/>
  <c r="L1909" i="1"/>
  <c r="L1881" i="1"/>
  <c r="L1827" i="1"/>
  <c r="L1815" i="1"/>
  <c r="L1891" i="1"/>
  <c r="L2056" i="1"/>
  <c r="L2053" i="1"/>
  <c r="L2050" i="1"/>
  <c r="L2047" i="1"/>
  <c r="L2044" i="1"/>
  <c r="L2041" i="1"/>
  <c r="L2038" i="1"/>
  <c r="L2035" i="1"/>
  <c r="L2032" i="1"/>
  <c r="L2029" i="1"/>
  <c r="L2026" i="1"/>
  <c r="L2023" i="1"/>
  <c r="L2020" i="1"/>
  <c r="L2017" i="1"/>
  <c r="L2014" i="1"/>
  <c r="L1867" i="1"/>
  <c r="L1864" i="1"/>
  <c r="L1861" i="1"/>
  <c r="L1858" i="1"/>
  <c r="L1855" i="1"/>
  <c r="L1852" i="1"/>
  <c r="L1849" i="1"/>
  <c r="L1846" i="1"/>
  <c r="L1843" i="1"/>
  <c r="L1840" i="1"/>
  <c r="L1837" i="1"/>
  <c r="L1834" i="1"/>
  <c r="L1829" i="1"/>
  <c r="L1814" i="1"/>
  <c r="L1808" i="1"/>
  <c r="L1799" i="1"/>
  <c r="L2013" i="1"/>
  <c r="L2007" i="1"/>
  <c r="L2004" i="1"/>
  <c r="L2001" i="1"/>
  <c r="L1998" i="1"/>
  <c r="L1995" i="1"/>
  <c r="L1992" i="1"/>
  <c r="L1989" i="1"/>
  <c r="L1986" i="1"/>
  <c r="L1983" i="1"/>
  <c r="L1980" i="1"/>
  <c r="L1977" i="1"/>
  <c r="L1974" i="1"/>
  <c r="L1971" i="1"/>
  <c r="L1968" i="1"/>
  <c r="L1965" i="1"/>
  <c r="L1962" i="1"/>
  <c r="L1959" i="1"/>
  <c r="L1956" i="1"/>
  <c r="L1953" i="1"/>
  <c r="L1950" i="1"/>
  <c r="L1947" i="1"/>
  <c r="L1944" i="1"/>
  <c r="L1941" i="1"/>
  <c r="L1938" i="1"/>
  <c r="L1935" i="1"/>
  <c r="L1932" i="1"/>
  <c r="L1929" i="1"/>
  <c r="L1926" i="1"/>
  <c r="L1923" i="1"/>
  <c r="L1920" i="1"/>
  <c r="L1917" i="1"/>
  <c r="L1914" i="1"/>
  <c r="L1911" i="1"/>
  <c r="L1886" i="1"/>
  <c r="L1883" i="1"/>
  <c r="L1880" i="1"/>
  <c r="L1877" i="1"/>
  <c r="L1874" i="1"/>
  <c r="L1871" i="1"/>
  <c r="L1832" i="1"/>
  <c r="L1826" i="1"/>
  <c r="L1823" i="1"/>
  <c r="L1820" i="1"/>
  <c r="L1817" i="1"/>
  <c r="L1811" i="1"/>
  <c r="L1805" i="1"/>
  <c r="L1802" i="1"/>
  <c r="L1796" i="1"/>
  <c r="L1848" i="1"/>
  <c r="L1928" i="1"/>
  <c r="L1885" i="1"/>
  <c r="L1876" i="1"/>
  <c r="L1873" i="1"/>
  <c r="L1831" i="1"/>
  <c r="L2011" i="1"/>
  <c r="L2008" i="1"/>
  <c r="L1905" i="1"/>
  <c r="L1902" i="1"/>
  <c r="L1899" i="1"/>
  <c r="L1896" i="1"/>
  <c r="L1893" i="1"/>
  <c r="L1890" i="1"/>
  <c r="L1845" i="1"/>
  <c r="L1833" i="1"/>
  <c r="L1931" i="1"/>
  <c r="L1882" i="1"/>
  <c r="L1828" i="1"/>
  <c r="L1816" i="1"/>
  <c r="L1807" i="1"/>
  <c r="L1801" i="1"/>
  <c r="L1906" i="1"/>
  <c r="L1894" i="1"/>
  <c r="L2055" i="1"/>
  <c r="L2052" i="1"/>
  <c r="L2049" i="1"/>
  <c r="L2046" i="1"/>
  <c r="L2043" i="1"/>
  <c r="L2040" i="1"/>
  <c r="L2037" i="1"/>
  <c r="L2034" i="1"/>
  <c r="L2031" i="1"/>
  <c r="L2028" i="1"/>
  <c r="L2025" i="1"/>
  <c r="L2022" i="1"/>
  <c r="L2019" i="1"/>
  <c r="L2016" i="1"/>
  <c r="L1869" i="1"/>
  <c r="L1866" i="1"/>
  <c r="L1863" i="1"/>
  <c r="L1860" i="1"/>
  <c r="L1857" i="1"/>
  <c r="L1854" i="1"/>
  <c r="L1851" i="1"/>
  <c r="L1842" i="1"/>
  <c r="L1839" i="1"/>
  <c r="L1836" i="1"/>
  <c r="L1925" i="1"/>
  <c r="L1879" i="1"/>
  <c r="L1822" i="1"/>
  <c r="L1819" i="1"/>
  <c r="L1810" i="1"/>
  <c r="L1795" i="1"/>
  <c r="L1903" i="1"/>
  <c r="L1888" i="1"/>
  <c r="L2012" i="1"/>
  <c r="L2006" i="1"/>
  <c r="L2003" i="1"/>
  <c r="L2000" i="1"/>
  <c r="L1997" i="1"/>
  <c r="L1994" i="1"/>
  <c r="L1991" i="1"/>
  <c r="L1988" i="1"/>
  <c r="L1985" i="1"/>
  <c r="L1982" i="1"/>
  <c r="L1979" i="1"/>
  <c r="L1976" i="1"/>
  <c r="L1973" i="1"/>
  <c r="L1970" i="1"/>
  <c r="L1967" i="1"/>
  <c r="L1964" i="1"/>
  <c r="L1961" i="1"/>
  <c r="L1958" i="1"/>
  <c r="L1955" i="1"/>
  <c r="L1952" i="1"/>
  <c r="L1949" i="1"/>
  <c r="L1946" i="1"/>
  <c r="L1943" i="1"/>
  <c r="L1940" i="1"/>
  <c r="L1937" i="1"/>
  <c r="L1934" i="1"/>
  <c r="L1922" i="1"/>
  <c r="L1919" i="1"/>
  <c r="L1916" i="1"/>
  <c r="L1913" i="1"/>
  <c r="L1910" i="1"/>
  <c r="L1870" i="1"/>
  <c r="L1825" i="1"/>
  <c r="L1813" i="1"/>
  <c r="L1804" i="1"/>
  <c r="L1798" i="1"/>
  <c r="L1865" i="1"/>
  <c r="L1841" i="1"/>
  <c r="L1835" i="1"/>
  <c r="L1887" i="1"/>
  <c r="L1830" i="1"/>
  <c r="L1818" i="1"/>
  <c r="L1809" i="1"/>
  <c r="L1800" i="1"/>
  <c r="L1794" i="1"/>
  <c r="L1897" i="1"/>
  <c r="L2010" i="1"/>
  <c r="L1908" i="1"/>
  <c r="L1907" i="1"/>
  <c r="L1904" i="1"/>
  <c r="L1901" i="1"/>
  <c r="L1898" i="1"/>
  <c r="L1895" i="1"/>
  <c r="L1892" i="1"/>
  <c r="L1889" i="1"/>
  <c r="L1859" i="1"/>
  <c r="L1847" i="1"/>
  <c r="L1838" i="1"/>
  <c r="L1878" i="1"/>
  <c r="L1872" i="1"/>
  <c r="L1821" i="1"/>
  <c r="L1806" i="1"/>
  <c r="L2054" i="1"/>
  <c r="L2051" i="1"/>
  <c r="L2048" i="1"/>
  <c r="L2045" i="1"/>
  <c r="L2042" i="1"/>
  <c r="L2039" i="1"/>
  <c r="L2036" i="1"/>
  <c r="L2033" i="1"/>
  <c r="L2030" i="1"/>
  <c r="L2027" i="1"/>
  <c r="L2024" i="1"/>
  <c r="L2021" i="1"/>
  <c r="L2018" i="1"/>
  <c r="L2015" i="1"/>
  <c r="L1868" i="1"/>
  <c r="L1862" i="1"/>
  <c r="L1856" i="1"/>
  <c r="L1853" i="1"/>
  <c r="L1850" i="1"/>
  <c r="L1844" i="1"/>
  <c r="L1884" i="1"/>
  <c r="L1875" i="1"/>
  <c r="L1824" i="1"/>
  <c r="L1812" i="1"/>
  <c r="L1803" i="1"/>
  <c r="L1797" i="1"/>
  <c r="L2009" i="1"/>
  <c r="L1900" i="1"/>
  <c r="L36" i="10"/>
  <c r="L12" i="10"/>
  <c r="L26" i="10"/>
  <c r="L7" i="10"/>
  <c r="L38" i="10"/>
  <c r="L43" i="10"/>
  <c r="L33" i="10"/>
  <c r="L17" i="10"/>
  <c r="L39" i="10"/>
  <c r="L16" i="10"/>
  <c r="L21" i="10"/>
  <c r="L29" i="10"/>
  <c r="L40" i="10"/>
  <c r="L18" i="10"/>
  <c r="L15" i="10"/>
  <c r="L41" i="10"/>
  <c r="L5" i="10"/>
  <c r="L35" i="10"/>
  <c r="L28" i="10"/>
  <c r="L10" i="10"/>
  <c r="L11" i="10"/>
  <c r="L22" i="10"/>
  <c r="L13" i="10"/>
  <c r="L9" i="10"/>
  <c r="L31" i="10"/>
  <c r="L37" i="10"/>
  <c r="L25" i="10"/>
  <c r="L42" i="10"/>
  <c r="L2" i="10"/>
  <c r="L30" i="10"/>
  <c r="L8" i="10"/>
  <c r="L27" i="10"/>
  <c r="L16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697" i="1"/>
  <c r="L1695" i="1"/>
  <c r="L1668" i="1"/>
  <c r="L1665" i="1"/>
  <c r="L1662" i="1"/>
  <c r="L1671" i="1"/>
  <c r="L1674" i="1"/>
  <c r="L1677" i="1"/>
  <c r="L1680" i="1"/>
  <c r="L1683" i="1"/>
  <c r="L1686" i="1"/>
  <c r="L1689" i="1"/>
  <c r="L1692" i="1"/>
  <c r="L1700" i="1"/>
  <c r="L1703" i="1"/>
  <c r="L1706" i="1"/>
  <c r="L1709" i="1"/>
  <c r="L1666" i="1"/>
  <c r="L1669" i="1"/>
  <c r="L1672" i="1"/>
  <c r="L1675" i="1"/>
  <c r="L1678" i="1"/>
  <c r="L1681" i="1"/>
  <c r="L1684" i="1"/>
  <c r="L1687" i="1"/>
  <c r="L1690" i="1"/>
  <c r="L1693" i="1"/>
  <c r="L1701" i="1"/>
  <c r="L1704" i="1"/>
  <c r="L1698" i="1"/>
  <c r="L1707" i="1"/>
  <c r="L1661" i="1"/>
  <c r="L1710" i="1"/>
  <c r="L1664" i="1"/>
  <c r="L1667" i="1"/>
  <c r="L1696" i="1"/>
  <c r="L1670" i="1"/>
  <c r="L1673" i="1"/>
  <c r="L1676" i="1"/>
  <c r="L1679" i="1"/>
  <c r="L1682" i="1"/>
  <c r="L1685" i="1"/>
  <c r="L1688" i="1"/>
  <c r="L1691" i="1"/>
  <c r="L1699" i="1"/>
  <c r="L1702" i="1"/>
  <c r="L1705" i="1"/>
  <c r="L1663" i="1"/>
  <c r="L1708" i="1"/>
  <c r="L2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3" i="1" l="1"/>
  <c r="L15" i="1"/>
  <c r="L27" i="1"/>
  <c r="L39" i="1"/>
  <c r="L51" i="1"/>
  <c r="L63" i="1"/>
  <c r="L75" i="1"/>
  <c r="L87" i="1"/>
  <c r="L99" i="1"/>
  <c r="L111" i="1"/>
  <c r="L123" i="1"/>
  <c r="L135" i="1"/>
  <c r="L147" i="1"/>
  <c r="L159" i="1"/>
  <c r="L171" i="1"/>
  <c r="L183" i="1"/>
  <c r="L195" i="1"/>
  <c r="L207" i="1"/>
  <c r="L219" i="1"/>
  <c r="L231" i="1"/>
  <c r="L243" i="1"/>
  <c r="L255" i="1"/>
  <c r="L267" i="1"/>
  <c r="L279" i="1"/>
  <c r="L291" i="1"/>
  <c r="L303" i="1"/>
  <c r="L315" i="1"/>
  <c r="L327" i="1"/>
  <c r="L339" i="1"/>
  <c r="L351" i="1"/>
  <c r="L363" i="1"/>
  <c r="L375" i="1"/>
  <c r="L387" i="1"/>
  <c r="L399" i="1"/>
  <c r="L411" i="1"/>
  <c r="L423" i="1"/>
  <c r="L435" i="1"/>
  <c r="L447" i="1"/>
  <c r="L459" i="1"/>
  <c r="L471" i="1"/>
  <c r="L483" i="1"/>
  <c r="L495" i="1"/>
  <c r="L507" i="1"/>
  <c r="L519" i="1"/>
  <c r="Q8" i="5" s="1"/>
  <c r="L531" i="1"/>
  <c r="L543" i="1"/>
  <c r="L555" i="1"/>
  <c r="L4" i="1"/>
  <c r="L16" i="1"/>
  <c r="L28" i="1"/>
  <c r="L40" i="1"/>
  <c r="L52" i="1"/>
  <c r="L64" i="1"/>
  <c r="L76" i="1"/>
  <c r="L88" i="1"/>
  <c r="L100" i="1"/>
  <c r="L112" i="1"/>
  <c r="L124" i="1"/>
  <c r="L136" i="1"/>
  <c r="L148" i="1"/>
  <c r="L160" i="1"/>
  <c r="L172" i="1"/>
  <c r="L184" i="1"/>
  <c r="L196" i="1"/>
  <c r="L208" i="1"/>
  <c r="L220" i="1"/>
  <c r="L232" i="1"/>
  <c r="L244" i="1"/>
  <c r="L256" i="1"/>
  <c r="L268" i="1"/>
  <c r="L280" i="1"/>
  <c r="L292" i="1"/>
  <c r="L304" i="1"/>
  <c r="L316" i="1"/>
  <c r="L328" i="1"/>
  <c r="L340" i="1"/>
  <c r="L352" i="1"/>
  <c r="L364" i="1"/>
  <c r="L376" i="1"/>
  <c r="L388" i="1"/>
  <c r="L400" i="1"/>
  <c r="L412" i="1"/>
  <c r="L424" i="1"/>
  <c r="L436" i="1"/>
  <c r="L448" i="1"/>
  <c r="L460" i="1"/>
  <c r="L5" i="1"/>
  <c r="L17" i="1"/>
  <c r="L29" i="1"/>
  <c r="L41" i="1"/>
  <c r="L53" i="1"/>
  <c r="L65" i="1"/>
  <c r="L77" i="1"/>
  <c r="L89" i="1"/>
  <c r="L101" i="1"/>
  <c r="L113" i="1"/>
  <c r="L125" i="1"/>
  <c r="L137" i="1"/>
  <c r="L149" i="1"/>
  <c r="L161" i="1"/>
  <c r="L173" i="1"/>
  <c r="L185" i="1"/>
  <c r="L197" i="1"/>
  <c r="L209" i="1"/>
  <c r="L221" i="1"/>
  <c r="L233" i="1"/>
  <c r="L245" i="1"/>
  <c r="L257" i="1"/>
  <c r="L269" i="1"/>
  <c r="L281" i="1"/>
  <c r="L293" i="1"/>
  <c r="L305" i="1"/>
  <c r="L317" i="1"/>
  <c r="L329" i="1"/>
  <c r="L341" i="1"/>
  <c r="L353" i="1"/>
  <c r="L365" i="1"/>
  <c r="L377" i="1"/>
  <c r="L389" i="1"/>
  <c r="L401" i="1"/>
  <c r="L413" i="1"/>
  <c r="L425" i="1"/>
  <c r="L437" i="1"/>
  <c r="L449" i="1"/>
  <c r="L461" i="1"/>
  <c r="L473" i="1"/>
  <c r="L6" i="1"/>
  <c r="L18" i="1"/>
  <c r="L30" i="1"/>
  <c r="L42" i="1"/>
  <c r="L54" i="1"/>
  <c r="L66" i="1"/>
  <c r="L78" i="1"/>
  <c r="L90" i="1"/>
  <c r="L102" i="1"/>
  <c r="L114" i="1"/>
  <c r="L126" i="1"/>
  <c r="L138" i="1"/>
  <c r="L150" i="1"/>
  <c r="L162" i="1"/>
  <c r="L174" i="1"/>
  <c r="L186" i="1"/>
  <c r="L198" i="1"/>
  <c r="L210" i="1"/>
  <c r="L222" i="1"/>
  <c r="L234" i="1"/>
  <c r="L246" i="1"/>
  <c r="L258" i="1"/>
  <c r="L270" i="1"/>
  <c r="L282" i="1"/>
  <c r="L294" i="1"/>
  <c r="L306" i="1"/>
  <c r="L318" i="1"/>
  <c r="L330" i="1"/>
  <c r="L342" i="1"/>
  <c r="L7" i="1"/>
  <c r="L19" i="1"/>
  <c r="L31" i="1"/>
  <c r="L43" i="1"/>
  <c r="L55" i="1"/>
  <c r="L67" i="1"/>
  <c r="L79" i="1"/>
  <c r="L91" i="1"/>
  <c r="L103" i="1"/>
  <c r="L115" i="1"/>
  <c r="L127" i="1"/>
  <c r="L139" i="1"/>
  <c r="L151" i="1"/>
  <c r="L163" i="1"/>
  <c r="L175" i="1"/>
  <c r="L187" i="1"/>
  <c r="L199" i="1"/>
  <c r="L211" i="1"/>
  <c r="L223" i="1"/>
  <c r="L235" i="1"/>
  <c r="L247" i="1"/>
  <c r="L259" i="1"/>
  <c r="L271" i="1"/>
  <c r="L283" i="1"/>
  <c r="L295" i="1"/>
  <c r="L307" i="1"/>
  <c r="L319" i="1"/>
  <c r="L331" i="1"/>
  <c r="L343" i="1"/>
  <c r="L355" i="1"/>
  <c r="L367" i="1"/>
  <c r="L379" i="1"/>
  <c r="L391" i="1"/>
  <c r="L403" i="1"/>
  <c r="L415" i="1"/>
  <c r="L427" i="1"/>
  <c r="L439" i="1"/>
  <c r="L451" i="1"/>
  <c r="L463" i="1"/>
  <c r="L475" i="1"/>
  <c r="L487" i="1"/>
  <c r="L499" i="1"/>
  <c r="L511" i="1"/>
  <c r="L523" i="1"/>
  <c r="L535" i="1"/>
  <c r="L547" i="1"/>
  <c r="L559" i="1"/>
  <c r="L571" i="1"/>
  <c r="L583" i="1"/>
  <c r="L595" i="1"/>
  <c r="L607" i="1"/>
  <c r="L619" i="1"/>
  <c r="L631" i="1"/>
  <c r="L643" i="1"/>
  <c r="L655" i="1"/>
  <c r="L667" i="1"/>
  <c r="L679" i="1"/>
  <c r="L691" i="1"/>
  <c r="L703" i="1"/>
  <c r="L715" i="1"/>
  <c r="L727" i="1"/>
  <c r="L739" i="1"/>
  <c r="L751" i="1"/>
  <c r="L763" i="1"/>
  <c r="L775" i="1"/>
  <c r="L787" i="1"/>
  <c r="L799" i="1"/>
  <c r="L811" i="1"/>
  <c r="L823" i="1"/>
  <c r="L835" i="1"/>
  <c r="L847" i="1"/>
  <c r="L8" i="1"/>
  <c r="L20" i="1"/>
  <c r="L32" i="1"/>
  <c r="L44" i="1"/>
  <c r="L56" i="1"/>
  <c r="L68" i="1"/>
  <c r="L80" i="1"/>
  <c r="L92" i="1"/>
  <c r="L104" i="1"/>
  <c r="L116" i="1"/>
  <c r="L128" i="1"/>
  <c r="L140" i="1"/>
  <c r="L152" i="1"/>
  <c r="L164" i="1"/>
  <c r="L176" i="1"/>
  <c r="L188" i="1"/>
  <c r="L200" i="1"/>
  <c r="L212" i="1"/>
  <c r="L224" i="1"/>
  <c r="L236" i="1"/>
  <c r="L248" i="1"/>
  <c r="L260" i="1"/>
  <c r="L272" i="1"/>
  <c r="L284" i="1"/>
  <c r="L296" i="1"/>
  <c r="L308" i="1"/>
  <c r="L320" i="1"/>
  <c r="L332" i="1"/>
  <c r="L344" i="1"/>
  <c r="L356" i="1"/>
  <c r="L368" i="1"/>
  <c r="L380" i="1"/>
  <c r="L392" i="1"/>
  <c r="L404" i="1"/>
  <c r="L416" i="1"/>
  <c r="L428" i="1"/>
  <c r="L440" i="1"/>
  <c r="L452" i="1"/>
  <c r="L464" i="1"/>
  <c r="L476" i="1"/>
  <c r="L488" i="1"/>
  <c r="L500" i="1"/>
  <c r="L512" i="1"/>
  <c r="L9" i="1"/>
  <c r="L21" i="1"/>
  <c r="L33" i="1"/>
  <c r="L45" i="1"/>
  <c r="L57" i="1"/>
  <c r="L69" i="1"/>
  <c r="L81" i="1"/>
  <c r="Q2" i="5" s="1"/>
  <c r="L93" i="1"/>
  <c r="L105" i="1"/>
  <c r="L117" i="1"/>
  <c r="L129" i="1"/>
  <c r="L141" i="1"/>
  <c r="L153" i="1"/>
  <c r="L165" i="1"/>
  <c r="L177" i="1"/>
  <c r="L189" i="1"/>
  <c r="L201" i="1"/>
  <c r="L213" i="1"/>
  <c r="L225" i="1"/>
  <c r="L237" i="1"/>
  <c r="L249" i="1"/>
  <c r="L261" i="1"/>
  <c r="L273" i="1"/>
  <c r="L285" i="1"/>
  <c r="L297" i="1"/>
  <c r="L309" i="1"/>
  <c r="L321" i="1"/>
  <c r="L333" i="1"/>
  <c r="L345" i="1"/>
  <c r="L357" i="1"/>
  <c r="L369" i="1"/>
  <c r="L381" i="1"/>
  <c r="L393" i="1"/>
  <c r="L405" i="1"/>
  <c r="L417" i="1"/>
  <c r="L429" i="1"/>
  <c r="L441" i="1"/>
  <c r="L453" i="1"/>
  <c r="L465" i="1"/>
  <c r="L477" i="1"/>
  <c r="L489" i="1"/>
  <c r="L501" i="1"/>
  <c r="L513" i="1"/>
  <c r="L525" i="1"/>
  <c r="L537" i="1"/>
  <c r="L549" i="1"/>
  <c r="L561" i="1"/>
  <c r="L573" i="1"/>
  <c r="L585" i="1"/>
  <c r="L597" i="1"/>
  <c r="L609" i="1"/>
  <c r="L621" i="1"/>
  <c r="L633" i="1"/>
  <c r="L645" i="1"/>
  <c r="L657" i="1"/>
  <c r="L669" i="1"/>
  <c r="L681" i="1"/>
  <c r="L693" i="1"/>
  <c r="L705" i="1"/>
  <c r="L717" i="1"/>
  <c r="L729" i="1"/>
  <c r="L741" i="1"/>
  <c r="L753" i="1"/>
  <c r="L765" i="1"/>
  <c r="L777" i="1"/>
  <c r="L789" i="1"/>
  <c r="L801" i="1"/>
  <c r="L813" i="1"/>
  <c r="L825" i="1"/>
  <c r="L837" i="1"/>
  <c r="L849" i="1"/>
  <c r="L861" i="1"/>
  <c r="L873" i="1"/>
  <c r="L885" i="1"/>
  <c r="L897" i="1"/>
  <c r="L909" i="1"/>
  <c r="L921" i="1"/>
  <c r="L933" i="1"/>
  <c r="L945" i="1"/>
  <c r="L957" i="1"/>
  <c r="L969" i="1"/>
  <c r="L981" i="1"/>
  <c r="L993" i="1"/>
  <c r="L1005" i="1"/>
  <c r="L1017" i="1"/>
  <c r="L10" i="1"/>
  <c r="Q5" i="5" s="1"/>
  <c r="L22" i="1"/>
  <c r="L34" i="1"/>
  <c r="L46" i="1"/>
  <c r="L58" i="1"/>
  <c r="L70" i="1"/>
  <c r="L82" i="1"/>
  <c r="L94" i="1"/>
  <c r="L106" i="1"/>
  <c r="L118" i="1"/>
  <c r="L130" i="1"/>
  <c r="L142" i="1"/>
  <c r="L154" i="1"/>
  <c r="L166" i="1"/>
  <c r="L178" i="1"/>
  <c r="L190" i="1"/>
  <c r="L202" i="1"/>
  <c r="L214" i="1"/>
  <c r="L226" i="1"/>
  <c r="L238" i="1"/>
  <c r="L250" i="1"/>
  <c r="L262" i="1"/>
  <c r="L274" i="1"/>
  <c r="L286" i="1"/>
  <c r="L298" i="1"/>
  <c r="L310" i="1"/>
  <c r="L322" i="1"/>
  <c r="L334" i="1"/>
  <c r="L346" i="1"/>
  <c r="L358" i="1"/>
  <c r="L370" i="1"/>
  <c r="L382" i="1"/>
  <c r="L394" i="1"/>
  <c r="L406" i="1"/>
  <c r="L418" i="1"/>
  <c r="L430" i="1"/>
  <c r="L442" i="1"/>
  <c r="L454" i="1"/>
  <c r="L466" i="1"/>
  <c r="L478" i="1"/>
  <c r="L490" i="1"/>
  <c r="L502" i="1"/>
  <c r="L514" i="1"/>
  <c r="L526" i="1"/>
  <c r="L538" i="1"/>
  <c r="L550" i="1"/>
  <c r="L562" i="1"/>
  <c r="L574" i="1"/>
  <c r="L586" i="1"/>
  <c r="L598" i="1"/>
  <c r="L610" i="1"/>
  <c r="L622" i="1"/>
  <c r="L634" i="1"/>
  <c r="L646" i="1"/>
  <c r="L658" i="1"/>
  <c r="L670" i="1"/>
  <c r="L682" i="1"/>
  <c r="L694" i="1"/>
  <c r="L706" i="1"/>
  <c r="L718" i="1"/>
  <c r="L730" i="1"/>
  <c r="L742" i="1"/>
  <c r="L11" i="1"/>
  <c r="L23" i="1"/>
  <c r="L35" i="1"/>
  <c r="L47" i="1"/>
  <c r="L59" i="1"/>
  <c r="L71" i="1"/>
  <c r="L83" i="1"/>
  <c r="L95" i="1"/>
  <c r="L107" i="1"/>
  <c r="L119" i="1"/>
  <c r="L131" i="1"/>
  <c r="L143" i="1"/>
  <c r="L155" i="1"/>
  <c r="L167" i="1"/>
  <c r="L179" i="1"/>
  <c r="L191" i="1"/>
  <c r="L203" i="1"/>
  <c r="L215" i="1"/>
  <c r="L227" i="1"/>
  <c r="L239" i="1"/>
  <c r="L251" i="1"/>
  <c r="L263" i="1"/>
  <c r="L275" i="1"/>
  <c r="L287" i="1"/>
  <c r="L299" i="1"/>
  <c r="L311" i="1"/>
  <c r="L323" i="1"/>
  <c r="L335" i="1"/>
  <c r="L347" i="1"/>
  <c r="L359" i="1"/>
  <c r="L371" i="1"/>
  <c r="L383" i="1"/>
  <c r="L395" i="1"/>
  <c r="L407" i="1"/>
  <c r="L419" i="1"/>
  <c r="L431" i="1"/>
  <c r="L443" i="1"/>
  <c r="L455" i="1"/>
  <c r="L467" i="1"/>
  <c r="L479" i="1"/>
  <c r="Q7" i="5" s="1"/>
  <c r="L491" i="1"/>
  <c r="L503" i="1"/>
  <c r="L515" i="1"/>
  <c r="L527" i="1"/>
  <c r="L539" i="1"/>
  <c r="L551" i="1"/>
  <c r="L563" i="1"/>
  <c r="L575" i="1"/>
  <c r="L587" i="1"/>
  <c r="L599" i="1"/>
  <c r="L611" i="1"/>
  <c r="L623" i="1"/>
  <c r="L635" i="1"/>
  <c r="L647" i="1"/>
  <c r="L659" i="1"/>
  <c r="L671" i="1"/>
  <c r="L683" i="1"/>
  <c r="L695" i="1"/>
  <c r="L14" i="1"/>
  <c r="L26" i="1"/>
  <c r="L38" i="1"/>
  <c r="L50" i="1"/>
  <c r="L62" i="1"/>
  <c r="L74" i="1"/>
  <c r="L86" i="1"/>
  <c r="L98" i="1"/>
  <c r="L110" i="1"/>
  <c r="L122" i="1"/>
  <c r="L134" i="1"/>
  <c r="L146" i="1"/>
  <c r="L158" i="1"/>
  <c r="L170" i="1"/>
  <c r="L182" i="1"/>
  <c r="L194" i="1"/>
  <c r="L206" i="1"/>
  <c r="L218" i="1"/>
  <c r="L230" i="1"/>
  <c r="L242" i="1"/>
  <c r="L254" i="1"/>
  <c r="L266" i="1"/>
  <c r="L278" i="1"/>
  <c r="L290" i="1"/>
  <c r="L302" i="1"/>
  <c r="L314" i="1"/>
  <c r="L326" i="1"/>
  <c r="L338" i="1"/>
  <c r="L350" i="1"/>
  <c r="L362" i="1"/>
  <c r="L374" i="1"/>
  <c r="L386" i="1"/>
  <c r="L398" i="1"/>
  <c r="L410" i="1"/>
  <c r="L422" i="1"/>
  <c r="L434" i="1"/>
  <c r="L446" i="1"/>
  <c r="L458" i="1"/>
  <c r="L470" i="1"/>
  <c r="L482" i="1"/>
  <c r="L494" i="1"/>
  <c r="L506" i="1"/>
  <c r="L518" i="1"/>
  <c r="L530" i="1"/>
  <c r="L542" i="1"/>
  <c r="L554" i="1"/>
  <c r="L566" i="1"/>
  <c r="L578" i="1"/>
  <c r="L590" i="1"/>
  <c r="L602" i="1"/>
  <c r="L614" i="1"/>
  <c r="L626" i="1"/>
  <c r="L638" i="1"/>
  <c r="L650" i="1"/>
  <c r="L662" i="1"/>
  <c r="L674" i="1"/>
  <c r="L686" i="1"/>
  <c r="L698" i="1"/>
  <c r="L710" i="1"/>
  <c r="L722" i="1"/>
  <c r="L734" i="1"/>
  <c r="L746" i="1"/>
  <c r="L758" i="1"/>
  <c r="L770" i="1"/>
  <c r="L782" i="1"/>
  <c r="L794" i="1"/>
  <c r="L806" i="1"/>
  <c r="L818" i="1"/>
  <c r="L830" i="1"/>
  <c r="L842" i="1"/>
  <c r="L854" i="1"/>
  <c r="L866" i="1"/>
  <c r="L878" i="1"/>
  <c r="L890" i="1"/>
  <c r="L902" i="1"/>
  <c r="L914" i="1"/>
  <c r="L926" i="1"/>
  <c r="L938" i="1"/>
  <c r="L12" i="1"/>
  <c r="L84" i="1"/>
  <c r="L156" i="1"/>
  <c r="L228" i="1"/>
  <c r="L300" i="1"/>
  <c r="L361" i="1"/>
  <c r="L409" i="1"/>
  <c r="L457" i="1"/>
  <c r="L493" i="1"/>
  <c r="L521" i="1"/>
  <c r="L545" i="1"/>
  <c r="L568" i="1"/>
  <c r="L589" i="1"/>
  <c r="L608" i="1"/>
  <c r="L629" i="1"/>
  <c r="L651" i="1"/>
  <c r="L672" i="1"/>
  <c r="L690" i="1"/>
  <c r="L711" i="1"/>
  <c r="L728" i="1"/>
  <c r="L747" i="1"/>
  <c r="L762" i="1"/>
  <c r="L779" i="1"/>
  <c r="L795" i="1"/>
  <c r="L810" i="1"/>
  <c r="L827" i="1"/>
  <c r="L843" i="1"/>
  <c r="L858" i="1"/>
  <c r="L872" i="1"/>
  <c r="L887" i="1"/>
  <c r="L901" i="1"/>
  <c r="L916" i="1"/>
  <c r="L930" i="1"/>
  <c r="L944" i="1"/>
  <c r="L958" i="1"/>
  <c r="L971" i="1"/>
  <c r="L984" i="1"/>
  <c r="L997" i="1"/>
  <c r="L1010" i="1"/>
  <c r="L1023" i="1"/>
  <c r="L1035" i="1"/>
  <c r="L1047" i="1"/>
  <c r="L1059" i="1"/>
  <c r="L1071" i="1"/>
  <c r="L1083" i="1"/>
  <c r="L1095" i="1"/>
  <c r="L1107" i="1"/>
  <c r="L1119" i="1"/>
  <c r="L1131" i="1"/>
  <c r="L1143" i="1"/>
  <c r="L1155" i="1"/>
  <c r="L1167" i="1"/>
  <c r="L1179" i="1"/>
  <c r="L1191" i="1"/>
  <c r="L1203" i="1"/>
  <c r="L1215" i="1"/>
  <c r="L1227" i="1"/>
  <c r="L1239" i="1"/>
  <c r="L1251" i="1"/>
  <c r="L1263" i="1"/>
  <c r="L1275" i="1"/>
  <c r="L1287" i="1"/>
  <c r="L1299" i="1"/>
  <c r="L1311" i="1"/>
  <c r="L1323" i="1"/>
  <c r="L1335" i="1"/>
  <c r="L1347" i="1"/>
  <c r="L1359" i="1"/>
  <c r="L13" i="1"/>
  <c r="L85" i="1"/>
  <c r="L157" i="1"/>
  <c r="L229" i="1"/>
  <c r="L301" i="1"/>
  <c r="L366" i="1"/>
  <c r="L414" i="1"/>
  <c r="L462" i="1"/>
  <c r="L496" i="1"/>
  <c r="L522" i="1"/>
  <c r="L546" i="1"/>
  <c r="L569" i="1"/>
  <c r="L591" i="1"/>
  <c r="L612" i="1"/>
  <c r="L630" i="1"/>
  <c r="L652" i="1"/>
  <c r="L673" i="1"/>
  <c r="L692" i="1"/>
  <c r="L712" i="1"/>
  <c r="L731" i="1"/>
  <c r="L748" i="1"/>
  <c r="L764" i="1"/>
  <c r="L780" i="1"/>
  <c r="L796" i="1"/>
  <c r="L812" i="1"/>
  <c r="L828" i="1"/>
  <c r="L844" i="1"/>
  <c r="L859" i="1"/>
  <c r="L874" i="1"/>
  <c r="L888" i="1"/>
  <c r="L903" i="1"/>
  <c r="L917" i="1"/>
  <c r="L931" i="1"/>
  <c r="L946" i="1"/>
  <c r="L959" i="1"/>
  <c r="L972" i="1"/>
  <c r="L985" i="1"/>
  <c r="L998" i="1"/>
  <c r="L1011" i="1"/>
  <c r="L1024" i="1"/>
  <c r="L1036" i="1"/>
  <c r="L1048" i="1"/>
  <c r="L1060" i="1"/>
  <c r="L1072" i="1"/>
  <c r="L1084" i="1"/>
  <c r="L1096" i="1"/>
  <c r="L1108" i="1"/>
  <c r="L1120" i="1"/>
  <c r="L1132" i="1"/>
  <c r="L1144" i="1"/>
  <c r="L1156" i="1"/>
  <c r="L1168" i="1"/>
  <c r="L1180" i="1"/>
  <c r="L1192" i="1"/>
  <c r="L1204" i="1"/>
  <c r="L1216" i="1"/>
  <c r="L1228" i="1"/>
  <c r="L1240" i="1"/>
  <c r="L1252" i="1"/>
  <c r="L1264" i="1"/>
  <c r="L1276" i="1"/>
  <c r="L1288" i="1"/>
  <c r="L1300" i="1"/>
  <c r="L1312" i="1"/>
  <c r="L1324" i="1"/>
  <c r="L1336" i="1"/>
  <c r="L24" i="1"/>
  <c r="L96" i="1"/>
  <c r="L168" i="1"/>
  <c r="L240" i="1"/>
  <c r="L312" i="1"/>
  <c r="L372" i="1"/>
  <c r="L420" i="1"/>
  <c r="L468" i="1"/>
  <c r="L497" i="1"/>
  <c r="L524" i="1"/>
  <c r="L25" i="1"/>
  <c r="L97" i="1"/>
  <c r="Q3" i="5" s="1"/>
  <c r="L169" i="1"/>
  <c r="L241" i="1"/>
  <c r="L313" i="1"/>
  <c r="L373" i="1"/>
  <c r="L421" i="1"/>
  <c r="L469" i="1"/>
  <c r="L498" i="1"/>
  <c r="L528" i="1"/>
  <c r="L552" i="1"/>
  <c r="L572" i="1"/>
  <c r="L593" i="1"/>
  <c r="L615" i="1"/>
  <c r="L636" i="1"/>
  <c r="L654" i="1"/>
  <c r="L676" i="1"/>
  <c r="L697" i="1"/>
  <c r="L714" i="1"/>
  <c r="L733" i="1"/>
  <c r="L750" i="1"/>
  <c r="L767" i="1"/>
  <c r="L783" i="1"/>
  <c r="L798" i="1"/>
  <c r="L815" i="1"/>
  <c r="L831" i="1"/>
  <c r="L846" i="1"/>
  <c r="L862" i="1"/>
  <c r="L876" i="1"/>
  <c r="L891" i="1"/>
  <c r="L905" i="1"/>
  <c r="L919" i="1"/>
  <c r="L934" i="1"/>
  <c r="L948" i="1"/>
  <c r="L961" i="1"/>
  <c r="L974" i="1"/>
  <c r="L987" i="1"/>
  <c r="L1000" i="1"/>
  <c r="L1013" i="1"/>
  <c r="L1026" i="1"/>
  <c r="L1038" i="1"/>
  <c r="L1050" i="1"/>
  <c r="L1062" i="1"/>
  <c r="L1074" i="1"/>
  <c r="L1086" i="1"/>
  <c r="L1098" i="1"/>
  <c r="L1110" i="1"/>
  <c r="L1122" i="1"/>
  <c r="L1134" i="1"/>
  <c r="L1146" i="1"/>
  <c r="L1158" i="1"/>
  <c r="L1170" i="1"/>
  <c r="L1182" i="1"/>
  <c r="L36" i="1"/>
  <c r="L108" i="1"/>
  <c r="L180" i="1"/>
  <c r="L252" i="1"/>
  <c r="L324" i="1"/>
  <c r="L378" i="1"/>
  <c r="L426" i="1"/>
  <c r="L472" i="1"/>
  <c r="Q6" i="5" s="1"/>
  <c r="L504" i="1"/>
  <c r="L529" i="1"/>
  <c r="L553" i="1"/>
  <c r="L576" i="1"/>
  <c r="L594" i="1"/>
  <c r="L616" i="1"/>
  <c r="L637" i="1"/>
  <c r="L656" i="1"/>
  <c r="L677" i="1"/>
  <c r="L699" i="1"/>
  <c r="L716" i="1"/>
  <c r="L735" i="1"/>
  <c r="L752" i="1"/>
  <c r="L768" i="1"/>
  <c r="L784" i="1"/>
  <c r="L800" i="1"/>
  <c r="L816" i="1"/>
  <c r="L832" i="1"/>
  <c r="L848" i="1"/>
  <c r="L863" i="1"/>
  <c r="L877" i="1"/>
  <c r="L892" i="1"/>
  <c r="L906" i="1"/>
  <c r="L920" i="1"/>
  <c r="L935" i="1"/>
  <c r="L949" i="1"/>
  <c r="L962" i="1"/>
  <c r="L975" i="1"/>
  <c r="L988" i="1"/>
  <c r="L1001" i="1"/>
  <c r="L1014" i="1"/>
  <c r="L1027" i="1"/>
  <c r="L1039" i="1"/>
  <c r="L1051" i="1"/>
  <c r="L1063" i="1"/>
  <c r="L1075" i="1"/>
  <c r="L1087" i="1"/>
  <c r="L37" i="1"/>
  <c r="L109" i="1"/>
  <c r="L181" i="1"/>
  <c r="L253" i="1"/>
  <c r="L325" i="1"/>
  <c r="L384" i="1"/>
  <c r="L432" i="1"/>
  <c r="L474" i="1"/>
  <c r="L505" i="1"/>
  <c r="L532" i="1"/>
  <c r="L556" i="1"/>
  <c r="L577" i="1"/>
  <c r="L596" i="1"/>
  <c r="L617" i="1"/>
  <c r="L639" i="1"/>
  <c r="L660" i="1"/>
  <c r="L678" i="1"/>
  <c r="L700" i="1"/>
  <c r="L719" i="1"/>
  <c r="L736" i="1"/>
  <c r="L754" i="1"/>
  <c r="L769" i="1"/>
  <c r="L785" i="1"/>
  <c r="L802" i="1"/>
  <c r="L817" i="1"/>
  <c r="L833" i="1"/>
  <c r="L850" i="1"/>
  <c r="L864" i="1"/>
  <c r="L879" i="1"/>
  <c r="L893" i="1"/>
  <c r="L907" i="1"/>
  <c r="L922" i="1"/>
  <c r="L936" i="1"/>
  <c r="L950" i="1"/>
  <c r="L963" i="1"/>
  <c r="L976" i="1"/>
  <c r="L989" i="1"/>
  <c r="L1002" i="1"/>
  <c r="L1015" i="1"/>
  <c r="L1028" i="1"/>
  <c r="L1040" i="1"/>
  <c r="L1052" i="1"/>
  <c r="L1064" i="1"/>
  <c r="L1076" i="1"/>
  <c r="L1088" i="1"/>
  <c r="L1100" i="1"/>
  <c r="L1112" i="1"/>
  <c r="L1124" i="1"/>
  <c r="L1136" i="1"/>
  <c r="L1148" i="1"/>
  <c r="L1160" i="1"/>
  <c r="L1172" i="1"/>
  <c r="L1184" i="1"/>
  <c r="L1196" i="1"/>
  <c r="L1208" i="1"/>
  <c r="L1220" i="1"/>
  <c r="L1232" i="1"/>
  <c r="L1244" i="1"/>
  <c r="L1256" i="1"/>
  <c r="L1268" i="1"/>
  <c r="L1280" i="1"/>
  <c r="L1292" i="1"/>
  <c r="L1304" i="1"/>
  <c r="L48" i="1"/>
  <c r="L120" i="1"/>
  <c r="L192" i="1"/>
  <c r="L264" i="1"/>
  <c r="L336" i="1"/>
  <c r="L385" i="1"/>
  <c r="L433" i="1"/>
  <c r="L480" i="1"/>
  <c r="L508" i="1"/>
  <c r="L533" i="1"/>
  <c r="L557" i="1"/>
  <c r="L579" i="1"/>
  <c r="L600" i="1"/>
  <c r="L618" i="1"/>
  <c r="L640" i="1"/>
  <c r="L661" i="1"/>
  <c r="L680" i="1"/>
  <c r="L701" i="1"/>
  <c r="L720" i="1"/>
  <c r="L737" i="1"/>
  <c r="L755" i="1"/>
  <c r="L771" i="1"/>
  <c r="L786" i="1"/>
  <c r="L803" i="1"/>
  <c r="L819" i="1"/>
  <c r="L834" i="1"/>
  <c r="L851" i="1"/>
  <c r="L865" i="1"/>
  <c r="L880" i="1"/>
  <c r="L894" i="1"/>
  <c r="L908" i="1"/>
  <c r="L923" i="1"/>
  <c r="L937" i="1"/>
  <c r="L951" i="1"/>
  <c r="L964" i="1"/>
  <c r="L977" i="1"/>
  <c r="L990" i="1"/>
  <c r="L1003" i="1"/>
  <c r="L1016" i="1"/>
  <c r="L1029" i="1"/>
  <c r="L1041" i="1"/>
  <c r="L1053" i="1"/>
  <c r="L1065" i="1"/>
  <c r="L1077" i="1"/>
  <c r="L1089" i="1"/>
  <c r="L1101" i="1"/>
  <c r="L1113" i="1"/>
  <c r="L1125" i="1"/>
  <c r="L1137" i="1"/>
  <c r="L1149" i="1"/>
  <c r="L1161" i="1"/>
  <c r="L1173" i="1"/>
  <c r="L1185" i="1"/>
  <c r="L1197" i="1"/>
  <c r="L1209" i="1"/>
  <c r="L1221" i="1"/>
  <c r="L1233" i="1"/>
  <c r="L1245" i="1"/>
  <c r="L1257" i="1"/>
  <c r="L1269" i="1"/>
  <c r="L1281" i="1"/>
  <c r="L1293" i="1"/>
  <c r="L1305" i="1"/>
  <c r="L1317" i="1"/>
  <c r="L1329" i="1"/>
  <c r="L1341" i="1"/>
  <c r="L1353" i="1"/>
  <c r="L1365" i="1"/>
  <c r="L1377" i="1"/>
  <c r="L49" i="1"/>
  <c r="L121" i="1"/>
  <c r="L193" i="1"/>
  <c r="L265" i="1"/>
  <c r="L337" i="1"/>
  <c r="L390" i="1"/>
  <c r="L73" i="1"/>
  <c r="L145" i="1"/>
  <c r="L217" i="1"/>
  <c r="L289" i="1"/>
  <c r="L360" i="1"/>
  <c r="L408" i="1"/>
  <c r="L456" i="1"/>
  <c r="L492" i="1"/>
  <c r="L520" i="1"/>
  <c r="L544" i="1"/>
  <c r="L567" i="1"/>
  <c r="L588" i="1"/>
  <c r="L606" i="1"/>
  <c r="L628" i="1"/>
  <c r="L649" i="1"/>
  <c r="L668" i="1"/>
  <c r="L689" i="1"/>
  <c r="L709" i="1"/>
  <c r="L726" i="1"/>
  <c r="L745" i="1"/>
  <c r="L761" i="1"/>
  <c r="L778" i="1"/>
  <c r="L793" i="1"/>
  <c r="L809" i="1"/>
  <c r="L826" i="1"/>
  <c r="L841" i="1"/>
  <c r="L857" i="1"/>
  <c r="L871" i="1"/>
  <c r="L886" i="1"/>
  <c r="L900" i="1"/>
  <c r="L915" i="1"/>
  <c r="L929" i="1"/>
  <c r="L943" i="1"/>
  <c r="L956" i="1"/>
  <c r="L970" i="1"/>
  <c r="L983" i="1"/>
  <c r="L996" i="1"/>
  <c r="L1009" i="1"/>
  <c r="L1022" i="1"/>
  <c r="L1034" i="1"/>
  <c r="L1046" i="1"/>
  <c r="L1058" i="1"/>
  <c r="L1070" i="1"/>
  <c r="L1082" i="1"/>
  <c r="L1094" i="1"/>
  <c r="L1106" i="1"/>
  <c r="L1118" i="1"/>
  <c r="L1130" i="1"/>
  <c r="L1142" i="1"/>
  <c r="L1154" i="1"/>
  <c r="L1166" i="1"/>
  <c r="L1178" i="1"/>
  <c r="L1190" i="1"/>
  <c r="L1202" i="1"/>
  <c r="L1214" i="1"/>
  <c r="L1226" i="1"/>
  <c r="L1238" i="1"/>
  <c r="L1250" i="1"/>
  <c r="L1262" i="1"/>
  <c r="L1274" i="1"/>
  <c r="L1286" i="1"/>
  <c r="L1298" i="1"/>
  <c r="L1310" i="1"/>
  <c r="L1322" i="1"/>
  <c r="L1334" i="1"/>
  <c r="L1346" i="1"/>
  <c r="L1358" i="1"/>
  <c r="L1370" i="1"/>
  <c r="L1382" i="1"/>
  <c r="L1394" i="1"/>
  <c r="L1406" i="1"/>
  <c r="L1418" i="1"/>
  <c r="L1430" i="1"/>
  <c r="L1442" i="1"/>
  <c r="L1454" i="1"/>
  <c r="L1466" i="1"/>
  <c r="L1478" i="1"/>
  <c r="L1490" i="1"/>
  <c r="L1502" i="1"/>
  <c r="L1514" i="1"/>
  <c r="L1526" i="1"/>
  <c r="L1538" i="1"/>
  <c r="L1550" i="1"/>
  <c r="L1562" i="1"/>
  <c r="L1574" i="1"/>
  <c r="L60" i="1"/>
  <c r="L348" i="1"/>
  <c r="L485" i="1"/>
  <c r="L560" i="1"/>
  <c r="L605" i="1"/>
  <c r="L663" i="1"/>
  <c r="L707" i="1"/>
  <c r="L749" i="1"/>
  <c r="L790" i="1"/>
  <c r="L824" i="1"/>
  <c r="L867" i="1"/>
  <c r="L898" i="1"/>
  <c r="L932" i="1"/>
  <c r="L966" i="1"/>
  <c r="L995" i="1"/>
  <c r="L1030" i="1"/>
  <c r="L1056" i="1"/>
  <c r="L1085" i="1"/>
  <c r="L1111" i="1"/>
  <c r="L1135" i="1"/>
  <c r="L1159" i="1"/>
  <c r="L1183" i="1"/>
  <c r="L1205" i="1"/>
  <c r="L1224" i="1"/>
  <c r="L1246" i="1"/>
  <c r="L1266" i="1"/>
  <c r="L1285" i="1"/>
  <c r="L1307" i="1"/>
  <c r="L1326" i="1"/>
  <c r="L1343" i="1"/>
  <c r="L1360" i="1"/>
  <c r="L1374" i="1"/>
  <c r="L1388" i="1"/>
  <c r="L1401" i="1"/>
  <c r="L1414" i="1"/>
  <c r="L1427" i="1"/>
  <c r="L1440" i="1"/>
  <c r="L1453" i="1"/>
  <c r="L1467" i="1"/>
  <c r="L1480" i="1"/>
  <c r="L1493" i="1"/>
  <c r="L1506" i="1"/>
  <c r="L1519" i="1"/>
  <c r="L1532" i="1"/>
  <c r="L1545" i="1"/>
  <c r="L1558" i="1"/>
  <c r="L1571" i="1"/>
  <c r="L1584" i="1"/>
  <c r="L1511" i="1"/>
  <c r="L1381" i="1"/>
  <c r="L1473" i="1"/>
  <c r="L1499" i="1"/>
  <c r="L1539" i="1"/>
  <c r="L1540" i="1"/>
  <c r="L884" i="1"/>
  <c r="L1078" i="1"/>
  <c r="L1151" i="1"/>
  <c r="L1259" i="1"/>
  <c r="L1338" i="1"/>
  <c r="L1475" i="1"/>
  <c r="L1592" i="1"/>
  <c r="L644" i="1"/>
  <c r="L855" i="1"/>
  <c r="L955" i="1"/>
  <c r="L1128" i="1"/>
  <c r="L1219" i="1"/>
  <c r="L1411" i="1"/>
  <c r="L1489" i="1"/>
  <c r="L1542" i="1"/>
  <c r="L603" i="1"/>
  <c r="L960" i="1"/>
  <c r="L1129" i="1"/>
  <c r="L1261" i="1"/>
  <c r="L1321" i="1"/>
  <c r="L1386" i="1"/>
  <c r="L1438" i="1"/>
  <c r="L1543" i="1"/>
  <c r="L1569" i="1"/>
  <c r="L61" i="1"/>
  <c r="L349" i="1"/>
  <c r="L486" i="1"/>
  <c r="L564" i="1"/>
  <c r="L613" i="1"/>
  <c r="L664" i="1"/>
  <c r="L708" i="1"/>
  <c r="L756" i="1"/>
  <c r="L791" i="1"/>
  <c r="L829" i="1"/>
  <c r="L868" i="1"/>
  <c r="L899" i="1"/>
  <c r="L939" i="1"/>
  <c r="L967" i="1"/>
  <c r="L999" i="1"/>
  <c r="L1031" i="1"/>
  <c r="L1057" i="1"/>
  <c r="L1090" i="1"/>
  <c r="L1114" i="1"/>
  <c r="L1138" i="1"/>
  <c r="L1162" i="1"/>
  <c r="L1186" i="1"/>
  <c r="L1206" i="1"/>
  <c r="L1225" i="1"/>
  <c r="L1247" i="1"/>
  <c r="L1267" i="1"/>
  <c r="L1289" i="1"/>
  <c r="L1308" i="1"/>
  <c r="L1327" i="1"/>
  <c r="L1344" i="1"/>
  <c r="L1361" i="1"/>
  <c r="L1375" i="1"/>
  <c r="L1389" i="1"/>
  <c r="L1402" i="1"/>
  <c r="L1415" i="1"/>
  <c r="L1428" i="1"/>
  <c r="L1441" i="1"/>
  <c r="L1455" i="1"/>
  <c r="L1468" i="1"/>
  <c r="L1481" i="1"/>
  <c r="L1494" i="1"/>
  <c r="L1507" i="1"/>
  <c r="L1520" i="1"/>
  <c r="L1533" i="1"/>
  <c r="L1546" i="1"/>
  <c r="L1559" i="1"/>
  <c r="L1572" i="1"/>
  <c r="L1585" i="1"/>
  <c r="L1551" i="1"/>
  <c r="L1333" i="1"/>
  <c r="L1421" i="1"/>
  <c r="L1486" i="1"/>
  <c r="L1525" i="1"/>
  <c r="L1590" i="1"/>
  <c r="L1487" i="1"/>
  <c r="L1566" i="1"/>
  <c r="L814" i="1"/>
  <c r="L1175" i="1"/>
  <c r="L1279" i="1"/>
  <c r="L1397" i="1"/>
  <c r="L1449" i="1"/>
  <c r="L1515" i="1"/>
  <c r="L1554" i="1"/>
  <c r="L776" i="1"/>
  <c r="L1104" i="1"/>
  <c r="L1241" i="1"/>
  <c r="L1385" i="1"/>
  <c r="L1463" i="1"/>
  <c r="L277" i="1"/>
  <c r="L821" i="1"/>
  <c r="L1491" i="1"/>
  <c r="L72" i="1"/>
  <c r="L354" i="1"/>
  <c r="L509" i="1"/>
  <c r="L565" i="1"/>
  <c r="L620" i="1"/>
  <c r="L665" i="1"/>
  <c r="L713" i="1"/>
  <c r="L757" i="1"/>
  <c r="L792" i="1"/>
  <c r="L836" i="1"/>
  <c r="L869" i="1"/>
  <c r="L904" i="1"/>
  <c r="L940" i="1"/>
  <c r="L968" i="1"/>
  <c r="L1004" i="1"/>
  <c r="L1032" i="1"/>
  <c r="L1061" i="1"/>
  <c r="L1091" i="1"/>
  <c r="L1115" i="1"/>
  <c r="L1139" i="1"/>
  <c r="L1163" i="1"/>
  <c r="L1187" i="1"/>
  <c r="L1207" i="1"/>
  <c r="L1229" i="1"/>
  <c r="L1248" i="1"/>
  <c r="L1270" i="1"/>
  <c r="L1290" i="1"/>
  <c r="L1309" i="1"/>
  <c r="L1328" i="1"/>
  <c r="L1345" i="1"/>
  <c r="L1362" i="1"/>
  <c r="L1376" i="1"/>
  <c r="L1390" i="1"/>
  <c r="L1403" i="1"/>
  <c r="L1416" i="1"/>
  <c r="L1429" i="1"/>
  <c r="L1443" i="1"/>
  <c r="L1456" i="1"/>
  <c r="L1469" i="1"/>
  <c r="L1482" i="1"/>
  <c r="L1495" i="1"/>
  <c r="L1508" i="1"/>
  <c r="L1521" i="1"/>
  <c r="L1534" i="1"/>
  <c r="L1547" i="1"/>
  <c r="L1560" i="1"/>
  <c r="L1573" i="1"/>
  <c r="L1586" i="1"/>
  <c r="L1483" i="1"/>
  <c r="L1587" i="1"/>
  <c r="L1537" i="1"/>
  <c r="L1367" i="1"/>
  <c r="L1434" i="1"/>
  <c r="L1512" i="1"/>
  <c r="L1578" i="1"/>
  <c r="L1513" i="1"/>
  <c r="L954" i="1"/>
  <c r="L1127" i="1"/>
  <c r="L1237" i="1"/>
  <c r="L1384" i="1"/>
  <c r="L1436" i="1"/>
  <c r="L1528" i="1"/>
  <c r="L1580" i="1"/>
  <c r="L450" i="1"/>
  <c r="L889" i="1"/>
  <c r="L1049" i="1"/>
  <c r="L1260" i="1"/>
  <c r="L1355" i="1"/>
  <c r="L1424" i="1"/>
  <c r="L1516" i="1"/>
  <c r="L1568" i="1"/>
  <c r="L702" i="1"/>
  <c r="L927" i="1"/>
  <c r="L1080" i="1"/>
  <c r="L1200" i="1"/>
  <c r="L1340" i="1"/>
  <c r="L1399" i="1"/>
  <c r="L1504" i="1"/>
  <c r="L132" i="1"/>
  <c r="L396" i="1"/>
  <c r="L510" i="1"/>
  <c r="L570" i="1"/>
  <c r="L624" i="1"/>
  <c r="L666" i="1"/>
  <c r="L721" i="1"/>
  <c r="L759" i="1"/>
  <c r="L797" i="1"/>
  <c r="L838" i="1"/>
  <c r="L870" i="1"/>
  <c r="L910" i="1"/>
  <c r="L941" i="1"/>
  <c r="L973" i="1"/>
  <c r="L1006" i="1"/>
  <c r="L1033" i="1"/>
  <c r="L1066" i="1"/>
  <c r="L1092" i="1"/>
  <c r="L1116" i="1"/>
  <c r="L1140" i="1"/>
  <c r="L1164" i="1"/>
  <c r="L1188" i="1"/>
  <c r="L1210" i="1"/>
  <c r="L1230" i="1"/>
  <c r="L1249" i="1"/>
  <c r="L1271" i="1"/>
  <c r="L1291" i="1"/>
  <c r="L1313" i="1"/>
  <c r="L1330" i="1"/>
  <c r="L1348" i="1"/>
  <c r="L1363" i="1"/>
  <c r="L1378" i="1"/>
  <c r="L1391" i="1"/>
  <c r="L1404" i="1"/>
  <c r="L1417" i="1"/>
  <c r="L1431" i="1"/>
  <c r="L1444" i="1"/>
  <c r="L1457" i="1"/>
  <c r="L1470" i="1"/>
  <c r="L1496" i="1"/>
  <c r="L1509" i="1"/>
  <c r="L1522" i="1"/>
  <c r="L1535" i="1"/>
  <c r="L1548" i="1"/>
  <c r="L1561" i="1"/>
  <c r="L1575" i="1"/>
  <c r="L1577" i="1"/>
  <c r="L1395" i="1"/>
  <c r="L1447" i="1"/>
  <c r="L1552" i="1"/>
  <c r="L1369" i="1"/>
  <c r="L740" i="1"/>
  <c r="L1371" i="1"/>
  <c r="L1581" i="1"/>
  <c r="L781" i="1"/>
  <c r="L133" i="1"/>
  <c r="L397" i="1"/>
  <c r="L516" i="1"/>
  <c r="L580" i="1"/>
  <c r="L625" i="1"/>
  <c r="L675" i="1"/>
  <c r="L723" i="1"/>
  <c r="L760" i="1"/>
  <c r="L804" i="1"/>
  <c r="L839" i="1"/>
  <c r="L875" i="1"/>
  <c r="L911" i="1"/>
  <c r="L942" i="1"/>
  <c r="L978" i="1"/>
  <c r="L1007" i="1"/>
  <c r="L1037" i="1"/>
  <c r="L1067" i="1"/>
  <c r="L1093" i="1"/>
  <c r="L1117" i="1"/>
  <c r="L1141" i="1"/>
  <c r="L1165" i="1"/>
  <c r="L1189" i="1"/>
  <c r="L1211" i="1"/>
  <c r="L1231" i="1"/>
  <c r="L1253" i="1"/>
  <c r="L1272" i="1"/>
  <c r="L1294" i="1"/>
  <c r="L1314" i="1"/>
  <c r="L1331" i="1"/>
  <c r="L1349" i="1"/>
  <c r="L1364" i="1"/>
  <c r="L1379" i="1"/>
  <c r="L1392" i="1"/>
  <c r="L1405" i="1"/>
  <c r="L1419" i="1"/>
  <c r="L1432" i="1"/>
  <c r="L1445" i="1"/>
  <c r="L1458" i="1"/>
  <c r="L1471" i="1"/>
  <c r="L1484" i="1"/>
  <c r="L1497" i="1"/>
  <c r="L1510" i="1"/>
  <c r="L1523" i="1"/>
  <c r="L1536" i="1"/>
  <c r="L1549" i="1"/>
  <c r="L1563" i="1"/>
  <c r="L1576" i="1"/>
  <c r="L1588" i="1"/>
  <c r="L1295" i="1"/>
  <c r="L1366" i="1"/>
  <c r="L1380" i="1"/>
  <c r="L1407" i="1"/>
  <c r="L1524" i="1"/>
  <c r="L1408" i="1"/>
  <c r="L1460" i="1"/>
  <c r="L1565" i="1"/>
  <c r="L1500" i="1"/>
  <c r="L1553" i="1"/>
  <c r="L1591" i="1"/>
  <c r="L853" i="1"/>
  <c r="L1198" i="1"/>
  <c r="L1301" i="1"/>
  <c r="L1462" i="1"/>
  <c r="L1567" i="1"/>
  <c r="L696" i="1"/>
  <c r="L991" i="1"/>
  <c r="L1079" i="1"/>
  <c r="L1302" i="1"/>
  <c r="L1476" i="1"/>
  <c r="L1555" i="1"/>
  <c r="L648" i="1"/>
  <c r="L895" i="1"/>
  <c r="L1021" i="1"/>
  <c r="L1105" i="1"/>
  <c r="L1222" i="1"/>
  <c r="L1303" i="1"/>
  <c r="L1412" i="1"/>
  <c r="L1556" i="1"/>
  <c r="L1582" i="1"/>
  <c r="L144" i="1"/>
  <c r="L402" i="1"/>
  <c r="L517" i="1"/>
  <c r="L581" i="1"/>
  <c r="L627" i="1"/>
  <c r="L684" i="1"/>
  <c r="L724" i="1"/>
  <c r="L766" i="1"/>
  <c r="L805" i="1"/>
  <c r="L840" i="1"/>
  <c r="L881" i="1"/>
  <c r="L912" i="1"/>
  <c r="L947" i="1"/>
  <c r="L979" i="1"/>
  <c r="L1008" i="1"/>
  <c r="L1042" i="1"/>
  <c r="L1068" i="1"/>
  <c r="L1097" i="1"/>
  <c r="L1121" i="1"/>
  <c r="L1145" i="1"/>
  <c r="L1169" i="1"/>
  <c r="L1193" i="1"/>
  <c r="L1212" i="1"/>
  <c r="L1234" i="1"/>
  <c r="L1254" i="1"/>
  <c r="L1273" i="1"/>
  <c r="L1315" i="1"/>
  <c r="L1332" i="1"/>
  <c r="L1350" i="1"/>
  <c r="L1393" i="1"/>
  <c r="L1420" i="1"/>
  <c r="L1433" i="1"/>
  <c r="L1446" i="1"/>
  <c r="L1459" i="1"/>
  <c r="L1472" i="1"/>
  <c r="L1485" i="1"/>
  <c r="L1498" i="1"/>
  <c r="L1564" i="1"/>
  <c r="L1351" i="1"/>
  <c r="L1045" i="1"/>
  <c r="L1410" i="1"/>
  <c r="L1541" i="1"/>
  <c r="L820" i="1"/>
  <c r="L1020" i="1"/>
  <c r="L1176" i="1"/>
  <c r="L1282" i="1"/>
  <c r="L1398" i="1"/>
  <c r="L1529" i="1"/>
  <c r="L548" i="1"/>
  <c r="L856" i="1"/>
  <c r="L992" i="1"/>
  <c r="L1177" i="1"/>
  <c r="L1356" i="1"/>
  <c r="L1425" i="1"/>
  <c r="L1517" i="1"/>
  <c r="L204" i="1"/>
  <c r="L438" i="1"/>
  <c r="L534" i="1"/>
  <c r="L582" i="1"/>
  <c r="L632" i="1"/>
  <c r="L685" i="1"/>
  <c r="L725" i="1"/>
  <c r="L772" i="1"/>
  <c r="L807" i="1"/>
  <c r="L845" i="1"/>
  <c r="L882" i="1"/>
  <c r="L913" i="1"/>
  <c r="L952" i="1"/>
  <c r="L980" i="1"/>
  <c r="L1012" i="1"/>
  <c r="L1043" i="1"/>
  <c r="L1069" i="1"/>
  <c r="L1099" i="1"/>
  <c r="L1123" i="1"/>
  <c r="L1147" i="1"/>
  <c r="L1171" i="1"/>
  <c r="L1194" i="1"/>
  <c r="L1213" i="1"/>
  <c r="L1235" i="1"/>
  <c r="L1255" i="1"/>
  <c r="L1277" i="1"/>
  <c r="L1296" i="1"/>
  <c r="L1316" i="1"/>
  <c r="L276" i="1"/>
  <c r="L1477" i="1"/>
  <c r="L205" i="1"/>
  <c r="L444" i="1"/>
  <c r="L536" i="1"/>
  <c r="L584" i="1"/>
  <c r="L641" i="1"/>
  <c r="L687" i="1"/>
  <c r="L732" i="1"/>
  <c r="L773" i="1"/>
  <c r="L808" i="1"/>
  <c r="L852" i="1"/>
  <c r="L883" i="1"/>
  <c r="L918" i="1"/>
  <c r="L953" i="1"/>
  <c r="L982" i="1"/>
  <c r="L1018" i="1"/>
  <c r="L1044" i="1"/>
  <c r="L1073" i="1"/>
  <c r="L1102" i="1"/>
  <c r="L1126" i="1"/>
  <c r="L1150" i="1"/>
  <c r="L1174" i="1"/>
  <c r="L1195" i="1"/>
  <c r="L1217" i="1"/>
  <c r="L1236" i="1"/>
  <c r="L1258" i="1"/>
  <c r="L1278" i="1"/>
  <c r="L1297" i="1"/>
  <c r="L1318" i="1"/>
  <c r="L1337" i="1"/>
  <c r="L1352" i="1"/>
  <c r="L1368" i="1"/>
  <c r="L1383" i="1"/>
  <c r="L1396" i="1"/>
  <c r="L1409" i="1"/>
  <c r="L1422" i="1"/>
  <c r="L1435" i="1"/>
  <c r="L1448" i="1"/>
  <c r="L1461" i="1"/>
  <c r="L1474" i="1"/>
  <c r="L1527" i="1"/>
  <c r="L1579" i="1"/>
  <c r="L924" i="1"/>
  <c r="L1354" i="1"/>
  <c r="L1501" i="1"/>
  <c r="L541" i="1"/>
  <c r="L1152" i="1"/>
  <c r="L1320" i="1"/>
  <c r="L1437" i="1"/>
  <c r="L1503" i="1"/>
  <c r="L743" i="1"/>
  <c r="L1242" i="1"/>
  <c r="L1464" i="1"/>
  <c r="L1594" i="1"/>
  <c r="L216" i="1"/>
  <c r="L445" i="1"/>
  <c r="L540" i="1"/>
  <c r="L592" i="1"/>
  <c r="L642" i="1"/>
  <c r="L688" i="1"/>
  <c r="L738" i="1"/>
  <c r="L774" i="1"/>
  <c r="L986" i="1"/>
  <c r="L1019" i="1"/>
  <c r="L1103" i="1"/>
  <c r="L1218" i="1"/>
  <c r="L1319" i="1"/>
  <c r="L1423" i="1"/>
  <c r="L1488" i="1"/>
  <c r="L601" i="1"/>
  <c r="L925" i="1"/>
  <c r="L1199" i="1"/>
  <c r="L1339" i="1"/>
  <c r="L1450" i="1"/>
  <c r="L1593" i="1"/>
  <c r="L481" i="1"/>
  <c r="L1054" i="1"/>
  <c r="L1153" i="1"/>
  <c r="L1283" i="1"/>
  <c r="L1372" i="1"/>
  <c r="L1451" i="1"/>
  <c r="L1530" i="1"/>
  <c r="L288" i="1"/>
  <c r="L484" i="1"/>
  <c r="L558" i="1"/>
  <c r="L604" i="1"/>
  <c r="L653" i="1"/>
  <c r="L704" i="1"/>
  <c r="L744" i="1"/>
  <c r="L788" i="1"/>
  <c r="L822" i="1"/>
  <c r="L860" i="1"/>
  <c r="L896" i="1"/>
  <c r="L928" i="1"/>
  <c r="L965" i="1"/>
  <c r="L994" i="1"/>
  <c r="L1025" i="1"/>
  <c r="L1055" i="1"/>
  <c r="L1081" i="1"/>
  <c r="L1109" i="1"/>
  <c r="L1133" i="1"/>
  <c r="L1157" i="1"/>
  <c r="L1181" i="1"/>
  <c r="L1201" i="1"/>
  <c r="L1223" i="1"/>
  <c r="L1243" i="1"/>
  <c r="L1265" i="1"/>
  <c r="L1284" i="1"/>
  <c r="L1306" i="1"/>
  <c r="L1325" i="1"/>
  <c r="L1342" i="1"/>
  <c r="L1357" i="1"/>
  <c r="L1373" i="1"/>
  <c r="L1387" i="1"/>
  <c r="L1400" i="1"/>
  <c r="L1413" i="1"/>
  <c r="L1426" i="1"/>
  <c r="L1439" i="1"/>
  <c r="L1452" i="1"/>
  <c r="L1465" i="1"/>
  <c r="L1479" i="1"/>
  <c r="L1492" i="1"/>
  <c r="L1505" i="1"/>
  <c r="L1518" i="1"/>
  <c r="L1531" i="1"/>
  <c r="L1544" i="1"/>
  <c r="L1557" i="1"/>
  <c r="L1570" i="1"/>
  <c r="L1583" i="1"/>
  <c r="L1595" i="1"/>
  <c r="L1589" i="1"/>
  <c r="L2" i="13"/>
  <c r="L3" i="13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N2" i="13"/>
  <c r="N3" i="13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42" i="13"/>
  <c r="N43" i="13"/>
  <c r="N44" i="13"/>
  <c r="N45" i="13"/>
  <c r="N46" i="13"/>
  <c r="N47" i="13"/>
  <c r="N48" i="13"/>
  <c r="N49" i="13"/>
  <c r="N50" i="13"/>
  <c r="N51" i="13"/>
  <c r="N52" i="13"/>
  <c r="N53" i="13"/>
  <c r="N54" i="13"/>
  <c r="N55" i="13"/>
  <c r="N56" i="13"/>
  <c r="N57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96" i="13"/>
  <c r="N97" i="13"/>
  <c r="N98" i="13"/>
  <c r="N99" i="13"/>
  <c r="N100" i="13"/>
  <c r="N101" i="13"/>
  <c r="N102" i="13"/>
  <c r="N103" i="13"/>
  <c r="N104" i="13"/>
  <c r="N105" i="13"/>
  <c r="N106" i="13"/>
  <c r="N107" i="13"/>
  <c r="N108" i="13"/>
  <c r="N109" i="13"/>
  <c r="N110" i="13"/>
  <c r="N111" i="13"/>
  <c r="N112" i="13"/>
  <c r="N113" i="13"/>
  <c r="N114" i="13"/>
  <c r="N115" i="13"/>
  <c r="N116" i="13"/>
  <c r="N117" i="13"/>
  <c r="N118" i="13"/>
  <c r="N119" i="13"/>
  <c r="N120" i="13"/>
  <c r="N121" i="13"/>
  <c r="N122" i="13"/>
  <c r="N123" i="13"/>
  <c r="N124" i="13"/>
  <c r="N125" i="13"/>
  <c r="N126" i="13"/>
  <c r="M2" i="13"/>
  <c r="M3" i="13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J1593" i="1"/>
  <c r="J1594" i="1"/>
  <c r="J1595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503" i="15"/>
  <c r="I502" i="15"/>
  <c r="I501" i="15"/>
  <c r="I500" i="15"/>
  <c r="I499" i="15"/>
  <c r="I498" i="15"/>
  <c r="I497" i="15"/>
  <c r="I496" i="15"/>
  <c r="I495" i="15"/>
  <c r="I494" i="15"/>
  <c r="I493" i="15"/>
  <c r="I492" i="15"/>
  <c r="I491" i="15"/>
  <c r="I490" i="15"/>
  <c r="I489" i="15"/>
  <c r="I488" i="15"/>
  <c r="I487" i="15"/>
  <c r="I486" i="15"/>
  <c r="I485" i="15"/>
  <c r="I484" i="15"/>
  <c r="I483" i="15"/>
  <c r="I482" i="15"/>
  <c r="I481" i="15"/>
  <c r="I480" i="15"/>
  <c r="I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I352" i="15"/>
  <c r="I353" i="15"/>
  <c r="I354" i="15"/>
  <c r="I355" i="15"/>
  <c r="I356" i="15"/>
  <c r="I357" i="15"/>
  <c r="I358" i="15"/>
  <c r="I359" i="15"/>
  <c r="I360" i="15"/>
  <c r="I361" i="15"/>
  <c r="I362" i="15"/>
  <c r="I363" i="15"/>
  <c r="I364" i="15"/>
  <c r="I365" i="15"/>
  <c r="I366" i="15"/>
  <c r="I367" i="15"/>
  <c r="I368" i="15"/>
  <c r="I369" i="15"/>
  <c r="I370" i="15"/>
  <c r="I371" i="15"/>
  <c r="I372" i="15"/>
  <c r="I373" i="15"/>
  <c r="I374" i="15"/>
  <c r="I375" i="15"/>
  <c r="I376" i="15"/>
  <c r="I377" i="15"/>
  <c r="I378" i="15"/>
  <c r="I379" i="15"/>
  <c r="I380" i="15"/>
  <c r="I381" i="15"/>
  <c r="I382" i="15"/>
  <c r="I383" i="15"/>
  <c r="I384" i="15"/>
  <c r="I385" i="15"/>
  <c r="I386" i="15"/>
  <c r="I387" i="15"/>
  <c r="I388" i="15"/>
  <c r="I389" i="15"/>
  <c r="I390" i="15"/>
  <c r="I391" i="15"/>
  <c r="I392" i="15"/>
  <c r="I393" i="15"/>
  <c r="I394" i="15"/>
  <c r="I395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438" i="15"/>
  <c r="I439" i="15"/>
  <c r="I440" i="15"/>
  <c r="I441" i="15"/>
  <c r="I442" i="15"/>
  <c r="I443" i="15"/>
  <c r="I444" i="15"/>
  <c r="I445" i="15"/>
  <c r="I446" i="15"/>
  <c r="I447" i="15"/>
  <c r="I448" i="15"/>
  <c r="I449" i="15"/>
  <c r="I450" i="15"/>
  <c r="I451" i="15"/>
  <c r="I452" i="15"/>
  <c r="I453" i="15"/>
  <c r="I454" i="15"/>
  <c r="I455" i="15"/>
  <c r="I456" i="15"/>
  <c r="I457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478" i="15"/>
  <c r="I479" i="15"/>
  <c r="I549" i="15"/>
  <c r="I550" i="15"/>
  <c r="I551" i="15"/>
  <c r="I552" i="15"/>
  <c r="I553" i="15"/>
  <c r="I554" i="15"/>
  <c r="I555" i="15"/>
  <c r="I556" i="15"/>
  <c r="I557" i="15"/>
  <c r="I558" i="15"/>
  <c r="I559" i="15"/>
  <c r="I560" i="15"/>
  <c r="I561" i="15"/>
  <c r="I562" i="15"/>
  <c r="I563" i="15"/>
  <c r="I564" i="15"/>
  <c r="I565" i="15"/>
  <c r="I566" i="15"/>
  <c r="I567" i="15"/>
  <c r="I568" i="15"/>
  <c r="I569" i="15"/>
  <c r="I570" i="15"/>
  <c r="I571" i="15"/>
  <c r="I572" i="15"/>
  <c r="I573" i="15"/>
  <c r="I574" i="15"/>
  <c r="I575" i="15"/>
  <c r="I576" i="15"/>
  <c r="I577" i="15"/>
  <c r="I578" i="15"/>
  <c r="I579" i="15"/>
  <c r="I580" i="15"/>
  <c r="I581" i="15"/>
  <c r="I582" i="15"/>
  <c r="I583" i="15"/>
  <c r="I584" i="15"/>
  <c r="I585" i="15"/>
  <c r="I586" i="15"/>
  <c r="I587" i="15"/>
  <c r="I588" i="15"/>
  <c r="I589" i="15"/>
  <c r="I590" i="15"/>
  <c r="I591" i="15"/>
  <c r="I592" i="15"/>
  <c r="I593" i="15"/>
  <c r="I594" i="15"/>
  <c r="I595" i="15"/>
  <c r="I596" i="15"/>
  <c r="I597" i="15"/>
  <c r="I598" i="15"/>
  <c r="I599" i="15"/>
  <c r="I600" i="15"/>
  <c r="I601" i="15"/>
  <c r="I602" i="15"/>
  <c r="I603" i="15"/>
  <c r="I604" i="15"/>
  <c r="I605" i="15"/>
  <c r="I606" i="15"/>
  <c r="I607" i="15"/>
  <c r="I608" i="15"/>
  <c r="I609" i="15"/>
  <c r="I610" i="15"/>
  <c r="I611" i="15"/>
  <c r="I612" i="15"/>
  <c r="I613" i="15"/>
  <c r="I614" i="15"/>
  <c r="I615" i="15"/>
  <c r="I616" i="15"/>
  <c r="I617" i="15"/>
  <c r="I618" i="15"/>
  <c r="I619" i="15"/>
  <c r="I620" i="15"/>
  <c r="I621" i="15"/>
  <c r="I622" i="15"/>
  <c r="I623" i="15"/>
  <c r="I624" i="15"/>
  <c r="I625" i="15"/>
  <c r="I626" i="15"/>
  <c r="I627" i="15"/>
  <c r="I628" i="15"/>
  <c r="I629" i="15"/>
  <c r="I630" i="15"/>
  <c r="I631" i="15"/>
  <c r="I632" i="15"/>
  <c r="I633" i="15"/>
  <c r="I634" i="15"/>
  <c r="I635" i="15"/>
  <c r="I636" i="15"/>
  <c r="I637" i="15"/>
  <c r="I638" i="15"/>
  <c r="I639" i="15"/>
  <c r="I640" i="15"/>
  <c r="I641" i="15"/>
  <c r="I642" i="15"/>
  <c r="I643" i="15"/>
  <c r="I644" i="15"/>
  <c r="I645" i="15"/>
  <c r="I646" i="15"/>
  <c r="I647" i="15"/>
  <c r="I648" i="15"/>
  <c r="I649" i="15"/>
  <c r="I650" i="15"/>
  <c r="I651" i="15"/>
  <c r="I652" i="15"/>
  <c r="I653" i="15"/>
  <c r="I654" i="15"/>
  <c r="I655" i="15"/>
  <c r="I656" i="15"/>
  <c r="I657" i="15"/>
  <c r="I658" i="15"/>
  <c r="I659" i="15"/>
  <c r="I660" i="15"/>
  <c r="I661" i="15"/>
  <c r="I662" i="15"/>
  <c r="I663" i="15"/>
  <c r="I664" i="15"/>
  <c r="I665" i="15"/>
  <c r="I666" i="15"/>
  <c r="I667" i="15"/>
  <c r="I668" i="15"/>
  <c r="I669" i="15"/>
  <c r="I670" i="15"/>
  <c r="I671" i="15"/>
  <c r="I672" i="15"/>
  <c r="I673" i="15"/>
  <c r="I674" i="15"/>
  <c r="I675" i="15"/>
  <c r="I676" i="15"/>
  <c r="I677" i="15"/>
  <c r="I678" i="15"/>
  <c r="I679" i="15"/>
  <c r="I680" i="15"/>
  <c r="I681" i="15"/>
  <c r="I682" i="15"/>
  <c r="I683" i="15"/>
  <c r="I684" i="15"/>
  <c r="I685" i="15"/>
  <c r="I686" i="15"/>
  <c r="I687" i="15"/>
  <c r="I688" i="15"/>
  <c r="I689" i="15"/>
  <c r="I690" i="15"/>
  <c r="I691" i="15"/>
  <c r="I692" i="15"/>
  <c r="I693" i="15"/>
  <c r="I694" i="15"/>
  <c r="I695" i="15"/>
  <c r="I696" i="15"/>
  <c r="I697" i="15"/>
  <c r="I698" i="15"/>
  <c r="I699" i="15"/>
  <c r="I700" i="15"/>
  <c r="I701" i="15"/>
  <c r="I702" i="15"/>
  <c r="I703" i="15"/>
  <c r="I704" i="15"/>
  <c r="I705" i="15"/>
  <c r="I706" i="15"/>
  <c r="I707" i="15"/>
  <c r="I708" i="15"/>
  <c r="I709" i="15"/>
  <c r="I710" i="15"/>
  <c r="I711" i="15"/>
  <c r="I712" i="15"/>
  <c r="I713" i="15"/>
  <c r="I714" i="15"/>
  <c r="I715" i="15"/>
  <c r="I716" i="15"/>
  <c r="I717" i="15"/>
  <c r="I718" i="15"/>
  <c r="I719" i="15"/>
  <c r="I720" i="15"/>
  <c r="I721" i="15"/>
  <c r="I722" i="15"/>
  <c r="I723" i="15"/>
  <c r="I724" i="15"/>
  <c r="I725" i="15"/>
  <c r="I726" i="15"/>
  <c r="I727" i="15"/>
  <c r="I728" i="15"/>
  <c r="I729" i="15"/>
  <c r="I730" i="15"/>
  <c r="I731" i="15"/>
  <c r="I732" i="15"/>
  <c r="I733" i="15"/>
  <c r="I734" i="15"/>
  <c r="I735" i="15"/>
  <c r="I736" i="15"/>
  <c r="I737" i="15"/>
  <c r="I738" i="15"/>
  <c r="I739" i="15"/>
  <c r="I740" i="15"/>
  <c r="I741" i="15"/>
  <c r="I742" i="15"/>
  <c r="I743" i="15"/>
  <c r="I744" i="15"/>
  <c r="I745" i="15"/>
  <c r="I746" i="15"/>
  <c r="I747" i="15"/>
  <c r="I748" i="15"/>
  <c r="I749" i="15"/>
  <c r="I750" i="15"/>
  <c r="I751" i="15"/>
  <c r="I752" i="15"/>
  <c r="I753" i="15"/>
  <c r="I754" i="15"/>
  <c r="I755" i="15"/>
  <c r="I756" i="15"/>
  <c r="I757" i="15"/>
  <c r="I758" i="15"/>
  <c r="I759" i="15"/>
  <c r="I760" i="15"/>
  <c r="I761" i="15"/>
  <c r="I762" i="15"/>
  <c r="I763" i="15"/>
  <c r="I764" i="15"/>
  <c r="I765" i="15"/>
  <c r="I766" i="15"/>
  <c r="I767" i="15"/>
  <c r="I768" i="15"/>
  <c r="I769" i="15"/>
  <c r="I770" i="15"/>
  <c r="I771" i="15"/>
  <c r="I772" i="15"/>
  <c r="I773" i="15"/>
  <c r="I774" i="15"/>
  <c r="I775" i="15"/>
  <c r="I776" i="15"/>
  <c r="I777" i="15"/>
  <c r="I778" i="15"/>
  <c r="I779" i="15"/>
  <c r="I780" i="15"/>
  <c r="I781" i="15"/>
  <c r="I782" i="15"/>
  <c r="I783" i="15"/>
  <c r="I784" i="15"/>
  <c r="I785" i="15"/>
  <c r="I786" i="15"/>
  <c r="I787" i="15"/>
  <c r="I788" i="15"/>
  <c r="I789" i="15"/>
  <c r="I790" i="15"/>
  <c r="I791" i="15"/>
  <c r="I792" i="15"/>
  <c r="I793" i="15"/>
  <c r="I794" i="15"/>
  <c r="I795" i="15"/>
  <c r="I796" i="15"/>
  <c r="I797" i="15"/>
  <c r="I798" i="15"/>
  <c r="I799" i="15"/>
  <c r="I800" i="15"/>
  <c r="I801" i="15"/>
  <c r="I802" i="15"/>
  <c r="I803" i="15"/>
  <c r="I804" i="15"/>
  <c r="I805" i="15"/>
  <c r="I806" i="15"/>
  <c r="I807" i="15"/>
  <c r="I808" i="15"/>
  <c r="I809" i="15"/>
  <c r="I810" i="15"/>
  <c r="I811" i="15"/>
  <c r="I812" i="15"/>
  <c r="I813" i="15"/>
  <c r="I814" i="15"/>
  <c r="I815" i="15"/>
  <c r="I816" i="15"/>
  <c r="I817" i="15"/>
  <c r="I818" i="15"/>
  <c r="I819" i="15"/>
  <c r="I820" i="15"/>
  <c r="I821" i="15"/>
  <c r="I822" i="15"/>
  <c r="I823" i="15"/>
  <c r="I824" i="15"/>
  <c r="I825" i="15"/>
  <c r="I826" i="15"/>
  <c r="I827" i="15"/>
  <c r="I828" i="15"/>
  <c r="I829" i="15"/>
  <c r="I830" i="15"/>
  <c r="I831" i="15"/>
  <c r="I832" i="15"/>
  <c r="I833" i="15"/>
  <c r="I834" i="15"/>
  <c r="I835" i="15"/>
  <c r="I836" i="15"/>
  <c r="I837" i="15"/>
  <c r="I838" i="15"/>
  <c r="I839" i="15"/>
  <c r="I840" i="15"/>
  <c r="I841" i="15"/>
  <c r="I842" i="15"/>
  <c r="I843" i="15"/>
  <c r="I844" i="15"/>
  <c r="I845" i="15"/>
  <c r="I846" i="15"/>
  <c r="I847" i="15"/>
  <c r="I848" i="15"/>
  <c r="I849" i="15"/>
  <c r="I850" i="15"/>
  <c r="I851" i="15"/>
  <c r="I852" i="15"/>
  <c r="I853" i="15"/>
  <c r="I854" i="15"/>
  <c r="I855" i="15"/>
  <c r="I856" i="15"/>
  <c r="I857" i="15"/>
  <c r="I858" i="15"/>
  <c r="I859" i="15"/>
  <c r="I860" i="15"/>
  <c r="I861" i="15"/>
  <c r="I862" i="15"/>
  <c r="I863" i="15"/>
  <c r="I864" i="15"/>
  <c r="I865" i="15"/>
  <c r="I866" i="15"/>
  <c r="I867" i="15"/>
  <c r="I868" i="15"/>
  <c r="I869" i="15"/>
  <c r="I870" i="15"/>
  <c r="I871" i="15"/>
  <c r="I872" i="15"/>
  <c r="I873" i="15"/>
  <c r="I874" i="15"/>
  <c r="I875" i="15"/>
  <c r="I876" i="15"/>
  <c r="I877" i="15"/>
  <c r="I878" i="15"/>
  <c r="I879" i="15"/>
  <c r="I880" i="15"/>
  <c r="I881" i="15"/>
  <c r="I882" i="15"/>
  <c r="I883" i="15"/>
  <c r="I884" i="15"/>
  <c r="I885" i="15"/>
  <c r="I886" i="15"/>
  <c r="I887" i="15"/>
  <c r="I888" i="15"/>
  <c r="I889" i="15"/>
  <c r="I890" i="15"/>
  <c r="I891" i="15"/>
  <c r="I892" i="15"/>
  <c r="I893" i="15"/>
  <c r="I894" i="15"/>
  <c r="I895" i="15"/>
  <c r="I896" i="15"/>
  <c r="I897" i="15"/>
  <c r="I898" i="15"/>
  <c r="I899" i="15"/>
  <c r="I900" i="15"/>
  <c r="I901" i="15"/>
  <c r="I902" i="15"/>
  <c r="I903" i="15"/>
  <c r="I904" i="15"/>
  <c r="I905" i="15"/>
  <c r="I906" i="15"/>
  <c r="I907" i="15"/>
  <c r="I908" i="15"/>
  <c r="I909" i="15"/>
  <c r="I910" i="15"/>
  <c r="I911" i="15"/>
  <c r="I912" i="15"/>
  <c r="I913" i="15"/>
  <c r="I914" i="15"/>
  <c r="I915" i="15"/>
  <c r="I916" i="15"/>
  <c r="I917" i="15"/>
  <c r="I918" i="15"/>
  <c r="I919" i="15"/>
  <c r="I920" i="15"/>
  <c r="I921" i="15"/>
  <c r="I922" i="15"/>
  <c r="I923" i="15"/>
  <c r="I924" i="15"/>
  <c r="I925" i="15"/>
  <c r="I926" i="15"/>
  <c r="I927" i="15"/>
  <c r="I928" i="15"/>
  <c r="I929" i="15"/>
  <c r="I930" i="15"/>
  <c r="I931" i="15"/>
  <c r="I932" i="15"/>
  <c r="I933" i="15"/>
  <c r="I934" i="15"/>
  <c r="I935" i="15"/>
  <c r="I936" i="15"/>
  <c r="I937" i="15"/>
  <c r="I938" i="15"/>
  <c r="I939" i="15"/>
  <c r="I940" i="15"/>
  <c r="I941" i="15"/>
  <c r="I942" i="15"/>
  <c r="I943" i="15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Q11" i="5" l="1"/>
  <c r="Q4" i="5"/>
  <c r="Q9" i="5"/>
  <c r="Q10" i="5"/>
  <c r="O120" i="13"/>
  <c r="P120" i="13"/>
  <c r="Q120" i="13"/>
  <c r="O108" i="13"/>
  <c r="P108" i="13"/>
  <c r="Q108" i="13"/>
  <c r="O96" i="13"/>
  <c r="P96" i="13"/>
  <c r="Q96" i="13"/>
  <c r="O84" i="13"/>
  <c r="P84" i="13"/>
  <c r="Q84" i="13"/>
  <c r="O72" i="13"/>
  <c r="Q72" i="13"/>
  <c r="P72" i="13"/>
  <c r="O60" i="13"/>
  <c r="Q60" i="13"/>
  <c r="P60" i="13"/>
  <c r="O48" i="13"/>
  <c r="Q48" i="13"/>
  <c r="P48" i="13"/>
  <c r="O36" i="13"/>
  <c r="P36" i="13"/>
  <c r="Q36" i="13"/>
  <c r="O24" i="13"/>
  <c r="P24" i="13"/>
  <c r="Q24" i="13"/>
  <c r="O12" i="13"/>
  <c r="Q12" i="13"/>
  <c r="P12" i="13"/>
  <c r="O107" i="13"/>
  <c r="Q107" i="13"/>
  <c r="P107" i="13"/>
  <c r="O11" i="13"/>
  <c r="P11" i="13"/>
  <c r="Q11" i="13"/>
  <c r="O118" i="13"/>
  <c r="Q118" i="13"/>
  <c r="P118" i="13"/>
  <c r="O106" i="13"/>
  <c r="Q106" i="13"/>
  <c r="P106" i="13"/>
  <c r="O94" i="13"/>
  <c r="Q94" i="13"/>
  <c r="P94" i="13"/>
  <c r="O82" i="13"/>
  <c r="Q82" i="13"/>
  <c r="P82" i="13"/>
  <c r="O70" i="13"/>
  <c r="Q70" i="13"/>
  <c r="P70" i="13"/>
  <c r="O58" i="13"/>
  <c r="Q58" i="13"/>
  <c r="P58" i="13"/>
  <c r="O46" i="13"/>
  <c r="Q46" i="13"/>
  <c r="P46" i="13"/>
  <c r="O34" i="13"/>
  <c r="Q34" i="13"/>
  <c r="P34" i="13"/>
  <c r="O22" i="13"/>
  <c r="Q22" i="13"/>
  <c r="P22" i="13"/>
  <c r="O10" i="13"/>
  <c r="Q10" i="13"/>
  <c r="P10" i="13"/>
  <c r="O23" i="13"/>
  <c r="Q23" i="13"/>
  <c r="P23" i="13"/>
  <c r="O117" i="13"/>
  <c r="Q117" i="13"/>
  <c r="P117" i="13"/>
  <c r="O105" i="13"/>
  <c r="Q105" i="13"/>
  <c r="P105" i="13"/>
  <c r="O93" i="13"/>
  <c r="Q93" i="13"/>
  <c r="P93" i="13"/>
  <c r="O81" i="13"/>
  <c r="Q81" i="13"/>
  <c r="P81" i="13"/>
  <c r="O69" i="13"/>
  <c r="Q69" i="13"/>
  <c r="P69" i="13"/>
  <c r="O57" i="13"/>
  <c r="Q57" i="13"/>
  <c r="P57" i="13"/>
  <c r="O45" i="13"/>
  <c r="Q45" i="13"/>
  <c r="P45" i="13"/>
  <c r="O33" i="13"/>
  <c r="Q33" i="13"/>
  <c r="P33" i="13"/>
  <c r="O21" i="13"/>
  <c r="Q21" i="13"/>
  <c r="P21" i="13"/>
  <c r="O9" i="13"/>
  <c r="Q9" i="13"/>
  <c r="P9" i="13"/>
  <c r="O119" i="13"/>
  <c r="Q119" i="13"/>
  <c r="P119" i="13"/>
  <c r="O59" i="13"/>
  <c r="Q59" i="13"/>
  <c r="P59" i="13"/>
  <c r="Q116" i="13"/>
  <c r="P116" i="13"/>
  <c r="O116" i="13"/>
  <c r="Q104" i="13"/>
  <c r="P104" i="13"/>
  <c r="O104" i="13"/>
  <c r="Q92" i="13"/>
  <c r="P92" i="13"/>
  <c r="O92" i="13"/>
  <c r="Q80" i="13"/>
  <c r="P80" i="13"/>
  <c r="O80" i="13"/>
  <c r="Q68" i="13"/>
  <c r="P68" i="13"/>
  <c r="O68" i="13"/>
  <c r="Q56" i="13"/>
  <c r="P56" i="13"/>
  <c r="O56" i="13"/>
  <c r="Q44" i="13"/>
  <c r="P44" i="13"/>
  <c r="O44" i="13"/>
  <c r="Q32" i="13"/>
  <c r="P32" i="13"/>
  <c r="O32" i="13"/>
  <c r="Q20" i="13"/>
  <c r="P20" i="13"/>
  <c r="O20" i="13"/>
  <c r="Q8" i="13"/>
  <c r="P8" i="13"/>
  <c r="O8" i="13"/>
  <c r="O83" i="13"/>
  <c r="Q83" i="13"/>
  <c r="P83" i="13"/>
  <c r="O71" i="13"/>
  <c r="Q71" i="13"/>
  <c r="P71" i="13"/>
  <c r="Q115" i="13"/>
  <c r="P115" i="13"/>
  <c r="O115" i="13"/>
  <c r="Q103" i="13"/>
  <c r="O103" i="13"/>
  <c r="P103" i="13"/>
  <c r="Q91" i="13"/>
  <c r="P91" i="13"/>
  <c r="O91" i="13"/>
  <c r="Q79" i="13"/>
  <c r="P79" i="13"/>
  <c r="O79" i="13"/>
  <c r="Q67" i="13"/>
  <c r="O67" i="13"/>
  <c r="P67" i="13"/>
  <c r="Q55" i="13"/>
  <c r="P55" i="13"/>
  <c r="O55" i="13"/>
  <c r="Q43" i="13"/>
  <c r="O43" i="13"/>
  <c r="P43" i="13"/>
  <c r="Q31" i="13"/>
  <c r="O31" i="13"/>
  <c r="P31" i="13"/>
  <c r="Q19" i="13"/>
  <c r="P19" i="13"/>
  <c r="O19" i="13"/>
  <c r="Q7" i="13"/>
  <c r="O7" i="13"/>
  <c r="P7" i="13"/>
  <c r="O47" i="13"/>
  <c r="Q47" i="13"/>
  <c r="P47" i="13"/>
  <c r="Q126" i="13"/>
  <c r="P126" i="13"/>
  <c r="O126" i="13"/>
  <c r="Q114" i="13"/>
  <c r="P114" i="13"/>
  <c r="O114" i="13"/>
  <c r="Q102" i="13"/>
  <c r="P102" i="13"/>
  <c r="O102" i="13"/>
  <c r="Q90" i="13"/>
  <c r="P90" i="13"/>
  <c r="O90" i="13"/>
  <c r="Q78" i="13"/>
  <c r="P78" i="13"/>
  <c r="O78" i="13"/>
  <c r="Q66" i="13"/>
  <c r="P66" i="13"/>
  <c r="O66" i="13"/>
  <c r="Q54" i="13"/>
  <c r="P54" i="13"/>
  <c r="O54" i="13"/>
  <c r="Q42" i="13"/>
  <c r="P42" i="13"/>
  <c r="O42" i="13"/>
  <c r="Q30" i="13"/>
  <c r="P30" i="13"/>
  <c r="O30" i="13"/>
  <c r="Q18" i="13"/>
  <c r="P18" i="13"/>
  <c r="O18" i="13"/>
  <c r="Q6" i="13"/>
  <c r="P6" i="13"/>
  <c r="O6" i="13"/>
  <c r="O95" i="13"/>
  <c r="Q95" i="13"/>
  <c r="P95" i="13"/>
  <c r="O35" i="13"/>
  <c r="Q35" i="13"/>
  <c r="P35" i="13"/>
  <c r="P125" i="13"/>
  <c r="O125" i="13"/>
  <c r="Q125" i="13"/>
  <c r="P113" i="13"/>
  <c r="O113" i="13"/>
  <c r="Q113" i="13"/>
  <c r="P101" i="13"/>
  <c r="O101" i="13"/>
  <c r="Q101" i="13"/>
  <c r="P89" i="13"/>
  <c r="O89" i="13"/>
  <c r="Q89" i="13"/>
  <c r="P77" i="13"/>
  <c r="O77" i="13"/>
  <c r="Q77" i="13"/>
  <c r="P65" i="13"/>
  <c r="O65" i="13"/>
  <c r="Q65" i="13"/>
  <c r="P53" i="13"/>
  <c r="O53" i="13"/>
  <c r="Q53" i="13"/>
  <c r="P41" i="13"/>
  <c r="O41" i="13"/>
  <c r="Q41" i="13"/>
  <c r="P29" i="13"/>
  <c r="O29" i="13"/>
  <c r="Q29" i="13"/>
  <c r="P17" i="13"/>
  <c r="O17" i="13"/>
  <c r="Q17" i="13"/>
  <c r="P5" i="13"/>
  <c r="O5" i="13"/>
  <c r="Q5" i="13"/>
  <c r="Q124" i="13"/>
  <c r="P124" i="13"/>
  <c r="O124" i="13"/>
  <c r="P112" i="13"/>
  <c r="O112" i="13"/>
  <c r="Q112" i="13"/>
  <c r="Q100" i="13"/>
  <c r="P100" i="13"/>
  <c r="O100" i="13"/>
  <c r="P88" i="13"/>
  <c r="Q88" i="13"/>
  <c r="O88" i="13"/>
  <c r="P76" i="13"/>
  <c r="Q76" i="13"/>
  <c r="O76" i="13"/>
  <c r="P64" i="13"/>
  <c r="Q64" i="13"/>
  <c r="O64" i="13"/>
  <c r="P52" i="13"/>
  <c r="Q52" i="13"/>
  <c r="O52" i="13"/>
  <c r="P40" i="13"/>
  <c r="O40" i="13"/>
  <c r="Q40" i="13"/>
  <c r="P28" i="13"/>
  <c r="Q28" i="13"/>
  <c r="O28" i="13"/>
  <c r="P16" i="13"/>
  <c r="O16" i="13"/>
  <c r="Q16" i="13"/>
  <c r="P4" i="13"/>
  <c r="O4" i="13"/>
  <c r="Q4" i="13"/>
  <c r="P123" i="13"/>
  <c r="O123" i="13"/>
  <c r="Q123" i="13"/>
  <c r="P111" i="13"/>
  <c r="O111" i="13"/>
  <c r="Q111" i="13"/>
  <c r="P99" i="13"/>
  <c r="O99" i="13"/>
  <c r="Q99" i="13"/>
  <c r="P87" i="13"/>
  <c r="O87" i="13"/>
  <c r="Q87" i="13"/>
  <c r="P75" i="13"/>
  <c r="O75" i="13"/>
  <c r="Q75" i="13"/>
  <c r="P63" i="13"/>
  <c r="O63" i="13"/>
  <c r="Q63" i="13"/>
  <c r="P51" i="13"/>
  <c r="O51" i="13"/>
  <c r="Q51" i="13"/>
  <c r="P39" i="13"/>
  <c r="O39" i="13"/>
  <c r="Q39" i="13"/>
  <c r="P27" i="13"/>
  <c r="O27" i="13"/>
  <c r="Q27" i="13"/>
  <c r="P15" i="13"/>
  <c r="O15" i="13"/>
  <c r="Q15" i="13"/>
  <c r="P3" i="13"/>
  <c r="O3" i="13"/>
  <c r="Q3" i="13"/>
  <c r="P122" i="13"/>
  <c r="O122" i="13"/>
  <c r="Q122" i="13"/>
  <c r="P110" i="13"/>
  <c r="O110" i="13"/>
  <c r="Q110" i="13"/>
  <c r="P98" i="13"/>
  <c r="O98" i="13"/>
  <c r="Q98" i="13"/>
  <c r="P86" i="13"/>
  <c r="O86" i="13"/>
  <c r="Q86" i="13"/>
  <c r="P74" i="13"/>
  <c r="O74" i="13"/>
  <c r="Q74" i="13"/>
  <c r="P62" i="13"/>
  <c r="O62" i="13"/>
  <c r="Q62" i="13"/>
  <c r="P50" i="13"/>
  <c r="O50" i="13"/>
  <c r="Q50" i="13"/>
  <c r="P38" i="13"/>
  <c r="O38" i="13"/>
  <c r="Q38" i="13"/>
  <c r="P26" i="13"/>
  <c r="O26" i="13"/>
  <c r="Q26" i="13"/>
  <c r="P14" i="13"/>
  <c r="O14" i="13"/>
  <c r="Q14" i="13"/>
  <c r="P2" i="13"/>
  <c r="O2" i="13"/>
  <c r="Q2" i="13"/>
  <c r="O121" i="13"/>
  <c r="Q121" i="13"/>
  <c r="P121" i="13"/>
  <c r="O109" i="13"/>
  <c r="Q109" i="13"/>
  <c r="P109" i="13"/>
  <c r="O97" i="13"/>
  <c r="Q97" i="13"/>
  <c r="P97" i="13"/>
  <c r="O85" i="13"/>
  <c r="Q85" i="13"/>
  <c r="P85" i="13"/>
  <c r="O73" i="13"/>
  <c r="Q73" i="13"/>
  <c r="P73" i="13"/>
  <c r="O61" i="13"/>
  <c r="Q61" i="13"/>
  <c r="P61" i="13"/>
  <c r="O49" i="13"/>
  <c r="Q49" i="13"/>
  <c r="P49" i="13"/>
  <c r="O37" i="13"/>
  <c r="Q37" i="13"/>
  <c r="P37" i="13"/>
  <c r="O25" i="13"/>
  <c r="Q25" i="13"/>
  <c r="P25" i="13"/>
  <c r="P13" i="13"/>
  <c r="O13" i="13"/>
  <c r="Q13" i="13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59" i="1"/>
  <c r="J1260" i="1"/>
  <c r="J1261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364" i="1"/>
  <c r="J106" i="1"/>
  <c r="J107" i="1"/>
  <c r="J139" i="1"/>
  <c r="J140" i="1"/>
  <c r="J141" i="1"/>
  <c r="J142" i="1"/>
  <c r="J371" i="1"/>
  <c r="J460" i="1"/>
  <c r="J461" i="1"/>
  <c r="J462" i="1"/>
  <c r="J133" i="1"/>
  <c r="J134" i="1"/>
  <c r="J135" i="1"/>
  <c r="J136" i="1"/>
  <c r="J137" i="1"/>
  <c r="J138" i="1"/>
  <c r="J131" i="1"/>
  <c r="J132" i="1"/>
  <c r="J458" i="1"/>
  <c r="J459" i="1"/>
  <c r="J457" i="1"/>
  <c r="J456" i="1"/>
  <c r="J454" i="1"/>
  <c r="J455" i="1"/>
  <c r="J453" i="1"/>
  <c r="J129" i="1"/>
  <c r="J130" i="1"/>
  <c r="J127" i="1"/>
  <c r="J128" i="1"/>
  <c r="J124" i="1"/>
  <c r="J125" i="1"/>
  <c r="J126" i="1"/>
  <c r="J524" i="1"/>
  <c r="J523" i="1"/>
  <c r="J522" i="1"/>
  <c r="J521" i="1"/>
  <c r="J520" i="1"/>
  <c r="J519" i="1"/>
  <c r="J451" i="1"/>
  <c r="J452" i="1"/>
  <c r="J449" i="1"/>
  <c r="J450" i="1"/>
  <c r="J468" i="1"/>
  <c r="J445" i="1"/>
  <c r="J446" i="1"/>
  <c r="J447" i="1"/>
  <c r="J448" i="1"/>
  <c r="J444" i="1"/>
  <c r="J470" i="1"/>
  <c r="J474" i="1" l="1"/>
  <c r="J472" i="1"/>
  <c r="J443" i="1"/>
  <c r="J442" i="1"/>
  <c r="J440" i="1"/>
  <c r="J441" i="1"/>
  <c r="J439" i="1"/>
  <c r="J517" i="1"/>
  <c r="J518" i="1"/>
  <c r="J516" i="1"/>
  <c r="J515" i="1"/>
  <c r="J513" i="1"/>
  <c r="J514" i="1"/>
  <c r="J512" i="1"/>
  <c r="J511" i="1"/>
  <c r="J435" i="1"/>
  <c r="J436" i="1"/>
  <c r="J437" i="1"/>
  <c r="J438" i="1"/>
  <c r="J434" i="1"/>
  <c r="J433" i="1"/>
  <c r="J71" i="1"/>
  <c r="J72" i="1"/>
  <c r="J73" i="1"/>
  <c r="J74" i="1"/>
  <c r="J75" i="1"/>
  <c r="J76" i="1"/>
  <c r="J70" i="1"/>
  <c r="J66" i="1"/>
  <c r="J67" i="1"/>
  <c r="J68" i="1"/>
  <c r="J69" i="1"/>
  <c r="J64" i="1"/>
  <c r="J65" i="1"/>
  <c r="J430" i="1"/>
  <c r="J428" i="1"/>
  <c r="J429" i="1"/>
  <c r="J431" i="1"/>
  <c r="J432" i="1"/>
  <c r="J427" i="1"/>
  <c r="J509" i="1"/>
  <c r="J510" i="1"/>
  <c r="J425" i="1"/>
  <c r="J426" i="1"/>
  <c r="J424" i="1"/>
  <c r="J423" i="1"/>
  <c r="J508" i="1"/>
  <c r="J507" i="1"/>
  <c r="J506" i="1"/>
  <c r="J505" i="1"/>
  <c r="J310" i="1"/>
  <c r="J311" i="1"/>
  <c r="J312" i="1"/>
  <c r="J313" i="1"/>
  <c r="J314" i="1"/>
  <c r="J315" i="1"/>
  <c r="J421" i="1"/>
  <c r="J422" i="1"/>
  <c r="J63" i="1"/>
  <c r="J56" i="1"/>
  <c r="J57" i="1"/>
  <c r="J58" i="1"/>
  <c r="J59" i="1"/>
  <c r="J60" i="1"/>
  <c r="J61" i="1"/>
  <c r="J62" i="1"/>
  <c r="J55" i="1"/>
  <c r="J420" i="1"/>
  <c r="J419" i="1"/>
  <c r="J417" i="1"/>
  <c r="J418" i="1"/>
  <c r="J414" i="1"/>
  <c r="J415" i="1"/>
  <c r="J416" i="1"/>
  <c r="J413" i="1"/>
  <c r="J411" i="1"/>
  <c r="J412" i="1"/>
  <c r="J410" i="1"/>
  <c r="J409" i="1"/>
  <c r="J408" i="1"/>
  <c r="J504" i="1"/>
  <c r="J503" i="1"/>
  <c r="J502" i="1"/>
  <c r="J407" i="1"/>
  <c r="J406" i="1"/>
  <c r="J405" i="1"/>
  <c r="J404" i="1"/>
  <c r="J304" i="1"/>
  <c r="J305" i="1"/>
  <c r="J306" i="1"/>
  <c r="J307" i="1"/>
  <c r="J308" i="1"/>
  <c r="J309" i="1"/>
  <c r="J398" i="1"/>
  <c r="J399" i="1"/>
  <c r="J400" i="1"/>
  <c r="J401" i="1"/>
  <c r="J402" i="1"/>
  <c r="J403" i="1"/>
  <c r="J54" i="1"/>
  <c r="J43" i="1"/>
  <c r="J44" i="1"/>
  <c r="J45" i="1"/>
  <c r="J46" i="1"/>
  <c r="J47" i="1"/>
  <c r="J48" i="1"/>
  <c r="J49" i="1"/>
  <c r="J50" i="1"/>
  <c r="J51" i="1"/>
  <c r="J52" i="1"/>
  <c r="J53" i="1"/>
  <c r="J42" i="1"/>
  <c r="J355" i="1"/>
  <c r="J354" i="1"/>
  <c r="J353" i="1"/>
  <c r="J352" i="1"/>
  <c r="J351" i="1"/>
  <c r="J483" i="1"/>
  <c r="J484" i="1"/>
  <c r="J397" i="1"/>
  <c r="J396" i="1"/>
  <c r="J395" i="1"/>
  <c r="J393" i="1"/>
  <c r="J394" i="1"/>
  <c r="J391" i="1"/>
  <c r="J392" i="1"/>
  <c r="J318" i="1"/>
  <c r="J477" i="1"/>
  <c r="J389" i="1"/>
  <c r="J390" i="1"/>
  <c r="J388" i="1"/>
  <c r="J387" i="1"/>
  <c r="J385" i="1"/>
  <c r="J386" i="1"/>
  <c r="J383" i="1"/>
  <c r="J384" i="1"/>
  <c r="J380" i="1"/>
  <c r="J381" i="1"/>
  <c r="J382" i="1"/>
  <c r="J379" i="1"/>
  <c r="J378" i="1"/>
  <c r="J377" i="1"/>
  <c r="J300" i="1"/>
  <c r="J301" i="1"/>
  <c r="J302" i="1"/>
  <c r="J303" i="1"/>
  <c r="J295" i="1"/>
  <c r="J296" i="1"/>
  <c r="J297" i="1"/>
  <c r="J298" i="1"/>
  <c r="J299" i="1"/>
  <c r="J294" i="1"/>
  <c r="J291" i="1"/>
  <c r="J292" i="1"/>
  <c r="J293" i="1"/>
  <c r="J501" i="1"/>
  <c r="J500" i="1"/>
  <c r="J499" i="1"/>
  <c r="J498" i="1"/>
  <c r="J497" i="1"/>
  <c r="J496" i="1"/>
  <c r="J495" i="1"/>
  <c r="J493" i="1"/>
  <c r="J494" i="1"/>
  <c r="J492" i="1"/>
  <c r="J491" i="1"/>
  <c r="J490" i="1"/>
  <c r="J489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920" i="1"/>
  <c r="J336" i="1"/>
  <c r="J337" i="1"/>
  <c r="J338" i="1"/>
  <c r="J334" i="1"/>
  <c r="J335" i="1"/>
  <c r="J333" i="1"/>
  <c r="J332" i="1"/>
  <c r="J331" i="1"/>
  <c r="J330" i="1"/>
  <c r="J328" i="1"/>
  <c r="J329" i="1"/>
  <c r="J327" i="1"/>
  <c r="J290" i="1"/>
  <c r="J283" i="1"/>
  <c r="J284" i="1"/>
  <c r="J285" i="1"/>
  <c r="J286" i="1"/>
  <c r="J287" i="1"/>
  <c r="J288" i="1"/>
  <c r="J289" i="1"/>
  <c r="J278" i="1"/>
  <c r="J279" i="1"/>
  <c r="J280" i="1"/>
  <c r="J281" i="1"/>
  <c r="J282" i="1"/>
  <c r="J274" i="1"/>
  <c r="J275" i="1"/>
  <c r="J276" i="1"/>
  <c r="J277" i="1"/>
  <c r="J271" i="1"/>
  <c r="J272" i="1"/>
  <c r="J273" i="1"/>
  <c r="J266" i="1"/>
  <c r="J267" i="1"/>
  <c r="J268" i="1"/>
  <c r="J269" i="1"/>
  <c r="J270" i="1"/>
  <c r="J372" i="1"/>
  <c r="J90" i="1"/>
  <c r="J103" i="1"/>
  <c r="J320" i="1"/>
  <c r="J373" i="1"/>
  <c r="J374" i="1"/>
  <c r="J375" i="1"/>
  <c r="J376" i="1"/>
  <c r="J38" i="1"/>
  <c r="J39" i="1"/>
  <c r="J40" i="1"/>
  <c r="J41" i="1"/>
  <c r="J37" i="1"/>
  <c r="J34" i="1"/>
  <c r="J35" i="1"/>
  <c r="J36" i="1"/>
  <c r="J33" i="1"/>
  <c r="J32" i="1"/>
  <c r="J31" i="1"/>
  <c r="J29" i="1"/>
  <c r="J30" i="1"/>
  <c r="J260" i="1"/>
  <c r="J261" i="1"/>
  <c r="J262" i="1"/>
  <c r="J263" i="1"/>
  <c r="J264" i="1"/>
  <c r="J265" i="1"/>
  <c r="J259" i="1"/>
  <c r="J258" i="1"/>
  <c r="J257" i="1"/>
  <c r="J256" i="1"/>
  <c r="J253" i="1"/>
  <c r="J254" i="1"/>
  <c r="J255" i="1"/>
  <c r="J322" i="1"/>
  <c r="J323" i="1"/>
  <c r="J324" i="1"/>
  <c r="J325" i="1"/>
  <c r="J326" i="1"/>
  <c r="J464" i="1"/>
  <c r="J465" i="1"/>
  <c r="J78" i="1"/>
  <c r="J79" i="1"/>
  <c r="J116" i="1"/>
  <c r="J251" i="1"/>
  <c r="J252" i="1"/>
  <c r="J245" i="1"/>
  <c r="J246" i="1"/>
  <c r="J247" i="1"/>
  <c r="J248" i="1"/>
  <c r="J249" i="1"/>
  <c r="J250" i="1"/>
  <c r="J241" i="1"/>
  <c r="J242" i="1"/>
  <c r="J243" i="1"/>
  <c r="J2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77" i="1"/>
  <c r="J80" i="1"/>
  <c r="J81" i="1"/>
  <c r="J82" i="1"/>
  <c r="J83" i="1"/>
  <c r="J84" i="1"/>
  <c r="J85" i="1"/>
  <c r="J86" i="1"/>
  <c r="J87" i="1"/>
  <c r="J88" i="1"/>
  <c r="J89" i="1"/>
  <c r="J91" i="1"/>
  <c r="J92" i="1"/>
  <c r="J93" i="1"/>
  <c r="J94" i="1"/>
  <c r="J95" i="1"/>
  <c r="J96" i="1"/>
  <c r="J97" i="1"/>
  <c r="J98" i="1"/>
  <c r="J99" i="1"/>
  <c r="J100" i="1"/>
  <c r="J101" i="1"/>
  <c r="J102" i="1"/>
  <c r="J104" i="1"/>
  <c r="J105" i="1"/>
  <c r="J108" i="1"/>
  <c r="J109" i="1"/>
  <c r="J110" i="1"/>
  <c r="J111" i="1"/>
  <c r="J112" i="1"/>
  <c r="J113" i="1"/>
  <c r="J114" i="1"/>
  <c r="J115" i="1"/>
  <c r="J117" i="1"/>
  <c r="J118" i="1"/>
  <c r="J119" i="1"/>
  <c r="J120" i="1"/>
  <c r="J121" i="1"/>
  <c r="J122" i="1"/>
  <c r="J123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316" i="1"/>
  <c r="J317" i="1"/>
  <c r="J319" i="1"/>
  <c r="J321" i="1"/>
  <c r="J356" i="1"/>
  <c r="J357" i="1"/>
  <c r="J358" i="1"/>
  <c r="J359" i="1"/>
  <c r="J360" i="1"/>
  <c r="J361" i="1"/>
  <c r="J362" i="1"/>
  <c r="J363" i="1"/>
  <c r="J365" i="1"/>
  <c r="J366" i="1"/>
  <c r="J367" i="1"/>
  <c r="J368" i="1"/>
  <c r="J369" i="1"/>
  <c r="J370" i="1"/>
  <c r="J463" i="1"/>
  <c r="J466" i="1"/>
  <c r="J467" i="1"/>
  <c r="J469" i="1"/>
  <c r="J471" i="1"/>
  <c r="J473" i="1"/>
  <c r="J475" i="1"/>
  <c r="J476" i="1"/>
  <c r="J478" i="1"/>
  <c r="J479" i="1"/>
  <c r="J480" i="1"/>
  <c r="J481" i="1"/>
  <c r="J482" i="1"/>
  <c r="J485" i="1"/>
  <c r="J486" i="1"/>
  <c r="J487" i="1"/>
  <c r="J488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Q469" i="15"/>
  <c r="Q254" i="15"/>
  <c r="Q198" i="15"/>
  <c r="Q181" i="15"/>
  <c r="Q749" i="15"/>
  <c r="Q499" i="15"/>
  <c r="Q58" i="15"/>
  <c r="Q258" i="15"/>
  <c r="Q304" i="15"/>
  <c r="Q288" i="15"/>
  <c r="Q203" i="15"/>
  <c r="Q904" i="15"/>
  <c r="Q33" i="15"/>
  <c r="Q559" i="15"/>
  <c r="Q438" i="15"/>
  <c r="Q110" i="15"/>
  <c r="Q156" i="15"/>
  <c r="Q598" i="15"/>
  <c r="Q231" i="15"/>
  <c r="Q312" i="15"/>
  <c r="Q88" i="15"/>
  <c r="Q22" i="15"/>
  <c r="Q972" i="15"/>
  <c r="Q458" i="15"/>
  <c r="Q435" i="15"/>
  <c r="Q418" i="15"/>
  <c r="Q278" i="15"/>
  <c r="Q291" i="15"/>
  <c r="Q82" i="15"/>
  <c r="Q881" i="15"/>
  <c r="Q488" i="15"/>
  <c r="Q934" i="15"/>
  <c r="Q460" i="15"/>
  <c r="Q351" i="15"/>
  <c r="Q681" i="15"/>
  <c r="Q901" i="15"/>
  <c r="Q31" i="15"/>
  <c r="Q113" i="15"/>
  <c r="Q961" i="15"/>
  <c r="Q247" i="15"/>
  <c r="Q90" i="15"/>
  <c r="Q314" i="15"/>
  <c r="Q335" i="15"/>
  <c r="Q924" i="15"/>
  <c r="Q133" i="15"/>
  <c r="Q505" i="15"/>
  <c r="Q964" i="15"/>
  <c r="Q51" i="15"/>
  <c r="Q298" i="15"/>
  <c r="Q162" i="15"/>
  <c r="Q561" i="15"/>
  <c r="Q393" i="15"/>
  <c r="Q275" i="15"/>
  <c r="Q252" i="15"/>
  <c r="Q527" i="15"/>
  <c r="Q927" i="15"/>
  <c r="Q459" i="15"/>
  <c r="Q743" i="15"/>
  <c r="Q68" i="15"/>
  <c r="Q207" i="15"/>
  <c r="Q984" i="15"/>
  <c r="Q906" i="15"/>
  <c r="Q752" i="15"/>
  <c r="Q139" i="15"/>
  <c r="Q699" i="15"/>
  <c r="Q544" i="15"/>
  <c r="Q128" i="15"/>
  <c r="Q241" i="15"/>
  <c r="Q482" i="15"/>
  <c r="Q719" i="15"/>
  <c r="Q294" i="15"/>
  <c r="Q302" i="15"/>
  <c r="Q313" i="15"/>
  <c r="Q188" i="15"/>
  <c r="Q882" i="15"/>
  <c r="Q7" i="15"/>
  <c r="Q812" i="15"/>
  <c r="Q324" i="15"/>
  <c r="Q348" i="15"/>
  <c r="Q515" i="15"/>
  <c r="Q982" i="15"/>
  <c r="Q448" i="15"/>
  <c r="Q989" i="15"/>
  <c r="Q463" i="15"/>
  <c r="Q970" i="15"/>
  <c r="Q512" i="15"/>
  <c r="Q220" i="15"/>
  <c r="Q873" i="15"/>
  <c r="Q528" i="15"/>
  <c r="Q509" i="15"/>
  <c r="Q84" i="15"/>
  <c r="Q987" i="15"/>
  <c r="Q977" i="15"/>
  <c r="Q789" i="15"/>
  <c r="Q943" i="15"/>
  <c r="Q979" i="15"/>
  <c r="Q211" i="15"/>
  <c r="Q955" i="15"/>
  <c r="Q479" i="15"/>
  <c r="Q761" i="15"/>
  <c r="Q80" i="15"/>
  <c r="Q543" i="15"/>
  <c r="Q158" i="15"/>
  <c r="Q546" i="15"/>
  <c r="Q267" i="15"/>
  <c r="Q78" i="15"/>
  <c r="Q879" i="15"/>
  <c r="Q85" i="15"/>
  <c r="Q489" i="15"/>
  <c r="Q461" i="15"/>
  <c r="Q397" i="15"/>
  <c r="Q206" i="15"/>
  <c r="Q994" i="15"/>
  <c r="Q87" i="15"/>
  <c r="Q117" i="15"/>
  <c r="Q647" i="15"/>
  <c r="Q277" i="15"/>
  <c r="Q125" i="15"/>
  <c r="Q518" i="15"/>
  <c r="Q421" i="15"/>
  <c r="Q464" i="15"/>
  <c r="Q183" i="15"/>
  <c r="Q963" i="15"/>
  <c r="Q536" i="15"/>
  <c r="Q4" i="15"/>
  <c r="Q838" i="15"/>
  <c r="Q447" i="15"/>
  <c r="Q554" i="15"/>
  <c r="Q566" i="15"/>
  <c r="Q134" i="15"/>
  <c r="Q538" i="15"/>
  <c r="Q336" i="15"/>
  <c r="Q63" i="15"/>
  <c r="Q290" i="15"/>
  <c r="Q193" i="15"/>
  <c r="Q394" i="15"/>
  <c r="Q720" i="15"/>
  <c r="Q224" i="15"/>
  <c r="Q993" i="15"/>
  <c r="Q858" i="15"/>
  <c r="Q817" i="15"/>
  <c r="Q219" i="15"/>
  <c r="Q976" i="15"/>
  <c r="Q38" i="15"/>
  <c r="Q209" i="15"/>
  <c r="Q968" i="15"/>
  <c r="Q807" i="15"/>
  <c r="Q553" i="15"/>
  <c r="Q338" i="15"/>
  <c r="Q683" i="15"/>
  <c r="Q42" i="15"/>
  <c r="Q350" i="15"/>
  <c r="Q27" i="15"/>
  <c r="Q522" i="15"/>
  <c r="Q501" i="15"/>
  <c r="Q217" i="15"/>
  <c r="Q15" i="15"/>
  <c r="Q398" i="15"/>
  <c r="Q46" i="15"/>
  <c r="Q537" i="15"/>
  <c r="Q39" i="15"/>
  <c r="Q766" i="15"/>
  <c r="Q149" i="15"/>
  <c r="Q991" i="15"/>
  <c r="Q124" i="15"/>
  <c r="Q239" i="15"/>
  <c r="Q941" i="15"/>
  <c r="Q297" i="15"/>
  <c r="Q315" i="15"/>
  <c r="Q8" i="15"/>
  <c r="Q373" i="15"/>
  <c r="Q75" i="15"/>
  <c r="Q146" i="15"/>
  <c r="Q847" i="15"/>
  <c r="Q326" i="15"/>
  <c r="Q245" i="15"/>
  <c r="Q452" i="15"/>
  <c r="Q735" i="15"/>
  <c r="Q778" i="15"/>
  <c r="Q913" i="15"/>
  <c r="Q67" i="15"/>
  <c r="Q852" i="15"/>
  <c r="Q824" i="15"/>
  <c r="Q635" i="15"/>
  <c r="Q52" i="15"/>
  <c r="Q999" i="15"/>
  <c r="Q395" i="15"/>
  <c r="Q3" i="15"/>
  <c r="Q540" i="15"/>
  <c r="Q590" i="15"/>
  <c r="Q171" i="15"/>
  <c r="Q729" i="15"/>
  <c r="Q410" i="15"/>
  <c r="Q822" i="15"/>
  <c r="Q56" i="15"/>
  <c r="Q709" i="15"/>
  <c r="Q218" i="15"/>
  <c r="Q213" i="15"/>
  <c r="Q190" i="15"/>
  <c r="Q115" i="15"/>
  <c r="Q860" i="15"/>
  <c r="Q415" i="15"/>
  <c r="Q892" i="15"/>
  <c r="Q944" i="15"/>
  <c r="Q175" i="15"/>
  <c r="Q170" i="15"/>
  <c r="Q205" i="15"/>
  <c r="Q228" i="15"/>
  <c r="Q496" i="15"/>
  <c r="Q396" i="15"/>
  <c r="Q364" i="15"/>
  <c r="Q381" i="15"/>
  <c r="Q831" i="15"/>
  <c r="Q215" i="15"/>
  <c r="Q962" i="15"/>
  <c r="Q811" i="15"/>
  <c r="Q137" i="15"/>
  <c r="Q786" i="15"/>
  <c r="Q191" i="15"/>
  <c r="Q377" i="15"/>
  <c r="Q83" i="15"/>
  <c r="Q94" i="15"/>
  <c r="Q240" i="15"/>
  <c r="Q1006" i="15"/>
  <c r="Q508" i="15"/>
  <c r="Q270" i="15"/>
  <c r="Q182" i="15"/>
  <c r="Q289" i="15"/>
  <c r="Q18" i="15"/>
  <c r="Q932" i="15"/>
  <c r="Q917" i="15"/>
  <c r="Q102" i="15"/>
  <c r="Q969" i="15"/>
  <c r="Q453" i="15"/>
  <c r="Q49" i="15"/>
  <c r="Q151" i="15"/>
  <c r="Q372" i="15"/>
  <c r="Q1002" i="15"/>
  <c r="Q535" i="15"/>
  <c r="Q176" i="15"/>
  <c r="Q349" i="15"/>
  <c r="Q37" i="15"/>
  <c r="Q654" i="15"/>
  <c r="Q345" i="15"/>
  <c r="Q953" i="15"/>
  <c r="Q698" i="15"/>
  <c r="Q334" i="15"/>
  <c r="Q773" i="15"/>
  <c r="Q357" i="15"/>
  <c r="Q958" i="15"/>
  <c r="Q628" i="15"/>
  <c r="Q346" i="15"/>
  <c r="Q365" i="15"/>
  <c r="Q356" i="15"/>
  <c r="Q500" i="15"/>
  <c r="Q688" i="15"/>
  <c r="Q392" i="15"/>
  <c r="Q354" i="15"/>
  <c r="Q1009" i="15"/>
  <c r="Q30" i="15"/>
  <c r="Q889" i="15"/>
  <c r="Q545" i="15"/>
  <c r="Q516" i="15"/>
  <c r="Q481" i="15"/>
  <c r="Q341" i="15"/>
  <c r="Q431" i="15"/>
  <c r="Q477" i="15"/>
  <c r="Q760" i="15"/>
  <c r="Q369" i="15"/>
  <c r="Q949" i="15"/>
  <c r="Q143" i="15"/>
  <c r="Q992" i="15"/>
  <c r="Q980" i="15"/>
  <c r="Q248" i="15"/>
  <c r="Q32" i="15"/>
  <c r="Q487" i="15"/>
  <c r="Q419" i="15"/>
  <c r="Q103" i="15"/>
  <c r="Q17" i="15"/>
  <c r="Q895" i="15"/>
  <c r="Q521" i="15"/>
  <c r="Q975" i="15"/>
  <c r="Q216" i="15"/>
  <c r="Q929" i="15"/>
  <c r="Q569" i="15"/>
  <c r="Q957" i="15"/>
  <c r="Q718" i="15"/>
  <c r="Q318" i="15"/>
  <c r="Q870" i="15"/>
  <c r="Q744" i="15"/>
  <c r="Q525" i="15"/>
  <c r="Q605" i="15"/>
  <c r="Q333" i="15"/>
  <c r="Q923" i="15"/>
  <c r="Q774" i="15"/>
  <c r="Q222" i="15"/>
  <c r="Q375" i="15"/>
  <c r="Q184" i="15"/>
  <c r="Q420" i="15"/>
  <c r="Q317" i="15"/>
  <c r="Q316" i="15"/>
  <c r="Q300" i="15"/>
  <c r="Q503" i="15"/>
  <c r="Q806" i="15"/>
  <c r="Q135" i="15"/>
  <c r="Q230" i="15"/>
  <c r="Q779" i="15"/>
  <c r="Q386" i="15"/>
  <c r="Q634" i="15"/>
  <c r="Q98" i="15"/>
  <c r="Q359" i="15"/>
  <c r="Q331" i="15"/>
  <c r="Q81" i="15"/>
  <c r="Q361" i="15"/>
  <c r="Q610" i="15"/>
  <c r="Q422" i="15"/>
  <c r="Q471" i="15"/>
  <c r="Q34" i="15"/>
  <c r="Q399" i="15"/>
  <c r="Q531" i="15"/>
  <c r="Q880" i="15"/>
  <c r="Q303" i="15"/>
  <c r="Q70" i="15"/>
  <c r="Q276" i="15"/>
  <c r="Q996" i="15"/>
  <c r="Q997" i="15"/>
  <c r="Q835" i="15"/>
  <c r="Q455" i="15"/>
  <c r="Q89" i="15"/>
  <c r="Q19" i="15"/>
  <c r="Q796" i="15"/>
  <c r="Q674" i="15"/>
  <c r="Q769" i="15"/>
  <c r="Q800" i="15"/>
  <c r="Q663" i="15"/>
  <c r="Q867" i="15"/>
  <c r="Q825" i="15"/>
  <c r="Q793" i="15"/>
  <c r="Q723" i="15"/>
  <c r="Q257" i="15"/>
  <c r="Q208" i="15"/>
  <c r="Q468" i="15"/>
  <c r="Q100" i="15"/>
  <c r="Q310" i="15"/>
  <c r="Q24" i="15"/>
  <c r="Q43" i="15"/>
  <c r="Q983" i="15"/>
  <c r="Q77" i="15"/>
  <c r="Q513" i="15"/>
  <c r="Q966" i="15"/>
  <c r="Q62" i="15"/>
  <c r="Q296" i="15"/>
  <c r="Q494" i="15"/>
  <c r="Q311" i="15"/>
  <c r="Q950" i="15"/>
  <c r="Q118" i="15"/>
  <c r="Q227" i="15"/>
  <c r="Q443" i="15"/>
  <c r="Q163" i="15"/>
  <c r="Q319" i="15"/>
  <c r="Q466" i="15"/>
  <c r="Q388" i="15"/>
  <c r="Q945" i="15"/>
  <c r="Q387" i="15"/>
  <c r="Q967" i="15"/>
  <c r="Q916" i="15"/>
  <c r="Q990" i="15"/>
  <c r="Q371" i="15"/>
  <c r="Q9" i="15"/>
  <c r="Q1000" i="15"/>
  <c r="Q539" i="15"/>
  <c r="Q930" i="15"/>
  <c r="Q985" i="15"/>
  <c r="Q445" i="15"/>
  <c r="Q650" i="15"/>
  <c r="Q998" i="15"/>
  <c r="Q600" i="15"/>
  <c r="Q821" i="15"/>
  <c r="Q862" i="15"/>
  <c r="Q736" i="15"/>
  <c r="Q492" i="15"/>
  <c r="Q675" i="15"/>
  <c r="Q555" i="15"/>
  <c r="Q732" i="15"/>
  <c r="Q23" i="15"/>
  <c r="Q385" i="15"/>
  <c r="Q956" i="15"/>
  <c r="Q164" i="15"/>
  <c r="Q940" i="15"/>
  <c r="Q754" i="15"/>
  <c r="Q91" i="15"/>
  <c r="Q883" i="15"/>
  <c r="Q178" i="15"/>
  <c r="Q430" i="15"/>
  <c r="Q573" i="15"/>
  <c r="Q507" i="15"/>
  <c r="Q153" i="15"/>
  <c r="Q739" i="15"/>
  <c r="Q771" i="15"/>
  <c r="Q339" i="15"/>
  <c r="Q866" i="15"/>
  <c r="Q936" i="15"/>
  <c r="Q250" i="15"/>
  <c r="Q136" i="15"/>
  <c r="Q141" i="15"/>
  <c r="Q745" i="15"/>
  <c r="Q611" i="15"/>
  <c r="Q808" i="15"/>
  <c r="Q840" i="15"/>
  <c r="Q841" i="15"/>
  <c r="Q524" i="15"/>
  <c r="Q625" i="15"/>
  <c r="Q894" i="15"/>
  <c r="Q92" i="15"/>
  <c r="Q413" i="15"/>
  <c r="Q309" i="15"/>
  <c r="Q20" i="15"/>
  <c r="Q851" i="15"/>
  <c r="Q79" i="15"/>
  <c r="Q637" i="15"/>
  <c r="Q756" i="15"/>
  <c r="Q974" i="15"/>
  <c r="Q444" i="15"/>
  <c r="Q65" i="15"/>
  <c r="Q279" i="15"/>
  <c r="Q194" i="15"/>
  <c r="Q614" i="15"/>
  <c r="Q965" i="15"/>
  <c r="Q368" i="15"/>
  <c r="Q973" i="15"/>
  <c r="Q186" i="15"/>
  <c r="Q514" i="15"/>
  <c r="Q262" i="15"/>
  <c r="Q376" i="15"/>
  <c r="Q813" i="15"/>
  <c r="Q271" i="15"/>
  <c r="Q843" i="15"/>
  <c r="Q612" i="15"/>
  <c r="Q1007" i="15"/>
  <c r="Q947" i="15"/>
  <c r="Q409" i="15"/>
  <c r="Q454" i="15"/>
  <c r="Q583" i="15"/>
  <c r="Q667" i="15"/>
  <c r="Q609" i="15"/>
  <c r="Q130" i="15"/>
  <c r="Q700" i="15"/>
  <c r="Q44" i="15"/>
  <c r="Q416" i="15"/>
  <c r="Q801" i="15"/>
  <c r="Q192" i="15"/>
  <c r="Q131" i="15"/>
  <c r="Q679" i="15"/>
  <c r="Q897" i="15"/>
  <c r="Q147" i="15"/>
  <c r="Q497" i="15"/>
  <c r="Q370" i="15"/>
  <c r="Q696" i="15"/>
  <c r="Q229" i="15"/>
  <c r="Q320" i="15"/>
  <c r="Q434" i="15"/>
  <c r="Q584" i="15"/>
  <c r="Q952" i="15"/>
  <c r="Q441" i="15"/>
  <c r="Q45" i="15"/>
  <c r="Q597" i="15"/>
  <c r="Q235" i="15"/>
  <c r="Q412" i="15"/>
  <c r="Q805" i="15"/>
  <c r="Q655" i="15"/>
  <c r="Q144" i="15"/>
  <c r="Q896" i="15"/>
  <c r="Q737" i="15"/>
  <c r="Q382" i="15"/>
  <c r="Q293" i="15"/>
  <c r="Q616" i="15"/>
  <c r="Q114" i="15"/>
  <c r="Q658" i="15"/>
  <c r="Q784" i="15"/>
  <c r="Q160" i="15"/>
  <c r="Q493" i="15"/>
  <c r="Q948" i="15"/>
  <c r="Q321" i="15"/>
  <c r="Q380" i="15"/>
  <c r="Q877" i="15"/>
  <c r="Q633" i="15"/>
  <c r="Q602" i="15"/>
  <c r="Q274" i="15"/>
  <c r="Q886" i="15"/>
  <c r="Q645" i="15"/>
  <c r="Q269" i="15"/>
  <c r="Q905" i="15"/>
  <c r="Q846" i="15"/>
  <c r="Q242" i="15"/>
  <c r="Q641" i="15"/>
  <c r="Q833" i="15"/>
  <c r="Q76" i="15"/>
  <c r="Q872" i="15"/>
  <c r="Q251" i="15"/>
  <c r="Q327" i="15"/>
  <c r="Q424" i="15"/>
  <c r="Q646" i="15"/>
  <c r="Q587" i="15"/>
  <c r="Q711" i="15"/>
  <c r="Q2" i="15"/>
  <c r="Q925" i="15"/>
  <c r="Q826" i="15"/>
  <c r="Q568" i="15"/>
  <c r="Q702" i="15"/>
  <c r="Q519" i="15"/>
  <c r="Q988" i="15"/>
  <c r="Q557" i="15"/>
  <c r="Q462" i="15"/>
  <c r="Q725" i="15"/>
  <c r="Q550" i="15"/>
  <c r="Q591" i="15"/>
  <c r="Q112" i="15"/>
  <c r="Q618" i="15"/>
  <c r="Q791" i="15"/>
  <c r="Q253" i="15"/>
  <c r="Q710" i="15"/>
  <c r="Q405" i="15"/>
  <c r="Q1001" i="15"/>
  <c r="Q344" i="15"/>
  <c r="Q748" i="15"/>
  <c r="Q785" i="15"/>
  <c r="Q478" i="15"/>
  <c r="Q613" i="15"/>
  <c r="Q585" i="15"/>
  <c r="Q161" i="15"/>
  <c r="Q722" i="15"/>
  <c r="Q66" i="15"/>
  <c r="Q772" i="15"/>
  <c r="Q819" i="15"/>
  <c r="Q74" i="15"/>
  <c r="Q11" i="15"/>
  <c r="Q731" i="15"/>
  <c r="Q197" i="15"/>
  <c r="Q96" i="15"/>
  <c r="Q802" i="15"/>
  <c r="Q644" i="15"/>
  <c r="Q140" i="15"/>
  <c r="Q640" i="15"/>
  <c r="Q48" i="15"/>
  <c r="Q669" i="15"/>
  <c r="Q721" i="15"/>
  <c r="Q701" i="15"/>
  <c r="Q842" i="15"/>
  <c r="Q532" i="15"/>
  <c r="Q99" i="15"/>
  <c r="Q848" i="15"/>
  <c r="Q804" i="15"/>
  <c r="Q236" i="15"/>
  <c r="Q50" i="15"/>
  <c r="Q485" i="15"/>
  <c r="Q607" i="15"/>
  <c r="Q1010" i="15"/>
  <c r="Q436" i="15"/>
  <c r="Q450" i="15"/>
  <c r="Q622" i="15"/>
  <c r="Q367" i="15"/>
  <c r="Q119" i="15"/>
  <c r="Q446" i="15"/>
  <c r="Q869" i="15"/>
  <c r="Q212" i="15"/>
  <c r="Q827" i="15"/>
  <c r="Q534" i="15"/>
  <c r="Q567" i="15"/>
  <c r="Q763" i="15"/>
  <c r="Q168" i="15"/>
  <c r="Q875" i="15"/>
  <c r="Q689" i="15"/>
  <c r="Q630" i="15"/>
  <c r="Q53" i="15"/>
  <c r="Q122" i="15"/>
  <c r="Q390" i="15"/>
  <c r="Q855" i="15"/>
  <c r="Q777" i="15"/>
  <c r="Q226" i="15"/>
  <c r="Q35" i="15"/>
  <c r="Q582" i="15"/>
  <c r="Q908" i="15"/>
  <c r="Q599" i="15"/>
  <c r="Q59" i="15"/>
  <c r="Q666" i="15"/>
  <c r="Q121" i="15"/>
  <c r="Q837" i="15"/>
  <c r="Q526" i="15"/>
  <c r="Q340" i="15"/>
  <c r="Q849" i="15"/>
  <c r="Q978" i="15"/>
  <c r="Q504" i="15"/>
  <c r="Q29" i="15"/>
  <c r="Q166" i="15"/>
  <c r="Q660" i="15"/>
  <c r="Q13" i="15"/>
  <c r="Q408" i="15"/>
  <c r="Q93" i="15"/>
  <c r="Q272" i="15"/>
  <c r="Q619" i="15"/>
  <c r="Q283" i="15"/>
  <c r="Q738" i="15"/>
  <c r="Q457" i="15"/>
  <c r="Q830" i="15"/>
  <c r="Q71" i="15"/>
  <c r="Q506" i="15"/>
  <c r="Q498" i="15"/>
  <c r="Q263" i="15"/>
  <c r="Q214" i="15"/>
  <c r="Q563" i="15"/>
  <c r="Q427" i="15"/>
  <c r="Q510" i="15"/>
  <c r="Q433" i="15"/>
  <c r="Q484" i="15"/>
  <c r="Q14" i="15"/>
  <c r="Q629" i="15"/>
  <c r="Q363" i="15"/>
  <c r="Q693" i="15"/>
  <c r="Q480" i="15"/>
  <c r="Q691" i="15"/>
  <c r="Q5" i="15"/>
  <c r="Q138" i="15"/>
  <c r="Q794" i="15"/>
  <c r="Q578" i="15"/>
  <c r="Q714" i="15"/>
  <c r="Q648" i="15"/>
  <c r="Q581" i="15"/>
  <c r="Q307" i="15"/>
  <c r="Q715" i="15"/>
  <c r="Q360" i="15"/>
  <c r="Q902" i="15"/>
  <c r="Q733" i="15"/>
  <c r="Q179" i="15"/>
  <c r="Q429" i="15"/>
  <c r="Q665" i="15"/>
  <c r="Q223" i="15"/>
  <c r="Q299" i="15"/>
  <c r="Q111" i="15"/>
  <c r="Q328" i="15"/>
  <c r="Q432" i="15"/>
  <c r="Q109" i="15"/>
  <c r="Q155" i="15"/>
  <c r="Q547" i="15"/>
  <c r="Q922" i="15"/>
  <c r="Q914" i="15"/>
  <c r="Q180" i="15"/>
  <c r="Q256" i="15"/>
  <c r="Q225" i="15"/>
  <c r="Q935" i="15"/>
  <c r="Q529" i="15"/>
  <c r="Q580" i="15"/>
  <c r="Q40" i="15"/>
  <c r="Q126" i="15"/>
  <c r="Q55" i="15"/>
  <c r="Q157" i="15"/>
  <c r="Q816" i="15"/>
  <c r="Q456" i="15"/>
  <c r="Q588" i="15"/>
  <c r="Q21" i="15"/>
  <c r="Q265" i="15"/>
  <c r="Q981" i="15"/>
  <c r="Q123" i="15"/>
  <c r="Q384" i="15"/>
  <c r="Q195" i="15"/>
  <c r="Q154" i="15"/>
  <c r="Q342" i="15"/>
  <c r="Q797" i="15"/>
  <c r="Q152" i="15"/>
  <c r="Q237" i="15"/>
  <c r="Q694" i="15"/>
  <c r="Q347" i="15"/>
  <c r="Q716" i="15"/>
  <c r="Q759" i="15"/>
  <c r="Q621" i="15"/>
  <c r="Q780" i="15"/>
  <c r="Q308" i="15"/>
  <c r="Q662" i="15"/>
  <c r="Q196" i="15"/>
  <c r="Q221" i="15"/>
  <c r="Q911" i="15"/>
  <c r="Q868" i="15"/>
  <c r="Q728" i="15"/>
  <c r="Q586" i="15"/>
  <c r="Q937" i="15"/>
  <c r="Q864" i="15"/>
  <c r="Q933" i="15"/>
  <c r="Q765" i="15"/>
  <c r="Q187" i="15"/>
  <c r="Q232" i="15"/>
  <c r="Q165" i="15"/>
  <c r="Q560" i="15"/>
  <c r="Q706" i="15"/>
  <c r="Q708" i="15"/>
  <c r="Q755" i="15"/>
  <c r="Q686" i="15"/>
  <c r="Q664" i="15"/>
  <c r="Q579" i="15"/>
  <c r="Q285" i="15"/>
  <c r="Q576" i="15"/>
  <c r="Q502" i="15"/>
  <c r="Q871" i="15"/>
  <c r="Q389" i="15"/>
  <c r="Q656" i="15"/>
  <c r="Q352" i="15"/>
  <c r="Q861" i="15"/>
  <c r="Q571" i="15"/>
  <c r="Q668" i="15"/>
  <c r="Q971" i="15"/>
  <c r="Q617" i="15"/>
  <c r="Q330" i="15"/>
  <c r="Q284" i="15"/>
  <c r="Q741" i="15"/>
  <c r="Q439" i="15"/>
  <c r="Q565" i="15"/>
  <c r="Q329" i="15"/>
  <c r="Q783" i="15"/>
  <c r="Q172" i="15"/>
  <c r="Q659" i="15"/>
  <c r="Q705" i="15"/>
  <c r="Q636" i="15"/>
  <c r="Q442" i="15"/>
  <c r="Q931" i="15"/>
  <c r="Q685" i="15"/>
  <c r="Q734" i="15"/>
  <c r="Q174" i="15"/>
  <c r="Q764" i="15"/>
  <c r="Q986" i="15"/>
  <c r="Q556" i="15"/>
  <c r="Q603" i="15"/>
  <c r="Q200" i="15"/>
  <c r="Q593" i="15"/>
  <c r="Q828" i="15"/>
  <c r="Q703" i="15"/>
  <c r="Q920" i="15"/>
  <c r="Q483" i="15"/>
  <c r="Q201" i="15"/>
  <c r="Q820" i="15"/>
  <c r="Q639" i="15"/>
  <c r="Q638" i="15"/>
  <c r="Q1167" i="15"/>
  <c r="Q1046" i="15"/>
  <c r="Q1068" i="15"/>
  <c r="Q1090" i="15"/>
  <c r="Q1124" i="15"/>
  <c r="Q624" i="15"/>
  <c r="Q839" i="15"/>
  <c r="Q814" i="15"/>
  <c r="Q437" i="15"/>
  <c r="Q1011" i="15"/>
  <c r="Q1045" i="15"/>
  <c r="Q1067" i="15"/>
  <c r="Q551" i="15"/>
  <c r="Q1089" i="15"/>
  <c r="Q1135" i="15"/>
  <c r="Q1014" i="15"/>
  <c r="Q815" i="15"/>
  <c r="Q36" i="15"/>
  <c r="Q672" i="15"/>
  <c r="Q1166" i="15"/>
  <c r="Q1033" i="15"/>
  <c r="Q1055" i="15"/>
  <c r="Q1077" i="15"/>
  <c r="Q1148" i="15"/>
  <c r="Q287" i="15"/>
  <c r="Q776" i="15"/>
  <c r="Q909" i="15"/>
  <c r="Q150" i="15"/>
  <c r="Q1131" i="15"/>
  <c r="Q1165" i="15"/>
  <c r="Q1032" i="15"/>
  <c r="Q1054" i="15"/>
  <c r="Q1088" i="15"/>
  <c r="Q1134" i="15"/>
  <c r="Q1146" i="15"/>
  <c r="Q1048" i="15"/>
  <c r="Q1075" i="15"/>
  <c r="Q1132" i="15"/>
  <c r="Q1120" i="15"/>
  <c r="Q1145" i="15"/>
  <c r="Q281" i="15"/>
  <c r="Q305" i="15"/>
  <c r="Q768" i="15"/>
  <c r="Q915" i="15"/>
  <c r="Q167" i="15"/>
  <c r="Q642" i="15"/>
  <c r="Q926" i="15"/>
  <c r="Q673" i="15"/>
  <c r="Q692" i="15"/>
  <c r="Q690" i="15"/>
  <c r="Q574" i="15"/>
  <c r="Q358" i="15"/>
  <c r="Q132" i="15"/>
  <c r="Q595" i="15"/>
  <c r="Q473" i="15"/>
  <c r="Q832" i="15"/>
  <c r="Q661" i="15"/>
  <c r="Q210" i="15"/>
  <c r="Q878" i="15"/>
  <c r="Q490" i="15"/>
  <c r="Q939" i="15"/>
  <c r="Q116" i="15"/>
  <c r="Q856" i="15"/>
  <c r="Q199" i="15"/>
  <c r="Q406" i="15"/>
  <c r="Q575" i="15"/>
  <c r="Q946" i="15"/>
  <c r="Q470" i="15"/>
  <c r="Q105" i="15"/>
  <c r="Q671" i="15"/>
  <c r="Q549" i="15"/>
  <c r="Q97" i="15"/>
  <c r="Q26" i="15"/>
  <c r="Q757" i="15"/>
  <c r="Q353" i="15"/>
  <c r="Q391" i="15"/>
  <c r="Q292" i="15"/>
  <c r="Q491" i="15"/>
  <c r="Q202" i="15"/>
  <c r="Q627" i="15"/>
  <c r="Q400" i="15"/>
  <c r="Q695" i="15"/>
  <c r="Q486" i="15"/>
  <c r="Q746" i="15"/>
  <c r="Q649" i="15"/>
  <c r="Q1119" i="15"/>
  <c r="Q1153" i="15"/>
  <c r="Q1020" i="15"/>
  <c r="Q1042" i="15"/>
  <c r="Q1076" i="15"/>
  <c r="Q129" i="15"/>
  <c r="Q108" i="15"/>
  <c r="Q264" i="15"/>
  <c r="Q620" i="15"/>
  <c r="Q1130" i="15"/>
  <c r="Q1152" i="15"/>
  <c r="Q1019" i="15"/>
  <c r="Q325" i="15"/>
  <c r="Q1041" i="15"/>
  <c r="Q1087" i="15"/>
  <c r="Q1133" i="15"/>
  <c r="Q517" i="15"/>
  <c r="Q407" i="15"/>
  <c r="Q244" i="15"/>
  <c r="Q1118" i="15"/>
  <c r="Q1140" i="15"/>
  <c r="Q1162" i="15"/>
  <c r="Q343" i="15"/>
  <c r="Q1100" i="15"/>
  <c r="Q787" i="15"/>
  <c r="Q204" i="15"/>
  <c r="Q753" i="15"/>
  <c r="Q670" i="15"/>
  <c r="Q1083" i="15"/>
  <c r="Q1117" i="15"/>
  <c r="Q1139" i="15"/>
  <c r="Q1161" i="15"/>
  <c r="Q1040" i="15"/>
  <c r="Q1086" i="15"/>
  <c r="Q1026" i="15"/>
  <c r="Q1049" i="15"/>
  <c r="Q1121" i="15"/>
  <c r="Q1084" i="15"/>
  <c r="Q1050" i="15"/>
  <c r="Q1037" i="15"/>
  <c r="Q995" i="15"/>
  <c r="Q626" i="15"/>
  <c r="Q874" i="15"/>
  <c r="Q713" i="15"/>
  <c r="Q69" i="15"/>
  <c r="Q788" i="15"/>
  <c r="Q781" i="15"/>
  <c r="Q704" i="15"/>
  <c r="Q928" i="15"/>
  <c r="Q615" i="15"/>
  <c r="Q853" i="15"/>
  <c r="Q697" i="15"/>
  <c r="Q942" i="15"/>
  <c r="Q742" i="15"/>
  <c r="Q286" i="15"/>
  <c r="Q577" i="15"/>
  <c r="Q185" i="15"/>
  <c r="Q25" i="15"/>
  <c r="Q41" i="15"/>
  <c r="Q594" i="15"/>
  <c r="Q601" i="15"/>
  <c r="Q107" i="15"/>
  <c r="Q322" i="15"/>
  <c r="Q885" i="15"/>
  <c r="Q428" i="15"/>
  <c r="Q403" i="15"/>
  <c r="Q173" i="15"/>
  <c r="Q60" i="15"/>
  <c r="Q919" i="15"/>
  <c r="Q86" i="15"/>
  <c r="Q234" i="15"/>
  <c r="Q402" i="15"/>
  <c r="Q238" i="15"/>
  <c r="Q844" i="15"/>
  <c r="Q712" i="15"/>
  <c r="Q910" i="15"/>
  <c r="Q440" i="15"/>
  <c r="Q606" i="15"/>
  <c r="Q12" i="15"/>
  <c r="Q570" i="15"/>
  <c r="Q903" i="15"/>
  <c r="Q890" i="15"/>
  <c r="Q829" i="15"/>
  <c r="Q61" i="15"/>
  <c r="Q623" i="15"/>
  <c r="Q1071" i="15"/>
  <c r="Q1105" i="15"/>
  <c r="Q1127" i="15"/>
  <c r="Q1149" i="15"/>
  <c r="Q1028" i="15"/>
  <c r="Q255" i="15"/>
  <c r="Q280" i="15"/>
  <c r="Q918" i="15"/>
  <c r="Q323" i="15"/>
  <c r="Q1082" i="15"/>
  <c r="Q1104" i="15"/>
  <c r="Q1126" i="15"/>
  <c r="Q954" i="15"/>
  <c r="Q1160" i="15"/>
  <c r="Q1039" i="15"/>
  <c r="Q1085" i="15"/>
  <c r="Q865" i="15"/>
  <c r="Q770" i="15"/>
  <c r="Q854" i="15"/>
  <c r="Q1070" i="15"/>
  <c r="Q1092" i="15"/>
  <c r="Q1114" i="15"/>
  <c r="Q145" i="15"/>
  <c r="Q1052" i="15"/>
  <c r="Q845" i="15"/>
  <c r="Q495" i="15"/>
  <c r="Q803" i="15"/>
  <c r="Q301" i="15"/>
  <c r="Q1035" i="15"/>
  <c r="Q1069" i="15"/>
  <c r="Q1091" i="15"/>
  <c r="Q1113" i="15"/>
  <c r="Q1159" i="15"/>
  <c r="Q1038" i="15"/>
  <c r="Q1073" i="15"/>
  <c r="Q1156" i="15"/>
  <c r="Q1168" i="15"/>
  <c r="Q1036" i="15"/>
  <c r="Q1060" i="15"/>
  <c r="Q1012" i="15"/>
  <c r="Q809" i="15"/>
  <c r="Q608" i="15"/>
  <c r="Q795" i="15"/>
  <c r="Q907" i="15"/>
  <c r="Q266" i="15"/>
  <c r="Q1008" i="15"/>
  <c r="Q863" i="15"/>
  <c r="Q631" i="15"/>
  <c r="Q73" i="15"/>
  <c r="Q465" i="15"/>
  <c r="Q643" i="15"/>
  <c r="Q148" i="15"/>
  <c r="Q47" i="15"/>
  <c r="Q1023" i="15"/>
  <c r="Q1057" i="15"/>
  <c r="Q1079" i="15"/>
  <c r="Q1101" i="15"/>
  <c r="Q1147" i="15"/>
  <c r="Q189" i="15"/>
  <c r="Q678" i="15"/>
  <c r="Q306" i="15"/>
  <c r="Q1155" i="15"/>
  <c r="Q1034" i="15"/>
  <c r="Q1056" i="15"/>
  <c r="Q261" i="15"/>
  <c r="Q1078" i="15"/>
  <c r="Q1112" i="15"/>
  <c r="Q1158" i="15"/>
  <c r="Q834" i="15"/>
  <c r="Q876" i="15"/>
  <c r="Q724" i="15"/>
  <c r="Q1143" i="15"/>
  <c r="Q1022" i="15"/>
  <c r="Q1044" i="15"/>
  <c r="Q1066" i="15"/>
  <c r="Q798" i="15"/>
  <c r="Q1171" i="15"/>
  <c r="Q520" i="15"/>
  <c r="Q762" i="15"/>
  <c r="Q589" i="15"/>
  <c r="Q451" i="15"/>
  <c r="Q1154" i="15"/>
  <c r="Q1021" i="15"/>
  <c r="Q1043" i="15"/>
  <c r="Q1065" i="15"/>
  <c r="Q1111" i="15"/>
  <c r="Q1157" i="15"/>
  <c r="Q1025" i="15"/>
  <c r="Q1074" i="15"/>
  <c r="Q1122" i="15"/>
  <c r="Q1097" i="15"/>
  <c r="Q1024" i="15"/>
  <c r="Q511" i="15"/>
  <c r="Q592" i="15"/>
  <c r="Q1004" i="15"/>
  <c r="Q891" i="15"/>
  <c r="Q177" i="15"/>
  <c r="Q782" i="15"/>
  <c r="Q474" i="15"/>
  <c r="Q449" i="15"/>
  <c r="Q810" i="15"/>
  <c r="Q707" i="15"/>
  <c r="Q859" i="15"/>
  <c r="Q790" i="15"/>
  <c r="Q6" i="15"/>
  <c r="Q374" i="15"/>
  <c r="Q775" i="15"/>
  <c r="Q54" i="15"/>
  <c r="Q899" i="15"/>
  <c r="Q684" i="15"/>
  <c r="Q921" i="15"/>
  <c r="Q423" i="15"/>
  <c r="Q687" i="15"/>
  <c r="Q260" i="15"/>
  <c r="Q898" i="15"/>
  <c r="Q758" i="15"/>
  <c r="Q467" i="15"/>
  <c r="Q541" i="15"/>
  <c r="Q682" i="15"/>
  <c r="Q417" i="15"/>
  <c r="Q799" i="15"/>
  <c r="Q57" i="15"/>
  <c r="Q651" i="15"/>
  <c r="Q726" i="15"/>
  <c r="Q233" i="15"/>
  <c r="Q159" i="15"/>
  <c r="Q523" i="15"/>
  <c r="Q475" i="15"/>
  <c r="Q740" i="15"/>
  <c r="Q64" i="15"/>
  <c r="Q169" i="15"/>
  <c r="Q900" i="15"/>
  <c r="Q72" i="15"/>
  <c r="Q401" i="15"/>
  <c r="Q542" i="15"/>
  <c r="Q657" i="15"/>
  <c r="Q727" i="15"/>
  <c r="Q337" i="15"/>
  <c r="Q1142" i="15"/>
  <c r="Q1164" i="15"/>
  <c r="Q1031" i="15"/>
  <c r="Q1053" i="15"/>
  <c r="Q1099" i="15"/>
  <c r="Q411" i="15"/>
  <c r="Q938" i="15"/>
  <c r="Q823" i="15"/>
  <c r="Q1107" i="15"/>
  <c r="Q1141" i="15"/>
  <c r="Q1163" i="15"/>
  <c r="Q717" i="15"/>
  <c r="Q1030" i="15"/>
  <c r="Q1064" i="15"/>
  <c r="Q1110" i="15"/>
  <c r="Q893" i="15"/>
  <c r="Q378" i="15"/>
  <c r="Q857" i="15"/>
  <c r="Q1095" i="15"/>
  <c r="Q1129" i="15"/>
  <c r="Q1151" i="15"/>
  <c r="Q1018" i="15"/>
  <c r="Q273" i="15"/>
  <c r="Q1123" i="15"/>
  <c r="Q104" i="15"/>
  <c r="Q355" i="15"/>
  <c r="Q414" i="15"/>
  <c r="Q818" i="15"/>
  <c r="Q1106" i="15"/>
  <c r="Q1128" i="15"/>
  <c r="Q1150" i="15"/>
  <c r="Q1017" i="15"/>
  <c r="Q1063" i="15"/>
  <c r="Q1109" i="15"/>
  <c r="Q1144" i="15"/>
  <c r="Q1098" i="15"/>
  <c r="Q1061" i="15"/>
  <c r="Q1169" i="15"/>
  <c r="Q1108" i="15"/>
  <c r="Q282" i="15"/>
  <c r="Q106" i="15"/>
  <c r="Q548" i="15"/>
  <c r="Q562" i="15"/>
  <c r="Q653" i="15"/>
  <c r="Q259" i="15"/>
  <c r="Q959" i="15"/>
  <c r="Q750" i="15"/>
  <c r="Q362" i="15"/>
  <c r="Q564" i="15"/>
  <c r="Q332" i="15"/>
  <c r="Q730" i="15"/>
  <c r="Q16" i="15"/>
  <c r="Q472" i="15"/>
  <c r="Q268" i="15"/>
  <c r="Q960" i="15"/>
  <c r="Q767" i="15"/>
  <c r="Q101" i="15"/>
  <c r="Q632" i="15"/>
  <c r="Q120" i="15"/>
  <c r="Q425" i="15"/>
  <c r="Q652" i="15"/>
  <c r="Q243" i="15"/>
  <c r="Q10" i="15"/>
  <c r="Q383" i="15"/>
  <c r="Q751" i="15"/>
  <c r="Q1005" i="15"/>
  <c r="Q951" i="15"/>
  <c r="Q28" i="15"/>
  <c r="Q426" i="15"/>
  <c r="Q558" i="15"/>
  <c r="Q533" i="15"/>
  <c r="Q677" i="15"/>
  <c r="Q1003" i="15"/>
  <c r="Q95" i="15"/>
  <c r="Q912" i="15"/>
  <c r="Q747" i="15"/>
  <c r="Q884" i="15"/>
  <c r="Q604" i="15"/>
  <c r="Q887" i="15"/>
  <c r="Q596" i="15"/>
  <c r="Q476" i="15"/>
  <c r="Q850" i="15"/>
  <c r="Q142" i="15"/>
  <c r="Q552" i="15"/>
  <c r="Q792" i="15"/>
  <c r="Q1094" i="15"/>
  <c r="Q1116" i="15"/>
  <c r="Q1138" i="15"/>
  <c r="Q1172" i="15"/>
  <c r="Q404" i="15"/>
  <c r="Q295" i="15"/>
  <c r="Q836" i="15"/>
  <c r="Q379" i="15"/>
  <c r="Q1059" i="15"/>
  <c r="Q1093" i="15"/>
  <c r="Q1115" i="15"/>
  <c r="Q530" i="15"/>
  <c r="Q1137" i="15"/>
  <c r="Q1016" i="15"/>
  <c r="Q1062" i="15"/>
  <c r="Q572" i="15"/>
  <c r="Q249" i="15"/>
  <c r="Q127" i="15"/>
  <c r="Q1047" i="15"/>
  <c r="Q1081" i="15"/>
  <c r="Q1103" i="15"/>
  <c r="Q1125" i="15"/>
  <c r="Q1029" i="15"/>
  <c r="Q680" i="15"/>
  <c r="Q366" i="15"/>
  <c r="Q888" i="15"/>
  <c r="Q676" i="15"/>
  <c r="Q246" i="15"/>
  <c r="Q1058" i="15"/>
  <c r="Q1080" i="15"/>
  <c r="Q1102" i="15"/>
  <c r="Q1136" i="15"/>
  <c r="Q1015" i="15"/>
  <c r="Q1027" i="15"/>
  <c r="Q1096" i="15"/>
  <c r="Q1072" i="15"/>
  <c r="Q1013" i="15"/>
  <c r="Q1170" i="15"/>
  <c r="Q1051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1F19AC-172B-4D76-9E16-29299F3F86C6}" keepAlive="1" name="Requête - Catalogue" description="Connexion à la requête « Catalogue » dans le classeur." type="5" refreshedVersion="0" background="1" saveData="1">
    <dbPr connection="Provider=Microsoft.Mashup.OleDb.1;Data Source=$Workbook$;Location=Catalogue;Extended Properties=&quot;&quot;" command="SELECT * FROM [Catalogue]"/>
  </connection>
  <connection id="2" xr16:uid="{06B6EC0F-EC10-4929-A8FB-0D28008EE3A1}" keepAlive="1" name="Requête - Commande 2024-2025" description="Connexion à la requête « Commande 2024-2025 » dans le classeur." type="5" refreshedVersion="8" background="1" saveData="1">
    <dbPr connection="Provider=Microsoft.Mashup.OleDb.1;Data Source=$Workbook$;Location=&quot;Commande 2024-2025&quot;;Extended Properties=&quot;&quot;" command="SELECT * FROM [Commande 2024-2025]"/>
  </connection>
  <connection id="3" xr16:uid="{78D87FC1-F43C-45F3-B305-DB174796146C}" keepAlive="1" name="Requête - Commande 2025-2026" description="Connexion à la requête « Commande 2025-2026 » dans le classeur." type="5" refreshedVersion="8" background="1" saveData="1">
    <dbPr connection="Provider=Microsoft.Mashup.OleDb.1;Data Source=$Workbook$;Location=&quot;Commande 2025-2026&quot;;Extended Properties=&quot;&quot;" command="SELECT * FROM [Commande 2025-2026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</futureMetadata>
  <valueMetadata count="4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</valueMetadata>
</metadata>
</file>

<file path=xl/sharedStrings.xml><?xml version="1.0" encoding="utf-8"?>
<sst xmlns="http://schemas.openxmlformats.org/spreadsheetml/2006/main" count="21447" uniqueCount="3929">
  <si>
    <t>Num OF</t>
  </si>
  <si>
    <t>Num Commande</t>
  </si>
  <si>
    <t>Num Client</t>
  </si>
  <si>
    <t>Ref Commercial</t>
  </si>
  <si>
    <t>Modèle</t>
  </si>
  <si>
    <t>Dimensions</t>
  </si>
  <si>
    <t>Personnalisation</t>
  </si>
  <si>
    <t>IBIZA</t>
  </si>
  <si>
    <t>Frange</t>
  </si>
  <si>
    <t>DEGRADER DE LUREX</t>
  </si>
  <si>
    <t>Couture</t>
  </si>
  <si>
    <t>OF250128</t>
  </si>
  <si>
    <t>CM-FT0129</t>
  </si>
  <si>
    <t>CL00296</t>
  </si>
  <si>
    <t>OF250129</t>
  </si>
  <si>
    <t>OF250130</t>
  </si>
  <si>
    <t>CM-FT0130</t>
  </si>
  <si>
    <t>CL00162</t>
  </si>
  <si>
    <t>OF250131</t>
  </si>
  <si>
    <t>OF250132</t>
  </si>
  <si>
    <t>OF250134</t>
  </si>
  <si>
    <t>CM-FT0131</t>
  </si>
  <si>
    <t>CL00833</t>
  </si>
  <si>
    <t>CM-FT0133</t>
  </si>
  <si>
    <t>CL00791</t>
  </si>
  <si>
    <t>OF250199</t>
  </si>
  <si>
    <t>CM-FT0136</t>
  </si>
  <si>
    <t>CL00844</t>
  </si>
  <si>
    <t>All by Fouta</t>
  </si>
  <si>
    <t>CA250001</t>
  </si>
  <si>
    <t>CA250002</t>
  </si>
  <si>
    <t>CA250004</t>
  </si>
  <si>
    <t>CA250006</t>
  </si>
  <si>
    <t>CA250008</t>
  </si>
  <si>
    <t>CA250009</t>
  </si>
  <si>
    <t>CA250011</t>
  </si>
  <si>
    <t>CA250012</t>
  </si>
  <si>
    <t>CA250013</t>
  </si>
  <si>
    <t>CA250014</t>
  </si>
  <si>
    <t>CA250015</t>
  </si>
  <si>
    <t>CA250017</t>
  </si>
  <si>
    <t>CA250018</t>
  </si>
  <si>
    <t>CA250019</t>
  </si>
  <si>
    <t>CA250021</t>
  </si>
  <si>
    <t>CA250022</t>
  </si>
  <si>
    <t>CA250023</t>
  </si>
  <si>
    <t>CA250024</t>
  </si>
  <si>
    <t>CA250025</t>
  </si>
  <si>
    <t>CA250026</t>
  </si>
  <si>
    <t>CA250029</t>
  </si>
  <si>
    <t>CA250030</t>
  </si>
  <si>
    <t>CA250031</t>
  </si>
  <si>
    <t>CA250032</t>
  </si>
  <si>
    <t>CA250033</t>
  </si>
  <si>
    <t>CA250036</t>
  </si>
  <si>
    <t>CA250039</t>
  </si>
  <si>
    <t>CA250040</t>
  </si>
  <si>
    <t>CA250041</t>
  </si>
  <si>
    <t>CA250042</t>
  </si>
  <si>
    <t>CA250043</t>
  </si>
  <si>
    <t>CA250044</t>
  </si>
  <si>
    <t>CA250045</t>
  </si>
  <si>
    <t>CA250046</t>
  </si>
  <si>
    <t>CA250048</t>
  </si>
  <si>
    <t>CA250050</t>
  </si>
  <si>
    <t>CA250054</t>
  </si>
  <si>
    <t>CA250055</t>
  </si>
  <si>
    <t>CA250057</t>
  </si>
  <si>
    <t>CA250058</t>
  </si>
  <si>
    <t>CA250059</t>
  </si>
  <si>
    <t>CA250061</t>
  </si>
  <si>
    <t>CA250062</t>
  </si>
  <si>
    <t>CA250063</t>
  </si>
  <si>
    <t>CA250064</t>
  </si>
  <si>
    <t>CA250065</t>
  </si>
  <si>
    <t>CA250066</t>
  </si>
  <si>
    <t>CA250068</t>
  </si>
  <si>
    <t>CA250069</t>
  </si>
  <si>
    <t>CA250070</t>
  </si>
  <si>
    <t>CA250071</t>
  </si>
  <si>
    <t>CA250072</t>
  </si>
  <si>
    <t>CA250074</t>
  </si>
  <si>
    <t>CA250075</t>
  </si>
  <si>
    <t>CA250076</t>
  </si>
  <si>
    <t>CA250077</t>
  </si>
  <si>
    <t>CA250078</t>
  </si>
  <si>
    <t>CA250079</t>
  </si>
  <si>
    <t>CA250271</t>
  </si>
  <si>
    <t>CA250311</t>
  </si>
  <si>
    <t>CA250314</t>
  </si>
  <si>
    <t>CA250315</t>
  </si>
  <si>
    <t>CA250320</t>
  </si>
  <si>
    <t>CA250325</t>
  </si>
  <si>
    <t>CA250359</t>
  </si>
  <si>
    <t>CA250360</t>
  </si>
  <si>
    <t>CA250361</t>
  </si>
  <si>
    <t>CA250363</t>
  </si>
  <si>
    <t>CA250364</t>
  </si>
  <si>
    <t>CA250391</t>
  </si>
  <si>
    <t>CA250392</t>
  </si>
  <si>
    <t>CA250393</t>
  </si>
  <si>
    <t>CA250469</t>
  </si>
  <si>
    <t>CA250473</t>
  </si>
  <si>
    <t>CA250474</t>
  </si>
  <si>
    <t>CA250626</t>
  </si>
  <si>
    <t>CA250650</t>
  </si>
  <si>
    <t>CA250750</t>
  </si>
  <si>
    <t>CA250776</t>
  </si>
  <si>
    <t>CA250777</t>
  </si>
  <si>
    <t>CA250778</t>
  </si>
  <si>
    <t>CA250779</t>
  </si>
  <si>
    <t>CA250780</t>
  </si>
  <si>
    <t>CA250781</t>
  </si>
  <si>
    <t>CA250782</t>
  </si>
  <si>
    <t>CA250783</t>
  </si>
  <si>
    <t>CA250784</t>
  </si>
  <si>
    <t>CA250831</t>
  </si>
  <si>
    <t>OF230511</t>
  </si>
  <si>
    <t>OF240030</t>
  </si>
  <si>
    <t>OF240640</t>
  </si>
  <si>
    <t>OF240641</t>
  </si>
  <si>
    <t>OF240642</t>
  </si>
  <si>
    <t>OF240643</t>
  </si>
  <si>
    <t>OF240644</t>
  </si>
  <si>
    <t>OF240645</t>
  </si>
  <si>
    <t>OF240646</t>
  </si>
  <si>
    <t>OF240647</t>
  </si>
  <si>
    <t>OF240937</t>
  </si>
  <si>
    <t>OF241198</t>
  </si>
  <si>
    <t>OF241199</t>
  </si>
  <si>
    <t>OF241207</t>
  </si>
  <si>
    <t>OF241208</t>
  </si>
  <si>
    <t>OF241251</t>
  </si>
  <si>
    <t>OF241252</t>
  </si>
  <si>
    <t>OF241253</t>
  </si>
  <si>
    <t>OF241254</t>
  </si>
  <si>
    <t>OF241255</t>
  </si>
  <si>
    <t>OF241256</t>
  </si>
  <si>
    <t>OF241766</t>
  </si>
  <si>
    <t>OF241768</t>
  </si>
  <si>
    <t>OF241769</t>
  </si>
  <si>
    <t>OF241770</t>
  </si>
  <si>
    <t>OF241771</t>
  </si>
  <si>
    <t>OF241778</t>
  </si>
  <si>
    <t>OF241780</t>
  </si>
  <si>
    <t>OF241794</t>
  </si>
  <si>
    <t>OF242087</t>
  </si>
  <si>
    <t>OF242088</t>
  </si>
  <si>
    <t>OF242089</t>
  </si>
  <si>
    <t>OF242090</t>
  </si>
  <si>
    <t>OF242091</t>
  </si>
  <si>
    <t>OF242092</t>
  </si>
  <si>
    <t>OF242093</t>
  </si>
  <si>
    <t>OF242095</t>
  </si>
  <si>
    <t>OF242096</t>
  </si>
  <si>
    <t>OF242162</t>
  </si>
  <si>
    <t>OF242167</t>
  </si>
  <si>
    <t>OF242168</t>
  </si>
  <si>
    <t>OF242170</t>
  </si>
  <si>
    <t>OF242172</t>
  </si>
  <si>
    <t>OF242173</t>
  </si>
  <si>
    <t>OF242174</t>
  </si>
  <si>
    <t>OF242176</t>
  </si>
  <si>
    <t>OF242177</t>
  </si>
  <si>
    <t>OF242178</t>
  </si>
  <si>
    <t>OF242179</t>
  </si>
  <si>
    <t>OF242180</t>
  </si>
  <si>
    <t>OF242181</t>
  </si>
  <si>
    <t>OF242182</t>
  </si>
  <si>
    <t>OF242183</t>
  </si>
  <si>
    <t>OF242184</t>
  </si>
  <si>
    <t>OF242185</t>
  </si>
  <si>
    <t>OF243178</t>
  </si>
  <si>
    <t>OF243179</t>
  </si>
  <si>
    <t>OF244181</t>
  </si>
  <si>
    <t>OF244182</t>
  </si>
  <si>
    <t>OF244183</t>
  </si>
  <si>
    <t>OF244184</t>
  </si>
  <si>
    <t>OF244185</t>
  </si>
  <si>
    <t>OF244186</t>
  </si>
  <si>
    <t>OF244187</t>
  </si>
  <si>
    <t>OF244188</t>
  </si>
  <si>
    <t>OF244189</t>
  </si>
  <si>
    <t>OF244190</t>
  </si>
  <si>
    <t>OF244191</t>
  </si>
  <si>
    <t>OF244192</t>
  </si>
  <si>
    <t>OF244629</t>
  </si>
  <si>
    <t>OF244630</t>
  </si>
  <si>
    <t>OF244631</t>
  </si>
  <si>
    <t>OF244632</t>
  </si>
  <si>
    <t>OF244633</t>
  </si>
  <si>
    <t>OF244634</t>
  </si>
  <si>
    <t>OF244635</t>
  </si>
  <si>
    <t>OF244636</t>
  </si>
  <si>
    <t>OF244784</t>
  </si>
  <si>
    <t>OF244785</t>
  </si>
  <si>
    <t>OF244786</t>
  </si>
  <si>
    <t>OF244787</t>
  </si>
  <si>
    <t>OF244788</t>
  </si>
  <si>
    <t>OF244789</t>
  </si>
  <si>
    <t>OF244790</t>
  </si>
  <si>
    <t>OF244791</t>
  </si>
  <si>
    <t>OF244792</t>
  </si>
  <si>
    <t>OF244793</t>
  </si>
  <si>
    <t>OF244794</t>
  </si>
  <si>
    <t>OF244795</t>
  </si>
  <si>
    <t>OF244796</t>
  </si>
  <si>
    <t>OF244797</t>
  </si>
  <si>
    <t>OF244798</t>
  </si>
  <si>
    <t>OF244799</t>
  </si>
  <si>
    <t>OF244800</t>
  </si>
  <si>
    <t>OF244801</t>
  </si>
  <si>
    <t>OF244802</t>
  </si>
  <si>
    <t>OF244803</t>
  </si>
  <si>
    <t>OF244804</t>
  </si>
  <si>
    <t>OF244805</t>
  </si>
  <si>
    <t>OF244806</t>
  </si>
  <si>
    <t>OF245233</t>
  </si>
  <si>
    <t>OF245597</t>
  </si>
  <si>
    <t>OF245598</t>
  </si>
  <si>
    <t>OF245599</t>
  </si>
  <si>
    <t>OF245600</t>
  </si>
  <si>
    <t>OF245601</t>
  </si>
  <si>
    <t>OF245839</t>
  </si>
  <si>
    <t>OF245841</t>
  </si>
  <si>
    <t>OF245842</t>
  </si>
  <si>
    <t>OF245843</t>
  </si>
  <si>
    <t>OF245844</t>
  </si>
  <si>
    <t>OF245845</t>
  </si>
  <si>
    <t>OF245846</t>
  </si>
  <si>
    <t>OF245911</t>
  </si>
  <si>
    <t>OF245935</t>
  </si>
  <si>
    <t>OF245960</t>
  </si>
  <si>
    <t>OF245965</t>
  </si>
  <si>
    <t>OF245966</t>
  </si>
  <si>
    <t>OF245967</t>
  </si>
  <si>
    <t>OF245968</t>
  </si>
  <si>
    <t>OF245969</t>
  </si>
  <si>
    <t>OF245970</t>
  </si>
  <si>
    <t>OF245971</t>
  </si>
  <si>
    <t>OF245972</t>
  </si>
  <si>
    <t>OF245973</t>
  </si>
  <si>
    <t>OF245974</t>
  </si>
  <si>
    <t>OF245975</t>
  </si>
  <si>
    <t>OF245976</t>
  </si>
  <si>
    <t>OF245977</t>
  </si>
  <si>
    <t>OF245979</t>
  </si>
  <si>
    <t>OF245980</t>
  </si>
  <si>
    <t>OF245981</t>
  </si>
  <si>
    <t>OF245982</t>
  </si>
  <si>
    <t>OF245983</t>
  </si>
  <si>
    <t>OF245984</t>
  </si>
  <si>
    <t>OF245985</t>
  </si>
  <si>
    <t>OF245986</t>
  </si>
  <si>
    <t>OF245987</t>
  </si>
  <si>
    <t>OF245988</t>
  </si>
  <si>
    <t>OF245989</t>
  </si>
  <si>
    <t>OF245990</t>
  </si>
  <si>
    <t>OF245991</t>
  </si>
  <si>
    <t>OF245993</t>
  </si>
  <si>
    <t>OF245994</t>
  </si>
  <si>
    <t>OF245995</t>
  </si>
  <si>
    <t>OF245998</t>
  </si>
  <si>
    <t>OF245999</t>
  </si>
  <si>
    <t>OF246000</t>
  </si>
  <si>
    <t>OF246001</t>
  </si>
  <si>
    <t>OF246002</t>
  </si>
  <si>
    <t>OF246003</t>
  </si>
  <si>
    <t>OF246004</t>
  </si>
  <si>
    <t>OF246005</t>
  </si>
  <si>
    <t>OF246006</t>
  </si>
  <si>
    <t>OF246007</t>
  </si>
  <si>
    <t>OF246008</t>
  </si>
  <si>
    <t>OF246009</t>
  </si>
  <si>
    <t>OF246010</t>
  </si>
  <si>
    <t>OF246011</t>
  </si>
  <si>
    <t>OF246012</t>
  </si>
  <si>
    <t>OF246013</t>
  </si>
  <si>
    <t>OF246014</t>
  </si>
  <si>
    <t>OF246015</t>
  </si>
  <si>
    <t>OF246016</t>
  </si>
  <si>
    <t>OF246017</t>
  </si>
  <si>
    <t>OF246018</t>
  </si>
  <si>
    <t>OF246027</t>
  </si>
  <si>
    <t>OF246028</t>
  </si>
  <si>
    <t>OF246030</t>
  </si>
  <si>
    <t>OF246031</t>
  </si>
  <si>
    <t>OF246032</t>
  </si>
  <si>
    <t>OF246033</t>
  </si>
  <si>
    <t>OF246041</t>
  </si>
  <si>
    <t>OF246042</t>
  </si>
  <si>
    <t>OF246043</t>
  </si>
  <si>
    <t>OF246341</t>
  </si>
  <si>
    <t>OF246453</t>
  </si>
  <si>
    <t>OF246455</t>
  </si>
  <si>
    <t>OF246884</t>
  </si>
  <si>
    <t>OF246885</t>
  </si>
  <si>
    <t>OF246887</t>
  </si>
  <si>
    <t>OF246888</t>
  </si>
  <si>
    <t>IB2030-B04-02</t>
  </si>
  <si>
    <t>OF240001</t>
  </si>
  <si>
    <t>OF240008</t>
  </si>
  <si>
    <t>OF240017</t>
  </si>
  <si>
    <t>OF240087</t>
  </si>
  <si>
    <t>OF240123</t>
  </si>
  <si>
    <t>OF240129</t>
  </si>
  <si>
    <t>OF240130</t>
  </si>
  <si>
    <t>OF240135</t>
  </si>
  <si>
    <t>OF240136</t>
  </si>
  <si>
    <t>OF240138</t>
  </si>
  <si>
    <t>OF240139</t>
  </si>
  <si>
    <t>OF240161</t>
  </si>
  <si>
    <t>OF240299</t>
  </si>
  <si>
    <t>OF240308</t>
  </si>
  <si>
    <t>OF240310</t>
  </si>
  <si>
    <t>OF240470</t>
  </si>
  <si>
    <t>OF240483</t>
  </si>
  <si>
    <t>OF240636</t>
  </si>
  <si>
    <t>OF240651</t>
  </si>
  <si>
    <t>OF240866</t>
  </si>
  <si>
    <t>OF241311</t>
  </si>
  <si>
    <t>OF241312</t>
  </si>
  <si>
    <t>OF241319</t>
  </si>
  <si>
    <t>OF241325</t>
  </si>
  <si>
    <t>OF241375</t>
  </si>
  <si>
    <t>OF241376</t>
  </si>
  <si>
    <t>OF241464</t>
  </si>
  <si>
    <t>OF241536</t>
  </si>
  <si>
    <t>OF241946</t>
  </si>
  <si>
    <t>OF241947</t>
  </si>
  <si>
    <t>OF242019</t>
  </si>
  <si>
    <t>OF242252</t>
  </si>
  <si>
    <t>OF242314</t>
  </si>
  <si>
    <t>OF242321</t>
  </si>
  <si>
    <t>OF242322</t>
  </si>
  <si>
    <t>OF242331</t>
  </si>
  <si>
    <t>OF242335</t>
  </si>
  <si>
    <t>OF242337</t>
  </si>
  <si>
    <t>OF242339</t>
  </si>
  <si>
    <t>OF242352</t>
  </si>
  <si>
    <t>OF242389</t>
  </si>
  <si>
    <t>OF242390</t>
  </si>
  <si>
    <t>OF242391</t>
  </si>
  <si>
    <t>OF242394</t>
  </si>
  <si>
    <t>OF242395</t>
  </si>
  <si>
    <t>OF242396</t>
  </si>
  <si>
    <t>OF242397</t>
  </si>
  <si>
    <t>OF242398</t>
  </si>
  <si>
    <t>OF242399</t>
  </si>
  <si>
    <t>OF242400</t>
  </si>
  <si>
    <t>OF242401</t>
  </si>
  <si>
    <t>OF242416</t>
  </si>
  <si>
    <t>OF242426</t>
  </si>
  <si>
    <t>OF242457</t>
  </si>
  <si>
    <t>OF242480</t>
  </si>
  <si>
    <t>OF242481</t>
  </si>
  <si>
    <t>OF242482</t>
  </si>
  <si>
    <t>OF242483</t>
  </si>
  <si>
    <t>OF242484</t>
  </si>
  <si>
    <t>OF242485</t>
  </si>
  <si>
    <t>OF242486</t>
  </si>
  <si>
    <t>OF242487</t>
  </si>
  <si>
    <t>OF242490</t>
  </si>
  <si>
    <t>OF242492</t>
  </si>
  <si>
    <t>OF242493</t>
  </si>
  <si>
    <t>OF242494</t>
  </si>
  <si>
    <t>OF242495</t>
  </si>
  <si>
    <t>OF242496</t>
  </si>
  <si>
    <t>OF242497</t>
  </si>
  <si>
    <t>OF242667</t>
  </si>
  <si>
    <t>OF242675</t>
  </si>
  <si>
    <t>OF242679</t>
  </si>
  <si>
    <t>OF242732</t>
  </si>
  <si>
    <t>OF242736</t>
  </si>
  <si>
    <t>OF242746</t>
  </si>
  <si>
    <t>OF242748</t>
  </si>
  <si>
    <t>OF242755</t>
  </si>
  <si>
    <t>OF242757</t>
  </si>
  <si>
    <t>OF242766</t>
  </si>
  <si>
    <t>OF242848</t>
  </si>
  <si>
    <t>OF242850</t>
  </si>
  <si>
    <t>OF242852</t>
  </si>
  <si>
    <t>OF242888</t>
  </si>
  <si>
    <t>OF242904</t>
  </si>
  <si>
    <t>OF242905</t>
  </si>
  <si>
    <t>OF242908</t>
  </si>
  <si>
    <t>OF242916</t>
  </si>
  <si>
    <t>OF242939</t>
  </si>
  <si>
    <t>OF243004</t>
  </si>
  <si>
    <t>OF243018</t>
  </si>
  <si>
    <t>OF243019</t>
  </si>
  <si>
    <t>OF243026</t>
  </si>
  <si>
    <t>OF243040</t>
  </si>
  <si>
    <t>OF243094</t>
  </si>
  <si>
    <t>OF243161</t>
  </si>
  <si>
    <t>OF243164</t>
  </si>
  <si>
    <t>OF243165</t>
  </si>
  <si>
    <t>OF243168</t>
  </si>
  <si>
    <t>OF243173</t>
  </si>
  <si>
    <t>OF243281</t>
  </si>
  <si>
    <t>OF243289</t>
  </si>
  <si>
    <t>OF243290</t>
  </si>
  <si>
    <t>OF243291</t>
  </si>
  <si>
    <t>OF243292</t>
  </si>
  <si>
    <t>OF243331</t>
  </si>
  <si>
    <t>OF243332</t>
  </si>
  <si>
    <t>OF243339</t>
  </si>
  <si>
    <t>OF243346</t>
  </si>
  <si>
    <t>OF243349</t>
  </si>
  <si>
    <t>OF243350</t>
  </si>
  <si>
    <t>OF243355</t>
  </si>
  <si>
    <t>OF243383</t>
  </si>
  <si>
    <t>OF243425</t>
  </si>
  <si>
    <t>OF243820</t>
  </si>
  <si>
    <t>OF243827</t>
  </si>
  <si>
    <t>OF243895</t>
  </si>
  <si>
    <t>OF243927</t>
  </si>
  <si>
    <t>OF243982</t>
  </si>
  <si>
    <t>CM-FT0024</t>
  </si>
  <si>
    <t>OF243983</t>
  </si>
  <si>
    <t>OF243984</t>
  </si>
  <si>
    <t>OF243985</t>
  </si>
  <si>
    <t>OF243986</t>
  </si>
  <si>
    <t>OF243987</t>
  </si>
  <si>
    <t>OF243988</t>
  </si>
  <si>
    <t>OF243989</t>
  </si>
  <si>
    <t>OF243990</t>
  </si>
  <si>
    <t>OF243991</t>
  </si>
  <si>
    <t>OF243992</t>
  </si>
  <si>
    <t>OF243993</t>
  </si>
  <si>
    <t>OF243994</t>
  </si>
  <si>
    <t>OF243995</t>
  </si>
  <si>
    <t>OF243996</t>
  </si>
  <si>
    <t>OF243997</t>
  </si>
  <si>
    <t>OF243998</t>
  </si>
  <si>
    <t>OF243999</t>
  </si>
  <si>
    <t>OF244000</t>
  </si>
  <si>
    <t>OF244001</t>
  </si>
  <si>
    <t>OF244179</t>
  </si>
  <si>
    <t>OF244260</t>
  </si>
  <si>
    <t>OF244261</t>
  </si>
  <si>
    <t>OF244347</t>
  </si>
  <si>
    <t>OF244486</t>
  </si>
  <si>
    <t>OF244675</t>
  </si>
  <si>
    <t>OF244807</t>
  </si>
  <si>
    <t>OF244889</t>
  </si>
  <si>
    <t>OF244934</t>
  </si>
  <si>
    <t>OF244950</t>
  </si>
  <si>
    <t>OF244961</t>
  </si>
  <si>
    <t>OF244963</t>
  </si>
  <si>
    <t>OF244964</t>
  </si>
  <si>
    <t>OF244969</t>
  </si>
  <si>
    <t>OF244970</t>
  </si>
  <si>
    <t>OF244973</t>
  </si>
  <si>
    <t>OF244975</t>
  </si>
  <si>
    <t>OF245024</t>
  </si>
  <si>
    <t>OF245036</t>
  </si>
  <si>
    <t>OF245042</t>
  </si>
  <si>
    <t>OF245295</t>
  </si>
  <si>
    <t>OF245321</t>
  </si>
  <si>
    <t>OF245520</t>
  </si>
  <si>
    <t>OF245554</t>
  </si>
  <si>
    <t>CM-FT0085</t>
  </si>
  <si>
    <t>OF245555</t>
  </si>
  <si>
    <t>OF245558</t>
  </si>
  <si>
    <t>OF245568</t>
  </si>
  <si>
    <t>OF245569</t>
  </si>
  <si>
    <t>OF245576</t>
  </si>
  <si>
    <t>OF245592</t>
  </si>
  <si>
    <t>OF245593</t>
  </si>
  <si>
    <t>OF245595</t>
  </si>
  <si>
    <t>OF245596</t>
  </si>
  <si>
    <t>OF245688</t>
  </si>
  <si>
    <t>OF245769</t>
  </si>
  <si>
    <t>OF245856</t>
  </si>
  <si>
    <t>OF245874</t>
  </si>
  <si>
    <t>OF245876</t>
  </si>
  <si>
    <t>CM-FT0094</t>
  </si>
  <si>
    <t>OF245877</t>
  </si>
  <si>
    <t>OF245878</t>
  </si>
  <si>
    <t>OF245879</t>
  </si>
  <si>
    <t>OF245880</t>
  </si>
  <si>
    <t>OF245881</t>
  </si>
  <si>
    <t>OF245882</t>
  </si>
  <si>
    <t>OF245883</t>
  </si>
  <si>
    <t>OF245884</t>
  </si>
  <si>
    <t>OF245885</t>
  </si>
  <si>
    <t>OF245886</t>
  </si>
  <si>
    <t>OF245887</t>
  </si>
  <si>
    <t>OF245888</t>
  </si>
  <si>
    <t>OF245889</t>
  </si>
  <si>
    <t>OF245891</t>
  </si>
  <si>
    <t>OF245893</t>
  </si>
  <si>
    <t>OF245894</t>
  </si>
  <si>
    <t>OF245896</t>
  </si>
  <si>
    <t>OF245897</t>
  </si>
  <si>
    <t>OF246044</t>
  </si>
  <si>
    <t>OF246046</t>
  </si>
  <si>
    <t>OF246109</t>
  </si>
  <si>
    <t>OF246111</t>
  </si>
  <si>
    <t>OF246306</t>
  </si>
  <si>
    <t>OF246338</t>
  </si>
  <si>
    <t>OF246339</t>
  </si>
  <si>
    <t>OF246340</t>
  </si>
  <si>
    <t>OF246346</t>
  </si>
  <si>
    <t>OF246349</t>
  </si>
  <si>
    <t>OF246352</t>
  </si>
  <si>
    <t>OF246353</t>
  </si>
  <si>
    <t>OF246393</t>
  </si>
  <si>
    <t>OF246398</t>
  </si>
  <si>
    <t>OF246413</t>
  </si>
  <si>
    <t>OF246424</t>
  </si>
  <si>
    <t>OF246449</t>
  </si>
  <si>
    <t>OF246450</t>
  </si>
  <si>
    <t>OF246490</t>
  </si>
  <si>
    <t>OF246491</t>
  </si>
  <si>
    <t>OF246496</t>
  </si>
  <si>
    <t>CM-FT0108</t>
  </si>
  <si>
    <t>OF246506</t>
  </si>
  <si>
    <t>OF246507</t>
  </si>
  <si>
    <t>OF246508</t>
  </si>
  <si>
    <t>OF246509</t>
  </si>
  <si>
    <t>OF246510</t>
  </si>
  <si>
    <t>OF246512</t>
  </si>
  <si>
    <t>OF246513</t>
  </si>
  <si>
    <t>OF246514</t>
  </si>
  <si>
    <t>OF246515</t>
  </si>
  <si>
    <t>OF246516</t>
  </si>
  <si>
    <t>OF246517</t>
  </si>
  <si>
    <t>OF246518</t>
  </si>
  <si>
    <t>OF246519</t>
  </si>
  <si>
    <t>OF246520</t>
  </si>
  <si>
    <t>OF246521</t>
  </si>
  <si>
    <t>OF246522</t>
  </si>
  <si>
    <t>OF246523</t>
  </si>
  <si>
    <t>OF246524</t>
  </si>
  <si>
    <t>OF246525</t>
  </si>
  <si>
    <t>OF246526</t>
  </si>
  <si>
    <t>OF246527</t>
  </si>
  <si>
    <t>OF246528</t>
  </si>
  <si>
    <t>OF246529</t>
  </si>
  <si>
    <t>OF246530</t>
  </si>
  <si>
    <t>OF246531</t>
  </si>
  <si>
    <t>OF246532</t>
  </si>
  <si>
    <t>OF246534</t>
  </si>
  <si>
    <t>OF246536</t>
  </si>
  <si>
    <t>OF246537</t>
  </si>
  <si>
    <t>OF246538</t>
  </si>
  <si>
    <t>OF246540</t>
  </si>
  <si>
    <t>OF246542</t>
  </si>
  <si>
    <t>OF246544</t>
  </si>
  <si>
    <t>OF246545</t>
  </si>
  <si>
    <t>OF246802</t>
  </si>
  <si>
    <t>OF246816</t>
  </si>
  <si>
    <t>OF246817</t>
  </si>
  <si>
    <t>OF246820</t>
  </si>
  <si>
    <t>OF246821</t>
  </si>
  <si>
    <t>OF246827</t>
  </si>
  <si>
    <t>OF246831</t>
  </si>
  <si>
    <t>OF246833</t>
  </si>
  <si>
    <t>OF246834</t>
  </si>
  <si>
    <t>OF246839</t>
  </si>
  <si>
    <t>OF246840</t>
  </si>
  <si>
    <t>OF246842</t>
  </si>
  <si>
    <t>OF246849</t>
  </si>
  <si>
    <t>OF246852</t>
  </si>
  <si>
    <t>OF246856</t>
  </si>
  <si>
    <t>OF246861</t>
  </si>
  <si>
    <t>OF246862</t>
  </si>
  <si>
    <t>OF246863</t>
  </si>
  <si>
    <t>OF246868</t>
  </si>
  <si>
    <t>OF246871</t>
  </si>
  <si>
    <t>OF246874</t>
  </si>
  <si>
    <t>CM-FT0117</t>
  </si>
  <si>
    <t>IB2030-B07-08</t>
  </si>
  <si>
    <t>DL1020-B31-LuAr</t>
  </si>
  <si>
    <t>OF248792</t>
  </si>
  <si>
    <t>OF249977</t>
  </si>
  <si>
    <t>NOM</t>
  </si>
  <si>
    <t>PRENOM</t>
  </si>
  <si>
    <t>NUM DE TEL</t>
  </si>
  <si>
    <t>SERVICE</t>
  </si>
  <si>
    <t>ADRESSE</t>
  </si>
  <si>
    <t>RECTO CIN</t>
  </si>
  <si>
    <t>VERSO CIN</t>
  </si>
  <si>
    <t>NOTE</t>
  </si>
  <si>
    <t>TERMINAL</t>
  </si>
  <si>
    <t>DATE</t>
  </si>
  <si>
    <t>Identification</t>
  </si>
  <si>
    <t>Chakroun</t>
  </si>
  <si>
    <t>Adel</t>
  </si>
  <si>
    <t>Sassi</t>
  </si>
  <si>
    <t>Ali</t>
  </si>
  <si>
    <t>55411096/26647315</t>
  </si>
  <si>
    <t>Habiba</t>
  </si>
  <si>
    <t>Leyla</t>
  </si>
  <si>
    <t>Samira</t>
  </si>
  <si>
    <t>Belaid</t>
  </si>
  <si>
    <t>Chaieb</t>
  </si>
  <si>
    <t>BANEN</t>
  </si>
  <si>
    <t>Lotfi</t>
  </si>
  <si>
    <t>Bahri</t>
  </si>
  <si>
    <t>Ahmed</t>
  </si>
  <si>
    <t>Nouri</t>
  </si>
  <si>
    <t>Naima</t>
  </si>
  <si>
    <t>BOUHJAR</t>
  </si>
  <si>
    <t>Marzoug</t>
  </si>
  <si>
    <t>Lobna</t>
  </si>
  <si>
    <t>SAYADA</t>
  </si>
  <si>
    <t>Saida</t>
  </si>
  <si>
    <t>Diwani</t>
  </si>
  <si>
    <t>LAMTA</t>
  </si>
  <si>
    <t>Safia</t>
  </si>
  <si>
    <t>Kisra</t>
  </si>
  <si>
    <t>Rachida</t>
  </si>
  <si>
    <t>Maher</t>
  </si>
  <si>
    <t>BANNEN</t>
  </si>
  <si>
    <t>Khlifa</t>
  </si>
  <si>
    <t>Najia</t>
  </si>
  <si>
    <t>Ben Hsen</t>
  </si>
  <si>
    <t>Khadija</t>
  </si>
  <si>
    <t>Slema</t>
  </si>
  <si>
    <t>Mouldia</t>
  </si>
  <si>
    <t>KSIBA</t>
  </si>
  <si>
    <t>Hsin</t>
  </si>
  <si>
    <t>Wafa</t>
  </si>
  <si>
    <t>Karim</t>
  </si>
  <si>
    <t>Bilel</t>
  </si>
  <si>
    <t>Gannoun</t>
  </si>
  <si>
    <t>Abed</t>
  </si>
  <si>
    <t>Yasmine</t>
  </si>
  <si>
    <t>BenAbid</t>
  </si>
  <si>
    <t>Hatem</t>
  </si>
  <si>
    <t>94323230/97738166</t>
  </si>
  <si>
    <t>Magasinier St</t>
  </si>
  <si>
    <t>Abir</t>
  </si>
  <si>
    <t>Thabet</t>
  </si>
  <si>
    <t>Wannes</t>
  </si>
  <si>
    <t>Amel</t>
  </si>
  <si>
    <t>Atelier</t>
  </si>
  <si>
    <t>Bent Aissa</t>
  </si>
  <si>
    <t>Fahima</t>
  </si>
  <si>
    <t>Fathia</t>
  </si>
  <si>
    <t>Fayza</t>
  </si>
  <si>
    <t>Fouzia</t>
  </si>
  <si>
    <t>Najet Omda</t>
  </si>
  <si>
    <t>Safiya</t>
  </si>
  <si>
    <t>STE Chemiserie</t>
  </si>
  <si>
    <t>Univers sérigraphie</t>
  </si>
  <si>
    <t>Rkaya</t>
  </si>
  <si>
    <t>Zohra</t>
  </si>
  <si>
    <t>Souad</t>
  </si>
  <si>
    <t>Type D'opération</t>
  </si>
  <si>
    <t>Depart</t>
  </si>
  <si>
    <t>Destination</t>
  </si>
  <si>
    <t>Poids</t>
  </si>
  <si>
    <t>Photo</t>
  </si>
  <si>
    <t>Note</t>
  </si>
  <si>
    <t>Terminal</t>
  </si>
  <si>
    <t>Date</t>
  </si>
  <si>
    <t>Num de Lot</t>
  </si>
  <si>
    <t>Mouvement</t>
  </si>
  <si>
    <t>Inventaire</t>
  </si>
  <si>
    <t>E2</t>
  </si>
  <si>
    <t>Manuel</t>
  </si>
  <si>
    <t>Usine</t>
  </si>
  <si>
    <t>E3</t>
  </si>
  <si>
    <t>E1</t>
  </si>
  <si>
    <t>Retour Fabrication</t>
  </si>
  <si>
    <t>Fabrication</t>
  </si>
  <si>
    <t>Alimentation Ourdissage</t>
  </si>
  <si>
    <t>Chokri Haddad</t>
  </si>
  <si>
    <t>Alimentation Fabrication</t>
  </si>
  <si>
    <t>Achat</t>
  </si>
  <si>
    <t>Wajdi</t>
  </si>
  <si>
    <t>Retour Ourdissage</t>
  </si>
  <si>
    <t>Alimentation Bobinage</t>
  </si>
  <si>
    <t>Lotfi Tilouche</t>
  </si>
  <si>
    <t>Dimatex</t>
  </si>
  <si>
    <t>Code</t>
  </si>
  <si>
    <t>Opérateur</t>
  </si>
  <si>
    <t>Machine</t>
  </si>
  <si>
    <t>Compteur</t>
  </si>
  <si>
    <t>Terminale</t>
  </si>
  <si>
    <t>Zied</t>
  </si>
  <si>
    <t>Depart Fabrication</t>
  </si>
  <si>
    <t>Badie</t>
  </si>
  <si>
    <t>Mohamed</t>
  </si>
  <si>
    <t>Fin de Fabrication</t>
  </si>
  <si>
    <t>Personne</t>
  </si>
  <si>
    <t>QTE</t>
  </si>
  <si>
    <t>QTE DEUXIEME</t>
  </si>
  <si>
    <t>DECHET</t>
  </si>
  <si>
    <t>DEUXIEME APPROUVEE</t>
  </si>
  <si>
    <t>OURLET</t>
  </si>
  <si>
    <t>TYPE DEXIEME</t>
  </si>
  <si>
    <t>PHOTO</t>
  </si>
  <si>
    <t>Probleme tram</t>
  </si>
  <si>
    <t>Mecanique</t>
  </si>
  <si>
    <t xml:space="preserve"> </t>
  </si>
  <si>
    <t xml:space="preserve">Fils simple </t>
  </si>
  <si>
    <t>Liziere</t>
  </si>
  <si>
    <t>Majdi</t>
  </si>
  <si>
    <t>Erreur couleur</t>
  </si>
  <si>
    <t>Autre</t>
  </si>
  <si>
    <t>Sous Traitant</t>
  </si>
  <si>
    <t>QTE SORTIS</t>
  </si>
  <si>
    <t>QTE RETOUR</t>
  </si>
  <si>
    <t>RESTE A RETOURNEE</t>
  </si>
  <si>
    <t>Entrepot</t>
  </si>
  <si>
    <t>AliThabet</t>
  </si>
  <si>
    <t>CA250004-11</t>
  </si>
  <si>
    <t>AliSassi</t>
  </si>
  <si>
    <t>AdelChakroun</t>
  </si>
  <si>
    <t>CA250474-9</t>
  </si>
  <si>
    <t>CA250474-8</t>
  </si>
  <si>
    <t>CA250474-12</t>
  </si>
  <si>
    <t>CA250474-3</t>
  </si>
  <si>
    <t>CA250474-1</t>
  </si>
  <si>
    <t>CA250474-10</t>
  </si>
  <si>
    <t>CA250474-11</t>
  </si>
  <si>
    <t>CA250474-7</t>
  </si>
  <si>
    <t>CA250474-2</t>
  </si>
  <si>
    <t>CA250474-4</t>
  </si>
  <si>
    <t>CA250474-5</t>
  </si>
  <si>
    <t>CA250474-6</t>
  </si>
  <si>
    <t>CA250474-13</t>
  </si>
  <si>
    <t>CA250469-1</t>
  </si>
  <si>
    <t>CA250469-2</t>
  </si>
  <si>
    <t>CA250469-3</t>
  </si>
  <si>
    <t>CA250469-4</t>
  </si>
  <si>
    <t>CA250469-5</t>
  </si>
  <si>
    <t>CA250469-6</t>
  </si>
  <si>
    <t>CA250469-7</t>
  </si>
  <si>
    <t>CA250469-8</t>
  </si>
  <si>
    <t>CA250469-9</t>
  </si>
  <si>
    <t>CA250469-10</t>
  </si>
  <si>
    <t>CA250469-11</t>
  </si>
  <si>
    <t>CA250469-12</t>
  </si>
  <si>
    <t>CA250469-13</t>
  </si>
  <si>
    <t>CA250391-5</t>
  </si>
  <si>
    <t>CA250391-6</t>
  </si>
  <si>
    <t>CA250391-7</t>
  </si>
  <si>
    <t>CA250391-8</t>
  </si>
  <si>
    <t>CA250391-9</t>
  </si>
  <si>
    <t>CA250391-12</t>
  </si>
  <si>
    <t>CA250391-13</t>
  </si>
  <si>
    <t>CA250473-5</t>
  </si>
  <si>
    <t>CA250473-4</t>
  </si>
  <si>
    <t>CA250473-2</t>
  </si>
  <si>
    <t>CA250473-3</t>
  </si>
  <si>
    <t>CA250473-12</t>
  </si>
  <si>
    <t>CA250473-9</t>
  </si>
  <si>
    <t>CA250473-8</t>
  </si>
  <si>
    <t>CA250473-6</t>
  </si>
  <si>
    <t>CA250473-7</t>
  </si>
  <si>
    <t>CA250473-10</t>
  </si>
  <si>
    <t>CA250473-11</t>
  </si>
  <si>
    <t>CA250473-13</t>
  </si>
  <si>
    <t>CA250002-13</t>
  </si>
  <si>
    <t>CA250002-10</t>
  </si>
  <si>
    <t>CA250002-11</t>
  </si>
  <si>
    <t>CA250002-12</t>
  </si>
  <si>
    <t>CA250002-9</t>
  </si>
  <si>
    <t>CA250004-1</t>
  </si>
  <si>
    <t>CA250004-2</t>
  </si>
  <si>
    <t>CA250004-7</t>
  </si>
  <si>
    <t>CA250004-9</t>
  </si>
  <si>
    <t>CA250004-5</t>
  </si>
  <si>
    <t>CA250004-12</t>
  </si>
  <si>
    <t>CA250004-4</t>
  </si>
  <si>
    <t>CA250004-8</t>
  </si>
  <si>
    <t>CA250004-3</t>
  </si>
  <si>
    <t>CA250005-3</t>
  </si>
  <si>
    <t>CA250005-2</t>
  </si>
  <si>
    <t>CA250005-12</t>
  </si>
  <si>
    <t>CA250005-7</t>
  </si>
  <si>
    <t>CA250005-13</t>
  </si>
  <si>
    <t>CA250005-6</t>
  </si>
  <si>
    <t>CA250005-8</t>
  </si>
  <si>
    <t>CA250006-1</t>
  </si>
  <si>
    <t>CA250006-12</t>
  </si>
  <si>
    <t>CA250006-2</t>
  </si>
  <si>
    <t>CA250006-4</t>
  </si>
  <si>
    <t>CA250006-8</t>
  </si>
  <si>
    <t>CA250006-3</t>
  </si>
  <si>
    <t>CA250006-9</t>
  </si>
  <si>
    <t>CA250006-5</t>
  </si>
  <si>
    <t>CA250006-13</t>
  </si>
  <si>
    <t>CA250006-11</t>
  </si>
  <si>
    <t>CA250006-7</t>
  </si>
  <si>
    <t>CA250008-1</t>
  </si>
  <si>
    <t>CA250008-9</t>
  </si>
  <si>
    <t>CA250008-2</t>
  </si>
  <si>
    <t>CA250008-7</t>
  </si>
  <si>
    <t>CA250008-8</t>
  </si>
  <si>
    <t>CA250008-5</t>
  </si>
  <si>
    <t>CA250008-3</t>
  </si>
  <si>
    <t>CA250008-10</t>
  </si>
  <si>
    <t>CA250008-12</t>
  </si>
  <si>
    <t>CA250008-6</t>
  </si>
  <si>
    <t>CA250008-11</t>
  </si>
  <si>
    <t>CA250008-4</t>
  </si>
  <si>
    <t>CA250011-5</t>
  </si>
  <si>
    <t>CA250011-3</t>
  </si>
  <si>
    <t>CA250011-4</t>
  </si>
  <si>
    <t>CA250011-9</t>
  </si>
  <si>
    <t>CA250011-10</t>
  </si>
  <si>
    <t>CA250011-12</t>
  </si>
  <si>
    <t>CA250011-8</t>
  </si>
  <si>
    <t>CA250011-1</t>
  </si>
  <si>
    <t>CA250011-7</t>
  </si>
  <si>
    <t>CA250011-11</t>
  </si>
  <si>
    <t>CA250011-2</t>
  </si>
  <si>
    <t>CA250009-2</t>
  </si>
  <si>
    <t>CA250009-9</t>
  </si>
  <si>
    <t>CA250009-7</t>
  </si>
  <si>
    <t>CA250009-12</t>
  </si>
  <si>
    <t>CA250009-13</t>
  </si>
  <si>
    <t>CA250009-4</t>
  </si>
  <si>
    <t>CA250009-1</t>
  </si>
  <si>
    <t>CA250009-3</t>
  </si>
  <si>
    <t>CA250009-5</t>
  </si>
  <si>
    <t>CA250009-10</t>
  </si>
  <si>
    <t>CA250009-8</t>
  </si>
  <si>
    <t>CA250009-11</t>
  </si>
  <si>
    <t>CA250010-1</t>
  </si>
  <si>
    <t>CA250010-2</t>
  </si>
  <si>
    <t>CA250010-4</t>
  </si>
  <si>
    <t>CA250010-8</t>
  </si>
  <si>
    <t>CA250010-7</t>
  </si>
  <si>
    <t>CA250010-9</t>
  </si>
  <si>
    <t>CA250010-12</t>
  </si>
  <si>
    <t>CA250010-10</t>
  </si>
  <si>
    <t>CA250010-11</t>
  </si>
  <si>
    <t>CA250010-3</t>
  </si>
  <si>
    <t>CA250010-5</t>
  </si>
  <si>
    <t>CA250010-6</t>
  </si>
  <si>
    <t>CA250012-1</t>
  </si>
  <si>
    <t>CA250012-3</t>
  </si>
  <si>
    <t>CA250012-10</t>
  </si>
  <si>
    <t>CA250012-11</t>
  </si>
  <si>
    <t>CA250012-12</t>
  </si>
  <si>
    <t>CA250012-2</t>
  </si>
  <si>
    <t>CA250012-9</t>
  </si>
  <si>
    <t>CA250012-7</t>
  </si>
  <si>
    <t>CA250012-13</t>
  </si>
  <si>
    <t>CA250012-8</t>
  </si>
  <si>
    <t>CA250012-6</t>
  </si>
  <si>
    <t>CA250012-5</t>
  </si>
  <si>
    <t>CA250015-7</t>
  </si>
  <si>
    <t>CA250015-9</t>
  </si>
  <si>
    <t>CA250015-12</t>
  </si>
  <si>
    <t>CA250015-3</t>
  </si>
  <si>
    <t>CA250015-6</t>
  </si>
  <si>
    <t>CA250015-4</t>
  </si>
  <si>
    <t>CA250015-1</t>
  </si>
  <si>
    <t>CA250015-8</t>
  </si>
  <si>
    <t>CA250015-11</t>
  </si>
  <si>
    <t>CA250015-10</t>
  </si>
  <si>
    <t>CA250015-5</t>
  </si>
  <si>
    <t>CA250013-3</t>
  </si>
  <si>
    <t>CA250013-2</t>
  </si>
  <si>
    <t>CA250013-5</t>
  </si>
  <si>
    <t>CA250013-9</t>
  </si>
  <si>
    <t>CA250013-12</t>
  </si>
  <si>
    <t>CA250013-11</t>
  </si>
  <si>
    <t>CA250013-7</t>
  </si>
  <si>
    <t>CA250013-8</t>
  </si>
  <si>
    <t>CA250013-13</t>
  </si>
  <si>
    <t>CA250013-10</t>
  </si>
  <si>
    <t>CA250013-6</t>
  </si>
  <si>
    <t>CA250013-1</t>
  </si>
  <si>
    <t>CA250014-12</t>
  </si>
  <si>
    <t>CA250014-10</t>
  </si>
  <si>
    <t>CA250014-4</t>
  </si>
  <si>
    <t>CA250014-13</t>
  </si>
  <si>
    <t>CA250014-5</t>
  </si>
  <si>
    <t>CA250014-1</t>
  </si>
  <si>
    <t>CA250014-11</t>
  </si>
  <si>
    <t>CA250014-8</t>
  </si>
  <si>
    <t>CA250014-2</t>
  </si>
  <si>
    <t>CA250014-3</t>
  </si>
  <si>
    <t>CA250014-9</t>
  </si>
  <si>
    <t>CA250014-6</t>
  </si>
  <si>
    <t>CA250079-1</t>
  </si>
  <si>
    <t>CA250079-2</t>
  </si>
  <si>
    <t>CA250076-3</t>
  </si>
  <si>
    <t>CA250076-4</t>
  </si>
  <si>
    <t>CA250072-5</t>
  </si>
  <si>
    <t>CA250018-9</t>
  </si>
  <si>
    <t>CA250018-6</t>
  </si>
  <si>
    <t>CA250018-11</t>
  </si>
  <si>
    <t>CA250018-5</t>
  </si>
  <si>
    <t>CA250018-7</t>
  </si>
  <si>
    <t>CA250018-12</t>
  </si>
  <si>
    <t>CA250018-4</t>
  </si>
  <si>
    <t>CA250018-10</t>
  </si>
  <si>
    <t>CA250018-8</t>
  </si>
  <si>
    <t>CA250017-5</t>
  </si>
  <si>
    <t>CA250017-2</t>
  </si>
  <si>
    <t>CA250017-8</t>
  </si>
  <si>
    <t>CA250017-4</t>
  </si>
  <si>
    <t>CA250017-3</t>
  </si>
  <si>
    <t>CA250017-7</t>
  </si>
  <si>
    <t>CA250017-1</t>
  </si>
  <si>
    <t>CA250017-12</t>
  </si>
  <si>
    <t>CA250017-11</t>
  </si>
  <si>
    <t>CA250017-6</t>
  </si>
  <si>
    <t>CA250017-9</t>
  </si>
  <si>
    <t>CA250017-10</t>
  </si>
  <si>
    <t>CA250071-2</t>
  </si>
  <si>
    <t>CA250071-1</t>
  </si>
  <si>
    <t>CA250071-3</t>
  </si>
  <si>
    <t>CA250071-5</t>
  </si>
  <si>
    <t>CA250046-1</t>
  </si>
  <si>
    <t>CA250021-1</t>
  </si>
  <si>
    <t>CA250044-6</t>
  </si>
  <si>
    <t>CA250044-1</t>
  </si>
  <si>
    <t>CA250044-4</t>
  </si>
  <si>
    <t>CA250044-2</t>
  </si>
  <si>
    <t>CA250044-5</t>
  </si>
  <si>
    <t>CA250044-3</t>
  </si>
  <si>
    <t>CA250044-7</t>
  </si>
  <si>
    <t>CA250032-3</t>
  </si>
  <si>
    <t>CA250032-4</t>
  </si>
  <si>
    <t>CA250032-1</t>
  </si>
  <si>
    <t>CA250043-5</t>
  </si>
  <si>
    <t>CA250043-6</t>
  </si>
  <si>
    <t>CA250043-1</t>
  </si>
  <si>
    <t>CA250043-7</t>
  </si>
  <si>
    <t>CA250033-6</t>
  </si>
  <si>
    <t>CA250033-4</t>
  </si>
  <si>
    <t>CA250033-5</t>
  </si>
  <si>
    <t>CA250033-3</t>
  </si>
  <si>
    <t>CA250033-1</t>
  </si>
  <si>
    <t>CA250033-7</t>
  </si>
  <si>
    <t>CA250033-2</t>
  </si>
  <si>
    <t>CA250023-1</t>
  </si>
  <si>
    <t>CA250023-5</t>
  </si>
  <si>
    <t>CA250023-3</t>
  </si>
  <si>
    <t>CA250031-1</t>
  </si>
  <si>
    <t>CA250031-3</t>
  </si>
  <si>
    <t>CA250031-5</t>
  </si>
  <si>
    <t>CA250045-2</t>
  </si>
  <si>
    <t>CA250045-4</t>
  </si>
  <si>
    <t>CA250045-3</t>
  </si>
  <si>
    <t>CA250045-6</t>
  </si>
  <si>
    <t>CA250045-5</t>
  </si>
  <si>
    <t>CA250046-2</t>
  </si>
  <si>
    <t>CA250046-3</t>
  </si>
  <si>
    <t>CA250046-4</t>
  </si>
  <si>
    <t>CA250046-5</t>
  </si>
  <si>
    <t>CA250046-6</t>
  </si>
  <si>
    <t>CA250048-2</t>
  </si>
  <si>
    <t>CA250048-1</t>
  </si>
  <si>
    <t>CA250048-3</t>
  </si>
  <si>
    <t>CA250057-2</t>
  </si>
  <si>
    <t>CA250057-1</t>
  </si>
  <si>
    <t>CA250057-3</t>
  </si>
  <si>
    <t>CA250043-4</t>
  </si>
  <si>
    <t>CA250048-6</t>
  </si>
  <si>
    <t>CA250048-4</t>
  </si>
  <si>
    <t>CA250078-1</t>
  </si>
  <si>
    <t>CA250078-2</t>
  </si>
  <si>
    <t>CA250073-1</t>
  </si>
  <si>
    <t>CA250073-2</t>
  </si>
  <si>
    <t>CA250074-1</t>
  </si>
  <si>
    <t>CA250074-2</t>
  </si>
  <si>
    <t>CA250064-5</t>
  </si>
  <si>
    <t>CA250022-4</t>
  </si>
  <si>
    <t>CA250041-7</t>
  </si>
  <si>
    <t>CA250022-3</t>
  </si>
  <si>
    <t>CA250022-6</t>
  </si>
  <si>
    <t>CA250022-5</t>
  </si>
  <si>
    <t>CA250022-1</t>
  </si>
  <si>
    <t>CA250022-2</t>
  </si>
  <si>
    <t>CA250022-7</t>
  </si>
  <si>
    <t>CA250039-7</t>
  </si>
  <si>
    <t>CA250039-2</t>
  </si>
  <si>
    <t>CA250039-4</t>
  </si>
  <si>
    <t>CA250039-1</t>
  </si>
  <si>
    <t>CA250039-5</t>
  </si>
  <si>
    <t>CA250039-6</t>
  </si>
  <si>
    <t>CA250032-7</t>
  </si>
  <si>
    <t>CA250032-5</t>
  </si>
  <si>
    <t>CA250050-3</t>
  </si>
  <si>
    <t>CA250050-1</t>
  </si>
  <si>
    <t>CA250050-2</t>
  </si>
  <si>
    <t>CA250050-4</t>
  </si>
  <si>
    <t>CA250023-4</t>
  </si>
  <si>
    <t>CA250023-6</t>
  </si>
  <si>
    <t>CA250036-4</t>
  </si>
  <si>
    <t>CA250036-1</t>
  </si>
  <si>
    <t>CA250036-3</t>
  </si>
  <si>
    <t>CA250036-5</t>
  </si>
  <si>
    <t>CA250036-2</t>
  </si>
  <si>
    <t>CA250058-2</t>
  </si>
  <si>
    <t>CA250049-5</t>
  </si>
  <si>
    <t>CA250049-6</t>
  </si>
  <si>
    <t>CA250049-4</t>
  </si>
  <si>
    <t>CA250049-1</t>
  </si>
  <si>
    <t>CA250049-2</t>
  </si>
  <si>
    <t>CA250030-6</t>
  </si>
  <si>
    <t>CA250054-1</t>
  </si>
  <si>
    <t>CA250054-2</t>
  </si>
  <si>
    <t>CA250054-3</t>
  </si>
  <si>
    <t>CA250055-1</t>
  </si>
  <si>
    <t>CA250030-3</t>
  </si>
  <si>
    <t>CA250030-5</t>
  </si>
  <si>
    <t>CA250055-3</t>
  </si>
  <si>
    <t>CA250055-2</t>
  </si>
  <si>
    <t>CA250024-3</t>
  </si>
  <si>
    <t>CA250030-7</t>
  </si>
  <si>
    <t>CA250024-2</t>
  </si>
  <si>
    <t>CA250024-1</t>
  </si>
  <si>
    <t>CA250024-4</t>
  </si>
  <si>
    <t>CA250030-2</t>
  </si>
  <si>
    <t>CA250024-5</t>
  </si>
  <si>
    <t>CA250030-4</t>
  </si>
  <si>
    <t>CA250030-1</t>
  </si>
  <si>
    <t>CA250050-6</t>
  </si>
  <si>
    <t>CA250050-5</t>
  </si>
  <si>
    <t>CA250059-2</t>
  </si>
  <si>
    <t>CA250059-1</t>
  </si>
  <si>
    <t>CA250059-3</t>
  </si>
  <si>
    <t>CA250019-1</t>
  </si>
  <si>
    <t>CA250052-4</t>
  </si>
  <si>
    <t>CA250052-2</t>
  </si>
  <si>
    <t>CA250052-1</t>
  </si>
  <si>
    <t>CA250019-11</t>
  </si>
  <si>
    <t>CA250052-6</t>
  </si>
  <si>
    <t>CA250052-7</t>
  </si>
  <si>
    <t>CA250056-3</t>
  </si>
  <si>
    <t>CA250056-1</t>
  </si>
  <si>
    <t>CA250051-5</t>
  </si>
  <si>
    <t>CA250052-5</t>
  </si>
  <si>
    <t>CA250052-3</t>
  </si>
  <si>
    <t>CA250019-9</t>
  </si>
  <si>
    <t>CA250056-2</t>
  </si>
  <si>
    <t>CA250019-10</t>
  </si>
  <si>
    <t>CA250019-7</t>
  </si>
  <si>
    <t>CA250019-8</t>
  </si>
  <si>
    <t>CA250037-4</t>
  </si>
  <si>
    <t>CA250037-3</t>
  </si>
  <si>
    <t>CA250037-2</t>
  </si>
  <si>
    <t>CA250037-7</t>
  </si>
  <si>
    <t>CA250037-1</t>
  </si>
  <si>
    <t>CA250038-1</t>
  </si>
  <si>
    <t>CA250038-5</t>
  </si>
  <si>
    <t>CA250038-4</t>
  </si>
  <si>
    <t>CA250037-5</t>
  </si>
  <si>
    <t>CA250038-6</t>
  </si>
  <si>
    <t>CA250051-2</t>
  </si>
  <si>
    <t>CA250038-2</t>
  </si>
  <si>
    <t>CA250037-6</t>
  </si>
  <si>
    <t>CA250038-3</t>
  </si>
  <si>
    <t>CA250036-6</t>
  </si>
  <si>
    <t>CA250038-7</t>
  </si>
  <si>
    <t>CA250051-4</t>
  </si>
  <si>
    <t>CA250053-2</t>
  </si>
  <si>
    <t>CA250053-1</t>
  </si>
  <si>
    <t>CA250051-3</t>
  </si>
  <si>
    <t>CA250051-1</t>
  </si>
  <si>
    <t>CA250016-1</t>
  </si>
  <si>
    <t>CA250016-2</t>
  </si>
  <si>
    <t>CA250016-3</t>
  </si>
  <si>
    <t>CA250016-7</t>
  </si>
  <si>
    <t>CA250016-9</t>
  </si>
  <si>
    <t>CA250016-5</t>
  </si>
  <si>
    <t>CA250016-6</t>
  </si>
  <si>
    <t>CA250016-8</t>
  </si>
  <si>
    <t>CA250016-4</t>
  </si>
  <si>
    <t>CA250016-11</t>
  </si>
  <si>
    <t>CA250016-10</t>
  </si>
  <si>
    <t>CA250019-6</t>
  </si>
  <si>
    <t>CA250019-3</t>
  </si>
  <si>
    <t>CA250019-5</t>
  </si>
  <si>
    <t>CA250019-4</t>
  </si>
  <si>
    <t>CA250051-6</t>
  </si>
  <si>
    <t>CA250021-7</t>
  </si>
  <si>
    <t>CA250053-3</t>
  </si>
  <si>
    <t>CA250024-6</t>
  </si>
  <si>
    <t>CA250019-12</t>
  </si>
  <si>
    <t>CA250047-4</t>
  </si>
  <si>
    <t>CA250047-1</t>
  </si>
  <si>
    <t>CA250047-3</t>
  </si>
  <si>
    <t>CA250047-2</t>
  </si>
  <si>
    <t>CA250047-5</t>
  </si>
  <si>
    <t>CA250016-12</t>
  </si>
  <si>
    <t>HatemBenAbid</t>
  </si>
  <si>
    <t>DEUXIEME EXTERNE</t>
  </si>
  <si>
    <t>TYPE DE DEUXIEME</t>
  </si>
  <si>
    <t>TERMINALE</t>
  </si>
  <si>
    <t>Tache</t>
  </si>
  <si>
    <t>Dechire</t>
  </si>
  <si>
    <t xml:space="preserve">Frange </t>
  </si>
  <si>
    <t>Num de Colis</t>
  </si>
  <si>
    <t>Quantité</t>
  </si>
  <si>
    <t>Position</t>
  </si>
  <si>
    <t>Facture export</t>
  </si>
  <si>
    <t>C162-056</t>
  </si>
  <si>
    <t>C162-057</t>
  </si>
  <si>
    <t>C162-058</t>
  </si>
  <si>
    <t>C162-059</t>
  </si>
  <si>
    <t>C162-060</t>
  </si>
  <si>
    <t>C162-061</t>
  </si>
  <si>
    <t>C162-062</t>
  </si>
  <si>
    <t>C162-063</t>
  </si>
  <si>
    <t>C162-064</t>
  </si>
  <si>
    <t>C296-07-002</t>
  </si>
  <si>
    <t>C296-07-010</t>
  </si>
  <si>
    <t>C296-07-012</t>
  </si>
  <si>
    <t>C296-07-014</t>
  </si>
  <si>
    <t>C296-07-016</t>
  </si>
  <si>
    <t>C296-07-020</t>
  </si>
  <si>
    <t>C296-38-002</t>
  </si>
  <si>
    <t>C296-41-001</t>
  </si>
  <si>
    <t>C296-41-002</t>
  </si>
  <si>
    <t>C296-41-003</t>
  </si>
  <si>
    <t>C296-41-004</t>
  </si>
  <si>
    <t>C296-41-005</t>
  </si>
  <si>
    <t>C296-41-006</t>
  </si>
  <si>
    <t>C296-41-007</t>
  </si>
  <si>
    <t>C296-44-027</t>
  </si>
  <si>
    <t>C296-44-028</t>
  </si>
  <si>
    <t>C296-46-001</t>
  </si>
  <si>
    <t>C296-47-001</t>
  </si>
  <si>
    <t>C296-47-002</t>
  </si>
  <si>
    <t>C296-47-003</t>
  </si>
  <si>
    <t>C296-47-004</t>
  </si>
  <si>
    <t>C296-47-005</t>
  </si>
  <si>
    <t>C296-STOCK-001</t>
  </si>
  <si>
    <t>C296-STOCK-002</t>
  </si>
  <si>
    <t>C296-STOCK-003</t>
  </si>
  <si>
    <t>C791-076</t>
  </si>
  <si>
    <t>C791-077</t>
  </si>
  <si>
    <t>C791-078</t>
  </si>
  <si>
    <t>C833-233</t>
  </si>
  <si>
    <t>C833-234</t>
  </si>
  <si>
    <t>C844-001</t>
  </si>
  <si>
    <t>C162-066</t>
  </si>
  <si>
    <t>C162-067</t>
  </si>
  <si>
    <t>C162-077</t>
  </si>
  <si>
    <t>Num de Palette</t>
  </si>
  <si>
    <t>Num De colis</t>
  </si>
  <si>
    <t>Facture Export</t>
  </si>
  <si>
    <t>PAL915</t>
  </si>
  <si>
    <t>PA-F25023</t>
  </si>
  <si>
    <t>PAL916</t>
  </si>
  <si>
    <t>Type</t>
  </si>
  <si>
    <t>Entrepot Depart</t>
  </si>
  <si>
    <t>Entrepot Destination</t>
  </si>
  <si>
    <t>Produit Finis</t>
  </si>
  <si>
    <t>Showroom</t>
  </si>
  <si>
    <t>OF230240</t>
  </si>
  <si>
    <t>OF230242</t>
  </si>
  <si>
    <t>OF230243</t>
  </si>
  <si>
    <t>OF230507</t>
  </si>
  <si>
    <t>OF230508</t>
  </si>
  <si>
    <t>OF230509</t>
  </si>
  <si>
    <t>OF240000</t>
  </si>
  <si>
    <t>EC240001</t>
  </si>
  <si>
    <t>EC240002</t>
  </si>
  <si>
    <t>EC240003</t>
  </si>
  <si>
    <t>EC240004</t>
  </si>
  <si>
    <t>EC240005</t>
  </si>
  <si>
    <t>EC240006</t>
  </si>
  <si>
    <t>Produits Semi-Finis</t>
  </si>
  <si>
    <t>CA250065-5</t>
  </si>
  <si>
    <t>CA250397-6</t>
  </si>
  <si>
    <t>CA250397-4</t>
  </si>
  <si>
    <t>CA250397-1</t>
  </si>
  <si>
    <t>CA250397-2</t>
  </si>
  <si>
    <t>CA250397-3</t>
  </si>
  <si>
    <t>CA250397-5</t>
  </si>
  <si>
    <t>CA250005-11</t>
  </si>
  <si>
    <t>CA250014-7</t>
  </si>
  <si>
    <t>CA250013-4</t>
  </si>
  <si>
    <t>CA250365-2</t>
  </si>
  <si>
    <t>CA250358-5</t>
  </si>
  <si>
    <t>CA250358-6</t>
  </si>
  <si>
    <t>CA250358-2</t>
  </si>
  <si>
    <t>CA250358-4</t>
  </si>
  <si>
    <t>CA250364-6</t>
  </si>
  <si>
    <t>CA250358-1</t>
  </si>
  <si>
    <t>CA250363-5</t>
  </si>
  <si>
    <t>CA250365-1</t>
  </si>
  <si>
    <t>CA250365-6</t>
  </si>
  <si>
    <t>CA250365-4</t>
  </si>
  <si>
    <t>CA250362-4</t>
  </si>
  <si>
    <t>CA250363-4</t>
  </si>
  <si>
    <t>CA250363-1</t>
  </si>
  <si>
    <t>CA250358-3</t>
  </si>
  <si>
    <t>CA250363-3</t>
  </si>
  <si>
    <t>CA250363-6</t>
  </si>
  <si>
    <t>CA250365-3</t>
  </si>
  <si>
    <t>CA250365-5</t>
  </si>
  <si>
    <t>CA250362-5</t>
  </si>
  <si>
    <t>CA250362-6</t>
  </si>
  <si>
    <t>CA250391-2</t>
  </si>
  <si>
    <t>CA250362-3</t>
  </si>
  <si>
    <t>CA250391-1</t>
  </si>
  <si>
    <t>CA250362-1</t>
  </si>
  <si>
    <t>CA250362-2</t>
  </si>
  <si>
    <t>CA250392-4</t>
  </si>
  <si>
    <t>CA250392-1</t>
  </si>
  <si>
    <t>CA250392-3</t>
  </si>
  <si>
    <t>CA250392-9</t>
  </si>
  <si>
    <t>CA250392-10</t>
  </si>
  <si>
    <t>CA250392-13</t>
  </si>
  <si>
    <t>CA250392-12</t>
  </si>
  <si>
    <t>CA250392-5</t>
  </si>
  <si>
    <t>CA250392-8</t>
  </si>
  <si>
    <t>CA250392-6</t>
  </si>
  <si>
    <t>CA250392-2</t>
  </si>
  <si>
    <t>CA250393-7</t>
  </si>
  <si>
    <t>CA250393-3</t>
  </si>
  <si>
    <t>CA250393-2</t>
  </si>
  <si>
    <t>CA250393-10</t>
  </si>
  <si>
    <t>CA250393-4</t>
  </si>
  <si>
    <t>CA250393-6</t>
  </si>
  <si>
    <t>CA250393-11</t>
  </si>
  <si>
    <t>CA250393-5</t>
  </si>
  <si>
    <t>CA250392-11</t>
  </si>
  <si>
    <t>CA250392-7</t>
  </si>
  <si>
    <t>Najeh</t>
  </si>
  <si>
    <t>Contrôle Saisis</t>
  </si>
  <si>
    <t>Date Tissage</t>
  </si>
  <si>
    <t>Qte</t>
  </si>
  <si>
    <t>Couture_BB</t>
  </si>
  <si>
    <t>Couture_BN</t>
  </si>
  <si>
    <t>Etiquette_TABF100C</t>
  </si>
  <si>
    <t>Etiquette_TCF100C</t>
  </si>
  <si>
    <t>Etiquette_TFP100C</t>
  </si>
  <si>
    <t>Etiquette_TMK100C</t>
  </si>
  <si>
    <t>Etiquette_TSP100C</t>
  </si>
  <si>
    <t>Etiquette_TMF100M</t>
  </si>
  <si>
    <t>Etiquette_TCP100C</t>
  </si>
  <si>
    <t>Etiquette_TCD100C</t>
  </si>
  <si>
    <t>Etiquette_TDEL100C</t>
  </si>
  <si>
    <t>Etiquette_TBYS100C</t>
  </si>
  <si>
    <t>Etiquette_TBEM100M</t>
  </si>
  <si>
    <t>Etiquette_TSW100S</t>
  </si>
  <si>
    <t>Etiquette_TCSE100 C</t>
  </si>
  <si>
    <t>Etiquette_TCO100C</t>
  </si>
  <si>
    <t>Etiquette_TCSEPAM100C</t>
  </si>
  <si>
    <t>Etiquette_TLSEM100C</t>
  </si>
  <si>
    <t>Etiquette_TKA100C</t>
  </si>
  <si>
    <t>Polybag_P4530</t>
  </si>
  <si>
    <t>Polybag_P6040</t>
  </si>
  <si>
    <t>Polybag_P12075</t>
  </si>
  <si>
    <t>Etiquette_TSC100C</t>
  </si>
  <si>
    <t>Etiquette_TL100C</t>
  </si>
  <si>
    <t>Etiquette_TSOF100C</t>
  </si>
  <si>
    <t>Etiquette_TLB100C</t>
  </si>
  <si>
    <t>Etiquette_TVDS100C</t>
  </si>
  <si>
    <t>Etiquette_TABF70L30C</t>
  </si>
  <si>
    <t>Etiquette_ISOF100C</t>
  </si>
  <si>
    <t>Hantag_CBIZ</t>
  </si>
  <si>
    <t>Hantag_CMAH</t>
  </si>
  <si>
    <t>Hantag_CMON</t>
  </si>
  <si>
    <t>Ruban_TORABF</t>
  </si>
  <si>
    <t>Ruban_TORCF</t>
  </si>
  <si>
    <t>Ruban_FILOPLAT</t>
  </si>
  <si>
    <t>Ruban_FILOND</t>
  </si>
  <si>
    <t>Etiquette_ISDB100C</t>
  </si>
  <si>
    <t>Etiquette_IATD100C</t>
  </si>
  <si>
    <t>Etiquette_ILAU98C2P</t>
  </si>
  <si>
    <t>Etiquette_ILAU90C10P</t>
  </si>
  <si>
    <t>Etiquette_ILAU100C</t>
  </si>
  <si>
    <t>Etiquette_ICF100C</t>
  </si>
  <si>
    <t>Etiquette_TEME100C</t>
  </si>
  <si>
    <t>Etiquette_TCC100C</t>
  </si>
  <si>
    <t>Etiquette_IJF100C</t>
  </si>
  <si>
    <t>Etiquette_IILO90C10A</t>
  </si>
  <si>
    <t>Etiquette_IAT100C</t>
  </si>
  <si>
    <t>Etiquette_IAT60C40P</t>
  </si>
  <si>
    <t>Etiquette_IAT50L48C2P</t>
  </si>
  <si>
    <t>Emballage_FILP</t>
  </si>
  <si>
    <t>Emballage_SCOHAV</t>
  </si>
  <si>
    <t>Emballage_SCOPOLY</t>
  </si>
  <si>
    <t>Emballage_CAR464</t>
  </si>
  <si>
    <t>Emballage_CAR462</t>
  </si>
  <si>
    <t>Emballage_CAR433</t>
  </si>
  <si>
    <t>Hantag_CSHAEP031</t>
  </si>
  <si>
    <t>Hantag_CSHAM1020C</t>
  </si>
  <si>
    <t>Hantag_CSHAM2020C</t>
  </si>
  <si>
    <t>Hantag_CODPON</t>
  </si>
  <si>
    <t>Emballage_COFECHSP</t>
  </si>
  <si>
    <t>Emballage_COFECHABF</t>
  </si>
  <si>
    <t>Emballage_COFJETABF</t>
  </si>
  <si>
    <t>Hantag_CABFSCOD</t>
  </si>
  <si>
    <t>ADMINISTRATEUR</t>
  </si>
  <si>
    <t>Alimentation commande</t>
  </si>
  <si>
    <t>RAS</t>
  </si>
  <si>
    <t>Référence</t>
  </si>
  <si>
    <t>QR Fabrication</t>
  </si>
  <si>
    <t>QR Commande</t>
  </si>
  <si>
    <t>OF246533_CL00296_CM-FT0108_EPMA0919-B15-02_MARINIERE_0919</t>
  </si>
  <si>
    <t>CA250004_All by Fouta_Stock_UNS1020-09_UNI SURPIQUE_1020</t>
  </si>
  <si>
    <t>CA250069_All by Fouta_Stock_UNS2030-17_UNI SURPIQUE_2030</t>
  </si>
  <si>
    <t>OF246543_CL00296_CM-FT0108_EPMA0919-B15-02_MARINIERE_0919</t>
  </si>
  <si>
    <t>CA250070_All by Fouta_Stock_UNS2030-18_UNI SURPIQUE_2030</t>
  </si>
  <si>
    <t>CA250026_All by Fouta_Stock_UNS2020-12_UNI SURPIQUE_2020</t>
  </si>
  <si>
    <t>CA250025_All by Fouta_Stock_UNS2020-10_UNI SURPIQUE_2020</t>
  </si>
  <si>
    <t>CA250068_All by Fouta_Stock_UNS2030-15_UNI SURPIQUE_2030</t>
  </si>
  <si>
    <t>CA250014_All by Fouta_Stock_UNS1020-24_UNI SURPIQUE_1020</t>
  </si>
  <si>
    <t>OF246842_CL00300_CM-FT0116_AR2030-B11-16_ARTHUR_2030</t>
  </si>
  <si>
    <t>CA250013_All by Fouta_Stock_UNS1020-23_UNI SURPIQUE_1020</t>
  </si>
  <si>
    <t>CA250392_All by Fouta_Stock_BE1020-Q26-13-01_BERBER_1020</t>
  </si>
  <si>
    <t>OF250128_CL00296_CM-FT0129_NDL1020-B09-14_ND LILI_1020</t>
  </si>
  <si>
    <t>CA250075_All by Fouta_Stock_UNS2030-26_UNI SURPIQUE_2030</t>
  </si>
  <si>
    <t>CA250077_All by Fouta_Stock_UNS2030-30_UNI SURPIQUE_2030</t>
  </si>
  <si>
    <t>CA250397_All by Fouta_Stock_BE1020-Q10-16-01_BERBER_1020</t>
  </si>
  <si>
    <t>OF250129_CL00296_CM-FT0129_SACF0507-B09-14_SAC FOUTA_0507</t>
  </si>
  <si>
    <t>CA250004-11_All by Fouta_Stock_UNS1020-09_UNI SURPIQUE_1020</t>
  </si>
  <si>
    <t>CA250009-6_All by Fouta_Stock_UNS1020-17_UNI SURPIQUE_1020</t>
  </si>
  <si>
    <t>CA250006-10_All by Fouta_Stock_UNS1020-12_UNI SURPIQUE_1020</t>
  </si>
  <si>
    <t>CA250011-6_All by Fouta_Stock_UNS1020-19_UNI SURPIQUE_1020</t>
  </si>
  <si>
    <t>CA250064-1_All by Fouta_Stock_UNS2030-09_UNI SURPIQUE_2030</t>
  </si>
  <si>
    <t>CA250062_All by Fouta_Stock_UNS2030-04_UNI SURPIQUE_2030</t>
  </si>
  <si>
    <t>CA250066_All by Fouta_Stock_UNS2030-12_UNI SURPIQUE_2030</t>
  </si>
  <si>
    <t>CA250393_All by Fouta_Stock_BE1020-Q04-20-01_BERBER_1020</t>
  </si>
  <si>
    <t>CA250362_All by Fouta_Stock_BIB1020-T17-02-10_BIBI_1020</t>
  </si>
  <si>
    <t>CA250358_All by Fouta_Stock_BIB1020-T03-02-17_BIBI_1020</t>
  </si>
  <si>
    <t>CA250365_All by Fouta_Stock_BIB1020-T20-01-24_BIBI_1020</t>
  </si>
  <si>
    <t>CA250363_All by Fouta_Stock_BIB1020-T24-01-29_BIBI_1020</t>
  </si>
  <si>
    <t>CA250364_All by Fouta_Stock_BIB1020-T26-01-10_BIBI_1020</t>
  </si>
  <si>
    <t>OF249977_CL00791_CM-FT0104_AR1020-B15-25_ARTHUR_1020</t>
  </si>
  <si>
    <t>CA250474-9_All by Fouta_Stock_FAF1020-B06-08_FIL A FIL_1020</t>
  </si>
  <si>
    <t>CA250474-8_All by Fouta_Stock_FAF1020-B06-08_FIL A FIL_1020</t>
  </si>
  <si>
    <t>CA250474-12_All by Fouta_Stock_FAF1020-B06-08_FIL A FIL_1020</t>
  </si>
  <si>
    <t>CA250474-3_All by Fouta_Stock_FAF1020-B06-08_FIL A FIL_1020</t>
  </si>
  <si>
    <t>CA250474-1_All by Fouta_Stock_FAF1020-B06-08_FIL A FIL_1020</t>
  </si>
  <si>
    <t>CA250474-10_All by Fouta_Stock_FAF1020-B06-08_FIL A FIL_1020</t>
  </si>
  <si>
    <t>CA250474-11_All by Fouta_Stock_FAF1020-B06-08_FIL A FIL_1020</t>
  </si>
  <si>
    <t>CA250474-7_All by Fouta_Stock_FAF1020-B06-08_FIL A FIL_1020</t>
  </si>
  <si>
    <t>CA250474-2_All by Fouta_Stock_FAF1020-B06-08_FIL A FIL_1020</t>
  </si>
  <si>
    <t>CA250474-4_All by Fouta_Stock_FAF1020-B06-08_FIL A FIL_1020</t>
  </si>
  <si>
    <t>CA250474-5_All by Fouta_Stock_FAF1020-B06-08_FIL A FIL_1020</t>
  </si>
  <si>
    <t>CA250474-6_All by Fouta_Stock_FAF1020-B06-08_FIL A FIL_1020</t>
  </si>
  <si>
    <t>CA250474-13_All by Fouta_Stock_FAF1020-B06-08_FIL A FIL_1020</t>
  </si>
  <si>
    <t>CA250469-1_All by Fouta_Stock_FAF1020-B04-02_FIL A FIL_1020</t>
  </si>
  <si>
    <t>CA250469-2_All by Fouta_Stock_FAF1020-B04-02_FIL A FIL_1020</t>
  </si>
  <si>
    <t>CA250469-3_All by Fouta_Stock_FAF1020-B04-02_FIL A FIL_1020</t>
  </si>
  <si>
    <t>CA250469-4_All by Fouta_Stock_FAF1020-B04-02_FIL A FIL_1020</t>
  </si>
  <si>
    <t>CA250469-5_All by Fouta_Stock_FAF1020-B04-02_FIL A FIL_1020</t>
  </si>
  <si>
    <t>CA250469-6_All by Fouta_Stock_FAF1020-B04-02_FIL A FIL_1020</t>
  </si>
  <si>
    <t>CA250469-7_All by Fouta_Stock_FAF1020-B04-02_FIL A FIL_1020</t>
  </si>
  <si>
    <t>CA250469-8_All by Fouta_Stock_FAF1020-B04-02_FIL A FIL_1020</t>
  </si>
  <si>
    <t>CA250469-9_All by Fouta_Stock_FAF1020-B04-02_FIL A FIL_1020</t>
  </si>
  <si>
    <t>CA250469-10_All by Fouta_Stock_FAF1020-B04-02_FIL A FIL_1020</t>
  </si>
  <si>
    <t>CA250469-11_All by Fouta_Stock_FAF1020-B04-02_FIL A FIL_1020</t>
  </si>
  <si>
    <t>CA250469-12_All by Fouta_Stock_FAF1020-B04-02_FIL A FIL_1020</t>
  </si>
  <si>
    <t>CA250469-13_All by Fouta_Stock_FAF1020-B04-02_FIL A FIL_1020</t>
  </si>
  <si>
    <t>CA250391-5_All by Fouta_Stock_BE1020-Q04-24-20_BERBER_1020</t>
  </si>
  <si>
    <t>CA250391-6_All by Fouta_Stock_BE1020-Q04-24-20_BERBER_1020</t>
  </si>
  <si>
    <t>CA250391-7_All by Fouta_Stock_BE1020-Q04-24-20_BERBER_1020</t>
  </si>
  <si>
    <t>CA250391-8_All by Fouta_Stock_BE1020-Q04-24-20_BERBER_1020</t>
  </si>
  <si>
    <t>CA250391-9_All by Fouta_Stock_BE1020-Q04-24-20_BERBER_1020</t>
  </si>
  <si>
    <t>CA250391-10_All by Fouta_Stock_BE1020-Q04-24-20_BERBER_1020</t>
  </si>
  <si>
    <t>CA250391-11_All by Fouta_Stock_BE1020-Q04-24-20_BERBER_1020</t>
  </si>
  <si>
    <t>CA250391-12_All by Fouta_Stock_BE1020-Q04-24-20_BERBER_1020</t>
  </si>
  <si>
    <t>CA250391-13_All by Fouta_Stock_BE1020-Q04-24-20_BERBER_1020</t>
  </si>
  <si>
    <t>CA250473-5_All by Fouta_Stock_FAF1020-B18-19_FIL A FIL_1020</t>
  </si>
  <si>
    <t>CA250473-4_All by Fouta_Stock_FAF1020-B18-19_FIL A FIL_1020</t>
  </si>
  <si>
    <t>CA250473-2_All by Fouta_Stock_FAF1020-B18-19_FIL A FIL_1020</t>
  </si>
  <si>
    <t>CA250473-3_All by Fouta_Stock_FAF1020-B18-19_FIL A FIL_1020</t>
  </si>
  <si>
    <t>CA250473-12_All by Fouta_Stock_FAF1020-B18-19_FIL A FIL_1020</t>
  </si>
  <si>
    <t>CA250473-9_All by Fouta_Stock_FAF1020-B18-19_FIL A FIL_1020</t>
  </si>
  <si>
    <t>CA250473-8_All by Fouta_Stock_FAF1020-B18-19_FIL A FIL_1020</t>
  </si>
  <si>
    <t>CA250473-1_All by Fouta_Stock_FAF1020-B18-19_FIL A FIL_1020</t>
  </si>
  <si>
    <t>CA250473-6_All by Fouta_Stock_FAF1020-B18-19_FIL A FIL_1020</t>
  </si>
  <si>
    <t>CA250473-7_All by Fouta_Stock_FAF1020-B18-19_FIL A FIL_1020</t>
  </si>
  <si>
    <t>CA250473-10_All by Fouta_Stock_FAF1020-B18-19_FIL A FIL_1020</t>
  </si>
  <si>
    <t>CA250473-11_All by Fouta_Stock_FAF1020-B18-19_FIL A FIL_1020</t>
  </si>
  <si>
    <t>CA250473-13_All by Fouta_Stock_FAF1020-B18-19_FIL A FIL_1020</t>
  </si>
  <si>
    <t>CA250064-2_All by Fouta_Stock_UNS2030-09_UNI SURPIQUE_2030</t>
  </si>
  <si>
    <t>CA250064-3_All by Fouta_Stock_UNS2030-09_UNI SURPIQUE_2030</t>
  </si>
  <si>
    <t>CA250064-4_All by Fouta_Stock_UNS2030-09_UNI SURPIQUE_2030</t>
  </si>
  <si>
    <t>CA250065_All by Fouta_Stock_UNS2030-10_UNI SURPIQUE_2030</t>
  </si>
  <si>
    <t>CA250061_All by Fouta_Stock_UNS2030-03_UNI SURPIQUE_2030</t>
  </si>
  <si>
    <t>OF246839_CL00300_CM-FT0116_AR2030-B07-17_ARTHUR_2030</t>
  </si>
  <si>
    <t>OF246831_CL00300_CM-FT0116_AR2030-B06-01_ARTHUR_2030</t>
  </si>
  <si>
    <t>CA250076-1_All by Fouta_Stock_UNS2030-27_UNI SURPIQUE_2030</t>
  </si>
  <si>
    <t>CA250076-2_All by Fouta_Stock_UNS2030-27_UNI SURPIQUE_2030</t>
  </si>
  <si>
    <t>OF246840_CL00300_CM-FT0116_AR2030-B11-25_ARTHUR_2030</t>
  </si>
  <si>
    <t>OF242494_CL00833_ABF-CM90226_AR2426-B24-01_ARTHUR_2426</t>
  </si>
  <si>
    <t>OF242496_CL00833_ABF-CM90226_AR2426-B26-01_ARTHUR_2426</t>
  </si>
  <si>
    <t>OF242493_CL00833_ABF-CM90226_AR2426-B23-01_ARTHUR_2426</t>
  </si>
  <si>
    <t>OF242492_CL00833_ABF-CM90226_AR2426-B22-01_ARTHUR_2426</t>
  </si>
  <si>
    <t>OF246834_CL00300_CM-FT0116_AR2030-B14-01_ARTHUR_2030</t>
  </si>
  <si>
    <t>CA250637-1_All by Fouta_Stock_EPMA0919-B26-02_MARINIERE_0919</t>
  </si>
  <si>
    <t>CA250637-2_All by Fouta_Stock_EPMA0919-B26-02_MARINIERE_0919</t>
  </si>
  <si>
    <t>CA250637-15_All by Fouta_Stock_EPMA0919-B26-02_MARINIERE_0919</t>
  </si>
  <si>
    <t>OF246533-10_CL00296_CM-FT0108_EPMA0919-B15-02_MARINIERE_0919</t>
  </si>
  <si>
    <t>OF246533-15_CL00296_CM-FT0108_EPMA0919-B15-02_MARINIERE_0919</t>
  </si>
  <si>
    <t>OF246533-2_CL00296_CM-FT0108_EPMA0919-B15-02_MARINIERE_0919</t>
  </si>
  <si>
    <t>OF246533-13_CL00296_CM-FT0108_EPMA0919-B15-02_MARINIERE_0919</t>
  </si>
  <si>
    <t>OF246533-12_CL00296_CM-FT0108_EPMA0919-B15-02_MARINIERE_0919</t>
  </si>
  <si>
    <t>OF246533-9_CL00296_CM-FT0108_EPMA0919-B15-02_MARINIERE_0919</t>
  </si>
  <si>
    <t>OF246533-5_CL00296_CM-FT0108_EPMA0919-B15-02_MARINIERE_0919</t>
  </si>
  <si>
    <t>CA250637-7_All by Fouta_Stock_EPMA0919-B26-02_MARINIERE_0919</t>
  </si>
  <si>
    <t>CA250637-4_All by Fouta_Stock_EPMA0919-B26-02_MARINIERE_0919</t>
  </si>
  <si>
    <t>CA250637-5_All by Fouta_Stock_EPMA0919-B26-02_MARINIERE_0919</t>
  </si>
  <si>
    <t>CA250637-8_All by Fouta_Stock_EPMA0919-B26-02_MARINIERE_0919</t>
  </si>
  <si>
    <t>CA250637-9_All by Fouta_Stock_EPMA0919-B26-02_MARINIERE_0919</t>
  </si>
  <si>
    <t>CA250637-14_All by Fouta_Stock_EPMA0919-B26-02_MARINIERE_0919</t>
  </si>
  <si>
    <t>CA250637-3_All by Fouta_Stock_EPMA0919-B26-02_MARINIERE_0919</t>
  </si>
  <si>
    <t>CA250637-6_All by Fouta_Stock_EPMA0919-B26-02_MARINIERE_0919</t>
  </si>
  <si>
    <t>CA250637-10_All by Fouta_Stock_EPMA0919-B26-02_MARINIERE_0919</t>
  </si>
  <si>
    <t>CA250637-11_All by Fouta_Stock_EPMA0919-B26-02_MARINIERE_0919</t>
  </si>
  <si>
    <t>CA250637-12_All by Fouta_Stock_EPMA0919-B26-02_MARINIERE_0919</t>
  </si>
  <si>
    <t>CA250637-13_All by Fouta_Stock_EPMA0919-B26-02_MARINIERE_0919</t>
  </si>
  <si>
    <t>CA250002-13_All by Fouta_Stock_UNS1020-04_UNI SURPIQUE_1020</t>
  </si>
  <si>
    <t>CA250002-10_All by Fouta_Stock_UNS1020-04_UNI SURPIQUE_1020</t>
  </si>
  <si>
    <t>CA250002-11_All by Fouta_Stock_UNS1020-04_UNI SURPIQUE_1020</t>
  </si>
  <si>
    <t>CA250002-12_All by Fouta_Stock_UNS1020-04_UNI SURPIQUE_1020</t>
  </si>
  <si>
    <t>CA250002-9_All by Fouta_Stock_UNS1020-04_UNI SURPIQUE_1020</t>
  </si>
  <si>
    <t>CA250004-1_All by Fouta_Stock_UNS1020-09_UNI SURPIQUE_1020</t>
  </si>
  <si>
    <t>CA250004-2_All by Fouta_Stock_UNS1020-09_UNI SURPIQUE_1020</t>
  </si>
  <si>
    <t>CA250004-6_All by Fouta_Stock_UNS1020-09_UNI SURPIQUE_1020</t>
  </si>
  <si>
    <t>CA250004-7_All by Fouta_Stock_UNS1020-09_UNI SURPIQUE_1020</t>
  </si>
  <si>
    <t>CA250004-9_All by Fouta_Stock_UNS1020-09_UNI SURPIQUE_1020</t>
  </si>
  <si>
    <t>CA250004-5_All by Fouta_Stock_UNS1020-09_UNI SURPIQUE_1020</t>
  </si>
  <si>
    <t>CA250004-12_All by Fouta_Stock_UNS1020-09_UNI SURPIQUE_1020</t>
  </si>
  <si>
    <t>CA250004-4_All by Fouta_Stock_UNS1020-09_UNI SURPIQUE_1020</t>
  </si>
  <si>
    <t>CA250004-8_All by Fouta_Stock_UNS1020-09_UNI SURPIQUE_1020</t>
  </si>
  <si>
    <t>CA250004-10_All by Fouta_Stock_UNS1020-09_UNI SURPIQUE_1020</t>
  </si>
  <si>
    <t>CA250004-3_All by Fouta_Stock_UNS1020-09_UNI SURPIQUE_1020</t>
  </si>
  <si>
    <t>CA250005-3_All by Fouta_Stock_UNS1020-10_UNI SURPIQUE_1020</t>
  </si>
  <si>
    <t>CA250005-9_All by Fouta_Stock_UNS1020-10_UNI SURPIQUE_1020</t>
  </si>
  <si>
    <t>CA250005-10_All by Fouta_Stock_UNS1020-10_UNI SURPIQUE_1020</t>
  </si>
  <si>
    <t>CA250005-4_All by Fouta_Stock_UNS1020-10_UNI SURPIQUE_1020</t>
  </si>
  <si>
    <t>CA250005-2_All by Fouta_Stock_UNS1020-10_UNI SURPIQUE_1020</t>
  </si>
  <si>
    <t>CA250005-12_All by Fouta_Stock_UNS1020-10_UNI SURPIQUE_1020</t>
  </si>
  <si>
    <t>CA250005-7_All by Fouta_Stock_UNS1020-10_UNI SURPIQUE_1020</t>
  </si>
  <si>
    <t>CA250005-13_All by Fouta_Stock_UNS1020-10_UNI SURPIQUE_1020</t>
  </si>
  <si>
    <t>CA250005-5_All by Fouta_Stock_UNS1020-10_UNI SURPIQUE_1020</t>
  </si>
  <si>
    <t>CA250005-1_All by Fouta_Stock_UNS1020-10_UNI SURPIQUE_1020</t>
  </si>
  <si>
    <t>CA250005-6_All by Fouta_Stock_UNS1020-10_UNI SURPIQUE_1020</t>
  </si>
  <si>
    <t>CA250005-11_All by Fouta_Stock_UNS1020-10_UNI SURPIQUE_1020</t>
  </si>
  <si>
    <t>CA250005-8_All by Fouta_Stock_UNS1020-10_UNI SURPIQUE_1020</t>
  </si>
  <si>
    <t>CA250006-1_All by Fouta_Stock_UNS1020-12_UNI SURPIQUE_1020</t>
  </si>
  <si>
    <t>CA250006-12_All by Fouta_Stock_UNS1020-12_UNI SURPIQUE_1020</t>
  </si>
  <si>
    <t>CA250006-2_All by Fouta_Stock_UNS1020-12_UNI SURPIQUE_1020</t>
  </si>
  <si>
    <t>CA250006-4_All by Fouta_Stock_UNS1020-12_UNI SURPIQUE_1020</t>
  </si>
  <si>
    <t>CA250006-8_All by Fouta_Stock_UNS1020-12_UNI SURPIQUE_1020</t>
  </si>
  <si>
    <t>CA250006-3_All by Fouta_Stock_UNS1020-12_UNI SURPIQUE_1020</t>
  </si>
  <si>
    <t>CA250006-9_All by Fouta_Stock_UNS1020-12_UNI SURPIQUE_1020</t>
  </si>
  <si>
    <t>CA250006-5_All by Fouta_Stock_UNS1020-12_UNI SURPIQUE_1020</t>
  </si>
  <si>
    <t>CA250006-13_All by Fouta_Stock_UNS1020-12_UNI SURPIQUE_1020</t>
  </si>
  <si>
    <t>CA250006-6_All by Fouta_Stock_UNS1020-12_UNI SURPIQUE_1020</t>
  </si>
  <si>
    <t>CA250006-11_All by Fouta_Stock_UNS1020-12_UNI SURPIQUE_1020</t>
  </si>
  <si>
    <t>CA250006-7_All by Fouta_Stock_UNS1020-12_UNI SURPIQUE_1020</t>
  </si>
  <si>
    <t>CA250008-1_All by Fouta_Stock_UNS1020-15_UNI SURPIQUE_1020</t>
  </si>
  <si>
    <t>CA250008-9_All by Fouta_Stock_UNS1020-15_UNI SURPIQUE_1020</t>
  </si>
  <si>
    <t>CA250008-2_All by Fouta_Stock_UNS1020-15_UNI SURPIQUE_1020</t>
  </si>
  <si>
    <t>CA250008-7_All by Fouta_Stock_UNS1020-15_UNI SURPIQUE_1020</t>
  </si>
  <si>
    <t>CA250008-8_All by Fouta_Stock_UNS1020-15_UNI SURPIQUE_1020</t>
  </si>
  <si>
    <t>CA250008-5_All by Fouta_Stock_UNS1020-15_UNI SURPIQUE_1020</t>
  </si>
  <si>
    <t>CA250008-3_All by Fouta_Stock_UNS1020-15_UNI SURPIQUE_1020</t>
  </si>
  <si>
    <t>CA250008-10_All by Fouta_Stock_UNS1020-15_UNI SURPIQUE_1020</t>
  </si>
  <si>
    <t>CA250008-12_All by Fouta_Stock_UNS1020-15_UNI SURPIQUE_1020</t>
  </si>
  <si>
    <t>CA250008-6_All by Fouta_Stock_UNS1020-15_UNI SURPIQUE_1020</t>
  </si>
  <si>
    <t>CA250008-11_All by Fouta_Stock_UNS1020-15_UNI SURPIQUE_1020</t>
  </si>
  <si>
    <t>CA250008-4_All by Fouta_Stock_UNS1020-15_UNI SURPIQUE_1020</t>
  </si>
  <si>
    <t>CA250011-5_All by Fouta_Stock_UNS1020-19_UNI SURPIQUE_1020</t>
  </si>
  <si>
    <t>CA250011-3_All by Fouta_Stock_UNS1020-19_UNI SURPIQUE_1020</t>
  </si>
  <si>
    <t>CA250011-4_All by Fouta_Stock_UNS1020-19_UNI SURPIQUE_1020</t>
  </si>
  <si>
    <t>CA250011-9_All by Fouta_Stock_UNS1020-19_UNI SURPIQUE_1020</t>
  </si>
  <si>
    <t>CA250011-10_All by Fouta_Stock_UNS1020-19_UNI SURPIQUE_1020</t>
  </si>
  <si>
    <t>CA250011-12_All by Fouta_Stock_UNS1020-19_UNI SURPIQUE_1020</t>
  </si>
  <si>
    <t>CA250011-8_All by Fouta_Stock_UNS1020-19_UNI SURPIQUE_1020</t>
  </si>
  <si>
    <t>CA250011-1_All by Fouta_Stock_UNS1020-19_UNI SURPIQUE_1020</t>
  </si>
  <si>
    <t>CA250011-7_All by Fouta_Stock_UNS1020-19_UNI SURPIQUE_1020</t>
  </si>
  <si>
    <t>CA250011-11_All by Fouta_Stock_UNS1020-19_UNI SURPIQUE_1020</t>
  </si>
  <si>
    <t>CA250011-2_All by Fouta_Stock_UNS1020-19_UNI SURPIQUE_1020</t>
  </si>
  <si>
    <t>CA250009-2_All by Fouta_Stock_UNS1020-17_UNI SURPIQUE_1020</t>
  </si>
  <si>
    <t>CA250009-9_All by Fouta_Stock_UNS1020-17_UNI SURPIQUE_1020</t>
  </si>
  <si>
    <t>CA250009-7_All by Fouta_Stock_UNS1020-17_UNI SURPIQUE_1020</t>
  </si>
  <si>
    <t>CA250009-12_All by Fouta_Stock_UNS1020-17_UNI SURPIQUE_1020</t>
  </si>
  <si>
    <t>CA250009-13_All by Fouta_Stock_UNS1020-17_UNI SURPIQUE_1020</t>
  </si>
  <si>
    <t>CA250009-4_All by Fouta_Stock_UNS1020-17_UNI SURPIQUE_1020</t>
  </si>
  <si>
    <t>CA250009-1_All by Fouta_Stock_UNS1020-17_UNI SURPIQUE_1020</t>
  </si>
  <si>
    <t>CA250009-3_All by Fouta_Stock_UNS1020-17_UNI SURPIQUE_1020</t>
  </si>
  <si>
    <t>CA250009-5_All by Fouta_Stock_UNS1020-17_UNI SURPIQUE_1020</t>
  </si>
  <si>
    <t>CA250009-10_All by Fouta_Stock_UNS1020-17_UNI SURPIQUE_1020</t>
  </si>
  <si>
    <t>CA250009-8_All by Fouta_Stock_UNS1020-17_UNI SURPIQUE_1020</t>
  </si>
  <si>
    <t>CA250009-11_All by Fouta_Stock_UNS1020-17_UNI SURPIQUE_1020</t>
  </si>
  <si>
    <t>CA250010-1_All by Fouta_Stock_UNS1020-18_UNI SURPIQUE_1020</t>
  </si>
  <si>
    <t>CA250010-2_All by Fouta_Stock_UNS1020-18_UNI SURPIQUE_1020</t>
  </si>
  <si>
    <t>CA250010-4_All by Fouta_Stock_UNS1020-18_UNI SURPIQUE_1020</t>
  </si>
  <si>
    <t>CA250010-8_All by Fouta_Stock_UNS1020-18_UNI SURPIQUE_1020</t>
  </si>
  <si>
    <t>CA250010-7_All by Fouta_Stock_UNS1020-18_UNI SURPIQUE_1020</t>
  </si>
  <si>
    <t>CA250010-9_All by Fouta_Stock_UNS1020-18_UNI SURPIQUE_1020</t>
  </si>
  <si>
    <t>CA250010-12_All by Fouta_Stock_UNS1020-18_UNI SURPIQUE_1020</t>
  </si>
  <si>
    <t>CA250010-10_All by Fouta_Stock_UNS1020-18_UNI SURPIQUE_1020</t>
  </si>
  <si>
    <t>CA250010-11_All by Fouta_Stock_UNS1020-18_UNI SURPIQUE_1020</t>
  </si>
  <si>
    <t>CA250010-3_All by Fouta_Stock_UNS1020-18_UNI SURPIQUE_1020</t>
  </si>
  <si>
    <t>CA250010-5_All by Fouta_Stock_UNS1020-18_UNI SURPIQUE_1020</t>
  </si>
  <si>
    <t>CA250010-6_All by Fouta_Stock_UNS1020-18_UNI SURPIQUE_1020</t>
  </si>
  <si>
    <t>CA250012-1_All by Fouta_Stock_UNS1020-20_UNI SURPIQUE_1020</t>
  </si>
  <si>
    <t>CA250012-4_All by Fouta_Stock_UNS1020-20_UNI SURPIQUE_1020</t>
  </si>
  <si>
    <t>CA250012-3_All by Fouta_Stock_UNS1020-20_UNI SURPIQUE_1020</t>
  </si>
  <si>
    <t>CA250012-10_All by Fouta_Stock_UNS1020-20_UNI SURPIQUE_1020</t>
  </si>
  <si>
    <t>CA250012-11_All by Fouta_Stock_UNS1020-20_UNI SURPIQUE_1020</t>
  </si>
  <si>
    <t>CA250012-12_All by Fouta_Stock_UNS1020-20_UNI SURPIQUE_1020</t>
  </si>
  <si>
    <t>CA250012-2_All by Fouta_Stock_UNS1020-20_UNI SURPIQUE_1020</t>
  </si>
  <si>
    <t>CA250012-9_All by Fouta_Stock_UNS1020-20_UNI SURPIQUE_1020</t>
  </si>
  <si>
    <t>CA250012-7_All by Fouta_Stock_UNS1020-20_UNI SURPIQUE_1020</t>
  </si>
  <si>
    <t>CA250012-13_All by Fouta_Stock_UNS1020-20_UNI SURPIQUE_1020</t>
  </si>
  <si>
    <t>CA250012-8_All by Fouta_Stock_UNS1020-20_UNI SURPIQUE_1020</t>
  </si>
  <si>
    <t>CA250012-6_All by Fouta_Stock_UNS1020-20_UNI SURPIQUE_1020</t>
  </si>
  <si>
    <t>CA250012-5_All by Fouta_Stock_UNS1020-20_UNI SURPIQUE_1020</t>
  </si>
  <si>
    <t>CA250015-7_All by Fouta_Stock_UNS1020-26_UNI SURPIQUE_1020</t>
  </si>
  <si>
    <t>CA250015-9_All by Fouta_Stock_UNS1020-26_UNI SURPIQUE_1020</t>
  </si>
  <si>
    <t>CA250015-2_All by Fouta_Stock_UNS1020-26_UNI SURPIQUE_1020</t>
  </si>
  <si>
    <t>CA250015-12_All by Fouta_Stock_UNS1020-26_UNI SURPIQUE_1020</t>
  </si>
  <si>
    <t>CA250015-3_All by Fouta_Stock_UNS1020-26_UNI SURPIQUE_1020</t>
  </si>
  <si>
    <t>CA250015-6_All by Fouta_Stock_UNS1020-26_UNI SURPIQUE_1020</t>
  </si>
  <si>
    <t>CA250015-4_All by Fouta_Stock_UNS1020-26_UNI SURPIQUE_1020</t>
  </si>
  <si>
    <t>CA250015-1_All by Fouta_Stock_UNS1020-26_UNI SURPIQUE_1020</t>
  </si>
  <si>
    <t>CA250015-8_All by Fouta_Stock_UNS1020-26_UNI SURPIQUE_1020</t>
  </si>
  <si>
    <t>CA250015-11_All by Fouta_Stock_UNS1020-26_UNI SURPIQUE_1020</t>
  </si>
  <si>
    <t>CA250015-10_All by Fouta_Stock_UNS1020-26_UNI SURPIQUE_1020</t>
  </si>
  <si>
    <t>CA250015-5_All by Fouta_Stock_UNS1020-26_UNI SURPIQUE_1020</t>
  </si>
  <si>
    <t>CA250013-3_All by Fouta_Stock_UNS1020-23_UNI SURPIQUE_1020</t>
  </si>
  <si>
    <t>CA250013-2_All by Fouta_Stock_UNS1020-23_UNI SURPIQUE_1020</t>
  </si>
  <si>
    <t>CA250013-5_All by Fouta_Stock_UNS1020-23_UNI SURPIQUE_1020</t>
  </si>
  <si>
    <t>CA250013-9_All by Fouta_Stock_UNS1020-23_UNI SURPIQUE_1020</t>
  </si>
  <si>
    <t>CA250013-12_All by Fouta_Stock_UNS1020-23_UNI SURPIQUE_1020</t>
  </si>
  <si>
    <t>CA250013-11_All by Fouta_Stock_UNS1020-23_UNI SURPIQUE_1020</t>
  </si>
  <si>
    <t>CA250013-7_All by Fouta_Stock_UNS1020-23_UNI SURPIQUE_1020</t>
  </si>
  <si>
    <t>CA250013-8_All by Fouta_Stock_UNS1020-23_UNI SURPIQUE_1020</t>
  </si>
  <si>
    <t>CA250013-13_All by Fouta_Stock_UNS1020-23_UNI SURPIQUE_1020</t>
  </si>
  <si>
    <t>CA250013-10_All by Fouta_Stock_UNS1020-23_UNI SURPIQUE_1020</t>
  </si>
  <si>
    <t>CA250013-6_All by Fouta_Stock_UNS1020-23_UNI SURPIQUE_1020</t>
  </si>
  <si>
    <t>CA250013-1_All by Fouta_Stock_UNS1020-23_UNI SURPIQUE_1020</t>
  </si>
  <si>
    <t>CA250014-12_All by Fouta_Stock_UNS1020-24_UNI SURPIQUE_1020</t>
  </si>
  <si>
    <t>CA250014-10_All by Fouta_Stock_UNS1020-24_UNI SURPIQUE_1020</t>
  </si>
  <si>
    <t>CA250014-4_All by Fouta_Stock_UNS1020-24_UNI SURPIQUE_1020</t>
  </si>
  <si>
    <t>CA250014-13_All by Fouta_Stock_UNS1020-24_UNI SURPIQUE_1020</t>
  </si>
  <si>
    <t>CA250014-5_All by Fouta_Stock_UNS1020-24_UNI SURPIQUE_1020</t>
  </si>
  <si>
    <t>CA250014-1_All by Fouta_Stock_UNS1020-24_UNI SURPIQUE_1020</t>
  </si>
  <si>
    <t>CA250014-11_All by Fouta_Stock_UNS1020-24_UNI SURPIQUE_1020</t>
  </si>
  <si>
    <t>CA250014-8_All by Fouta_Stock_UNS1020-24_UNI SURPIQUE_1020</t>
  </si>
  <si>
    <t>CA250014-2_All by Fouta_Stock_UNS1020-24_UNI SURPIQUE_1020</t>
  </si>
  <si>
    <t>CA250014-3_All by Fouta_Stock_UNS1020-24_UNI SURPIQUE_1020</t>
  </si>
  <si>
    <t>CA250014-9_All by Fouta_Stock_UNS1020-24_UNI SURPIQUE_1020</t>
  </si>
  <si>
    <t>CA250014-6_All by Fouta_Stock_UNS1020-24_UNI SURPIQUE_1020</t>
  </si>
  <si>
    <t>OF246516_CL00296_CM-FT0108_SACF0507-12_SAC FOUTA_0507</t>
  </si>
  <si>
    <t>OF246515_CL00296_CM-FT0108_NDL1020-B12-01_ND LILI_1020</t>
  </si>
  <si>
    <t>CA250079-1_All by Fouta_Stock_UNS2030-32_UNI SURPIQUE_2030</t>
  </si>
  <si>
    <t>CA250079-2_All by Fouta_Stock_UNS2030-32_UNI SURPIQUE_2030</t>
  </si>
  <si>
    <t>CA250076-3_All by Fouta_Stock_UNS2030-27_UNI SURPIQUE_2030</t>
  </si>
  <si>
    <t>CA250076-4_All by Fouta_Stock_UNS2030-27_UNI SURPIQUE_2030</t>
  </si>
  <si>
    <t>CA250072-4_All by Fouta_Stock_UNS2030-20_UNI SURPIQUE_2030</t>
  </si>
  <si>
    <t>CA250072-5_All by Fouta_Stock_UNS2030-20_UNI SURPIQUE_2030</t>
  </si>
  <si>
    <t>CA250072-3_All by Fouta_Stock_UNS2030-20_UNI SURPIQUE_2030</t>
  </si>
  <si>
    <t>CA250072-2_All by Fouta_Stock_UNS2030-20_UNI SURPIQUE_2030</t>
  </si>
  <si>
    <t>CA250072-1_All by Fouta_Stock_UNS2030-20_UNI SURPIQUE_2030</t>
  </si>
  <si>
    <t>CA250018-3_All by Fouta_Stock_UNS1020-31_UNI SURPIQUE_1020</t>
  </si>
  <si>
    <t>CA250018-1_All by Fouta_Stock_UNS1020-31_UNI SURPIQUE_1020</t>
  </si>
  <si>
    <t>CA250018-2_All by Fouta_Stock_UNS1020-31_UNI SURPIQUE_1020</t>
  </si>
  <si>
    <t>CA250018-9_All by Fouta_Stock_UNS1020-31_UNI SURPIQUE_1020</t>
  </si>
  <si>
    <t>CA250018-6_All by Fouta_Stock_UNS1020-31_UNI SURPIQUE_1020</t>
  </si>
  <si>
    <t>CA250018-11_All by Fouta_Stock_UNS1020-31_UNI SURPIQUE_1020</t>
  </si>
  <si>
    <t>CA250018-5_All by Fouta_Stock_UNS1020-31_UNI SURPIQUE_1020</t>
  </si>
  <si>
    <t>CA250018-7_All by Fouta_Stock_UNS1020-31_UNI SURPIQUE_1020</t>
  </si>
  <si>
    <t>CA250018-12_All by Fouta_Stock_UNS1020-31_UNI SURPIQUE_1020</t>
  </si>
  <si>
    <t>CA250018-4_All by Fouta_Stock_UNS1020-31_UNI SURPIQUE_1020</t>
  </si>
  <si>
    <t>CA250018-10_All by Fouta_Stock_UNS1020-31_UNI SURPIQUE_1020</t>
  </si>
  <si>
    <t>CA250018-8_All by Fouta_Stock_UNS1020-31_UNI SURPIQUE_1020</t>
  </si>
  <si>
    <t>CA250017-5_All by Fouta_Stock_UNS1020-30_UNI SURPIQUE_1020</t>
  </si>
  <si>
    <t>CA250017-2_All by Fouta_Stock_UNS1020-30_UNI SURPIQUE_1020</t>
  </si>
  <si>
    <t>CA250017-8_All by Fouta_Stock_UNS1020-30_UNI SURPIQUE_1020</t>
  </si>
  <si>
    <t>CA250017-4_All by Fouta_Stock_UNS1020-30_UNI SURPIQUE_1020</t>
  </si>
  <si>
    <t>CA250017-3_All by Fouta_Stock_UNS1020-30_UNI SURPIQUE_1020</t>
  </si>
  <si>
    <t>CA250017-7_All by Fouta_Stock_UNS1020-30_UNI SURPIQUE_1020</t>
  </si>
  <si>
    <t>CA250017-1_All by Fouta_Stock_UNS1020-30_UNI SURPIQUE_1020</t>
  </si>
  <si>
    <t>CA250017-12_All by Fouta_Stock_UNS1020-30_UNI SURPIQUE_1020</t>
  </si>
  <si>
    <t>CA250017-11_All by Fouta_Stock_UNS1020-30_UNI SURPIQUE_1020</t>
  </si>
  <si>
    <t>CA250017-6_All by Fouta_Stock_UNS1020-30_UNI SURPIQUE_1020</t>
  </si>
  <si>
    <t>CA250017-9_All by Fouta_Stock_UNS1020-30_UNI SURPIQUE_1020</t>
  </si>
  <si>
    <t>CA250017-10_All by Fouta_Stock_UNS1020-30_UNI SURPIQUE_1020</t>
  </si>
  <si>
    <t>CA250071-2_All by Fouta_Stock_UNS2030-19_UNI SURPIQUE_2030</t>
  </si>
  <si>
    <t>CA250071-1_All by Fouta_Stock_UNS2030-19_UNI SURPIQUE_2030</t>
  </si>
  <si>
    <t>CA250071-3_All by Fouta_Stock_UNS2030-19_UNI SURPIQUE_2030</t>
  </si>
  <si>
    <t>CA250071-5_All by Fouta_Stock_UNS2030-19_UNI SURPIQUE_2030</t>
  </si>
  <si>
    <t>CA250071-4_All by Fouta_Stock_UNS2030-19_UNI SURPIQUE_2030</t>
  </si>
  <si>
    <t>CA250046-1_All by Fouta_Stock_UNS1626-12_UNI SURPIQUE_1626</t>
  </si>
  <si>
    <t>CA250021-1_All by Fouta_Stock_UNS2020-03_UNI SURPIQUE_2020</t>
  </si>
  <si>
    <t>OF250134-1_CL00162_CM-FT0130_OLI2426-B18-19_OLIVIER_2426</t>
  </si>
  <si>
    <t>OF250134-2_CL00162_CM-FT0130_OLI2426-B18-19_OLIVIER_2426</t>
  </si>
  <si>
    <t>OF250134-3_CL00162_CM-FT0130_OLI2426-B18-19_OLIVIER_2426</t>
  </si>
  <si>
    <t>OF246547-3_CL00296_CM-FT0108_EPMA0919-B11-02_MARINIERE_0919</t>
  </si>
  <si>
    <t>OF246547-5_CL00296_CM-FT0108_EPMA0919-B11-02_MARINIERE_0919</t>
  </si>
  <si>
    <t>OF246547-9_CL00296_CM-FT0108_EPMA0919-B11-02_MARINIERE_0919</t>
  </si>
  <si>
    <t>OF246547-10_CL00296_CM-FT0108_EPMA0919-B11-02_MARINIERE_0919</t>
  </si>
  <si>
    <t>OF246547-2_CL00296_CM-FT0108_EPMA0919-B11-02_MARINIERE_0919</t>
  </si>
  <si>
    <t>OF246547-14_CL00296_CM-FT0108_EPMA0919-B11-02_MARINIERE_0919</t>
  </si>
  <si>
    <t>OF246547-4_CL00296_CM-FT0108_EPMA0919-B11-02_MARINIERE_0919</t>
  </si>
  <si>
    <t>OF246547-11_CL00296_CM-FT0108_EPMA0919-B11-02_MARINIERE_0919</t>
  </si>
  <si>
    <t>OF246547-7_CL00296_CM-FT0108_EPMA0919-B11-02_MARINIERE_0919</t>
  </si>
  <si>
    <t>OF246547-15_CL00296_CM-FT0108_EPMA0919-B11-02_MARINIERE_0919</t>
  </si>
  <si>
    <t>OF246547-6_CL00296_CM-FT0108_EPMA0919-B11-02_MARINIERE_0919</t>
  </si>
  <si>
    <t>OF246547-12_CL00296_CM-FT0108_EPMA0919-B11-02_MARINIERE_0919</t>
  </si>
  <si>
    <t>OF246547-8_CL00296_CM-FT0108_EPMA0919-B11-02_MARINIERE_0919</t>
  </si>
  <si>
    <t>OF246547-13_CL00296_CM-FT0108_EPMA0919-B11-02_MARINIERE_0919</t>
  </si>
  <si>
    <t>CA250044-6_All by Fouta_Stock_UNS1626-09_UNI SURPIQUE_1626</t>
  </si>
  <si>
    <t>CA250044-1_All by Fouta_Stock_UNS1626-09_UNI SURPIQUE_1626</t>
  </si>
  <si>
    <t>CA250044-4_All by Fouta_Stock_UNS1626-09_UNI SURPIQUE_1626</t>
  </si>
  <si>
    <t>CA250044-2_All by Fouta_Stock_UNS1626-09_UNI SURPIQUE_1626</t>
  </si>
  <si>
    <t>CA250044-5_All by Fouta_Stock_UNS1626-09_UNI SURPIQUE_1626</t>
  </si>
  <si>
    <t>CA250044-3_All by Fouta_Stock_UNS1626-09_UNI SURPIQUE_1626</t>
  </si>
  <si>
    <t>CA250044-7_All by Fouta_Stock_UNS1626-09_UNI SURPIQUE_1626</t>
  </si>
  <si>
    <t>CA250032-2_All by Fouta_Stock_UNS2020-20_UNI SURPIQUE_2020</t>
  </si>
  <si>
    <t>CA250032-3_All by Fouta_Stock_UNS2020-20_UNI SURPIQUE_2020</t>
  </si>
  <si>
    <t>CA250032-4_All by Fouta_Stock_UNS2020-20_UNI SURPIQUE_2020</t>
  </si>
  <si>
    <t>CA250032-1_All by Fouta_Stock_UNS2020-20_UNI SURPIQUE_2020</t>
  </si>
  <si>
    <t>CA250043-5_All by Fouta_Stock_UNS1626-06_UNI SURPIQUE_1626</t>
  </si>
  <si>
    <t>CA250043-6_All by Fouta_Stock_UNS1626-06_UNI SURPIQUE_1626</t>
  </si>
  <si>
    <t>CA250043-1_All by Fouta_Stock_UNS1626-06_UNI SURPIQUE_1626</t>
  </si>
  <si>
    <t>CA250043-7_All by Fouta_Stock_UNS1626-06_UNI SURPIQUE_1626</t>
  </si>
  <si>
    <t>CA250043-3_All by Fouta_Stock_UNS1626-06_UNI SURPIQUE_1626</t>
  </si>
  <si>
    <t>CA250043-2_All by Fouta_Stock_UNS1626-06_UNI SURPIQUE_1626</t>
  </si>
  <si>
    <t>CA250033-6_All by Fouta_Stock_UNS2020-23_UNI SURPIQUE_2020</t>
  </si>
  <si>
    <t>CA250033-4_All by Fouta_Stock_UNS2020-23_UNI SURPIQUE_2020</t>
  </si>
  <si>
    <t>CA250033-5_All by Fouta_Stock_UNS2020-23_UNI SURPIQUE_2020</t>
  </si>
  <si>
    <t>CA250033-3_All by Fouta_Stock_UNS2020-23_UNI SURPIQUE_2020</t>
  </si>
  <si>
    <t>CA250033-1_All by Fouta_Stock_UNS2020-23_UNI SURPIQUE_2020</t>
  </si>
  <si>
    <t>CA250033-7_All by Fouta_Stock_UNS2020-23_UNI SURPIQUE_2020</t>
  </si>
  <si>
    <t>CA250033-2_All by Fouta_Stock_UNS2020-23_UNI SURPIQUE_2020</t>
  </si>
  <si>
    <t>CA250023-1_All by Fouta_Stock_UNS2020-06_UNI SURPIQUE_2020</t>
  </si>
  <si>
    <t>CA250023-5_All by Fouta_Stock_UNS2020-06_UNI SURPIQUE_2020</t>
  </si>
  <si>
    <t>CA250023-3_All by Fouta_Stock_UNS2020-06_UNI SURPIQUE_2020</t>
  </si>
  <si>
    <t>CA250023-2_All by Fouta_Stock_UNS2020-06_UNI SURPIQUE_2020</t>
  </si>
  <si>
    <t>CA250031-4_All by Fouta_Stock_UNS2020-19_UNI SURPIQUE_2020</t>
  </si>
  <si>
    <t>CA250031-1_All by Fouta_Stock_UNS2020-19_UNI SURPIQUE_2020</t>
  </si>
  <si>
    <t>CA250031-6_All by Fouta_Stock_UNS2020-19_UNI SURPIQUE_2020</t>
  </si>
  <si>
    <t>CA250031-3_All by Fouta_Stock_UNS2020-19_UNI SURPIQUE_2020</t>
  </si>
  <si>
    <t>CA250031-5_All by Fouta_Stock_UNS2020-19_UNI SURPIQUE_2020</t>
  </si>
  <si>
    <t>CA250031-2_All by Fouta_Stock_UNS2020-19_UNI SURPIQUE_2020</t>
  </si>
  <si>
    <t>CA250045-2_All by Fouta_Stock_UNS1626-10_UNI SURPIQUE_1626</t>
  </si>
  <si>
    <t>CA250045-4_All by Fouta_Stock_UNS1626-10_UNI SURPIQUE_1626</t>
  </si>
  <si>
    <t>CA250045-3_All by Fouta_Stock_UNS1626-10_UNI SURPIQUE_1626</t>
  </si>
  <si>
    <t>CA250045-6_All by Fouta_Stock_UNS1626-10_UNI SURPIQUE_1626</t>
  </si>
  <si>
    <t>CA250045-5_All by Fouta_Stock_UNS1626-10_UNI SURPIQUE_1626</t>
  </si>
  <si>
    <t>CA250046-2_All by Fouta_Stock_UNS1626-12_UNI SURPIQUE_1626</t>
  </si>
  <si>
    <t>CA250046-3_All by Fouta_Stock_UNS1626-12_UNI SURPIQUE_1626</t>
  </si>
  <si>
    <t>CA250046-4_All by Fouta_Stock_UNS1626-12_UNI SURPIQUE_1626</t>
  </si>
  <si>
    <t>CA250046-5_All by Fouta_Stock_UNS1626-12_UNI SURPIQUE_1626</t>
  </si>
  <si>
    <t>CA250046-6_All by Fouta_Stock_UNS1626-12_UNI SURPIQUE_1626</t>
  </si>
  <si>
    <t>CA250048-2_All by Fouta_Stock_UNS1626-15_UNI SURPIQUE_1626</t>
  </si>
  <si>
    <t>CA250048-1_All by Fouta_Stock_UNS1626-15_UNI SURPIQUE_1626</t>
  </si>
  <si>
    <t>CA250048-5_All by Fouta_Stock_UNS1626-15_UNI SURPIQUE_1626</t>
  </si>
  <si>
    <t>CA250048-3_All by Fouta_Stock_UNS1626-15_UNI SURPIQUE_1626</t>
  </si>
  <si>
    <t>OF246537-12_CL00296_CM-FT0108_EPMA0919-B26-02_MARINIERE_0919</t>
  </si>
  <si>
    <t>OF246537-11_CL00296_CM-FT0108_EPMA0919-B26-02_MARINIERE_0919</t>
  </si>
  <si>
    <t>OF246537-15_CL00296_CM-FT0108_EPMA0919-B26-02_MARINIERE_0919</t>
  </si>
  <si>
    <t>OF246537-10_CL00296_CM-FT0108_EPMA0919-B26-02_MARINIERE_0919</t>
  </si>
  <si>
    <t>OF246537-9_CL00296_CM-FT0108_EPMA0919-B26-02_MARINIERE_0919</t>
  </si>
  <si>
    <t>OF246537-14_CL00296_CM-FT0108_EPMA0919-B26-02_MARINIERE_0919</t>
  </si>
  <si>
    <t>OF246537-13_CL00296_CM-FT0108_EPMA0919-B26-02_MARINIERE_0919</t>
  </si>
  <si>
    <t>CA250057-2_All by Fouta_Stock_UNS1626-30_UNI SURPIQUE_1626</t>
  </si>
  <si>
    <t>CA250057-1_All by Fouta_Stock_UNS1626-30_UNI SURPIQUE_1626</t>
  </si>
  <si>
    <t>CA250057-3_All by Fouta_Stock_UNS1626-30_UNI SURPIQUE_1626</t>
  </si>
  <si>
    <t>CA250043-4_All by Fouta_Stock_UNS1626-06_UNI SURPIQUE_1626</t>
  </si>
  <si>
    <t>CA250048-6_All by Fouta_Stock_UNS1626-15_UNI SURPIQUE_1626</t>
  </si>
  <si>
    <t>CA250048-4_All by Fouta_Stock_UNS1626-15_UNI SURPIQUE_1626</t>
  </si>
  <si>
    <t>CA250078-1_All by Fouta_Stock_UNS2030-31_UNI SURPIQUE_2030</t>
  </si>
  <si>
    <t>CA250078-2_All by Fouta_Stock_UNS2030-31_UNI SURPIQUE_2030</t>
  </si>
  <si>
    <t>CA250073-1_All by Fouta_Stock_UNS2030-23_UNI SURPIQUE_2030</t>
  </si>
  <si>
    <t>CA250073-2_All by Fouta_Stock_UNS2030-23_UNI SURPIQUE_2030</t>
  </si>
  <si>
    <t>CA250074-1_All by Fouta_Stock_UNS2030-24_UNI SURPIQUE_2030</t>
  </si>
  <si>
    <t>CA250074-2_All by Fouta_Stock_UNS2030-24_UNI SURPIQUE_2030</t>
  </si>
  <si>
    <t>CA250064-5_All by Fouta_Stock_UNS2030-09_UNI SURPIQUE_2030</t>
  </si>
  <si>
    <t>CA250021-2_All by Fouta_Stock_UNS2020-03_UNI SURPIQUE_2020</t>
  </si>
  <si>
    <t>CA250021-3_All by Fouta_Stock_UNS2020-03_UNI SURPIQUE_2020</t>
  </si>
  <si>
    <t>CA250022-4_All by Fouta_Stock_UNS2020-04_UNI SURPIQUE_2020</t>
  </si>
  <si>
    <t>CA250041-7_All by Fouta_Stock_UNS1626-03_UNI SURPIQUE_1626</t>
  </si>
  <si>
    <t>OF250131-3_CL00162_CM-FT0130_GIN2426-B12-03_GINKO_2426</t>
  </si>
  <si>
    <t>OF250131-4_CL00162_CM-FT0130_GIN2426-B12-03_GINKO_2426</t>
  </si>
  <si>
    <t>OF250131-5_CL00162_CM-FT0130_GIN2426-B12-03_GINKO_2426</t>
  </si>
  <si>
    <t>OF250132-2_CL00162_CM-FT0130_GIN2426-B19-03_GINKO_2426</t>
  </si>
  <si>
    <t>OF250132-1_CL00162_CM-FT0130_GIN2426-B19-03_GINKO_2426</t>
  </si>
  <si>
    <t>OF250132-5_CL00162_CM-FT0130_GIN2426-B19-03_GINKO_2426</t>
  </si>
  <si>
    <t>CA250022-3_All by Fouta_Stock_UNS2020-04_UNI SURPIQUE_2020</t>
  </si>
  <si>
    <t>CA250022-6_All by Fouta_Stock_UNS2020-04_UNI SURPIQUE_2020</t>
  </si>
  <si>
    <t>CA250022-5_All by Fouta_Stock_UNS2020-04_UNI SURPIQUE_2020</t>
  </si>
  <si>
    <t>CA250022-1_All by Fouta_Stock_UNS2020-04_UNI SURPIQUE_2020</t>
  </si>
  <si>
    <t>CA250022-2_All by Fouta_Stock_UNS2020-04_UNI SURPIQUE_2020</t>
  </si>
  <si>
    <t>CA250022-7_All by Fouta_Stock_UNS2020-04_UNI SURPIQUE_2020</t>
  </si>
  <si>
    <t>CA250039-7_All by Fouta_Stock_UNS2020-32_UNI SURPIQUE_2020</t>
  </si>
  <si>
    <t>CA250039-2_All by Fouta_Stock_UNS2020-32_UNI SURPIQUE_2020</t>
  </si>
  <si>
    <t>CA250039-4_All by Fouta_Stock_UNS2020-32_UNI SURPIQUE_2020</t>
  </si>
  <si>
    <t>CA250039-1_All by Fouta_Stock_UNS2020-32_UNI SURPIQUE_2020</t>
  </si>
  <si>
    <t>CA250039-3_All by Fouta_Stock_UNS2020-32_UNI SURPIQUE_2020</t>
  </si>
  <si>
    <t>CA250039-5_All by Fouta_Stock_UNS2020-32_UNI SURPIQUE_2020</t>
  </si>
  <si>
    <t>CA250039-6_All by Fouta_Stock_UNS2020-32_UNI SURPIQUE_2020</t>
  </si>
  <si>
    <t>CA250032-7_All by Fouta_Stock_UNS2020-20_UNI SURPIQUE_2020</t>
  </si>
  <si>
    <t>CA250032-6_All by Fouta_Stock_UNS2020-20_UNI SURPIQUE_2020</t>
  </si>
  <si>
    <t>CA250032-5_All by Fouta_Stock_UNS2020-20_UNI SURPIQUE_2020</t>
  </si>
  <si>
    <t>CA250050-3_All by Fouta_Stock_UNS1626-18_UNI SURPIQUE_1626</t>
  </si>
  <si>
    <t>CA250050-1_All by Fouta_Stock_UNS1626-18_UNI SURPIQUE_1626</t>
  </si>
  <si>
    <t>CA250050-2_All by Fouta_Stock_UNS1626-18_UNI SURPIQUE_1626</t>
  </si>
  <si>
    <t>CA250050-4_All by Fouta_Stock_UNS1626-18_UNI SURPIQUE_1626</t>
  </si>
  <si>
    <t>CA250023-4_All by Fouta_Stock_UNS2020-06_UNI SURPIQUE_2020</t>
  </si>
  <si>
    <t>CA250023-6_All by Fouta_Stock_UNS2020-06_UNI SURPIQUE_2020</t>
  </si>
  <si>
    <t>CA250036-4_All by Fouta_Stock_UNS2020-27_UNI SURPIQUE_2020</t>
  </si>
  <si>
    <t>CA250036-1_All by Fouta_Stock_UNS2020-27_UNI SURPIQUE_2020</t>
  </si>
  <si>
    <t>CA250036-3_All by Fouta_Stock_UNS2020-27_UNI SURPIQUE_2020</t>
  </si>
  <si>
    <t>CA250036-5_All by Fouta_Stock_UNS2020-27_UNI SURPIQUE_2020</t>
  </si>
  <si>
    <t>CA250036-2_All by Fouta_Stock_UNS2020-27_UNI SURPIQUE_2020</t>
  </si>
  <si>
    <t>CA250058-2_All by Fouta_Stock_UNS1626-31_UNI SURPIQUE_1626</t>
  </si>
  <si>
    <t>CA250058-3_All by Fouta_Stock_UNS1626-31_UNI SURPIQUE_1626</t>
  </si>
  <si>
    <t>CA250058-1_All by Fouta_Stock_UNS1626-31_UNI SURPIQUE_1626</t>
  </si>
  <si>
    <t>CA250049-5_All by Fouta_Stock_UNS1626-17_UNI SURPIQUE_1626</t>
  </si>
  <si>
    <t>CA250049-6_All by Fouta_Stock_UNS1626-17_UNI SURPIQUE_1626</t>
  </si>
  <si>
    <t>CA250049-4_All by Fouta_Stock_UNS1626-17_UNI SURPIQUE_1626</t>
  </si>
  <si>
    <t>CA250049-1_All by Fouta_Stock_UNS1626-17_UNI SURPIQUE_1626</t>
  </si>
  <si>
    <t>CA250049-2_All by Fouta_Stock_UNS1626-17_UNI SURPIQUE_1626</t>
  </si>
  <si>
    <t>CA250049-3_All by Fouta_Stock_UNS1626-17_UNI SURPIQUE_1626</t>
  </si>
  <si>
    <t>OF250131-1_CL00162_CM-FT0130_GIN2426-B12-03_GINKO_2426</t>
  </si>
  <si>
    <t>OF250130-2_CL00162_CM-FT0130_GIN2426-B03-02_GINKO_2426</t>
  </si>
  <si>
    <t>OF250130-3_CL00162_CM-FT0130_GIN2426-B03-02_GINKO_2426</t>
  </si>
  <si>
    <t>OF250130-1_CL00162_CM-FT0130_GIN2426-B03-02_GINKO_2426</t>
  </si>
  <si>
    <t>OF246885-4_All By Fouta_Stock_OLI2426-B12-02_OLIVIER_2426</t>
  </si>
  <si>
    <t>OF246888-7_All By Fouta_Stock_OLI2426-B04-02_OLIVIER_2426</t>
  </si>
  <si>
    <t>OF246546-5_CL00296_CM-FT0108_EPMA0919-B29-02_MARINIERE_0919</t>
  </si>
  <si>
    <t>OF246546-3_CL00296_CM-FT0108_EPMA0919-B29-02_MARINIERE_0919</t>
  </si>
  <si>
    <t>OF246546-16_CL00296_CM-FT0108_EPMA0919-B29-02_MARINIERE_0919</t>
  </si>
  <si>
    <t>OF246546-4_CL00296_CM-FT0108_EPMA0919-B29-02_MARINIERE_0919</t>
  </si>
  <si>
    <t>OF246546-17_CL00296_CM-FT0108_EPMA0919-B29-02_MARINIERE_0919</t>
  </si>
  <si>
    <t>OF246546-8_CL00296_CM-FT0108_EPMA0919-B29-02_MARINIERE_0919</t>
  </si>
  <si>
    <t>OF246546-6_CL00296_CM-FT0108_EPMA0919-B29-02_MARINIERE_0919</t>
  </si>
  <si>
    <t>OF246546-13_CL00296_CM-FT0108_EPMA0919-B29-02_MARINIERE_0919</t>
  </si>
  <si>
    <t>OF246546-12_CL00296_CM-FT0108_EPMA0919-B29-02_MARINIERE_0919</t>
  </si>
  <si>
    <t>OF246546-14_CL00296_CM-FT0108_EPMA0919-B29-02_MARINIERE_0919</t>
  </si>
  <si>
    <t>CA250029-1_All by Fouta_Stock_UNS2020-17_UNI SURPIQUE_2020</t>
  </si>
  <si>
    <t>CA250029-2_All by Fouta_Stock_UNS2020-17_UNI SURPIQUE_2020</t>
  </si>
  <si>
    <t>CA250029-3_All by Fouta_Stock_UNS2020-17_UNI SURPIQUE_2020</t>
  </si>
  <si>
    <t>CA250029-4_All by Fouta_Stock_UNS2020-17_UNI SURPIQUE_2020</t>
  </si>
  <si>
    <t>CA250029-5_All by Fouta_Stock_UNS2020-17_UNI SURPIQUE_2020</t>
  </si>
  <si>
    <t>CA250029-7_All by Fouta_Stock_UNS2020-17_UNI SURPIQUE_2020</t>
  </si>
  <si>
    <t>CA250029-6_All by Fouta_Stock_UNS2020-17_UNI SURPIQUE_2020</t>
  </si>
  <si>
    <t>OF246539-6_CL00296_CM-FT0108_EPMA0919-B29-02_MARINIERE_0919</t>
  </si>
  <si>
    <t>OF246539-13_CL00296_CM-FT0108_EPMA0919-B29-02_MARINIERE_0919</t>
  </si>
  <si>
    <t>OF246539-1_CL00296_CM-FT0108_EPMA0919-B29-02_MARINIERE_0919</t>
  </si>
  <si>
    <t>OF246539-9_CL00296_CM-FT0108_EPMA0919-B29-02_MARINIERE_0919</t>
  </si>
  <si>
    <t>OF246539-14_CL00296_CM-FT0108_EPMA0919-B29-02_MARINIERE_0919</t>
  </si>
  <si>
    <t>OF246539-2_CL00296_CM-FT0108_EPMA0919-B29-02_MARINIERE_0919</t>
  </si>
  <si>
    <t>OF246539-8_CL00296_CM-FT0108_EPMA0919-B29-02_MARINIERE_0919</t>
  </si>
  <si>
    <t>OF246539-3_CL00296_CM-FT0108_EPMA0919-B29-02_MARINIERE_0919</t>
  </si>
  <si>
    <t>OF246539-12_CL00296_CM-FT0108_EPMA0919-B29-02_MARINIERE_0919</t>
  </si>
  <si>
    <t>OF246539-11_CL00296_CM-FT0108_EPMA0919-B29-02_MARINIERE_0919</t>
  </si>
  <si>
    <t>OF246539-5_CL00296_CM-FT0108_EPMA0919-B29-02_MARINIERE_0919</t>
  </si>
  <si>
    <t>OF246539-4_CL00296_CM-FT0108_EPMA0919-B29-02_MARINIERE_0919</t>
  </si>
  <si>
    <t>OF246539-10_CL00296_CM-FT0108_EPMA0919-B29-02_MARINIERE_0919</t>
  </si>
  <si>
    <t>OF246539-7_CL00296_CM-FT0108_EPMA0919-B29-02_MARINIERE_0919</t>
  </si>
  <si>
    <t>OF250132-4_CL00162_CM-FT0130_GIN2426-B19-03_GINKO_2426</t>
  </si>
  <si>
    <t>OF250132-6_CL00162_CM-FT0130_GIN2426-B19-03_GINKO_2426</t>
  </si>
  <si>
    <t>OF250132-3_CL00162_CM-FT0130_GIN2426-B19-03_GINKO_2426</t>
  </si>
  <si>
    <t>OF250131-2_CL00162_CM-FT0130_GIN2426-B12-03_GINKO_2426</t>
  </si>
  <si>
    <t>OF250131-6_CL00162_CM-FT0130_GIN2426-B12-03_GINKO_2426</t>
  </si>
  <si>
    <t>OF250130-6_CL00162_CM-FT0130_GIN2426-B03-02_GINKO_2426</t>
  </si>
  <si>
    <t>OF250130-5_CL00162_CM-FT0130_GIN2426-B03-02_GINKO_2426</t>
  </si>
  <si>
    <t>OF250130-4_CL00162_CM-FT0130_GIN2426-B03-02_GINKO_2426</t>
  </si>
  <si>
    <t>OF246546-2_CL00296_CM-FT0108_EPMA0919-B29-02_MARINIERE_0919</t>
  </si>
  <si>
    <t>OF246546-11_CL00296_CM-FT0108_EPMA0919-B29-02_MARINIERE_0919</t>
  </si>
  <si>
    <t>OF246546-15_CL00296_CM-FT0108_EPMA0919-B29-02_MARINIERE_0919</t>
  </si>
  <si>
    <t>OF246546-1_CL00296_CM-FT0108_EPMA0919-B29-02_MARINIERE_0919</t>
  </si>
  <si>
    <t>OF246546-7_CL00296_CM-FT0108_EPMA0919-B29-02_MARINIERE_0919</t>
  </si>
  <si>
    <t>OF246546-10_CL00296_CM-FT0108_EPMA0919-B29-02_MARINIERE_0919</t>
  </si>
  <si>
    <t>OF246546-9_CL00296_CM-FT0108_EPMA0919-B29-02_MARINIERE_0919</t>
  </si>
  <si>
    <t>OF246535-4_CL00296_CM-FT0108_EPMA0919-B03-02_MARINIERE_0919</t>
  </si>
  <si>
    <t>OF246535-8_CL00296_CM-FT0108_EPMA0919-B03-02_MARINIERE_0919</t>
  </si>
  <si>
    <t>OF246535-7_CL00296_CM-FT0108_EPMA0919-B03-02_MARINIERE_0919</t>
  </si>
  <si>
    <t>CA250030-6_All by Fouta_Stock_UNS2020-18_UNI SURPIQUE_2020</t>
  </si>
  <si>
    <t>CA250054-1_All by Fouta_Stock_UNS1626-24_UNI SURPIQUE_1626</t>
  </si>
  <si>
    <t>CA250054-2_All by Fouta_Stock_UNS1626-24_UNI SURPIQUE_1626</t>
  </si>
  <si>
    <t>CA250054-3_All by Fouta_Stock_UNS1626-24_UNI SURPIQUE_1626</t>
  </si>
  <si>
    <t>CA250055-1_All by Fouta_Stock_UNS1626-26_UNI SURPIQUE_1626</t>
  </si>
  <si>
    <t>CA250030-3_All by Fouta_Stock_UNS2020-18_UNI SURPIQUE_2020</t>
  </si>
  <si>
    <t>CA250030-5_All by Fouta_Stock_UNS2020-18_UNI SURPIQUE_2020</t>
  </si>
  <si>
    <t>CA250055-3_All by Fouta_Stock_UNS1626-26_UNI SURPIQUE_1626</t>
  </si>
  <si>
    <t>CA250055-2_All by Fouta_Stock_UNS1626-26_UNI SURPIQUE_1626</t>
  </si>
  <si>
    <t>CA250024-3_All by Fouta_Stock_UNS2020-09_UNI SURPIQUE_2020</t>
  </si>
  <si>
    <t>CA250030-7_All by Fouta_Stock_UNS2020-18_UNI SURPIQUE_2020</t>
  </si>
  <si>
    <t>CA250024-2_All by Fouta_Stock_UNS2020-09_UNI SURPIQUE_2020</t>
  </si>
  <si>
    <t>CA250024-1_All by Fouta_Stock_UNS2020-09_UNI SURPIQUE_2020</t>
  </si>
  <si>
    <t>CA250024-4_All by Fouta_Stock_UNS2020-09_UNI SURPIQUE_2020</t>
  </si>
  <si>
    <t>CA250030-2_All by Fouta_Stock_UNS2020-18_UNI SURPIQUE_2020</t>
  </si>
  <si>
    <t>CA250024-5_All by Fouta_Stock_UNS2020-09_UNI SURPIQUE_2020</t>
  </si>
  <si>
    <t>CA250030-4_All by Fouta_Stock_UNS2020-18_UNI SURPIQUE_2020</t>
  </si>
  <si>
    <t>CA250030-1_All by Fouta_Stock_UNS2020-18_UNI SURPIQUE_2020</t>
  </si>
  <si>
    <t>CA250050-6_All by Fouta_Stock_UNS1626-18_UNI SURPIQUE_1626</t>
  </si>
  <si>
    <t>CA250050-5_All by Fouta_Stock_UNS1626-18_UNI SURPIQUE_1626</t>
  </si>
  <si>
    <t>CA250059-2_All by Fouta_Stock_UNS1626-32_UNI SURPIQUE_1626</t>
  </si>
  <si>
    <t>CA250059-1_All by Fouta_Stock_UNS1626-32_UNI SURPIQUE_1626</t>
  </si>
  <si>
    <t>CA250059-3_All by Fouta_Stock_UNS1626-32_UNI SURPIQUE_1626</t>
  </si>
  <si>
    <t>CA250019-1_All by Fouta_Stock_UNS1020-32_UNI SURPIQUE_1020</t>
  </si>
  <si>
    <t>CA250019-2_All by Fouta_Stock_UNS1020-32_UNI SURPIQUE_1020</t>
  </si>
  <si>
    <t>CA250052-4_All by Fouta_Stock_UNS1626-20_UNI SURPIQUE_1626</t>
  </si>
  <si>
    <t>CA250052-2_All by Fouta_Stock_UNS1626-20_UNI SURPIQUE_1626</t>
  </si>
  <si>
    <t>CA250052-1_All by Fouta_Stock_UNS1626-20_UNI SURPIQUE_1626</t>
  </si>
  <si>
    <t>CA250019-11_All by Fouta_Stock_UNS1020-32_UNI SURPIQUE_1020</t>
  </si>
  <si>
    <t>CA250052-6_All by Fouta_Stock_UNS1626-20_UNI SURPIQUE_1626</t>
  </si>
  <si>
    <t>CA250052-7_All by Fouta_Stock_UNS1626-20_UNI SURPIQUE_1626</t>
  </si>
  <si>
    <t>CA250056-3_All by Fouta_Stock_UNS1626-27_UNI SURPIQUE_1626</t>
  </si>
  <si>
    <t>CA250056-1_All by Fouta_Stock_UNS1626-27_UNI SURPIQUE_1626</t>
  </si>
  <si>
    <t>CA250051-5_All by Fouta_Stock_UNS1626-19_UNI SURPIQUE_1626</t>
  </si>
  <si>
    <t>CA250052-5_All by Fouta_Stock_UNS1626-20_UNI SURPIQUE_1626</t>
  </si>
  <si>
    <t>CA250052-3_All by Fouta_Stock_UNS1626-20_UNI SURPIQUE_1626</t>
  </si>
  <si>
    <t>CA250019-9_All by Fouta_Stock_UNS1020-32_UNI SURPIQUE_1020</t>
  </si>
  <si>
    <t>CA250056-2_All by Fouta_Stock_UNS1626-27_UNI SURPIQUE_1626</t>
  </si>
  <si>
    <t>CA250019-10_All by Fouta_Stock_UNS1020-32_UNI SURPIQUE_1020</t>
  </si>
  <si>
    <t>CA250019-7_All by Fouta_Stock_UNS1020-32_UNI SURPIQUE_1020</t>
  </si>
  <si>
    <t>CA250019-8_All by Fouta_Stock_UNS1020-32_UNI SURPIQUE_1020</t>
  </si>
  <si>
    <t>CA250037-4_All by Fouta_Stock_UNS2020-30_UNI SURPIQUE_2020</t>
  </si>
  <si>
    <t>CA250037-3_All by Fouta_Stock_UNS2020-30_UNI SURPIQUE_2020</t>
  </si>
  <si>
    <t>CA250037-2_All by Fouta_Stock_UNS2020-30_UNI SURPIQUE_2020</t>
  </si>
  <si>
    <t>CA250037-7_All by Fouta_Stock_UNS2020-30_UNI SURPIQUE_2020</t>
  </si>
  <si>
    <t>CA250037-1_All by Fouta_Stock_UNS2020-30_UNI SURPIQUE_2020</t>
  </si>
  <si>
    <t>CA250038-1_All by Fouta_Stock_UNS2020-31_UNI SURPIQUE_2020</t>
  </si>
  <si>
    <t>CA250038-5_All by Fouta_Stock_UNS2020-31_UNI SURPIQUE_2020</t>
  </si>
  <si>
    <t>CA250038-4_All by Fouta_Stock_UNS2020-31_UNI SURPIQUE_2020</t>
  </si>
  <si>
    <t>CA250037-5_All by Fouta_Stock_UNS2020-30_UNI SURPIQUE_2020</t>
  </si>
  <si>
    <t>CA250038-6_All by Fouta_Stock_UNS2020-31_UNI SURPIQUE_2020</t>
  </si>
  <si>
    <t>CA250051-2_All by Fouta_Stock_UNS1626-19_UNI SURPIQUE_1626</t>
  </si>
  <si>
    <t>CA250038-2_All by Fouta_Stock_UNS2020-31_UNI SURPIQUE_2020</t>
  </si>
  <si>
    <t>CA250037-6_All by Fouta_Stock_UNS2020-30_UNI SURPIQUE_2020</t>
  </si>
  <si>
    <t>CA250038-3_All by Fouta_Stock_UNS2020-31_UNI SURPIQUE_2020</t>
  </si>
  <si>
    <t>CA250036-6_All by Fouta_Stock_UNS2020-27_UNI SURPIQUE_2020</t>
  </si>
  <si>
    <t>CA250038-7_All by Fouta_Stock_UNS2020-31_UNI SURPIQUE_2020</t>
  </si>
  <si>
    <t>CA250051-4_All by Fouta_Stock_UNS1626-19_UNI SURPIQUE_1626</t>
  </si>
  <si>
    <t>CA250053-2_All by Fouta_Stock_UNS1626-23_UNI SURPIQUE_1626</t>
  </si>
  <si>
    <t>CA250053-1_All by Fouta_Stock_UNS1626-23_UNI SURPIQUE_1626</t>
  </si>
  <si>
    <t>CA250051-3_All by Fouta_Stock_UNS1626-19_UNI SURPIQUE_1626</t>
  </si>
  <si>
    <t>CA250051-1_All by Fouta_Stock_UNS1626-19_UNI SURPIQUE_1626</t>
  </si>
  <si>
    <t>OF246535-6_CL00296_CM-FT0108_EPMA0919-B03-02_MARINIERE_0919</t>
  </si>
  <si>
    <t>OF249869-2_CL00884_CM-FT0119_EPMA0919-B29-02_MARINIERE_0919</t>
  </si>
  <si>
    <t>OF249869-3_CL00884_CM-FT0119_EPMA0919-B29-02_MARINIERE_0919</t>
  </si>
  <si>
    <t>OF249869-4_CL00884_CM-FT0119_EPMA0919-B29-02_MARINIERE_0919</t>
  </si>
  <si>
    <t>OF246547-16_CL00296_CM-FT0108_EPMA0919-B11-02_MARINIERE_0919</t>
  </si>
  <si>
    <t>OF246535-5_CL00296_CM-FT0108_EPMA0919-B03-02_MARINIERE_0919</t>
  </si>
  <si>
    <t>OF246544-17_CL00296_CM-FT0108_EPMA0919-B03-02_MARINIERE_0919</t>
  </si>
  <si>
    <t>OF249869-7_CL00884_CM-FT0119_EPMA0919-B29-02_MARINIERE_0919</t>
  </si>
  <si>
    <t>OF249869-1_CL00884_CM-FT0119_EPMA0919-B29-02_MARINIERE_0919</t>
  </si>
  <si>
    <t>OF249869-5_CL00884_CM-FT0119_EPMA0919-B29-02_MARINIERE_0919</t>
  </si>
  <si>
    <t>OF249869-6_CL00884_CM-FT0119_EPMA0919-B29-02_MARINIERE_0919</t>
  </si>
  <si>
    <t>OF246535-2_CL00296_CM-FT0108_EPMA0919-B03-02_MARINIERE_0919</t>
  </si>
  <si>
    <t>OF246535-1_CL00296_CM-FT0108_EPMA0919-B03-02_MARINIERE_0919</t>
  </si>
  <si>
    <t>OF246544-12_CL00296_CM-FT0108_EPMA0919-B03-02_MARINIERE_0919</t>
  </si>
  <si>
    <t>OF246535-3_CL00296_CM-FT0108_EPMA0919-B03-02_MARINIERE_0919</t>
  </si>
  <si>
    <t>OF246535-15_CL00296_CM-FT0108_EPMA0919-B03-02_MARINIERE_0919</t>
  </si>
  <si>
    <t>OF246535-12_CL00296_CM-FT0108_EPMA0919-B03-02_MARINIERE_0919</t>
  </si>
  <si>
    <t>OF246544-11_CL00296_CM-FT0108_EPMA0919-B03-02_MARINIERE_0919</t>
  </si>
  <si>
    <t>OF246535-10_CL00296_CM-FT0108_EPMA0919-B03-02_MARINIERE_0919</t>
  </si>
  <si>
    <t>OF246535-13_CL00296_CM-FT0108_EPMA0919-B03-02_MARINIERE_0919</t>
  </si>
  <si>
    <t>OF246535-9_CL00296_CM-FT0108_EPMA0919-B03-02_MARINIERE_0919</t>
  </si>
  <si>
    <t>OF246535-14_CL00296_CM-FT0108_EPMA0919-B03-02_MARINIERE_0919</t>
  </si>
  <si>
    <t>OF246535-11_CL00296_CM-FT0108_EPMA0919-B03-02_MARINIERE_0919</t>
  </si>
  <si>
    <t>CA250635-12_All by Fouta_Stock_EPMA0919-B11-02_MARINIERE_0919</t>
  </si>
  <si>
    <t>CA250635-3_All by Fouta_Stock_EPMA0919-B11-02_MARINIERE_0919</t>
  </si>
  <si>
    <t>CA250635-7_All by Fouta_Stock_EPMA0919-B11-02_MARINIERE_0919</t>
  </si>
  <si>
    <t>CA250635-10_All by Fouta_Stock_EPMA0919-B11-02_MARINIERE_0919</t>
  </si>
  <si>
    <t>CA250635-1_All by Fouta_Stock_EPMA0919-B11-02_MARINIERE_0919</t>
  </si>
  <si>
    <t>CA250635-6_All by Fouta_Stock_EPMA0919-B11-02_MARINIERE_0919</t>
  </si>
  <si>
    <t>CA250635-9_All by Fouta_Stock_EPMA0919-B11-02_MARINIERE_0919</t>
  </si>
  <si>
    <t>CA250635-14_All by Fouta_Stock_EPMA0919-B11-02_MARINIERE_0919</t>
  </si>
  <si>
    <t>CA250635-13_All by Fouta_Stock_EPMA0919-B11-02_MARINIERE_0919</t>
  </si>
  <si>
    <t>CA250635-11_All by Fouta_Stock_EPMA0919-B11-02_MARINIERE_0919</t>
  </si>
  <si>
    <t>CA250635-8_All by Fouta_Stock_EPMA0919-B11-02_MARINIERE_0919</t>
  </si>
  <si>
    <t>CA250635-2_All by Fouta_Stock_EPMA0919-B11-02_MARINIERE_0919</t>
  </si>
  <si>
    <t>CA250635-4_All by Fouta_Stock_EPMA0919-B11-02_MARINIERE_0919</t>
  </si>
  <si>
    <t>CA250635-5_All by Fouta_Stock_EPMA0919-B11-02_MARINIERE_0919</t>
  </si>
  <si>
    <t>CA250016-1_All by Fouta_Stock_UNS1020-27_UNI SURPIQUE_1020</t>
  </si>
  <si>
    <t>CA250016-2_All by Fouta_Stock_UNS1020-27_UNI SURPIQUE_1020</t>
  </si>
  <si>
    <t>CA250016-3_All by Fouta_Stock_UNS1020-27_UNI SURPIQUE_1020</t>
  </si>
  <si>
    <t>CA250016-7_All by Fouta_Stock_UNS1020-27_UNI SURPIQUE_1020</t>
  </si>
  <si>
    <t>CA250016-9_All by Fouta_Stock_UNS1020-27_UNI SURPIQUE_1020</t>
  </si>
  <si>
    <t>CA250016-5_All by Fouta_Stock_UNS1020-27_UNI SURPIQUE_1020</t>
  </si>
  <si>
    <t>CA250016-6_All by Fouta_Stock_UNS1020-27_UNI SURPIQUE_1020</t>
  </si>
  <si>
    <t>CA250016-8_All by Fouta_Stock_UNS1020-27_UNI SURPIQUE_1020</t>
  </si>
  <si>
    <t>CA250016-4_All by Fouta_Stock_UNS1020-27_UNI SURPIQUE_1020</t>
  </si>
  <si>
    <t>CA250016-11_All by Fouta_Stock_UNS1020-27_UNI SURPIQUE_1020</t>
  </si>
  <si>
    <t>CA250016-10_All by Fouta_Stock_UNS1020-27_UNI SURPIQUE_1020</t>
  </si>
  <si>
    <t>CA250019-6_All by Fouta_Stock_UNS1020-32_UNI SURPIQUE_1020</t>
  </si>
  <si>
    <t>CA250019-3_All by Fouta_Stock_UNS1020-32_UNI SURPIQUE_1020</t>
  </si>
  <si>
    <t>CA250019-5_All by Fouta_Stock_UNS1020-32_UNI SURPIQUE_1020</t>
  </si>
  <si>
    <t>CA250019-4_All by Fouta_Stock_UNS1020-32_UNI SURPIQUE_1020</t>
  </si>
  <si>
    <t>CA250051-6_All by Fouta_Stock_UNS1626-19_UNI SURPIQUE_1626</t>
  </si>
  <si>
    <t>CA250021-7_All by Fouta_Stock_UNS2020-03_UNI SURPIQUE_2020</t>
  </si>
  <si>
    <t>CA250053-3_All by Fouta_Stock_UNS1626-23_UNI SURPIQUE_1626</t>
  </si>
  <si>
    <t>CA250024-6_All by Fouta_Stock_UNS2020-09_UNI SURPIQUE_2020</t>
  </si>
  <si>
    <t>CA250019-12_All by Fouta_Stock_UNS1020-32_UNI SURPIQUE_1020</t>
  </si>
  <si>
    <t>CA250047-4_All by Fouta_Stock_UNS1626-13_UNI SURPIQUE_1626</t>
  </si>
  <si>
    <t>CA250047-1_All by Fouta_Stock_UNS1626-13_UNI SURPIQUE_1626</t>
  </si>
  <si>
    <t>CA250047-3_All by Fouta_Stock_UNS1626-13_UNI SURPIQUE_1626</t>
  </si>
  <si>
    <t>CA250047-2_All by Fouta_Stock_UNS1626-13_UNI SURPIQUE_1626</t>
  </si>
  <si>
    <t>CA250047-5_All by Fouta_Stock_UNS1626-13_UNI SURPIQUE_1626</t>
  </si>
  <si>
    <t>CA250016-12_All by Fouta_Stock_UNS1020-27_UNI SURPIQUE_1020</t>
  </si>
  <si>
    <t>OF249869-12_CL00884_CM-FT0119_EPMA0919-B29-02_MARINIERE_0919</t>
  </si>
  <si>
    <t>OF249869-8_CL00884_CM-FT0119_EPMA0919-B29-02_MARINIERE_0919</t>
  </si>
  <si>
    <t>OF249869-9_CL00884_CM-FT0119_EPMA0919-B29-02_MARINIERE_0919</t>
  </si>
  <si>
    <t>OF249869-10_CL00884_CM-FT0119_EPMA0919-B29-02_MARINIERE_0919</t>
  </si>
  <si>
    <t>OF249869-11_CL00884_CM-FT0119_EPMA0919-B29-02_MARINIERE_0919</t>
  </si>
  <si>
    <t>CA250635-15_All by Fouta_Stock_EPMA0919-B11-02_MARINIERE_0919</t>
  </si>
  <si>
    <t>OF249868-20_CL00884_CM-FT0119_EPMA0919-B24-02_MARINIERE_0919</t>
  </si>
  <si>
    <t>OF249869-13_CL00884_CM-FT0119_EPMA0919-B29-02_MARINIERE_0919</t>
  </si>
  <si>
    <t>OF249868-19_CL00884_CM-FT0119_EPMA0919-B24-02_MARINIERE_0919</t>
  </si>
  <si>
    <t>OF249868-18_CL00884_CM-FT0119_EPMA0919-B24-02_MARINIERE_0919</t>
  </si>
  <si>
    <t>OF249868-17_CL00884_CM-FT0119_EPMA0919-B24-02_MARINIERE_0919</t>
  </si>
  <si>
    <t>OF249868-9_CL00884_CM-FT0119_EPMA0919-B24-02_MARINIERE_0919</t>
  </si>
  <si>
    <t>OF249868-16_CL00884_CM-FT0119_EPMA0919-B24-02_MARINIERE_0919</t>
  </si>
  <si>
    <t>OF249868-14_CL00884_CM-FT0119_EPMA0919-B24-02_MARINIERE_0919</t>
  </si>
  <si>
    <t>OF249868-10_CL00884_CM-FT0119_EPMA0919-B24-02_MARINIERE_0919</t>
  </si>
  <si>
    <t>OF249868-2_CL00884_CM-FT0119_EPMA0919-B24-02_MARINIERE_0919</t>
  </si>
  <si>
    <t>OF249868-11_CL00884_CM-FT0119_EPMA0919-B24-02_MARINIERE_0919</t>
  </si>
  <si>
    <t>OF249868-12_CL00884_CM-FT0119_EPMA0919-B24-02_MARINIERE_0919</t>
  </si>
  <si>
    <t>OF249868-4_CL00884_CM-FT0119_EPMA0919-B24-02_MARINIERE_0919</t>
  </si>
  <si>
    <t>OF249868-21_CL00884_CM-FT0119_EPMA0919-B24-02_MARINIERE_0919</t>
  </si>
  <si>
    <t>OF249868-3_CL00884_CM-FT0119_EPMA0919-B24-02_MARINIERE_0919</t>
  </si>
  <si>
    <t>OF249868-13_CL00884_CM-FT0119_EPMA0919-B24-02_MARINIERE_0919</t>
  </si>
  <si>
    <t>OF249868-1_CL00884_CM-FT0119_EPMA0919-B24-02_MARINIERE_0919</t>
  </si>
  <si>
    <t>OF249868-7_CL00884_CM-FT0119_EPMA0919-B24-02_MARINIERE_0919</t>
  </si>
  <si>
    <t>OF249868-8_CL00884_CM-FT0119_EPMA0919-B24-02_MARINIERE_0919</t>
  </si>
  <si>
    <t>OF249868-15_CL00884_CM-FT0119_EPMA0919-B24-02_MARINIERE_0919</t>
  </si>
  <si>
    <t>OF249868-6_CL00884_CM-FT0119_EPMA0919-B24-02_MARINIERE_0919</t>
  </si>
  <si>
    <t>OF249868-5_CL00884_CM-FT0119_EPMA0919-B24-02_MARINIERE_0919</t>
  </si>
  <si>
    <t>OF246544-16_CL00296_CM-FT0108_EPMA0919-B03-02_MARINIERE_0919</t>
  </si>
  <si>
    <t>OF246544-13_CL00296_CM-FT0108_EPMA0919-B03-02_MARINIERE_0919</t>
  </si>
  <si>
    <t>OF246544-4_CL00296_CM-FT0108_EPMA0919-B03-02_MARINIERE_0919</t>
  </si>
  <si>
    <t>OF246544-3_CL00296_CM-FT0108_EPMA0919-B03-02_MARINIERE_0919</t>
  </si>
  <si>
    <t>OF246544-14_CL00296_CM-FT0108_EPMA0919-B03-02_MARINIERE_0919</t>
  </si>
  <si>
    <t>OF246544-6_CL00296_CM-FT0108_EPMA0919-B03-02_MARINIERE_0919</t>
  </si>
  <si>
    <t>OF246544-7_CL00296_CM-FT0108_EPMA0919-B03-02_MARINIERE_0919</t>
  </si>
  <si>
    <t>OF246544-9_CL00296_CM-FT0108_EPMA0919-B03-02_MARINIERE_0919</t>
  </si>
  <si>
    <t>OF246544-5_CL00296_CM-FT0108_EPMA0919-B03-02_MARINIERE_0919</t>
  </si>
  <si>
    <t>OF246544-8_CL00296_CM-FT0108_EPMA0919-B03-02_MARINIERE_0919</t>
  </si>
  <si>
    <t>OF246544-10_CL00296_CM-FT0108_EPMA0919-B03-02_MARINIERE_0919</t>
  </si>
  <si>
    <t>OF246544-15_CL00296_CM-FT0108_EPMA0919-B03-02_MARINIERE_0919</t>
  </si>
  <si>
    <t>OF249782-5_CL00884_CM-FT0119_IB1020-B24-01_IBIZA_1020</t>
  </si>
  <si>
    <t>OF249782-63_CL00884_CM-FT0119_IB1020-B24-01_IBIZA_1020</t>
  </si>
  <si>
    <t>OF249782-4_CL00884_CM-FT0119_IB1020-B24-01_IBIZA_1020</t>
  </si>
  <si>
    <t>OF249782-47_CL00884_CM-FT0119_IB1020-B24-01_IBIZA_1020</t>
  </si>
  <si>
    <t>OF249782-64_CL00884_CM-FT0119_IB1020-B24-01_IBIZA_1020</t>
  </si>
  <si>
    <t>OF249782-43_CL00884_CM-FT0119_IB1020-B24-01_IBIZA_1020</t>
  </si>
  <si>
    <t>OF249782-7_CL00884_CM-FT0119_IB1020-B24-01_IBIZA_1020</t>
  </si>
  <si>
    <t>OF249782-3_CL00884_CM-FT0119_IB1020-B24-01_IBIZA_1020</t>
  </si>
  <si>
    <t>OF249782-2_CL00884_CM-FT0119_IB1020-B24-01_IBIZA_1020</t>
  </si>
  <si>
    <t>OF249782-6_CL00884_CM-FT0119_IB1020-B24-01_IBIZA_1020</t>
  </si>
  <si>
    <t>OF249782-8_CL00884_CM-FT0119_IB1020-B24-01_IBIZA_1020</t>
  </si>
  <si>
    <t>OF249782-45_CL00884_CM-FT0119_IB1020-B24-01_IBIZA_1020</t>
  </si>
  <si>
    <t>OF249782-46_CL00884_CM-FT0119_IB1020-B24-01_IBIZA_1020</t>
  </si>
  <si>
    <t>OF249782-61_CL00884_CM-FT0119_IB1020-B24-01_IBIZA_1020</t>
  </si>
  <si>
    <t>OF249782-42_CL00884_CM-FT0119_IB1020-B24-01_IBIZA_1020</t>
  </si>
  <si>
    <t>OF249782-62_CL00884_CM-FT0119_IB1020-B24-01_IBIZA_1020</t>
  </si>
  <si>
    <t>OF249782-41_CL00884_CM-FT0119_IB1020-B24-01_IBIZA_1020</t>
  </si>
  <si>
    <t>OF249782-44_CL00884_CM-FT0119_IB1020-B24-01_IBIZA_1020</t>
  </si>
  <si>
    <t>OF249782-48_CL00884_CM-FT0119_IB1020-B24-01_IBIZA_1020</t>
  </si>
  <si>
    <t>OF249782-1_CL00884_CM-FT0119_IB1020-B24-01_IBIZA_1020</t>
  </si>
  <si>
    <t>OF249809-23_CL00884_CM-FT0119_IS1020-B14-01_ISTANBUL_1020</t>
  </si>
  <si>
    <t>OF249809-12_CL00884_CM-FT0119_IS1020-B14-01_ISTANBUL_1020</t>
  </si>
  <si>
    <t>OF249809-19_CL00884_CM-FT0119_IS1020-B14-01_ISTANBUL_1020</t>
  </si>
  <si>
    <t>OF249809-9_CL00884_CM-FT0119_IS1020-B14-01_ISTANBUL_1020</t>
  </si>
  <si>
    <t>OF249809-25_CL00884_CM-FT0119_IS1020-B14-01_ISTANBUL_1020</t>
  </si>
  <si>
    <t>OF249809-24_CL00884_CM-FT0119_IS1020-B14-01_ISTANBUL_1020</t>
  </si>
  <si>
    <t>OF249809-11_CL00884_CM-FT0119_IS1020-B14-01_ISTANBUL_1020</t>
  </si>
  <si>
    <t>OF249809-17_CL00884_CM-FT0119_IS1020-B14-01_ISTANBUL_1020</t>
  </si>
  <si>
    <t>OF249809-18_CL00884_CM-FT0119_IS1020-B14-01_ISTANBUL_1020</t>
  </si>
  <si>
    <t>OF249809-20_CL00884_CM-FT0119_IS1020-B14-01_ISTANBUL_1020</t>
  </si>
  <si>
    <t>OF249809-29_CL00884_CM-FT0119_IS1020-B14-01_ISTANBUL_1020</t>
  </si>
  <si>
    <t>OF249809-22_CL00884_CM-FT0119_IS1020-B14-01_ISTANBUL_1020</t>
  </si>
  <si>
    <t>OF249809-30_CL00884_CM-FT0119_IS1020-B14-01_ISTANBUL_1020</t>
  </si>
  <si>
    <t>OF249809-10_CL00884_CM-FT0119_IS1020-B14-01_ISTANBUL_1020</t>
  </si>
  <si>
    <t>OF249809-26_CL00884_CM-FT0119_IS1020-B14-01_ISTANBUL_1020</t>
  </si>
  <si>
    <t>OF249809-21_CL00884_CM-FT0119_IS1020-B14-01_ISTANBUL_1020</t>
  </si>
  <si>
    <t>OF249809-28_CL00884_CM-FT0119_IS1020-B14-01_ISTANBUL_1020</t>
  </si>
  <si>
    <t>OF249809-32_CL00884_CM-FT0119_IS1020-B14-01_ISTANBUL_1020</t>
  </si>
  <si>
    <t>OF249809-31_CL00884_CM-FT0119_IS1020-B14-01_ISTANBUL_1020</t>
  </si>
  <si>
    <t>OF249809-27_CL00884_CM-FT0119_IS1020-B14-01_ISTANBUL_1020</t>
  </si>
  <si>
    <t>OF249782-56_CL00884_CM-FT0119_IB1020-B24-01_IBIZA_1020</t>
  </si>
  <si>
    <t>OF249782-53_CL00884_CM-FT0119_IB1020-B24-01_IBIZA_1020</t>
  </si>
  <si>
    <t>OF249782-49_CL00884_CM-FT0119_IB1020-B24-01_IBIZA_1020</t>
  </si>
  <si>
    <t>OF249782-40_CL00884_CM-FT0119_IB1020-B24-01_IBIZA_1020</t>
  </si>
  <si>
    <t>OF249782-57_CL00884_CM-FT0119_IB1020-B24-01_IBIZA_1020</t>
  </si>
  <si>
    <t>OF249782-55_CL00884_CM-FT0119_IB1020-B24-01_IBIZA_1020</t>
  </si>
  <si>
    <t>OF249782-59_CL00884_CM-FT0119_IB1020-B24-01_IBIZA_1020</t>
  </si>
  <si>
    <t>OF249782-51_CL00884_CM-FT0119_IB1020-B24-01_IBIZA_1020</t>
  </si>
  <si>
    <t>OF249782-54_CL00884_CM-FT0119_IB1020-B24-01_IBIZA_1020</t>
  </si>
  <si>
    <t>OF249782-58_CL00884_CM-FT0119_IB1020-B24-01_IBIZA_1020</t>
  </si>
  <si>
    <t>OF249782-39_CL00884_CM-FT0119_IB1020-B24-01_IBIZA_1020</t>
  </si>
  <si>
    <t>OF249782-52_CL00884_CM-FT0119_IB1020-B24-01_IBIZA_1020</t>
  </si>
  <si>
    <t>OF249782-60_CL00884_CM-FT0119_IB1020-B24-01_IBIZA_1020</t>
  </si>
  <si>
    <t>OF249782-50_CL00884_CM-FT0119_IB1020-B24-01_IBIZA_1020</t>
  </si>
  <si>
    <t>OF249782-26_CL00884_CM-FT0119_IB1020-B24-01_IBIZA_1020</t>
  </si>
  <si>
    <t>OF249782-34_CL00884_CM-FT0119_IB1020-B24-01_IBIZA_1020</t>
  </si>
  <si>
    <t>OF249782-31_CL00884_CM-FT0119_IB1020-B24-01_IBIZA_1020</t>
  </si>
  <si>
    <t>OF249782-35_CL00884_CM-FT0119_IB1020-B24-01_IBIZA_1020</t>
  </si>
  <si>
    <t>OF249782-24_CL00884_CM-FT0119_IB1020-B24-01_IBIZA_1020</t>
  </si>
  <si>
    <t>OF249782-29_CL00884_CM-FT0119_IB1020-B24-01_IBIZA_1020</t>
  </si>
  <si>
    <t>OF249782-17_CL00884_CM-FT0119_IB1020-B24-01_IBIZA_1020</t>
  </si>
  <si>
    <t>OF249782-33_CL00884_CM-FT0119_IB1020-B24-01_IBIZA_1020</t>
  </si>
  <si>
    <t>OF249782-30_CL00884_CM-FT0119_IB1020-B24-01_IBIZA_1020</t>
  </si>
  <si>
    <t>OF249782-28_CL00884_CM-FT0119_IB1020-B24-01_IBIZA_1020</t>
  </si>
  <si>
    <t>OF249782-22_CL00884_CM-FT0119_IB1020-B24-01_IBIZA_1020</t>
  </si>
  <si>
    <t>OF249782-25_CL00884_CM-FT0119_IB1020-B24-01_IBIZA_1020</t>
  </si>
  <si>
    <t>OF249782-37_CL00884_CM-FT0119_IB1020-B24-01_IBIZA_1020</t>
  </si>
  <si>
    <t>OF249782-16_CL00884_CM-FT0119_IB1020-B24-01_IBIZA_1020</t>
  </si>
  <si>
    <t>OF249782-36_CL00884_CM-FT0119_IB1020-B24-01_IBIZA_1020</t>
  </si>
  <si>
    <t>OF249782-27_CL00884_CM-FT0119_IB1020-B24-01_IBIZA_1020</t>
  </si>
  <si>
    <t>OF249782-32_CL00884_CM-FT0119_IB1020-B24-01_IBIZA_1020</t>
  </si>
  <si>
    <t>OF249782-21_CL00884_CM-FT0119_IB1020-B24-01_IBIZA_1020</t>
  </si>
  <si>
    <t>OF249782-9_CL00884_CM-FT0119_IB1020-B24-01_IBIZA_1020</t>
  </si>
  <si>
    <t>OF249782-19_CL00884_CM-FT0119_IB1020-B24-01_IBIZA_1020</t>
  </si>
  <si>
    <t>OF249782-23_CL00884_CM-FT0119_IB1020-B24-01_IBIZA_1020</t>
  </si>
  <si>
    <t>OF249782-38_CL00884_CM-FT0119_IB1020-B24-01_IBIZA_1020</t>
  </si>
  <si>
    <t>OF249782-12_CL00884_CM-FT0119_IB1020-B24-01_IBIZA_1020</t>
  </si>
  <si>
    <t>OF249782-13_CL00884_CM-FT0119_IB1020-B24-01_IBIZA_1020</t>
  </si>
  <si>
    <t>OF249782-10_CL00884_CM-FT0119_IB1020-B24-01_IBIZA_1020</t>
  </si>
  <si>
    <t>OF249782-11_CL00884_CM-FT0119_IB1020-B24-01_IBIZA_1020</t>
  </si>
  <si>
    <t>OF249782-15_CL00884_CM-FT0119_IB1020-B24-01_IBIZA_1020</t>
  </si>
  <si>
    <t>OF249782-18_CL00884_CM-FT0119_IB1020-B24-01_IBIZA_1020</t>
  </si>
  <si>
    <t>OF249782-20_CL00884_CM-FT0119_IB1020-B24-01_IBIZA_1020</t>
  </si>
  <si>
    <t>OF249782-14_CL00884_CM-FT0119_IB1020-B24-01_IBIZA_1020</t>
  </si>
  <si>
    <t>OF249809-1_CL00884_CM-FT0119_IS1020-B14-01_ISTANBUL_1020</t>
  </si>
  <si>
    <t>OF249809-13_CL00884_CM-FT0119_IS1020-B14-01_ISTANBUL_1020</t>
  </si>
  <si>
    <t>OF249809-5_CL00884_CM-FT0119_IS1020-B14-01_ISTANBUL_1020</t>
  </si>
  <si>
    <t>OF249809-8_CL00884_CM-FT0119_IS1020-B14-01_ISTANBUL_1020</t>
  </si>
  <si>
    <t>OF249809-14_CL00884_CM-FT0119_IS1020-B14-01_ISTANBUL_1020</t>
  </si>
  <si>
    <t>OF249809-16_CL00884_CM-FT0119_IS1020-B14-01_ISTANBUL_1020</t>
  </si>
  <si>
    <t>OF249809-15_CL00884_CM-FT0119_IS1020-B14-01_ISTANBUL_1020</t>
  </si>
  <si>
    <t>OF249809-3_CL00884_CM-FT0119_IS1020-B14-01_ISTANBUL_1020</t>
  </si>
  <si>
    <t>OF249809-7_CL00884_CM-FT0119_IS1020-B14-01_ISTANBUL_1020</t>
  </si>
  <si>
    <t>OF249809-2_CL00884_CM-FT0119_IS1020-B14-01_ISTANBUL_1020</t>
  </si>
  <si>
    <t>OF249809-6_CL00884_CM-FT0119_IS1020-B14-01_ISTANBUL_1020</t>
  </si>
  <si>
    <t>OF249809-4_CL00884_CM-FT0119_IS1020-B14-01_ISTANBUL_1020</t>
  </si>
  <si>
    <t>OF249848-12_CL00884_CM-FT0119_ST1020-S14-16-17_ST TROPEZ_1020</t>
  </si>
  <si>
    <t>OF249848-11_CL00884_CM-FT0119_ST1020-S14-16-17_ST TROPEZ_1020</t>
  </si>
  <si>
    <t>OF249848-10_CL00884_CM-FT0119_ST1020-S14-16-17_ST TROPEZ_1020</t>
  </si>
  <si>
    <t>OF249848-9_CL00884_CM-FT0119_ST1020-S14-16-17_ST TROPEZ_1020</t>
  </si>
  <si>
    <t>OF249848-8_CL00884_CM-FT0119_ST1020-S14-16-17_ST TROPEZ_1020</t>
  </si>
  <si>
    <t>OF249848-7_CL00884_CM-FT0119_ST1020-S14-16-17_ST TROPEZ_1020</t>
  </si>
  <si>
    <t>OF249848-6_CL00884_CM-FT0119_ST1020-S14-16-17_ST TROPEZ_1020</t>
  </si>
  <si>
    <t>OF249848-5_CL00884_CM-FT0119_ST1020-S14-16-17_ST TROPEZ_1020</t>
  </si>
  <si>
    <t>OF249848-4_CL00884_CM-FT0119_ST1020-S14-16-17_ST TROPEZ_1020</t>
  </si>
  <si>
    <t>OF249848-3_CL00884_CM-FT0119_ST1020-S14-16-17_ST TROPEZ_1020</t>
  </si>
  <si>
    <t>OF249848-2_CL00884_CM-FT0119_ST1020-S14-16-17_ST TROPEZ_1020</t>
  </si>
  <si>
    <t>OF249848-1_CL00884_CM-FT0119_ST1020-S14-16-17_ST TROPEZ_1020</t>
  </si>
  <si>
    <t>OF249848-18_CL00884_CM-FT0119_ST1020-S14-16-17_ST TROPEZ_1020</t>
  </si>
  <si>
    <t>OF249848-17_CL00884_CM-FT0119_ST1020-S14-16-17_ST TROPEZ_1020</t>
  </si>
  <si>
    <t>OF249848-13_CL00884_CM-FT0119_ST1020-S14-16-17_ST TROPEZ_1020</t>
  </si>
  <si>
    <t>OF249848-14_CL00884_CM-FT0119_ST1020-S14-16-17_ST TROPEZ_1020</t>
  </si>
  <si>
    <t>OF249848-15_CL00884_CM-FT0119_ST1020-S14-16-17_ST TROPEZ_1020</t>
  </si>
  <si>
    <t>OF249946-64_CL00884_CM-FT0120_ST1020-S14-16-17_ST TROPEZ_1020</t>
  </si>
  <si>
    <t>OF249946-63_CL00884_CM-FT0120_ST1020-S14-16-17_ST TROPEZ_1020</t>
  </si>
  <si>
    <t>OF249946-62_CL00884_CM-FT0120_ST1020-S14-16-17_ST TROPEZ_1020</t>
  </si>
  <si>
    <t>OF249946-61_CL00884_CM-FT0120_ST1020-S14-16-17_ST TROPEZ_1020</t>
  </si>
  <si>
    <t>OF249946-65_CL00884_CM-FT0120_ST1020-S14-16-17_ST TROPEZ_1020</t>
  </si>
  <si>
    <t>CA250034-4_All by Fouta_Stock_UNS2020-24_UNI SURPIQUE_2020</t>
  </si>
  <si>
    <t>CA250034-2_All by Fouta_Stock_UNS2020-24_UNI SURPIQUE_2020</t>
  </si>
  <si>
    <t>CA250034-3_All by Fouta_Stock_UNS2020-24_UNI SURPIQUE_2020</t>
  </si>
  <si>
    <t>CA250034-6_All by Fouta_Stock_UNS2020-24_UNI SURPIQUE_2020</t>
  </si>
  <si>
    <t>CA250034-5_All by Fouta_Stock_UNS2020-24_UNI SURPIQUE_2020</t>
  </si>
  <si>
    <t>OF249946-56_CL00884_CM-FT0120_ST1020-S14-16-17_ST TROPEZ_1020</t>
  </si>
  <si>
    <t>OF249946-52_CL00884_CM-FT0120_ST1020-S14-16-17_ST TROPEZ_1020</t>
  </si>
  <si>
    <t>OF249946-51_CL00884_CM-FT0120_ST1020-S14-16-17_ST TROPEZ_1020</t>
  </si>
  <si>
    <t>OF249946-50_CL00884_CM-FT0120_ST1020-S14-16-17_ST TROPEZ_1020</t>
  </si>
  <si>
    <t>OF249946-60_CL00884_CM-FT0120_ST1020-S14-16-17_ST TROPEZ_1020</t>
  </si>
  <si>
    <t>OF249946-55_CL00884_CM-FT0120_ST1020-S14-16-17_ST TROPEZ_1020</t>
  </si>
  <si>
    <t>OF249946-58_CL00884_CM-FT0120_ST1020-S14-16-17_ST TROPEZ_1020</t>
  </si>
  <si>
    <t>OF249946-57_CL00884_CM-FT0120_ST1020-S14-16-17_ST TROPEZ_1020</t>
  </si>
  <si>
    <t>OF249946-54_CL00884_CM-FT0120_ST1020-S14-16-17_ST TROPEZ_1020</t>
  </si>
  <si>
    <t>OF249946-53_CL00884_CM-FT0120_ST1020-S14-16-17_ST TROPEZ_1020</t>
  </si>
  <si>
    <t>CA250034-1_All by Fouta_Stock_UNS2020-24_UNI SURPIQUE_2020</t>
  </si>
  <si>
    <t>OF249946-43_CL00884_CM-FT0120_ST1020-S14-16-17_ST TROPEZ_1020</t>
  </si>
  <si>
    <t>OF249946-44_CL00884_CM-FT0120_ST1020-S14-16-17_ST TROPEZ_1020</t>
  </si>
  <si>
    <t>OF249946-40_CL00884_CM-FT0120_ST1020-S14-16-17_ST TROPEZ_1020</t>
  </si>
  <si>
    <t>OF249946-39_CL00884_CM-FT0120_ST1020-S14-16-17_ST TROPEZ_1020</t>
  </si>
  <si>
    <t>OF249946-38_CL00884_CM-FT0120_ST1020-S14-16-17_ST TROPEZ_1020</t>
  </si>
  <si>
    <t>OF249946-37_CL00884_CM-FT0120_ST1020-S14-16-17_ST TROPEZ_1020</t>
  </si>
  <si>
    <t>OF249946-36_CL00884_CM-FT0120_ST1020-S14-16-17_ST TROPEZ_1020</t>
  </si>
  <si>
    <t>OF249946-47_CL00884_CM-FT0120_ST1020-S14-16-17_ST TROPEZ_1020</t>
  </si>
  <si>
    <t>CA250016-13_All by Fouta_Stock_UNS1020-27_UNI SURPIQUE_1020</t>
  </si>
  <si>
    <t>OF249946-41_CL00884_CM-FT0120_ST1020-S14-16-17_ST TROPEZ_1020</t>
  </si>
  <si>
    <t>OF249946-46_CL00884_CM-FT0120_ST1020-S14-16-17_ST TROPEZ_1020</t>
  </si>
  <si>
    <t>OF249946-42_CL00884_CM-FT0120_ST1020-S14-16-17_ST TROPEZ_1020</t>
  </si>
  <si>
    <t>OF249946-35_CL00884_CM-FT0120_ST1020-S14-16-17_ST TROPEZ_1020</t>
  </si>
  <si>
    <t>OF249946-45_CL00884_CM-FT0120_ST1020-S14-16-17_ST TROPEZ_1020</t>
  </si>
  <si>
    <t>OF249946-48_CL00884_CM-FT0120_ST1020-S14-16-17_ST TROPEZ_1020</t>
  </si>
  <si>
    <t>OF249946-49_CL00884_CM-FT0120_ST1020-S14-16-17_ST TROPEZ_1020</t>
  </si>
  <si>
    <t>OF249946-34_CL00884_CM-FT0120_ST1020-S14-16-17_ST TROPEZ_1020</t>
  </si>
  <si>
    <t>OF249946-33_CL00884_CM-FT0120_ST1020-S14-16-17_ST TROPEZ_1020</t>
  </si>
  <si>
    <t>OF249946-32_CL00884_CM-FT0120_ST1020-S14-16-17_ST TROPEZ_1020</t>
  </si>
  <si>
    <t>CA250035-1_All by Fouta_Stock_UNS2020-26_UNI SURPIQUE_2020</t>
  </si>
  <si>
    <t>CA250035-2_All by Fouta_Stock_UNS2020-26_UNI SURPIQUE_2020</t>
  </si>
  <si>
    <t>CA250035-5_All by Fouta_Stock_UNS2020-26_UNI SURPIQUE_2020</t>
  </si>
  <si>
    <t>CA250035-4_All by Fouta_Stock_UNS2020-26_UNI SURPIQUE_2020</t>
  </si>
  <si>
    <t>CA250035-6_All by Fouta_Stock_UNS2020-26_UNI SURPIQUE_2020</t>
  </si>
  <si>
    <t>CA250035-3_All by Fouta_Stock_UNS2020-26_UNI SURPIQUE_2020</t>
  </si>
  <si>
    <t>CA250035-7_All by Fouta_Stock_UNS2020-26_UNI SURPIQUE_2020</t>
  </si>
  <si>
    <t>OF249848-23_CL00884_CM-FT0119_ST1020-S14-16-17_ST TROPEZ_1020</t>
  </si>
  <si>
    <t>OF249848-22_CL00884_CM-FT0119_ST1020-S14-16-17_ST TROPEZ_1020</t>
  </si>
  <si>
    <t>OF249848-35_CL00884_CM-FT0119_ST1020-S14-16-17_ST TROPEZ_1020</t>
  </si>
  <si>
    <t>OF249848-39_CL00884_CM-FT0119_ST1020-S14-16-17_ST TROPEZ_1020</t>
  </si>
  <si>
    <t>OF249848-38_CL00884_CM-FT0119_ST1020-S14-16-17_ST TROPEZ_1020</t>
  </si>
  <si>
    <t>OF249848-34_CL00884_CM-FT0119_ST1020-S14-16-17_ST TROPEZ_1020</t>
  </si>
  <si>
    <t>OF249848-42_CL00884_CM-FT0119_ST1020-S14-16-17_ST TROPEZ_1020</t>
  </si>
  <si>
    <t>OF249848-33_CL00884_CM-FT0119_ST1020-S14-16-17_ST TROPEZ_1020</t>
  </si>
  <si>
    <t>OF249848-37_CL00884_CM-FT0119_ST1020-S14-16-17_ST TROPEZ_1020</t>
  </si>
  <si>
    <t>OF249848-36_CL00884_CM-FT0119_ST1020-S14-16-17_ST TROPEZ_1020</t>
  </si>
  <si>
    <t>OF249858-16_CL00884_CM-FT0119_AR2020-B23-01_ARTHUR_2020</t>
  </si>
  <si>
    <t>OF249848-41_CL00884_CM-FT0119_ST1020-S14-16-17_ST TROPEZ_1020</t>
  </si>
  <si>
    <t>OF249848-40_CL00884_CM-FT0119_ST1020-S14-16-17_ST TROPEZ_1020</t>
  </si>
  <si>
    <t>OF249848-29_CL00884_CM-FT0119_ST1020-S14-16-17_ST TROPEZ_1020</t>
  </si>
  <si>
    <t>OF249848-21_CL00884_CM-FT0119_ST1020-S14-16-17_ST TROPEZ_1020</t>
  </si>
  <si>
    <t>OF249848-28_CL00884_CM-FT0119_ST1020-S14-16-17_ST TROPEZ_1020</t>
  </si>
  <si>
    <t>OF249848-27_CL00884_CM-FT0119_ST1020-S14-16-17_ST TROPEZ_1020</t>
  </si>
  <si>
    <t>OF249848-26_CL00884_CM-FT0119_ST1020-S14-16-17_ST TROPEZ_1020</t>
  </si>
  <si>
    <t>OF249848-25_CL00884_CM-FT0119_ST1020-S14-16-17_ST TROPEZ_1020</t>
  </si>
  <si>
    <t>OF249848-24_CL00884_CM-FT0119_ST1020-S14-16-17_ST TROPEZ_1020</t>
  </si>
  <si>
    <t>OF249848-20_CL00884_CM-FT0119_ST1020-S14-16-17_ST TROPEZ_1020</t>
  </si>
  <si>
    <t>OF249848-19_CL00884_CM-FT0119_ST1020-S14-16-17_ST TROPEZ_1020</t>
  </si>
  <si>
    <t>OF249946-2_CL00884_CM-FT0120_ST1020-S14-16-17_ST TROPEZ_1020</t>
  </si>
  <si>
    <t>OF249946-19_CL00884_CM-FT0120_ST1020-S14-16-17_ST TROPEZ_1020</t>
  </si>
  <si>
    <t>OF249946-20_CL00884_CM-FT0120_ST1020-S14-16-17_ST TROPEZ_1020</t>
  </si>
  <si>
    <t>OF249946-18_CL00884_CM-FT0120_ST1020-S14-16-17_ST TROPEZ_1020</t>
  </si>
  <si>
    <t>OF249946-11_CL00884_CM-FT0120_ST1020-S14-16-17_ST TROPEZ_1020</t>
  </si>
  <si>
    <t>OF249946-8_CL00884_CM-FT0120_ST1020-S14-16-17_ST TROPEZ_1020</t>
  </si>
  <si>
    <t>OF249946-9_CL00884_CM-FT0120_ST1020-S14-16-17_ST TROPEZ_1020</t>
  </si>
  <si>
    <t>OF249946-10_CL00884_CM-FT0120_ST1020-S14-16-17_ST TROPEZ_1020</t>
  </si>
  <si>
    <t>OF249946-28_CL00884_CM-FT0120_ST1020-S14-16-17_ST TROPEZ_1020</t>
  </si>
  <si>
    <t>OF249946-1_CL00884_CM-FT0120_ST1020-S14-16-17_ST TROPEZ_1020</t>
  </si>
  <si>
    <t>OF249946-4_CL00884_CM-FT0120_ST1020-S14-16-17_ST TROPEZ_1020</t>
  </si>
  <si>
    <t>OF249946-16_CL00884_CM-FT0120_ST1020-S14-16-17_ST TROPEZ_1020</t>
  </si>
  <si>
    <t>OF249946-17_CL00884_CM-FT0120_ST1020-S14-16-17_ST TROPEZ_1020</t>
  </si>
  <si>
    <t>OF249946-22_CL00884_CM-FT0120_ST1020-S14-16-17_ST TROPEZ_1020</t>
  </si>
  <si>
    <t>OF249946-31_CL00884_CM-FT0120_ST1020-S14-16-17_ST TROPEZ_1020</t>
  </si>
  <si>
    <t>OF249946-7_CL00884_CM-FT0120_ST1020-S14-16-17_ST TROPEZ_1020</t>
  </si>
  <si>
    <t>OF249946-21_CL00884_CM-FT0120_ST1020-S14-16-17_ST TROPEZ_1020</t>
  </si>
  <si>
    <t>OF249946-27_CL00884_CM-FT0120_ST1020-S14-16-17_ST TROPEZ_1020</t>
  </si>
  <si>
    <t>OF249946-12_CL00884_CM-FT0120_ST1020-S14-16-17_ST TROPEZ_1020</t>
  </si>
  <si>
    <t>OF249946-3_CL00884_CM-FT0120_ST1020-S14-16-17_ST TROPEZ_1020</t>
  </si>
  <si>
    <t>OF249946-5_CL00884_CM-FT0120_ST1020-S14-16-17_ST TROPEZ_1020</t>
  </si>
  <si>
    <t>OF249946-6_CL00884_CM-FT0120_ST1020-S14-16-17_ST TROPEZ_1020</t>
  </si>
  <si>
    <t>OF249946-13_CL00884_CM-FT0120_ST1020-S14-16-17_ST TROPEZ_1020</t>
  </si>
  <si>
    <t>OF249946-15_CL00884_CM-FT0120_ST1020-S14-16-17_ST TROPEZ_1020</t>
  </si>
  <si>
    <t>OF249946-25_CL00884_CM-FT0120_ST1020-S14-16-17_ST TROPEZ_1020</t>
  </si>
  <si>
    <t>OF249946-23_CL00884_CM-FT0120_ST1020-S14-16-17_ST TROPEZ_1020</t>
  </si>
  <si>
    <t>OF249946-30_CL00884_CM-FT0120_ST1020-S14-16-17_ST TROPEZ_1020</t>
  </si>
  <si>
    <t>OF249946-26_CL00884_CM-FT0120_ST1020-S14-16-17_ST TROPEZ_1020</t>
  </si>
  <si>
    <t>OF249946-24_CL00884_CM-FT0120_ST1020-S14-16-17_ST TROPEZ_1020</t>
  </si>
  <si>
    <t>OF249946-14_CL00884_CM-FT0120_ST1020-S14-16-17_ST TROPEZ_1020</t>
  </si>
  <si>
    <t>OF249946-29_CL00884_CM-FT0120_ST1020-S14-16-17_ST TROPEZ_1020</t>
  </si>
  <si>
    <t>OF249859-16_CL00884_CM-FT0119_AR2020-B29-01_ARTHUR_2020</t>
  </si>
  <si>
    <t>OF249858-14_CL00884_CM-FT0119_AR2020-B23-01_ARTHUR_2020</t>
  </si>
  <si>
    <t>OF249858-13_CL00884_CM-FT0119_AR2020-B23-01_ARTHUR_2020</t>
  </si>
  <si>
    <t>OF249859-13_CL00884_CM-FT0119_AR2020-B29-01_ARTHUR_2020</t>
  </si>
  <si>
    <t>OF249858-15_CL00884_CM-FT0119_AR2020-B23-01_ARTHUR_2020</t>
  </si>
  <si>
    <t>OF249859-14_CL00884_CM-FT0119_AR2020-B29-01_ARTHUR_2020</t>
  </si>
  <si>
    <t>OF249859-12_CL00884_CM-FT0119_AR2020-B29-01_ARTHUR_2020</t>
  </si>
  <si>
    <t>OF249859-11_CL00884_CM-FT0119_AR2020-B29-01_ARTHUR_2020</t>
  </si>
  <si>
    <t>OF249859-15_CL00884_CM-FT0119_AR2020-B29-01_ARTHUR_2020</t>
  </si>
  <si>
    <t>OF249858-1_CL00884_CM-FT0119_AR2020-B23-01_ARTHUR_2020</t>
  </si>
  <si>
    <t>OF249858-4_CL00884_CM-FT0119_AR2020-B23-01_ARTHUR_2020</t>
  </si>
  <si>
    <t>OF249858-2_CL00884_CM-FT0119_AR2020-B23-01_ARTHUR_2020</t>
  </si>
  <si>
    <t>OF249858-5_CL00884_CM-FT0119_AR2020-B23-01_ARTHUR_2020</t>
  </si>
  <si>
    <t>OF249858-3_CL00884_CM-FT0119_AR2020-B23-01_ARTHUR_2020</t>
  </si>
  <si>
    <t>OF249858-7_CL00884_CM-FT0119_AR2020-B23-01_ARTHUR_2020</t>
  </si>
  <si>
    <t>OF249858-6_CL00884_CM-FT0119_AR2020-B23-01_ARTHUR_2020</t>
  </si>
  <si>
    <t>OF249859-6_CL00884_CM-FT0119_AR2020-B29-01_ARTHUR_2020</t>
  </si>
  <si>
    <t>OF249858-12_CL00884_CM-FT0119_AR2020-B23-01_ARTHUR_2020</t>
  </si>
  <si>
    <t>OF249858-11_CL00884_CM-FT0119_AR2020-B23-01_ARTHUR_2020</t>
  </si>
  <si>
    <t>OF249858-10_CL00884_CM-FT0119_AR2020-B23-01_ARTHUR_2020</t>
  </si>
  <si>
    <t>OF249858-8_CL00884_CM-FT0119_AR2020-B23-01_ARTHUR_2020</t>
  </si>
  <si>
    <t>OF249859-4_CL00884_CM-FT0119_AR2020-B29-01_ARTHUR_2020</t>
  </si>
  <si>
    <t>OF249859-10_CL00884_CM-FT0119_AR2020-B29-01_ARTHUR_2020</t>
  </si>
  <si>
    <t>OF249859-1_CL00884_CM-FT0119_AR2020-B29-01_ARTHUR_2020</t>
  </si>
  <si>
    <t>OF249859-9_CL00884_CM-FT0119_AR2020-B29-01_ARTHUR_2020</t>
  </si>
  <si>
    <t>OF249858-9_CL00884_CM-FT0119_AR2020-B23-01_ARTHUR_2020</t>
  </si>
  <si>
    <t>OF249859-2_CL00884_CM-FT0119_AR2020-B29-01_ARTHUR_2020</t>
  </si>
  <si>
    <t>OF249859-3_CL00884_CM-FT0119_AR2020-B29-01_ARTHUR_2020</t>
  </si>
  <si>
    <t>OF249859-8_CL00884_CM-FT0119_AR2020-B29-01_ARTHUR_2020</t>
  </si>
  <si>
    <t>OF249859-7_CL00884_CM-FT0119_AR2020-B29-01_ARTHUR_2020</t>
  </si>
  <si>
    <t>OF249859-5_CL00884_CM-FT0119_AR2020-B29-01_ARTHUR_2020</t>
  </si>
  <si>
    <t>OF249880-19_CL00884_CM-FT0120_IB1020-B24-01_IBIZA_1020</t>
  </si>
  <si>
    <t>OF249880-24_CL00884_CM-FT0120_IB1020-B24-01_IBIZA_1020</t>
  </si>
  <si>
    <t>OF249880-21_CL00884_CM-FT0120_IB1020-B24-01_IBIZA_1020</t>
  </si>
  <si>
    <t>OF249880-17_CL00884_CM-FT0120_IB1020-B24-01_IBIZA_1020</t>
  </si>
  <si>
    <t>OF249880-14_CL00884_CM-FT0120_IB1020-B24-01_IBIZA_1020</t>
  </si>
  <si>
    <t>OF249880-5_CL00884_CM-FT0120_IB1020-B24-01_IBIZA_1020</t>
  </si>
  <si>
    <t>OF249880-6_CL00884_CM-FT0120_IB1020-B24-01_IBIZA_1020</t>
  </si>
  <si>
    <t>OF249880-16_CL00884_CM-FT0120_IB1020-B24-01_IBIZA_1020</t>
  </si>
  <si>
    <t>OF249880-13_CL00884_CM-FT0120_IB1020-B24-01_IBIZA_1020</t>
  </si>
  <si>
    <t>OF249880-7_CL00884_CM-FT0120_IB1020-B24-01_IBIZA_1020</t>
  </si>
  <si>
    <t>OF249880-20_CL00884_CM-FT0120_IB1020-B24-01_IBIZA_1020</t>
  </si>
  <si>
    <t>OF249880-9_CL00884_CM-FT0120_IB1020-B24-01_IBIZA_1020</t>
  </si>
  <si>
    <t>OF249880-23_CL00884_CM-FT0120_IB1020-B24-01_IBIZA_1020</t>
  </si>
  <si>
    <t>OF249880-22_CL00884_CM-FT0120_IB1020-B24-01_IBIZA_1020</t>
  </si>
  <si>
    <t>OF249880-12_CL00884_CM-FT0120_IB1020-B24-01_IBIZA_1020</t>
  </si>
  <si>
    <t>OF249880-18_CL00884_CM-FT0120_IB1020-B24-01_IBIZA_1020</t>
  </si>
  <si>
    <t>OF249880-10_CL00884_CM-FT0120_IB1020-B24-01_IBIZA_1020</t>
  </si>
  <si>
    <t>OF249880-15_CL00884_CM-FT0120_IB1020-B24-01_IBIZA_1020</t>
  </si>
  <si>
    <t>OF249880-11_CL00884_CM-FT0120_IB1020-B24-01_IBIZA_1020</t>
  </si>
  <si>
    <t>OF249880-4_CL00884_CM-FT0120_IB1020-B24-01_IBIZA_1020</t>
  </si>
  <si>
    <t>OF249880-3_CL00884_CM-FT0120_IB1020-B24-01_IBIZA_1020</t>
  </si>
  <si>
    <t>OF249880-8_CL00884_CM-FT0120_IB1020-B24-01_IBIZA_1020</t>
  </si>
  <si>
    <t>OF249880-2_CL00884_CM-FT0120_IB1020-B24-01_IBIZA_1020</t>
  </si>
  <si>
    <t>OF249880-1_CL00884_CM-FT0120_IB1020-B24-01_IBIZA_1020</t>
  </si>
  <si>
    <t>OF249816-63_CL00884_CM-FT0119_SO1020-Q29-11-14_SOUSSE_1020</t>
  </si>
  <si>
    <t>OF249816-56_CL00884_CM-FT0119_SO1020-Q29-11-14_SOUSSE_1020</t>
  </si>
  <si>
    <t>OF249816-58_CL00884_CM-FT0119_SO1020-Q29-11-14_SOUSSE_1020</t>
  </si>
  <si>
    <t>OF249816-62_CL00884_CM-FT0119_SO1020-Q29-11-14_SOUSSE_1020</t>
  </si>
  <si>
    <t>OF249816-46_CL00884_CM-FT0119_SO1020-Q29-11-14_SOUSSE_1020</t>
  </si>
  <si>
    <t>OF249816-50_CL00884_CM-FT0119_SO1020-Q29-11-14_SOUSSE_1020</t>
  </si>
  <si>
    <t>OF249816-51_CL00884_CM-FT0119_SO1020-Q29-11-14_SOUSSE_1020</t>
  </si>
  <si>
    <t>OF249816-41_CL00884_CM-FT0119_SO1020-Q29-11-14_SOUSSE_1020</t>
  </si>
  <si>
    <t>OF249816-54_CL00884_CM-FT0119_SO1020-Q29-11-14_SOUSSE_1020</t>
  </si>
  <si>
    <t>OF249816-53_CL00884_CM-FT0119_SO1020-Q29-11-14_SOUSSE_1020</t>
  </si>
  <si>
    <t>OF249816-55_CL00884_CM-FT0119_SO1020-Q29-11-14_SOUSSE_1020</t>
  </si>
  <si>
    <t>OF249816-64_CL00884_CM-FT0119_SO1020-Q29-11-14_SOUSSE_1020</t>
  </si>
  <si>
    <t>OF249816-43_CL00884_CM-FT0119_SO1020-Q29-11-14_SOUSSE_1020</t>
  </si>
  <si>
    <t>OF249816-49_CL00884_CM-FT0119_SO1020-Q29-11-14_SOUSSE_1020</t>
  </si>
  <si>
    <t>OF249816-44_CL00884_CM-FT0119_SO1020-Q29-11-14_SOUSSE_1020</t>
  </si>
  <si>
    <t>OF249816-61_CL00884_CM-FT0119_SO1020-Q29-11-14_SOUSSE_1020</t>
  </si>
  <si>
    <t>OF249816-52_CL00884_CM-FT0119_SO1020-Q29-11-14_SOUSSE_1020</t>
  </si>
  <si>
    <t>OF249816-42_CL00884_CM-FT0119_SO1020-Q29-11-14_SOUSSE_1020</t>
  </si>
  <si>
    <t>OF249816-47_CL00884_CM-FT0119_SO1020-Q29-11-14_SOUSSE_1020</t>
  </si>
  <si>
    <t>OF249816-57_CL00884_CM-FT0119_SO1020-Q29-11-14_SOUSSE_1020</t>
  </si>
  <si>
    <t>OF249816-45_CL00884_CM-FT0119_SO1020-Q29-11-14_SOUSSE_1020</t>
  </si>
  <si>
    <t>OF249816-40_CL00884_CM-FT0119_SO1020-Q29-11-14_SOUSSE_1020</t>
  </si>
  <si>
    <t>OF249816-60_CL00884_CM-FT0119_SO1020-Q29-11-14_SOUSSE_1020</t>
  </si>
  <si>
    <t>OF249816-48_CL00884_CM-FT0119_SO1020-Q29-11-14_SOUSSE_1020</t>
  </si>
  <si>
    <t>OF249816-59_CL00884_CM-FT0119_SO1020-Q29-11-14_SOUSSE_1020</t>
  </si>
  <si>
    <t>OF249816-18_CL00884_CM-FT0119_SO1020-Q29-11-14_SOUSSE_1020</t>
  </si>
  <si>
    <t>OF249816-22_CL00884_CM-FT0119_SO1020-Q29-11-14_SOUSSE_1020</t>
  </si>
  <si>
    <t>OF249816-21_CL00884_CM-FT0119_SO1020-Q29-11-14_SOUSSE_1020</t>
  </si>
  <si>
    <t>OF249816-17_CL00884_CM-FT0119_SO1020-Q29-11-14_SOUSSE_1020</t>
  </si>
  <si>
    <t>OF249816-23_CL00884_CM-FT0119_SO1020-Q29-11-14_SOUSSE_1020</t>
  </si>
  <si>
    <t>OF249816-19_CL00884_CM-FT0119_SO1020-Q29-11-14_SOUSSE_1020</t>
  </si>
  <si>
    <t>OF249816-24_CL00884_CM-FT0119_SO1020-Q29-11-14_SOUSSE_1020</t>
  </si>
  <si>
    <t>OF249816-20_CL00884_CM-FT0119_SO1020-Q29-11-14_SOUSSE_1020</t>
  </si>
  <si>
    <t>OF249816-25_CL00884_CM-FT0119_SO1020-Q29-11-14_SOUSSE_1020</t>
  </si>
  <si>
    <t>OF249816-26_CL00884_CM-FT0119_SO1020-Q29-11-14_SOUSSE_1020</t>
  </si>
  <si>
    <t>OF249816-27_CL00884_CM-FT0119_SO1020-Q29-11-14_SOUSSE_1020</t>
  </si>
  <si>
    <t>OF249816-37_CL00884_CM-FT0119_SO1020-Q29-11-14_SOUSSE_1020</t>
  </si>
  <si>
    <t>OF249816-28_CL00884_CM-FT0119_SO1020-Q29-11-14_SOUSSE_1020</t>
  </si>
  <si>
    <t>OF249816-29_CL00884_CM-FT0119_SO1020-Q29-11-14_SOUSSE_1020</t>
  </si>
  <si>
    <t>OF249816-31_CL00884_CM-FT0119_SO1020-Q29-11-14_SOUSSE_1020</t>
  </si>
  <si>
    <t>OF249816-35_CL00884_CM-FT0119_SO1020-Q29-11-14_SOUSSE_1020</t>
  </si>
  <si>
    <t>OF249816-36_CL00884_CM-FT0119_SO1020-Q29-11-14_SOUSSE_1020</t>
  </si>
  <si>
    <t>OF249816-38_CL00884_CM-FT0119_SO1020-Q29-11-14_SOUSSE_1020</t>
  </si>
  <si>
    <t>OF249816-34_CL00884_CM-FT0119_SO1020-Q29-11-14_SOUSSE_1020</t>
  </si>
  <si>
    <t>OF249816-15_CL00884_CM-FT0119_SO1020-Q29-11-14_SOUSSE_1020</t>
  </si>
  <si>
    <t>OF249816-8_CL00884_CM-FT0119_SO1020-Q29-11-14_SOUSSE_1020</t>
  </si>
  <si>
    <t>OF249816-39_CL00884_CM-FT0119_SO1020-Q29-11-14_SOUSSE_1020</t>
  </si>
  <si>
    <t>OF249816-30_CL00884_CM-FT0119_SO1020-Q29-11-14_SOUSSE_1020</t>
  </si>
  <si>
    <t>OF249816-33_CL00884_CM-FT0119_SO1020-Q29-11-14_SOUSSE_1020</t>
  </si>
  <si>
    <t>OF249816-32_CL00884_CM-FT0119_SO1020-Q29-11-14_SOUSSE_1020</t>
  </si>
  <si>
    <t>OF249816-10_CL00884_CM-FT0119_SO1020-Q29-11-14_SOUSSE_1020</t>
  </si>
  <si>
    <t>OF249816-14_CL00884_CM-FT0119_SO1020-Q29-11-14_SOUSSE_1020</t>
  </si>
  <si>
    <t>OF249816-9_CL00884_CM-FT0119_SO1020-Q29-11-14_SOUSSE_1020</t>
  </si>
  <si>
    <t>OF249816-12_CL00884_CM-FT0119_SO1020-Q29-11-14_SOUSSE_1020</t>
  </si>
  <si>
    <t>OF249816-13_CL00884_CM-FT0119_SO1020-Q29-11-14_SOUSSE_1020</t>
  </si>
  <si>
    <t>OF249816-16_CL00884_CM-FT0119_SO1020-Q29-11-14_SOUSSE_1020</t>
  </si>
  <si>
    <t>OF249816-7_CL00884_CM-FT0119_SO1020-Q29-11-14_SOUSSE_1020</t>
  </si>
  <si>
    <t>OF249816-6_CL00884_CM-FT0119_SO1020-Q29-11-14_SOUSSE_1020</t>
  </si>
  <si>
    <t>OF249816-11_CL00884_CM-FT0119_SO1020-Q29-11-14_SOUSSE_1020</t>
  </si>
  <si>
    <t>OF249816-1_CL00884_CM-FT0119_SO1020-Q29-11-14_SOUSSE_1020</t>
  </si>
  <si>
    <t>OF249816-5_CL00884_CM-FT0119_SO1020-Q29-11-14_SOUSSE_1020</t>
  </si>
  <si>
    <t>OF249816-3_CL00884_CM-FT0119_SO1020-Q29-11-14_SOUSSE_1020</t>
  </si>
  <si>
    <t>OF249816-4_CL00884_CM-FT0119_SO1020-Q29-11-14_SOUSSE_1020</t>
  </si>
  <si>
    <t>OF249816-2_CL00884_CM-FT0119_SO1020-Q29-11-14_SOUSSE_1020</t>
  </si>
  <si>
    <t>OF249798-21_CL00884_CM-FT0119_LI1020-B28-01_LILI_1020</t>
  </si>
  <si>
    <t>OF249798-47_CL00884_CM-FT0119_LI1020-B28-01_LILI_1020</t>
  </si>
  <si>
    <t>OF249798-48_CL00884_CM-FT0119_LI1020-B28-01_LILI_1020</t>
  </si>
  <si>
    <t>OF249798-43_CL00884_CM-FT0119_LI1020-B28-01_LILI_1020</t>
  </si>
  <si>
    <t>OF249798-53_CL00884_CM-FT0119_LI1020-B28-01_LILI_1020</t>
  </si>
  <si>
    <t>OF249798-45_CL00884_CM-FT0119_LI1020-B28-01_LILI_1020</t>
  </si>
  <si>
    <t>OF249798-29_CL00884_CM-FT0119_LI1020-B28-01_LILI_1020</t>
  </si>
  <si>
    <t>OF249798-25_CL00884_CM-FT0119_LI1020-B28-01_LILI_1020</t>
  </si>
  <si>
    <t>OF249798-34_CL00884_CM-FT0119_LI1020-B28-01_LILI_1020</t>
  </si>
  <si>
    <t>OF249798-50_CL00884_CM-FT0119_LI1020-B28-01_LILI_1020</t>
  </si>
  <si>
    <t>OF249798-42_CL00884_CM-FT0119_LI1020-B28-01_LILI_1020</t>
  </si>
  <si>
    <t>OF249798-41_CL00884_CM-FT0119_LI1020-B28-01_LILI_1020</t>
  </si>
  <si>
    <t>OF249798-46_CL00884_CM-FT0119_LI1020-B28-01_LILI_1020</t>
  </si>
  <si>
    <t>OF249798-24_CL00884_CM-FT0119_LI1020-B28-01_LILI_1020</t>
  </si>
  <si>
    <t>OF249798-61_CL00884_CM-FT0119_LI1020-B28-01_LILI_1020</t>
  </si>
  <si>
    <t>OF249798-32_CL00884_CM-FT0119_LI1020-B28-01_LILI_1020</t>
  </si>
  <si>
    <t>OF249798-63_CL00884_CM-FT0119_LI1020-B28-01_LILI_1020</t>
  </si>
  <si>
    <t>OF249798-2_CL00884_CM-FT0119_LI1020-B28-01_LILI_1020</t>
  </si>
  <si>
    <t>OF249798-8_CL00884_CM-FT0119_LI1020-B28-01_LILI_1020</t>
  </si>
  <si>
    <t>OF249798-27_CL00884_CM-FT0119_LI1020-B28-01_LILI_1020</t>
  </si>
  <si>
    <t>OF249798-64_CL00884_CM-FT0119_LI1020-B28-01_LILI_1020</t>
  </si>
  <si>
    <t>OF249798-35_CL00884_CM-FT0119_LI1020-B28-01_LILI_1020</t>
  </si>
  <si>
    <t>OF249798-52_CL00884_CM-FT0119_LI1020-B28-01_LILI_1020</t>
  </si>
  <si>
    <t>OF249798-55_CL00884_CM-FT0119_LI1020-B28-01_LILI_1020</t>
  </si>
  <si>
    <t>OF249798-54_CL00884_CM-FT0119_LI1020-B28-01_LILI_1020</t>
  </si>
  <si>
    <t>OF249798-51_CL00884_CM-FT0119_LI1020-B28-01_LILI_1020</t>
  </si>
  <si>
    <t>OF249798-39_CL00884_CM-FT0119_LI1020-B28-01_LILI_1020</t>
  </si>
  <si>
    <t>OF249798-36_CL00884_CM-FT0119_LI1020-B28-01_LILI_1020</t>
  </si>
  <si>
    <t>OF249798-40_CL00884_CM-FT0119_LI1020-B28-01_LILI_1020</t>
  </si>
  <si>
    <t>OF249798-9_CL00884_CM-FT0119_LI1020-B28-01_LILI_1020</t>
  </si>
  <si>
    <t>OF249798-18_CL00884_CM-FT0119_LI1020-B28-01_LILI_1020</t>
  </si>
  <si>
    <t>OF249798-22_CL00884_CM-FT0119_LI1020-B28-01_LILI_1020</t>
  </si>
  <si>
    <t>OF249798-26_CL00884_CM-FT0119_LI1020-B28-01_LILI_1020</t>
  </si>
  <si>
    <t>OF249798-30_CL00884_CM-FT0119_LI1020-B28-01_LILI_1020</t>
  </si>
  <si>
    <t>OF249798-57_CL00884_CM-FT0119_LI1020-B28-01_LILI_1020</t>
  </si>
  <si>
    <t>OF249798-56_CL00884_CM-FT0119_LI1020-B28-01_LILI_1020</t>
  </si>
  <si>
    <t>OF249798-31_CL00884_CM-FT0119_LI1020-B28-01_LILI_1020</t>
  </si>
  <si>
    <t>OF249798-44_CL00884_CM-FT0119_LI1020-B28-01_LILI_1020</t>
  </si>
  <si>
    <t>OF249798-60_CL00884_CM-FT0119_LI1020-B28-01_LILI_1020</t>
  </si>
  <si>
    <t>OF249798-38_CL00884_CM-FT0119_LI1020-B28-01_LILI_1020</t>
  </si>
  <si>
    <t>OF249798-37_CL00884_CM-FT0119_LI1020-B28-01_LILI_1020</t>
  </si>
  <si>
    <t>OF249798-23_CL00884_CM-FT0119_LI1020-B28-01_LILI_1020</t>
  </si>
  <si>
    <t>OF249798-49_CL00884_CM-FT0119_LI1020-B28-01_LILI_1020</t>
  </si>
  <si>
    <t>OF249798-59_CL00884_CM-FT0119_LI1020-B28-01_LILI_1020</t>
  </si>
  <si>
    <t>OF249798-58_CL00884_CM-FT0119_LI1020-B28-01_LILI_1020</t>
  </si>
  <si>
    <t>OF249798-11_CL00884_CM-FT0119_LI1020-B28-01_LILI_1020</t>
  </si>
  <si>
    <t>OF249798-14_CL00884_CM-FT0119_LI1020-B28-01_LILI_1020</t>
  </si>
  <si>
    <t>OF249798-3_CL00884_CM-FT0119_LI1020-B28-01_LILI_1020</t>
  </si>
  <si>
    <t>OF249798-7_CL00884_CM-FT0119_LI1020-B28-01_LILI_1020</t>
  </si>
  <si>
    <t>OF249798-1_CL00884_CM-FT0119_LI1020-B28-01_LILI_1020</t>
  </si>
  <si>
    <t>OF249798-16_CL00884_CM-FT0119_LI1020-B28-01_LILI_1020</t>
  </si>
  <si>
    <t>OF249798-65_CL00884_CM-FT0119_LI1020-B28-01_LILI_1020</t>
  </si>
  <si>
    <t>OF249798-62_CL00884_CM-FT0119_LI1020-B28-01_LILI_1020</t>
  </si>
  <si>
    <t>OF249798-5_CL00884_CM-FT0119_LI1020-B28-01_LILI_1020</t>
  </si>
  <si>
    <t>OF249798-4_CL00884_CM-FT0119_LI1020-B28-01_LILI_1020</t>
  </si>
  <si>
    <t>OF249798-19_CL00884_CM-FT0119_LI1020-B28-01_LILI_1020</t>
  </si>
  <si>
    <t>OF249798-17_CL00884_CM-FT0119_LI1020-B28-01_LILI_1020</t>
  </si>
  <si>
    <t>OF249798-20_CL00884_CM-FT0119_LI1020-B28-01_LILI_1020</t>
  </si>
  <si>
    <t>OF249798-6_CL00884_CM-FT0119_LI1020-B28-01_LILI_1020</t>
  </si>
  <si>
    <t>OF249798-15_CL00884_CM-FT0119_LI1020-B28-01_LILI_1020</t>
  </si>
  <si>
    <t>OF249798-10_CL00884_CM-FT0119_LI1020-B28-01_LILI_1020</t>
  </si>
  <si>
    <t>OF249798-12_CL00884_CM-FT0119_LI1020-B28-01_LILI_1020</t>
  </si>
  <si>
    <t>OF249798-13_CL00884_CM-FT0119_LI1020-B28-01_LILI_1020</t>
  </si>
  <si>
    <t>OF249798-28_CL00884_CM-FT0119_LI1020-B28-01_LILI_1020</t>
  </si>
  <si>
    <t>OF249798-33_CL00884_CM-FT0119_LI1020-B28-01_LILI_1020</t>
  </si>
  <si>
    <t>OF249940-26_CL00884_CM-FT0120_FI1020-C28-25-24_FIVE_1020</t>
  </si>
  <si>
    <t>OF249940-47_CL00884_CM-FT0120_FI1020-C28-25-24_FIVE_1020</t>
  </si>
  <si>
    <t>OF249940-48_CL00884_CM-FT0120_FI1020-C28-25-24_FIVE_1020</t>
  </si>
  <si>
    <t>OF249940-18_CL00884_CM-FT0120_FI1020-C28-25-24_FIVE_1020</t>
  </si>
  <si>
    <t>OF249940-31_CL00884_CM-FT0120_FI1020-C28-25-24_FIVE_1020</t>
  </si>
  <si>
    <t>OF249940-45_CL00884_CM-FT0120_FI1020-C28-25-24_FIVE_1020</t>
  </si>
  <si>
    <t>OF249940-41_CL00884_CM-FT0120_FI1020-C28-25-24_FIVE_1020</t>
  </si>
  <si>
    <t>OF249940-44_CL00884_CM-FT0120_FI1020-C28-25-24_FIVE_1020</t>
  </si>
  <si>
    <t>OF249940-49_CL00884_CM-FT0120_FI1020-C28-25-24_FIVE_1020</t>
  </si>
  <si>
    <t>OF249940-46_CL00884_CM-FT0120_FI1020-C28-25-24_FIVE_1020</t>
  </si>
  <si>
    <t>OF249940-36_CL00884_CM-FT0120_FI1020-C28-25-24_FIVE_1020</t>
  </si>
  <si>
    <t>OF249940-43_CL00884_CM-FT0120_FI1020-C28-25-24_FIVE_1020</t>
  </si>
  <si>
    <t>OF249940-40_CL00884_CM-FT0120_FI1020-C28-25-24_FIVE_1020</t>
  </si>
  <si>
    <t>OF249940-33_CL00884_CM-FT0120_FI1020-C28-25-24_FIVE_1020</t>
  </si>
  <si>
    <t>OF249940-37_CL00884_CM-FT0120_FI1020-C28-25-24_FIVE_1020</t>
  </si>
  <si>
    <t>OF249940-30_CL00884_CM-FT0120_FI1020-C28-25-24_FIVE_1020</t>
  </si>
  <si>
    <t>OF249940-34_CL00884_CM-FT0120_FI1020-C28-25-24_FIVE_1020</t>
  </si>
  <si>
    <t>OF249940-35_CL00884_CM-FT0120_FI1020-C28-25-24_FIVE_1020</t>
  </si>
  <si>
    <t>OF249940-38_CL00884_CM-FT0120_FI1020-C28-25-24_FIVE_1020</t>
  </si>
  <si>
    <t>OF249940-32_CL00884_CM-FT0120_FI1020-C28-25-24_FIVE_1020</t>
  </si>
  <si>
    <t>OF249940-28_CL00884_CM-FT0120_FI1020-C28-25-24_FIVE_1020</t>
  </si>
  <si>
    <t>OF249940-39_CL00884_CM-FT0120_FI1020-C28-25-24_FIVE_1020</t>
  </si>
  <si>
    <t>OF249940-29_CL00884_CM-FT0120_FI1020-C28-25-24_FIVE_1020</t>
  </si>
  <si>
    <t>OF249940-42_CL00884_CM-FT0120_FI1020-C28-25-24_FIVE_1020</t>
  </si>
  <si>
    <t>OF249940-17_CL00884_CM-FT0120_FI1020-C28-25-24_FIVE_1020</t>
  </si>
  <si>
    <t>OF249940-19_CL00884_CM-FT0120_FI1020-C28-25-24_FIVE_1020</t>
  </si>
  <si>
    <t>OF249940-25_CL00884_CM-FT0120_FI1020-C28-25-24_FIVE_1020</t>
  </si>
  <si>
    <t>OF249940-24_CL00884_CM-FT0120_FI1020-C28-25-24_FIVE_1020</t>
  </si>
  <si>
    <t>OF249940-23_CL00884_CM-FT0120_FI1020-C28-25-24_FIVE_1020</t>
  </si>
  <si>
    <t>OF249940-21_CL00884_CM-FT0120_FI1020-C28-25-24_FIVE_1020</t>
  </si>
  <si>
    <t>OF249940-2_CL00884_CM-FT0120_FI1020-C28-25-24_FIVE_1020</t>
  </si>
  <si>
    <t>OF249940-7_CL00884_CM-FT0120_FI1020-C28-25-24_FIVE_1020</t>
  </si>
  <si>
    <t>OF249940-1_CL00884_CM-FT0120_FI1020-C28-25-24_FIVE_1020</t>
  </si>
  <si>
    <t>OF249940-20_CL00884_CM-FT0120_FI1020-C28-25-24_FIVE_1020</t>
  </si>
  <si>
    <t>OF249940-6_CL00884_CM-FT0120_FI1020-C28-25-24_FIVE_1020</t>
  </si>
  <si>
    <t>OF249940-11_CL00884_CM-FT0120_FI1020-C28-25-24_FIVE_1020</t>
  </si>
  <si>
    <t>OF249940-14_CL00884_CM-FT0120_FI1020-C28-25-24_FIVE_1020</t>
  </si>
  <si>
    <t>OF249940-12_CL00884_CM-FT0120_FI1020-C28-25-24_FIVE_1020</t>
  </si>
  <si>
    <t>OF249940-15_CL00884_CM-FT0120_FI1020-C28-25-24_FIVE_1020</t>
  </si>
  <si>
    <t>OF249940-5_CL00884_CM-FT0120_FI1020-C28-25-24_FIVE_1020</t>
  </si>
  <si>
    <t>OF249940-16_CL00884_CM-FT0120_FI1020-C28-25-24_FIVE_1020</t>
  </si>
  <si>
    <t>OF249940-13_CL00884_CM-FT0120_FI1020-C28-25-24_FIVE_1020</t>
  </si>
  <si>
    <t>OF249940-3_CL00884_CM-FT0120_FI1020-C28-25-24_FIVE_1020</t>
  </si>
  <si>
    <t>OF249940-10_CL00884_CM-FT0120_FI1020-C28-25-24_FIVE_1020</t>
  </si>
  <si>
    <t>OF249940-27_CL00884_CM-FT0120_FI1020-C28-25-24_FIVE_1020</t>
  </si>
  <si>
    <t>OF249940-9_CL00884_CM-FT0120_FI1020-C28-25-24_FIVE_1020</t>
  </si>
  <si>
    <t>OF249940-22_CL00884_CM-FT0120_FI1020-C28-25-24_FIVE_1020</t>
  </si>
  <si>
    <t>OF249940-8_CL00884_CM-FT0120_FI1020-C28-25-24_FIVE_1020</t>
  </si>
  <si>
    <t>OF249940-4_CL00884_CM-FT0120_FI1020-C28-25-24_FIVE_1020</t>
  </si>
  <si>
    <t>QR Suivis</t>
  </si>
  <si>
    <t>CA250070_All by Fouta_All by Fouta_UNS2030-18_UNI SURPIQUE_2030</t>
  </si>
  <si>
    <t>OF242496_CL00833_CL00833_AR2426-B26-01_ARTHUR_2426</t>
  </si>
  <si>
    <t>CA250397_All by Fouta_All by Fouta_BE1020-Q10-16-01_BERBER_1020</t>
  </si>
  <si>
    <t>CA250075_All by Fouta_All by Fouta_UNS2030-26_UNI SURPIQUE_2030</t>
  </si>
  <si>
    <t>CA250073-1_All by Fouta_All by Fouta_UNS2030-23_UNI SURPIQUE_2030</t>
  </si>
  <si>
    <t>CA250026_All by Fouta_All by Fouta_UNS2020-12_UNI SURPIQUE_2020</t>
  </si>
  <si>
    <t>CA250049-5_All by Fouta_All by Fouta_UNS1626-17_UNI SURPIQUE_1626</t>
  </si>
  <si>
    <t>OF249946-49_CL00884_CL00884_ST1020-S14-16-17_ST TROPEZ_1020</t>
  </si>
  <si>
    <t>CA250784_All by Fouta_Stock_PACKSICHI0507-Q17-10-01_PACK CHIC_0507</t>
  </si>
  <si>
    <t>CA250779_All by Fouta_Stock_PACKSICHI0507-Q10-23-01_PACK CHIC_0507</t>
  </si>
  <si>
    <t>CA250782_All by Fouta_Stock_PACKSICHI0507-Q20-24-01_PACK CHIC_0507</t>
  </si>
  <si>
    <t>CA250780_All by Fouta_Stock_PACKSICHI0507-Q02-32-01_PACK CHIC_0507</t>
  </si>
  <si>
    <t>CA250777_All by Fouta_Stock_PACKSICHI0507-Q10-32-01_PACK CHIC_0507</t>
  </si>
  <si>
    <t>CA250783_All by Fouta_Stock_PACKSICHI0507-Q14-10-01_PACK CHIC_0507</t>
  </si>
  <si>
    <t>OF246824_CL00300_CM-FT0116_AR2020-B06-08_ARTHUR_2020</t>
  </si>
  <si>
    <t>CA250030_All by Fouta_Stock_UNS2020-18_UNI SURPIQUE_2020</t>
  </si>
  <si>
    <t>CA250055_All by Fouta_Stock_UNS1626-26_UNI SURPIQUE_1626</t>
  </si>
  <si>
    <t>OF244785_All By Fouta_Stock_INS1824-Q19-02-03_INSPIRATION _1824</t>
  </si>
  <si>
    <t>OF249842_CL00884_CM-FT0119_FI1020-C28-25-24_FIVE_1020</t>
  </si>
  <si>
    <t>CA250474_All by Fouta_Stock_FAF1020-B06-08_FIL A FIL_1020</t>
  </si>
  <si>
    <t>OF244802_All By Fouta_Stock_PACKSICL0507-B26-01_PACK CLASSIQUE_0507</t>
  </si>
  <si>
    <t>OF244801_All By Fouta_Stock_PACKSICL0507-B14-13_PACK CLASSIQUE_0507</t>
  </si>
  <si>
    <t>CA250778_All by Fouta_Stock_PACKSICHI0507-Q10-29-01_PACK CHIC_0507</t>
  </si>
  <si>
    <t>OF244786_All By Fouta_Stock_INS1824-Q11-01-14_INSPIRATION _1824</t>
  </si>
  <si>
    <t>CA250009_All by Fouta_Stock_UNS1020-17_UNI SURPIQUE_1020</t>
  </si>
  <si>
    <t>CA250023_All by Fouta_Stock_UNS2020-06_UNI SURPIQUE_2020</t>
  </si>
  <si>
    <t>CA250046_All by Fouta_Stock_UNS1626-12_UNI SURPIQUE_1626</t>
  </si>
  <si>
    <t>CA250008_All by Fouta_Stock_UNS1020-15_UNI SURPIQUE_1020</t>
  </si>
  <si>
    <t>CA250469_All by Fouta_Stock_FAF1020-B04-02_FIL A FIL_1020</t>
  </si>
  <si>
    <t>OF244793_All By Fouta_Stock_PACKSICL0507-B04-02_PACK CLASSIQUE_0507</t>
  </si>
  <si>
    <t>OF244794_All By Fouta_Stock_PACKSICL0507-B05-03_PACK CLASSIQUE_0507</t>
  </si>
  <si>
    <t>CA250012_All by Fouta_Stock_UNS1020-20_UNI SURPIQUE_1020</t>
  </si>
  <si>
    <t>CA250058_All by Fouta_Stock_UNS1626-31_UNI SURPIQUE_1626</t>
  </si>
  <si>
    <t>CA250043_All by Fouta_Stock_UNS1626-06_UNI SURPIQUE_1626</t>
  </si>
  <si>
    <t>CA250076_All by Fouta_Stock_UNS2030-27_UNI SURPIQUE_2030</t>
  </si>
  <si>
    <t>CA250079_All by Fouta_Stock_UNS2030-32_UNI SURPIQUE_2030</t>
  </si>
  <si>
    <t>CA250017_All by Fouta_Stock_UNS1020-30_UNI SURPIQUE_1020</t>
  </si>
  <si>
    <t>CA250033_All by Fouta_Stock_UNS2020-23_UNI SURPIQUE_2020</t>
  </si>
  <si>
    <t>CA250049_All by Fouta_Stock_UNS1626-17_UNI SURPIQUE_1626</t>
  </si>
  <si>
    <t>OF249846_CL00884_CM-FT0119_ST1020-S28-25-24_ST TROPEZ_1020</t>
  </si>
  <si>
    <t>CA250072_All by Fouta_Stock_UNS2030-20_UNI SURPIQUE_2030</t>
  </si>
  <si>
    <t>CA250032_All by Fouta_Stock_UNS2020-20_UNI SURPIQUE_2020</t>
  </si>
  <si>
    <t>CA250071_All by Fouta_Stock_UNS2030-19_UNI SURPIQUE_2030</t>
  </si>
  <si>
    <t>CA250039_All by Fouta_Stock_UNS2020-32_UNI SURPIQUE_2020</t>
  </si>
  <si>
    <t>CA250051_All by Fouta_Stock_UNS1626-19_UNI SURPIQUE_1626</t>
  </si>
  <si>
    <t>CA250035_All by Fouta_Stock_UNS2020-26_UNI SURPIQUE_2020</t>
  </si>
  <si>
    <t>CA250034_All by Fouta_Stock_UNS2020-24_UNI SURPIQUE_2020</t>
  </si>
  <si>
    <t>CA250074_All by Fouta_Stock_UNS2030-24_UNI SURPIQUE_2030</t>
  </si>
  <si>
    <t>CA250078_All by Fouta_Stock_UNS2030-31_UNI SURPIQUE_2030</t>
  </si>
  <si>
    <t>CA250073_All by Fouta_Stock_UNS2030-23_UNI SURPIQUE_2030</t>
  </si>
  <si>
    <t>CA250059_All by Fouta_Stock_UNS1626-32_UNI SURPIQUE_1626</t>
  </si>
  <si>
    <t>CA250050_All by Fouta_Stock_UNS1626-18_UNI SURPIQUE_1626</t>
  </si>
  <si>
    <t>CA250019_All by Fouta_Stock_UNS1020-32_UNI SURPIQUE_1020</t>
  </si>
  <si>
    <t>OF249809_CL00884_CM-FT0119_IS1020-B14-01_ISTANBUL_1020</t>
  </si>
  <si>
    <t>CA250054_All by Fouta_Stock_UNS1626-24_UNI SURPIQUE_1626</t>
  </si>
  <si>
    <t>OF246547_CL00296_CM-FT0108_EPMA0919-B11-02_MARINIERE_0919</t>
  </si>
  <si>
    <t>CA250036_All by Fouta_Stock_UNS2020-27_UNI SURPIQUE_2020</t>
  </si>
  <si>
    <t>CA250024_All by Fouta_Stock_UNS2020-09_UNI SURPIQUE_2020</t>
  </si>
  <si>
    <t>OF244799_All By Fouta_Stock_PACKSICL0507-B20-24_PACK CLASSIQUE_0507</t>
  </si>
  <si>
    <t>CA250781_All by Fouta_Stock_PACKSICHI0507-Q02-06-01_PACK CHIC_0507</t>
  </si>
  <si>
    <t>OF244806_All By Fouta_Stock_PACKSICL0507-B18-19_PACK CLASSIQUE_0507</t>
  </si>
  <si>
    <t>OF244804_All By Fouta_Stock_PACKSICL0507-B32-01_PACK CLASSIQUE_0507</t>
  </si>
  <si>
    <t>CA250473_All by Fouta_Stock_FAF1020-B18-19_FIL A FIL_1020</t>
  </si>
  <si>
    <t>CA250064_All by Fouta_Stock_UNS2030-09_UNI SURPIQUE_2030</t>
  </si>
  <si>
    <t>OF244798_All By Fouta_Stock_PACKSICL0507-B10-25_PACK CLASSIQUE_0507</t>
  </si>
  <si>
    <t>OF249849_CL00884_CM-FT0119_ST1020-S20-24-17_ST TROPEZ_1020</t>
  </si>
  <si>
    <t>CA250753_All by Fouta_Stock_PACKSICL0507-B06-08_PACK CLASSIQUE_0507</t>
  </si>
  <si>
    <t>CA250752_All by Fouta_Stock_PACKSICL0507-B05-03_PACK CLASSIQUE_0507</t>
  </si>
  <si>
    <t>OF249940_CL00884_CM-FT0120_FI1020-C28-25-24_FIVE_1020</t>
  </si>
  <si>
    <t>CA250044_All by Fouta_Stock_UNS1626-09_UNI SURPIQUE_1626</t>
  </si>
  <si>
    <t>CA250022_All by Fouta_Stock_UNS2020-04_UNI SURPIQUE_2020</t>
  </si>
  <si>
    <t>CA250018_All by Fouta_Stock_UNS1020-31_UNI SURPIQUE_1020</t>
  </si>
  <si>
    <t>CA250053_All by Fouta_Stock_UNS1626-23_UNI SURPIQUE_1626</t>
  </si>
  <si>
    <t>CA250038_All by Fouta_Stock_UNS2020-31_UNI SURPIQUE_2020</t>
  </si>
  <si>
    <t>CA250398_All by Fouta_Stock_BE1020-Q17-26-10_BERBER_1020</t>
  </si>
  <si>
    <t>CA250637_All by Fouta_Stock_EPMA0919-B26-02_MARINIERE_0919</t>
  </si>
  <si>
    <t>OF249819_CL00884_CM-FT0119_SO1020-Q33-11-32_SOUSSE_1020</t>
  </si>
  <si>
    <t>CA250056_All by Fouta_Stock_UNS1626-27_UNI SURPIQUE_1626</t>
  </si>
  <si>
    <t>CA250037_All by Fouta_Stock_UNS2020-30_UNI SURPIQUE_2020</t>
  </si>
  <si>
    <t>OF249798_CL00884_CM-FT0119_LI1020-B28-01_LILI_1020</t>
  </si>
  <si>
    <t>OF249782_CL00884_CM-FT0119_IB1020-B24-01_IBIZA_1020</t>
  </si>
  <si>
    <t>CA250751_All by Fouta_Stock_PACKSICL0507-B04-02_PACK CLASSIQUE_0507</t>
  </si>
  <si>
    <t>CA250755_All by Fouta_Stock_PACKSICL0507-B07-17_PACK CLASSIQUE_0507</t>
  </si>
  <si>
    <t>CA250758_All by Fouta_Stock_PACKSICL0507-B15-02_PACK CLASSIQUE_0507</t>
  </si>
  <si>
    <t>OF249859_CL00884_CM-FT0119_AR2020-B29-01_ARTHUR_2020</t>
  </si>
  <si>
    <t>OF250132_CL00162_CM-FT0130_GIN2426-B19-03_GINKO_2426</t>
  </si>
  <si>
    <t>OF250134_CL00162_CM-FT0130_OLI2426-B18-19_OLIVIER_2426</t>
  </si>
  <si>
    <t>OF250130_CL00162_CM-FT0130_GIN2426-B03-02_GINKO_2426</t>
  </si>
  <si>
    <t>OF249816_CL00884_CM-FT0119_SO1020-Q29-11-14_SOUSSE_1020</t>
  </si>
  <si>
    <t>OF250131_CL00162_CM-FT0130_GIN2426-B12-03_GINKO_2426</t>
  </si>
  <si>
    <t>CA250763_All by Fouta_Stock_PACKSICL0507-B07-16_PACK CLASSIQUE_0507</t>
  </si>
  <si>
    <t>OF250199_CL00844_CM-FT0136_PACKSICL0507-B03-02_PACK CLASSIQUE_0507</t>
  </si>
  <si>
    <t>OF249868_CL00884_CM-FT0119_EPMA0919-B24-02_MARINIERE_0919</t>
  </si>
  <si>
    <t>OF249869_CL00884_CM-FT0119_EPMA0919-B29-02_MARINIERE_0919</t>
  </si>
  <si>
    <t>OF243387_CL00882_ABF-CM90234_PONADU-B18-17_PONCHO BICOULEUR_ADU</t>
  </si>
  <si>
    <t>OF243383_CL00882_ABF-CM90234_PONADU-B02-03_PONCHO BICOULEUR_ADU</t>
  </si>
  <si>
    <t>OF243177_All By Fouta_Stock_PONADU-B16-10_PONCHO BICOULEUR_ADU</t>
  </si>
  <si>
    <t>OF249858_CL00884_CM-FT0119_AR2020-B23-01_ARTHUR_2020</t>
  </si>
  <si>
    <t>OF249848_CL00884_CM-FT0119_ST1020-S14-16-17_ST TROPEZ_1020</t>
  </si>
  <si>
    <t>OF249946_CL00884_CM-FT0120_ST1020-S14-16-17_ST TROPEZ_1020</t>
  </si>
  <si>
    <t>OF249880_CL00884_CM-FT0120_IB1020-B24-01_IBIZA_1020</t>
  </si>
  <si>
    <t>OF249836_CL00884_CM-FT0119_FI1020-C02-28-29_FIVE_1020</t>
  </si>
  <si>
    <t>CA250047_All by Fouta_Stock_UNS1626-13_UNI SURPIQUE_1626</t>
  </si>
  <si>
    <t>CA250052_All by Fouta_Stock_UNS1626-20_UNI SURPIQUE_1626</t>
  </si>
  <si>
    <t>CA250761_All by Fouta_Stock_PACKSICL0507-B24-10_PACK CLASSIQUE_0507</t>
  </si>
  <si>
    <t>CA250759_All by Fouta_Stock_PACKSICL0507-B14-13_PACK CLASSIQUE_0507</t>
  </si>
  <si>
    <t>CA250764_All by Fouta_Stock_PACKSICL0507-B18-19_PACK CLASSIQUE_0507</t>
  </si>
  <si>
    <t>CA250756_All by Fouta_Stock_PACKSICL0507-B10-25_PACK CLASSIQUE_0507</t>
  </si>
  <si>
    <t>OF249799_CL00884_CM-FT0119_LI1020-B17-01_LILI_1020</t>
  </si>
  <si>
    <t>OF249914_CL00884_CM-FT0120_SO1020-Q29-11-14_SOUSSE_1020</t>
  </si>
  <si>
    <t>CA250757_All by Fouta_Stock_PACKSICL0507-B20-24_PACK CLASSIQUE_0507</t>
  </si>
  <si>
    <t>CA250157_All by Fouta_Stock_IB1020-B07-17_IBIZA_1020</t>
  </si>
  <si>
    <t>CA250155_All by Fouta_Stock_IB1020-B02-10_IBIZA_1020</t>
  </si>
  <si>
    <t>CA250163_All by Fouta_Stock_IB1020-B20-24_IBIZA_1020</t>
  </si>
  <si>
    <t>CA250208_All by Fouta_Stock_AR1020-B11-25_ARTHUR_1020</t>
  </si>
  <si>
    <t>CA250182_All by Fouta_Stock_IB2020-B02-10_IBIZA_2020</t>
  </si>
  <si>
    <t>CA250237_All by Fouta_Stock_AR2020-B07-17_ARTHUR_2020</t>
  </si>
  <si>
    <t>CA250156_All by Fouta_Stock_IB1020-B06-08_IBIZA_1020</t>
  </si>
  <si>
    <t>CA250158_All by Fouta_Stock_IB1020-B11-25_IBIZA_1020</t>
  </si>
  <si>
    <t>CA250209_All by Fouta_Stock_AR1020-B12-32_ARTHUR_1020</t>
  </si>
  <si>
    <t>CA250770_All by Fouta_Stock_PACKSILO0507-T18-10-02_PACK LONDON_0507</t>
  </si>
  <si>
    <t>CA250162_All by Fouta_Stock_IB1020-B17-07_IBIZA_1020</t>
  </si>
  <si>
    <t>CA250245_All by Fouta_Stock_AR2020-T03-04-17_ARTHUR_2020</t>
  </si>
  <si>
    <t>CA250183_All by Fouta_Stock_IB2020-B06-08_IBIZA_2020</t>
  </si>
  <si>
    <t>CA250766_All by Fouta_Stock_PACKSILO0507-T12-06-32_PACK LONDON_0507</t>
  </si>
  <si>
    <t>CA250207_All by Fouta_Stock_AR1020-B07-17_ARTHUR_1020</t>
  </si>
  <si>
    <t>CA250159_All by Fouta_Stock_IB1020-B11-14_IBIZA_1020</t>
  </si>
  <si>
    <t>CA250242_All by Fouta_Stock_AR2020-B20-24_ARTHUR_2020</t>
  </si>
  <si>
    <t>CA250186_All by Fouta_Stock_IB2020-B11-14_IBIZA_2020</t>
  </si>
  <si>
    <t>CA250185_All by Fouta_Stock_IB2020-B11-25_IBIZA_2020</t>
  </si>
  <si>
    <t>CA250238_All by Fouta_Stock_AR2020-B11-25_ARTHUR_2020</t>
  </si>
  <si>
    <t>CA250160_All by Fouta_Stock_IB1020-B12-32_IBIZA_1020</t>
  </si>
  <si>
    <t>CA250210_All by Fouta_Stock_AR1020-B13-14_ARTHUR_1020</t>
  </si>
  <si>
    <t>CA250161_All by Fouta_Stock_IB1020-B13-14_IBIZA_1020</t>
  </si>
  <si>
    <t>CA250247_All by Fouta_Stock_AR2020-T10-14-25_ARTHUR_2020</t>
  </si>
  <si>
    <t>CA250239_All by Fouta_Stock_AR2020-B12-32_ARTHUR_2020</t>
  </si>
  <si>
    <t>CA250187_All by Fouta_Stock_IB2020-B12-32_IBIZA_2020</t>
  </si>
  <si>
    <t>CA250184_All by Fouta_Stock_IB2020-B07-17_IBIZA_2020</t>
  </si>
  <si>
    <t>CA250217_All by Fouta_Stock_AR1020-T10-14-25_ARTHUR_1020</t>
  </si>
  <si>
    <t>CA250215_All by Fouta_Stock_AR1020-T03-04-17_ARTHUR_1020</t>
  </si>
  <si>
    <t>OF249844_CL00884_CM-FT0119_FI1020-C07-17-06_FIVE_1020</t>
  </si>
  <si>
    <t>CA250189_All by Fouta_Stock_IB2020-B17-07_IBIZA_2020</t>
  </si>
  <si>
    <t>CA250542_All by Fouta_Stock_NDFL1020-B04-02_ND FLY_1020</t>
  </si>
  <si>
    <t>CA250543_All by Fouta_Stock_NDFL1020-B06-02_ND FLY_1020</t>
  </si>
  <si>
    <t>CA250250_All by Fouta_Stock_AR2020-T32-06-12_ARTHUR_2020</t>
  </si>
  <si>
    <t>CA250220_All by Fouta_Stock_AR1020-T32-06-12_ARTHUR_1020</t>
  </si>
  <si>
    <t>CA250769_All by Fouta_Stock_PACKSILO0507-T17-02-10_PACK LONDON_0507</t>
  </si>
  <si>
    <t>CL00296_CM-FT0129</t>
  </si>
  <si>
    <t>CL00296_CM-FT0108</t>
  </si>
  <si>
    <t>M2302</t>
  </si>
  <si>
    <t>MADI02</t>
  </si>
  <si>
    <t>M2308</t>
  </si>
  <si>
    <t>M04</t>
  </si>
  <si>
    <t>M2309</t>
  </si>
  <si>
    <t>M2311</t>
  </si>
  <si>
    <t>M2304</t>
  </si>
  <si>
    <t>M2301</t>
  </si>
  <si>
    <t>M2306</t>
  </si>
  <si>
    <t>M2305</t>
  </si>
  <si>
    <t>M2402</t>
  </si>
  <si>
    <t>M2307</t>
  </si>
  <si>
    <t>M2303</t>
  </si>
  <si>
    <t>M2403</t>
  </si>
  <si>
    <t>OF244984_CL00296_CM-FT0069_NDL1020-B20-01_ND LILI_1020</t>
  </si>
  <si>
    <t>OF246535_CL00296_CM-FT0108_EPMA0919-B03-02_MARINIERE_0919</t>
  </si>
  <si>
    <t>OF246544_CL00296_CM-FT0108_EPMA0919-B03-02_MARINIERE_0919</t>
  </si>
  <si>
    <t>CA250057_All by Fouta_Stock_UNS1626-30_UNI SURPIQUE_1626</t>
  </si>
  <si>
    <t>CA250048_All by Fouta_Stock_UNS1626-15_UNI SURPIQUE_1626</t>
  </si>
  <si>
    <t>CA250031_All by Fouta_Stock_UNS2020-19_UNI SURPIQUE_2020</t>
  </si>
  <si>
    <t>CA250029_All by Fouta_Stock_UNS2020-17_UNI SURPIQUE_2020</t>
  </si>
  <si>
    <t>CA250015_All by Fouta_Stock_UNS1020-26_UNI SURPIQUE_1020</t>
  </si>
  <si>
    <t>CA250016_All by Fouta_Stock_UNS1020-27_UNI SURPIQUE_1020</t>
  </si>
  <si>
    <t>CA250021_All by Fouta_Stock_UNS2020-03_UNI SURPIQUE_2020</t>
  </si>
  <si>
    <t>OF246537_CL00296_CM-FT0108_EPMA0919-B26-02_MARINIERE_0919</t>
  </si>
  <si>
    <t>OF246546_CL00296_CM-FT0108_EPMA0919-B29-02_MARINIERE_0919</t>
  </si>
  <si>
    <t>OF246539_CL00296_CM-FT0108_EPMA0919-B29-02_MARINIERE_0919</t>
  </si>
  <si>
    <t>OF246885_All By Fouta_Stock_OLI2426-B12-02_OLIVIER_2426</t>
  </si>
  <si>
    <t>OF246888_All By Fouta_Stock_OLI2426-B04-02_OLIVIER_2426</t>
  </si>
  <si>
    <t>CA250635_All by Fouta_Stock_EPMA0919-B11-02_MARINIERE_0919</t>
  </si>
  <si>
    <t>OF243179_All By Fouta_Stock_PONADU-B18-17_PONCHO BICOULEUR_ADU</t>
  </si>
  <si>
    <t>OF249817_CL00884_CM-FT0119_SO1020-Q17-11-16_SOUSSE_1020</t>
  </si>
  <si>
    <t>CA250190_All by Fouta_Stock_IB2020-B20-24_IBIZA_2020</t>
  </si>
  <si>
    <t>CL00162_CM-FT0130</t>
  </si>
  <si>
    <t>CL00296_CM-FT0024</t>
  </si>
  <si>
    <t>CL00296_CM-FT0085</t>
  </si>
  <si>
    <t>CL00296_CM-FT0094</t>
  </si>
  <si>
    <t>CL00296_CM-FT0117</t>
  </si>
  <si>
    <t>CL00791_CM-FT0133</t>
  </si>
  <si>
    <t>CL00833_CM-FT0131</t>
  </si>
  <si>
    <t>CL00844_CM-FT0136</t>
  </si>
  <si>
    <t>CA250062-All by Fouta_Stock_UNS2030-04_UNI SURPIQUE_2030</t>
  </si>
  <si>
    <t>CA250064-All by Fouta_Stock_UNS2030-09_UNI SURPIQUE_2030</t>
  </si>
  <si>
    <t>CA250066-All by Fouta_Stock_UNS2030-12_UNI SURPIQUE_2030</t>
  </si>
  <si>
    <t>CA250075-All by Fouta_Stock_UNS2030-26_UNI SURPIQUE_2030</t>
  </si>
  <si>
    <t>CA250041-All by Fouta_Stock_UNS1626-03_UNI SURPIQUE_1626</t>
  </si>
  <si>
    <t>OF242179-All By Fouta_Stock_UNS1626-10_UNI SURPIQUE_1626</t>
  </si>
  <si>
    <t>OF242180-All By Fouta_Stock_UNS1626-12_UNI SURPIQUE_1626</t>
  </si>
  <si>
    <t>OF242182-All By Fouta_Stock_UNS1626-18_UNI SURPIQUE_1626</t>
  </si>
  <si>
    <t>OF242184-All By Fouta_Stock_UNS1626-20_UNI SURPIQUE_1626</t>
  </si>
  <si>
    <t>OF242185-All By Fouta_Stock_UNS1626-26_UNI SURPIQUE_1626</t>
  </si>
  <si>
    <t>OF246046-CL00300_CM-FT0097_UNS2030-02_UNI SURPIQUE_2030</t>
  </si>
  <si>
    <t>OF246349-CL00791_CM-FT0104_UNS2030-03_UNI SURPIQUE_2030</t>
  </si>
  <si>
    <t>OF246338-CL00791_CM-FT0104_UNS2030-20_UNI SURPIQUE_2030</t>
  </si>
  <si>
    <t>CA250042-All by Fouta_Stock_UNS1626-04_UNI SURPIQUE_1626</t>
  </si>
  <si>
    <t>OF242178-All By Fouta_Stock_UNS1626-06_UNI SURPIQUE_1626</t>
  </si>
  <si>
    <t>OF242183-All By Fouta_Stock_UNS1626-19_UNI SURPIQUE_1626</t>
  </si>
  <si>
    <t>OF230511-All By Fouta_Stock_LIL1020-B10-LuAr_LILI LUREX_1020</t>
  </si>
  <si>
    <t>OF246001-All By Fouta_Stock_NDLO1020-B02-04_ND LONDON_1020</t>
  </si>
  <si>
    <t>OF246003-All By Fouta_Stock_NDLO1020-B02-19_ND LONDON_1020</t>
  </si>
  <si>
    <t>OF246393-CLTN0009_ATPF100011_NDLO1020-B08-06_ND LONDON_1020</t>
  </si>
  <si>
    <t>OF245987-All By Fouta_Stock_NDFL1020-B02-11_ND FLY_1020</t>
  </si>
  <si>
    <t>OF245988-All By Fouta_Stock_NDFL1020-B04-02_ND FLY_1020</t>
  </si>
  <si>
    <t>OF245989-All By Fouta_Stock_NDFL1020-B06-02_ND FLY_1020</t>
  </si>
  <si>
    <t>OF245990-All By Fouta_Stock_NDFL1020-B11-02_ND FLY_1020</t>
  </si>
  <si>
    <t>OF246424-CLTN0009_ATPF100011_NDFL1020-B20-02_ND FLY_1020</t>
  </si>
  <si>
    <t>OF245994-All By Fouta_Stock_NDFL1020-B26-02_ND FLY_1020</t>
  </si>
  <si>
    <t>OF246517-CL00296_CM-FT0108_NDL1020-B03-01_ND LILI_1020</t>
  </si>
  <si>
    <t>OF245965-All By Fouta_Stock_NDL1020-B04-01_ND LILI_1020</t>
  </si>
  <si>
    <t>OF245972-All By Fouta_Stock_NDL1020-B19-01_ND LILI_1020</t>
  </si>
  <si>
    <t>OF241207-All By Fouta_Stock_LIL1020-B04-LuAr_LILI LUREX_1020</t>
  </si>
  <si>
    <t>CA250063-All by Fouta_Stock_UNS2030-06_UNI SURPIQUE_2030</t>
  </si>
  <si>
    <t>OF245979-All By Fouta_Stock_NDL1020-B02-04_ND LILI_1020</t>
  </si>
  <si>
    <t>OF242252-CL00833_ABF-CM90226_LIL1020-B02-LuAr_LILI LUREX_1020</t>
  </si>
  <si>
    <t>CA250001-All by Fouta_Stock_UNS1020-03_UNI SURPIQUE_1020</t>
  </si>
  <si>
    <t>CA250002-All by Fouta_Stock_UNS1020-04_UNI SURPIQUE_1020</t>
  </si>
  <si>
    <t>CA250004-All by Fouta_Stock_UNS1020-09_UNI SURPIQUE_1020</t>
  </si>
  <si>
    <t>CA250006-All by Fouta_Stock_UNS1020-12_UNI SURPIQUE_1020</t>
  </si>
  <si>
    <t>CA250009-All by Fouta_Stock_UNS1020-17_UNI SURPIQUE_1020</t>
  </si>
  <si>
    <t>CA250011-All by Fouta_Stock_UNS1020-19_UNI SURPIQUE_1020</t>
  </si>
  <si>
    <t>OF245601-All By Fouta_Stock_MONT2426-B27-02_MONTAGNIA_2426</t>
  </si>
  <si>
    <t>OF245599-All By Fouta_Stock_MONT2426-B07-02_MONTAGNIA_2426</t>
  </si>
  <si>
    <t>OF245233-All By Fouta_Stock_MONT2426-B04-02_MONTAGNIA_2426</t>
  </si>
  <si>
    <t>OF250131-CL00162_CM-FT0130_GIN2426-B12-03_GINKO_2426</t>
  </si>
  <si>
    <t>OF250132-CL00162_CM-FT0130_GIN2426-B19-03_GINKO_2426</t>
  </si>
  <si>
    <t>OF250134-CL00162_CM-FT0130_OLI2426-B18-19_OLIVIER_2426</t>
  </si>
  <si>
    <t>OF244347-CL00162_CM-FT0032_OLI2426-B03-04_OLIVIER_2426</t>
  </si>
  <si>
    <t>OF250130-CL00162_CM-FT0130_GIN2426-B03-02_GINKO_2426</t>
  </si>
  <si>
    <t>OF243983-CL00296_CM-FT0024_SACF0507-B09-24_SAC FOUTA_0507</t>
  </si>
  <si>
    <t>OF243982-CL00296_CM-FT0024_NDL1020-B09-24_ND LILI_1020</t>
  </si>
  <si>
    <t>OF243997-CL00296_CM-FT0024_SACF0507-B29-25_SAC FOUTA_0507</t>
  </si>
  <si>
    <t>OF243996-CL00296_CM-FT0024_NDL1020-B29-25_ND LILI_1020</t>
  </si>
  <si>
    <t>OF243991-CL00296_CM-FT0024_SACF0507-15_SAC FOUTA_0507</t>
  </si>
  <si>
    <t>OF243990-CL00296_CM-FT0024_NDL1020-B15-01_ND LILI_1020</t>
  </si>
  <si>
    <t>OF243999-CL00296_CM-FT0024_SACF0507-B09-14_SAC FOUTA_0507</t>
  </si>
  <si>
    <t>OF243998-CL00296_CM-FT0024_NDL1020-B09-14_ND LILI_1020</t>
  </si>
  <si>
    <t>OF243985-CL00296_CM-FT0024_SACF0507-12_SAC FOUTA_0507</t>
  </si>
  <si>
    <t>OF243984-CL00296_CM-FT0024_NDL1020-B12-01_ND LILI_1020</t>
  </si>
  <si>
    <t>OF243993-CL00296_CM-FT0024_SACF0507-26_SAC FOUTA_0507</t>
  </si>
  <si>
    <t>OF243992-CL00296_CM-FT0024_NDL1020-B26-01_ND LILI_1020</t>
  </si>
  <si>
    <t>OF243995-CL00296_CM-FT0024_SACF0507-16_SAC FOUTA_0507</t>
  </si>
  <si>
    <t>OF243994-CL00296_CM-FT0024_NDL1020-B16-01_ND LILI_1020</t>
  </si>
  <si>
    <t>OF243989-CL00296_CM-FT0024_SACF0507-29_SAC FOUTA_0507</t>
  </si>
  <si>
    <t>OF243988-CL00296_CM-FT0024_NDL1020-B29-01_ND LILI_1020</t>
  </si>
  <si>
    <t>OF243987-CL00296_CM-FT0024_SACF0507-03_SAC FOUTA_0507</t>
  </si>
  <si>
    <t>OF243986-CL00296_CM-FT0024_NDL1020-B03-01_ND LILI_1020</t>
  </si>
  <si>
    <t>OF244001-CL00296_CM-FT0024_SACF0507-21_SAC FOUTA_0507</t>
  </si>
  <si>
    <t>OF244000-CL00296_CM-FT0024_NDL1020-B21-01_ND LILI_1020</t>
  </si>
  <si>
    <t>OF245555-CL00296_CM-FT0085_SACF0507-14_SAC FOUTA_0507</t>
  </si>
  <si>
    <t>OF245554-CL00296_CM-FT0085_NDL1020-B14-01_ND LILI_1020</t>
  </si>
  <si>
    <t>OF245879-CL00296_CM-FT0094_SACF0507-12_SAC FOUTA_0507</t>
  </si>
  <si>
    <t>OF245878-CL00296_CM-FT0094_NDL2020-B12-01_ND LILI_2020</t>
  </si>
  <si>
    <t>OF245877-CL00296_CM-FT0094_SACF0507-B09-14_SAC FOUTA_0507</t>
  </si>
  <si>
    <t>OF245876-CL00296_CM-FT0094_NDL2020-B09-14_ND LILI_2020</t>
  </si>
  <si>
    <t>OF245881-CL00296_CM-FT0094_SACF0507-21_SAC FOUTA_0507</t>
  </si>
  <si>
    <t>OF245880-CL00296_CM-FT0094_NDL2020-B21-01_ND LILI_2020</t>
  </si>
  <si>
    <t>OF245883-CL00296_CM-FT0094_SACF0507-B09-24_SAC FOUTA_0507</t>
  </si>
  <si>
    <t>OF245882-CL00296_CM-FT0094_NDL2020-B09-24_ND LILI_2020</t>
  </si>
  <si>
    <t>OF245887-CL00296_CM-FT0094_SACF0507-B29-25_SAC FOUTA_0507</t>
  </si>
  <si>
    <t>OF245886-CL00296_CM-FT0094_NDL2020-B29-25_ND LILI_2020</t>
  </si>
  <si>
    <t>OF245885-CL00296_CM-FT0094_SACF0507-26_SAC FOUTA_0507</t>
  </si>
  <si>
    <t>OF245884-CL00296_CM-FT0094_NDL2020-B26-01_ND LILI_2020</t>
  </si>
  <si>
    <t>OF246545-CL00296_CM-FT0108_EPMA0919-B26-02_MARINIERE_0919</t>
  </si>
  <si>
    <t>OF246516-CL00296_CM-FT0108_SACF0507-12_SAC FOUTA_0507</t>
  </si>
  <si>
    <t>OF246515-CL00296_CM-FT0108_NDL1020-B12-01_ND LILI_1020</t>
  </si>
  <si>
    <t>OF250128-CL00296_CM-FT0129_NDL1020-B09-14_ND LILI_1020</t>
  </si>
  <si>
    <t>OF250129-CL00296_CM-FT0129_SACF0507-B09-14_SAC FOUTA_0507</t>
  </si>
  <si>
    <t>OF245596-CL00296_CM-FT0085_SACF0507-B14-01_SAC FOUTA_0507</t>
  </si>
  <si>
    <t>OF245897-CL00296_STOCK 2025_NDL1020-B21-01_ND LILI_1020</t>
  </si>
  <si>
    <t>CA250061-All by Fouta_Stock_UNS2030-03_UNI SURPIQUE_2030</t>
  </si>
  <si>
    <t>OF242746-CL00791_ABF-CM90230_UNS2030-04_UNI SURPIQUE_2030</t>
  </si>
  <si>
    <t>OF244792-All By Fouta_Stock_PACKSICL0507-B03-01_PACK CLASSIQUE_0507</t>
  </si>
  <si>
    <t>OF244793-All By Fouta_Stock_PACKSICL0507-B04-02_PACK CLASSIQUE_0507</t>
  </si>
  <si>
    <t>OF244795-All By Fouta_Stock_PACKSICL0507-B06-08_PACK CLASSIQUE_0507</t>
  </si>
  <si>
    <t>OF244801-All By Fouta_Stock_PACKSICL0507-B14-13_PACK CLASSIQUE_0507</t>
  </si>
  <si>
    <t>OF244800-All By Fouta_Stock_PACKSICL0507-B15-02_PACK CLASSIQUE_0507</t>
  </si>
  <si>
    <t>OF244799-All By Fouta_Stock_PACKSICL0507-B20-24_PACK CLASSIQUE_0507</t>
  </si>
  <si>
    <t>OF250199-CL00844_CM-FT0136_PACKSICL0507-B03-02_PACK CLASSIQUE_0507</t>
  </si>
  <si>
    <t>OF240130-CL00833_ABF-CM80196_LO1020-B13-01_LONDON_1020</t>
  </si>
  <si>
    <t>CA250012-All by Fouta_Stock_UNS1020-20_UNI SURPIQUE_1020</t>
  </si>
  <si>
    <t>CA250015-All by Fouta_Stock_UNS1020-26_UNI SURPIQUE_1020</t>
  </si>
  <si>
    <t>OF230507_Non Trouvé_Non Trouvé_Non Trouvé_Non Trouvé_Non Trouvé</t>
  </si>
  <si>
    <t>OF230508_Non Trouvé_Non Trouvé_Non Trouvé_Non Trouvé_Non Trouvé</t>
  </si>
  <si>
    <t>Num Suivis</t>
  </si>
  <si>
    <t>CA250759-3</t>
  </si>
  <si>
    <t>CA250759-8</t>
  </si>
  <si>
    <t>CA250759-16</t>
  </si>
  <si>
    <t>CA250759-15</t>
  </si>
  <si>
    <t>CA250759-9</t>
  </si>
  <si>
    <t>CA250759-10</t>
  </si>
  <si>
    <t>CA250759-6</t>
  </si>
  <si>
    <t>CA250759-7</t>
  </si>
  <si>
    <t>CA250759-2</t>
  </si>
  <si>
    <t>CA250759-1</t>
  </si>
  <si>
    <t>CA250759-4</t>
  </si>
  <si>
    <t>CA250759-5</t>
  </si>
  <si>
    <t>CA250764-21</t>
  </si>
  <si>
    <t>CA250764-6</t>
  </si>
  <si>
    <t>CA250764-5</t>
  </si>
  <si>
    <t>CA250764-10</t>
  </si>
  <si>
    <t>CA250764-9</t>
  </si>
  <si>
    <t>CA250763-11</t>
  </si>
  <si>
    <t>CA250763-12</t>
  </si>
  <si>
    <t>CA250763-8</t>
  </si>
  <si>
    <t>CA250763-7</t>
  </si>
  <si>
    <t>CA250755-20</t>
  </si>
  <si>
    <t>CA250758-9</t>
  </si>
  <si>
    <t>CA250758-8</t>
  </si>
  <si>
    <t>CA250758-1</t>
  </si>
  <si>
    <t>CA250758-16</t>
  </si>
  <si>
    <t>CA250755-8</t>
  </si>
  <si>
    <t>CA250755-9</t>
  </si>
  <si>
    <t>CA250764-2</t>
  </si>
  <si>
    <t>CA250764-1</t>
  </si>
  <si>
    <t>CA250764-13</t>
  </si>
  <si>
    <t>CA250764-14</t>
  </si>
  <si>
    <t>CA250764-12</t>
  </si>
  <si>
    <t>CA250764-11</t>
  </si>
  <si>
    <t>CA250764-16</t>
  </si>
  <si>
    <t>CA250764-15</t>
  </si>
  <si>
    <t>CA250764-4</t>
  </si>
  <si>
    <t>CA250764-3</t>
  </si>
  <si>
    <t>CA250764-20</t>
  </si>
  <si>
    <t>CA250764-19</t>
  </si>
  <si>
    <t>CA250764-17</t>
  </si>
  <si>
    <t>CA250764-18</t>
  </si>
  <si>
    <t>CA250763-9</t>
  </si>
  <si>
    <t>CA250763-10</t>
  </si>
  <si>
    <t>CA250778-4</t>
  </si>
  <si>
    <t>CA250778-5</t>
  </si>
  <si>
    <t>CA250763-16</t>
  </si>
  <si>
    <t>CA250763-15</t>
  </si>
  <si>
    <t>CA250763-1</t>
  </si>
  <si>
    <t>CA250763-2</t>
  </si>
  <si>
    <t>CA250763-18</t>
  </si>
  <si>
    <t>CA250763-17</t>
  </si>
  <si>
    <t>CA250763-20</t>
  </si>
  <si>
    <t>CA250763-19</t>
  </si>
  <si>
    <t>CA250763-5</t>
  </si>
  <si>
    <t>CA250763-6</t>
  </si>
  <si>
    <t>CA250763-14</t>
  </si>
  <si>
    <t>CA250763-13</t>
  </si>
  <si>
    <t>CA250758-6</t>
  </si>
  <si>
    <t>CA250758-11</t>
  </si>
  <si>
    <t>CA250758-15</t>
  </si>
  <si>
    <t>CA250758-2</t>
  </si>
  <si>
    <t>CA250758-4</t>
  </si>
  <si>
    <t>CA250758-13</t>
  </si>
  <si>
    <t>CA250758-20</t>
  </si>
  <si>
    <t>CA250758-19</t>
  </si>
  <si>
    <t>CA250758-3</t>
  </si>
  <si>
    <t>CA250758-14</t>
  </si>
  <si>
    <t>CA250763-21</t>
  </si>
  <si>
    <t>CA250758-7</t>
  </si>
  <si>
    <t>CA250758-10</t>
  </si>
  <si>
    <t>CA250755-18</t>
  </si>
  <si>
    <t>CA250755-19</t>
  </si>
  <si>
    <t>CA250755-12</t>
  </si>
  <si>
    <t>CA250755-13</t>
  </si>
  <si>
    <t>CA250755-11</t>
  </si>
  <si>
    <t>CA250755-10</t>
  </si>
  <si>
    <t>CA250755-16</t>
  </si>
  <si>
    <t>CA250755-17</t>
  </si>
  <si>
    <t>CA250755-14</t>
  </si>
  <si>
    <t>CA250755-15</t>
  </si>
  <si>
    <t>CA250759-12</t>
  </si>
  <si>
    <t>CA250759-11</t>
  </si>
  <si>
    <t>CA250759-14</t>
  </si>
  <si>
    <t>CA250759-13</t>
  </si>
  <si>
    <t>CA250761-14</t>
  </si>
  <si>
    <t>CA250761-13</t>
  </si>
  <si>
    <t>CA250759-17</t>
  </si>
  <si>
    <t>CA250759-18</t>
  </si>
  <si>
    <t>CA250761-1</t>
  </si>
  <si>
    <t>CA250761-2</t>
  </si>
  <si>
    <t>CA250761-15</t>
  </si>
  <si>
    <t>CA250761-16</t>
  </si>
  <si>
    <t>CA250761-17</t>
  </si>
  <si>
    <t>CA250761-18</t>
  </si>
  <si>
    <t>CA250761-7</t>
  </si>
  <si>
    <t>CA250761-8</t>
  </si>
  <si>
    <t>CA250761-12</t>
  </si>
  <si>
    <t>CA250761-11</t>
  </si>
  <si>
    <t>CA250761-6</t>
  </si>
  <si>
    <t>CA250761-5</t>
  </si>
  <si>
    <t>CA250761-4</t>
  </si>
  <si>
    <t>CA250761-3</t>
  </si>
  <si>
    <t>CA250761-10</t>
  </si>
  <si>
    <t>CA250761-9</t>
  </si>
  <si>
    <t>CA250761-20</t>
  </si>
  <si>
    <t>CA250761-19</t>
  </si>
  <si>
    <t>CA250756-11</t>
  </si>
  <si>
    <t>CA250756-12</t>
  </si>
  <si>
    <t>CA250756-16</t>
  </si>
  <si>
    <t>CA250756-15</t>
  </si>
  <si>
    <t>CA250756-18</t>
  </si>
  <si>
    <t>CA250756-17</t>
  </si>
  <si>
    <t>CA250756-13</t>
  </si>
  <si>
    <t>CA250756-14</t>
  </si>
  <si>
    <t>CA250756-9</t>
  </si>
  <si>
    <t>CA250756-10</t>
  </si>
  <si>
    <t>CA250756-1</t>
  </si>
  <si>
    <t>CA250756-2</t>
  </si>
  <si>
    <t>CA250756-7</t>
  </si>
  <si>
    <t>CA250756-8</t>
  </si>
  <si>
    <t>CA250756-4</t>
  </si>
  <si>
    <t>CA250756-3</t>
  </si>
  <si>
    <t>CA250756-5</t>
  </si>
  <si>
    <t>CA250756-6</t>
  </si>
  <si>
    <t>CA250756-20</t>
  </si>
  <si>
    <t>CA250756-19</t>
  </si>
  <si>
    <t>CA250758-21</t>
  </si>
  <si>
    <t>CA250778-7</t>
  </si>
  <si>
    <t>CA250778-6</t>
  </si>
  <si>
    <t>CA250758-18</t>
  </si>
  <si>
    <t>CA250758-17</t>
  </si>
  <si>
    <t>CA250778-8</t>
  </si>
  <si>
    <t>CA250778-9</t>
  </si>
  <si>
    <t>CA250778-10</t>
  </si>
  <si>
    <t>CA250778-11</t>
  </si>
  <si>
    <t>CA250763-4</t>
  </si>
  <si>
    <t>CA250763-3</t>
  </si>
  <si>
    <t>CA250751-12</t>
  </si>
  <si>
    <t>CA250751-11</t>
  </si>
  <si>
    <t>CA250751-14</t>
  </si>
  <si>
    <t>CA250751-13</t>
  </si>
  <si>
    <t>CA250751-2</t>
  </si>
  <si>
    <t>CA250751-1</t>
  </si>
  <si>
    <t>CA250751-6</t>
  </si>
  <si>
    <t>CA250751-4</t>
  </si>
  <si>
    <t>CA250751-7</t>
  </si>
  <si>
    <t>CA250751-8</t>
  </si>
  <si>
    <t>CA250751-3</t>
  </si>
  <si>
    <t>CA250751-5</t>
  </si>
  <si>
    <t>CA250751-16</t>
  </si>
  <si>
    <t>CA250751-15</t>
  </si>
  <si>
    <t>CA250751-17</t>
  </si>
  <si>
    <t>CA250751-18</t>
  </si>
  <si>
    <t>CA250755-1</t>
  </si>
  <si>
    <t>CA250755-2</t>
  </si>
  <si>
    <t>CA250755-3</t>
  </si>
  <si>
    <t>CA250755-4</t>
  </si>
  <si>
    <t>CA250752-19</t>
  </si>
  <si>
    <t>CA250752-20</t>
  </si>
  <si>
    <t>CA250001_All by Fouta_Stock_UNS1020-03_UNI SURPIQUE_1020_Non Trouvé_Non Trouvé_Non Trouvé_Non Trouvé_Non Trouvé</t>
  </si>
  <si>
    <t>CA250002_All by Fouta_Stock_UNS1020-04_UNI SURPIQUE_1020_Non Trouvé_Non Trouvé_Non Trouvé_Non Trouvé_Non Trouvé</t>
  </si>
  <si>
    <t>CA250040_All by Fouta_Stock_UNS1626-02_UNI SURPIQUE_1626_Non Trouvé_Non Trouvé_Non Trouvé_Non Trouvé_Non Trouvé</t>
  </si>
  <si>
    <t>CA250041_All by Fouta_Stock_UNS1626-03_UNI SURPIQUE_1626_Non Trouvé_Non Trouvé_Non Trouvé_Non Trouvé_Non Trouvé</t>
  </si>
  <si>
    <t>CA250042_All by Fouta_Stock_UNS1626-04_UNI SURPIQUE_1626_Non Trouvé_Non Trouvé_Non Trouvé_Non Trouvé_Non Trouvé</t>
  </si>
  <si>
    <t>CA250045_All by Fouta_Stock_UNS1626-10_UNI SURPIQUE_1626_Non Trouvé_Non Trouvé_Non Trouvé_Non Trouvé_Non Trouvé</t>
  </si>
  <si>
    <t>CA250062_All by Fouta_Stock_UNS2030-04_UNI SURPIQUE_2030_Non Trouvé_Non Trouvé_Non Trouvé_Non Trouvé_Non Trouvé</t>
  </si>
  <si>
    <t>CA250063_All by Fouta_Stock_UNS2030-06_UNI SURPIQUE_2030_Non Trouvé_Non Trouvé_Non Trouvé_Non Trouvé_Non Trouvé</t>
  </si>
  <si>
    <t>CA250064_All by Fouta_Stock_UNS2030-09_UNI SURPIQUE_2030_Non Trouvé_Non Trouvé_Non Trouvé_Non Trouvé_Non Trouvé</t>
  </si>
  <si>
    <t>CA250065_All by Fouta_Stock_UNS2030-10_UNI SURPIQUE_2030_Non Trouvé_Non Trouvé_Non Trouvé_Non Trouvé_Non Trouvé</t>
  </si>
  <si>
    <t>CA250066_All by Fouta_Stock_UNS2030-12_UNI SURPIQUE_2030_Non Trouvé_Non Trouvé_Non Trouvé_Non Trouvé_Non Trouvé</t>
  </si>
  <si>
    <t>CA250068_All by Fouta_Stock_UNS2030-15_UNI SURPIQUE_2030_Non Trouvé_Non Trouvé_Non Trouvé_Non Trouvé_Non Trouvé</t>
  </si>
  <si>
    <t>CA250069_All by Fouta_Stock_UNS2030-17_UNI SURPIQUE_2030_Non Trouvé_Non Trouvé_Non Trouvé_Non Trouvé_Non Trouvé</t>
  </si>
  <si>
    <t>CA250070_All by Fouta_Stock_UNS2030-18_UNI SURPIQUE_2030_Non Trouvé_Non Trouvé_Non Trouvé_Non Trouvé_Non Trouvé</t>
  </si>
  <si>
    <t>CA250075_All by Fouta_Stock_UNS2030-26_UNI SURPIQUE_2030_Non Trouvé_Non Trouvé_Non Trouvé_Non Trouvé_Non Trouvé</t>
  </si>
  <si>
    <t>CA250076_All by Fouta_Stock_UNS2030-27_UNI SURPIQUE_2030_Non Trouvé_Non Trouvé_Non Trouvé_Non Trouvé_Non Trouvé</t>
  </si>
  <si>
    <t>CA250077_All by Fouta_Stock_UNS2030-30_UNI SURPIQUE_2030_Non Trouvé_Non Trouvé_Non Trouvé_Non Trouvé_Non Trouvé</t>
  </si>
  <si>
    <t>CA250271_All by Fouta_Stock_AR2030-B17-07_ARTHUR_2030_Non Trouvé_Non Trouvé_Non Trouvé_Non Trouvé_Non Trouvé</t>
  </si>
  <si>
    <t>CA250359_All by Fouta_Stock_BIB1020-T06-01-32_BIBI_1020_Non Trouvé_Non Trouvé_Non Trouvé_Non Trouvé_Non Trouvé</t>
  </si>
  <si>
    <t>CA250360_All by Fouta_Stock_BIB1020-T10-01-14_BIBI_1020_Non Trouvé_Non Trouvé_Non Trouvé_Non Trouvé_Non Trouvé</t>
  </si>
  <si>
    <t>CA250361_All by Fouta_Stock_BIB1020-T15-02-06_BIBI_1020_Non Trouvé_Non Trouvé_Non Trouvé_Non Trouvé_Non Trouvé</t>
  </si>
  <si>
    <t>CA250364_All by Fouta_Stock_BIB1020-T26-01-10_BIBI_1020_Non Trouvé_Non Trouvé_Non Trouvé_Non Trouvé_Non Trouvé</t>
  </si>
  <si>
    <t>CA250391_All by Fouta_Stock_BE1020-Q04-24-20_BERBER_1020_Non Trouvé_Non Trouvé_Non Trouvé_Non Trouvé_Non Trouvé</t>
  </si>
  <si>
    <t>CA250393_All by Fouta_Stock_BE1020-Q04-20-01_BERBER_1020_Non Trouvé_Non Trouvé_Non Trouvé_Non Trouvé_Non Trouvé</t>
  </si>
  <si>
    <t>CA250750_All by Fouta_Stock_PACKSICL0507-B03-01_PACK CLASSIQUE_0507_Non Trouvé_Non Trouvé_Non Trouvé_Non Trouvé_Non Trouvé</t>
  </si>
  <si>
    <t>CA250776_All by Fouta_Stock_PACKSICHI0507-Q10-17-01_PACK CHIC_0507_Non Trouvé_Non Trouvé_Non Trouvé_Non Trouvé_Non Trouvé</t>
  </si>
  <si>
    <t>CA250777_All by Fouta_Stock_PACKSICHI0507-Q10-32-01_PACK CHIC_0507_Non Trouvé_Non Trouvé_Non Trouvé_Non Trouvé_Non Trouvé</t>
  </si>
  <si>
    <t>CA250778_All by Fouta_Stock_PACKSICHI0507-Q10-29-01_PACK CHIC_0507_Non Trouvé_Non Trouvé_Non Trouvé_Non Trouvé_Non Trouvé</t>
  </si>
  <si>
    <t>CA250779_All by Fouta_Stock_PACKSICHI0507-Q10-23-01_PACK CHIC_0507_Non Trouvé_Non Trouvé_Non Trouvé_Non Trouvé_Non Trouvé</t>
  </si>
  <si>
    <t>CA250780_All by Fouta_Stock_PACKSICHI0507-Q02-32-01_PACK CHIC_0507_Non Trouvé_Non Trouvé_Non Trouvé_Non Trouvé_Non Trouvé</t>
  </si>
  <si>
    <t>CA250781_All by Fouta_Stock_PACKSICHI0507-Q02-06-01_PACK CHIC_0507_Non Trouvé_Non Trouvé_Non Trouvé_Non Trouvé_Non Trouvé</t>
  </si>
  <si>
    <t>CA250782_All by Fouta_Stock_PACKSICHI0507-Q20-24-01_PACK CHIC_0507_Non Trouvé_Non Trouvé_Non Trouvé_Non Trouvé_Non Trouvé</t>
  </si>
  <si>
    <t>CA250783_All by Fouta_Stock_PACKSICHI0507-Q14-10-01_PACK CHIC_0507_Non Trouvé_Non Trouvé_Non Trouvé_Non Trouvé_Non Trouvé</t>
  </si>
  <si>
    <t>CA250784_All by Fouta_Stock_PACKSICHI0507-Q17-10-01_PACK CHIC_0507_Non Trouvé_Non Trouvé_Non Trouvé_Non Trouvé_Non Trouvé</t>
  </si>
  <si>
    <t>OF240000_Non Trouvé_Non Trouvé_Non Trouvé_Non Trouvé_Non Trouvé_Non Trouvé_Non Trouvé_Non Trouvé_Non Trouvé_Non Trouvé</t>
  </si>
  <si>
    <t>OF240001_CL00833_ABF-CM80196_LOZ1020-B03-01_LOZANGE_1020_Non Trouvé_Non Trouvé_Non Trouvé_Non Trouvé_Non Trouvé</t>
  </si>
  <si>
    <t>OF240008_CL00833_ABF-CM80196_LOZ1020-B13-01_LOZANGE_1020_Non Trouvé_Non Trouvé_Non Trouvé_Non Trouvé_Non Trouvé</t>
  </si>
  <si>
    <t>OF240017_CL00833_ABF-CM80196_LOZ1020-B19-01_LOZANGE_1020_Non Trouvé_Non Trouvé_Non Trouvé_Non Trouvé_Non Trouvé</t>
  </si>
  <si>
    <t>OF240030_All By Fouta_Stock_IB2030-B02-09_IBIZA_2030_Non Trouvé_Non Trouvé_Non Trouvé_Non Trouvé_Non Trouvé</t>
  </si>
  <si>
    <t>OF240087_CL00833_ABF-CM80196_AR1020-B17-01_ARTHUR_1020_Non Trouvé_Non Trouvé_Non Trouvé_Non Trouvé_Non Trouvé</t>
  </si>
  <si>
    <t>OF240123_CL00833_ABF-CM80196_LO1020-B03-01_LONDON_1020_Non Trouvé_Non Trouvé_Non Trouvé_Non Trouvé_Non Trouvé</t>
  </si>
  <si>
    <t>OF240129_CL00833_ABF-CM80196_LO1020-B12-01_LONDON_1020_Non Trouvé_Non Trouvé_Non Trouvé_Non Trouvé_Non Trouvé</t>
  </si>
  <si>
    <t>OF240130_CL00833_ABF-CM80196_LO1020-B13-01_LONDON_1020_Non Trouvé_Non Trouvé_Non Trouvé_Non Trouvé_Non Trouvé</t>
  </si>
  <si>
    <t>OF240135_CL00833_ABF-CM80196_LO1020-B23-01_LONDON_1020_Non Trouvé_Non Trouvé_Non Trouvé_Non Trouvé_Non Trouvé</t>
  </si>
  <si>
    <t>OF240136_CL00833_ABF-CM80196_LO1020-B24-01_LONDON_1020_Non Trouvé_Non Trouvé_Non Trouvé_Non Trouvé_Non Trouvé</t>
  </si>
  <si>
    <t>OF240138_CL00833_ABF-CM80196_LO1020-B32-01_LONDON_1020_Non Trouvé_Non Trouvé_Non Trouvé_Non Trouvé_Non Trouvé</t>
  </si>
  <si>
    <t>OF240139_CL00833_ABF-CM80196_LO1020-B19-01_LONDON_1020_Non Trouvé_Non Trouvé_Non Trouvé_Non Trouvé_Non Trouvé</t>
  </si>
  <si>
    <t>OF240161_CL00833_ABF-CM80196_LIL1020-B11-LuAr_LILI LUREX_1020_Non Trouvé_Non Trouvé_Non Trouvé_Non Trouvé_Non Trouvé</t>
  </si>
  <si>
    <t>OF240299_CL00833_ABF-CM80196_UNS2020-14_UNI SURPIQUE_2020_Non Trouvé_Non Trouvé_Non Trouvé_Non Trouvé_Non Trouvé</t>
  </si>
  <si>
    <t>OF240308_CL00833_ABF-CM80196_UNS2020-24_UNI SURPIQUE_2020_Non Trouvé_Non Trouvé_Non Trouvé_Non Trouvé_Non Trouvé</t>
  </si>
  <si>
    <t>OF240310_CL00833_ABF-CM80196_UNS2020-32_UNI SURPIQUE_2020_Non Trouvé_Non Trouvé_Non Trouvé_Non Trouvé_Non Trouvé</t>
  </si>
  <si>
    <t>OF240470_CL00185_ABF-CM90007_EPU0919-19_UNI_0919_Non Trouvé_Non Trouvé_Non Trouvé_Non Trouvé_Non Trouvé</t>
  </si>
  <si>
    <t>OF240483_CL00010_ABF-CM90010_IB1020-B09-01_IBIZA_1020_Non Trouvé_Non Trouvé_Non Trouvé_Non Trouvé_Non Trouvé</t>
  </si>
  <si>
    <t>OF240636_DIVERS_SANS_ECHANTILLON_ECHANTILLON_1020_Non Trouvé_Non Trouvé_Non Trouvé_Non Trouvé_Non Trouvé</t>
  </si>
  <si>
    <t>OF240640_All By Fouta_Stock_LOZ1020-B04-01_LOZANGE_1020_Non Trouvé_Non Trouvé_Non Trouvé_Non Trouvé_Non Trouvé</t>
  </si>
  <si>
    <t>OF240641_All By Fouta_Stock_LOZ1020-B05-01_LOZANGE_1020_Non Trouvé_Non Trouvé_Non Trouvé_Non Trouvé_Non Trouvé</t>
  </si>
  <si>
    <t>OF240642_All By Fouta_Stock_LOZ1020-B07-01_LOZANGE_1020_Non Trouvé_Non Trouvé_Non Trouvé_Non Trouvé_Non Trouvé</t>
  </si>
  <si>
    <t>OF240643_All By Fouta_Stock_LOZ1020-B11-01_LOZANGE_1020_Non Trouvé_Non Trouvé_Non Trouvé_Non Trouvé_Non Trouvé</t>
  </si>
  <si>
    <t>OF240644_All By Fouta_Stock_LOZ1020-B14-01_LOZANGE_1020_Non Trouvé_Non Trouvé_Non Trouvé_Non Trouvé_Non Trouvé</t>
  </si>
  <si>
    <t>OF240645_All By Fouta_Stock_LOZ1020-B20-01_LOZANGE_1020_Non Trouvé_Non Trouvé_Non Trouvé_Non Trouvé_Non Trouvé</t>
  </si>
  <si>
    <t>OF240646_All By Fouta_Stock_LOZ1020-B26-01_LOZANGE_1020_Non Trouvé_Non Trouvé_Non Trouvé_Non Trouvé_Non Trouvé</t>
  </si>
  <si>
    <t>OF240647_All By Fouta_Stock_LOZ1020-B28-01_LOZANGE_1020_Non Trouvé_Non Trouvé_Non Trouvé_Non Trouvé_Non Trouvé</t>
  </si>
  <si>
    <t>OF240937_All By Fouta_Stock_NDLO1020-B10-25_ND LONDON_1020_Non Trouvé_Non Trouvé_Non Trouvé_Non Trouvé_Non Trouvé</t>
  </si>
  <si>
    <t>OF241198_All By Fouta_Stock_DL1020-B02-LuAr_DEGRADER DE LUREX_1020_Non Trouvé_Non Trouvé_Non Trouvé_Non Trouvé_Non Trouvé</t>
  </si>
  <si>
    <t>OF241199_All By Fouta_Stock_DL1020-B03-LuAr_DEGRADER DE LUREX_1020_Non Trouvé_Non Trouvé_Non Trouvé_Non Trouvé_Non Trouvé</t>
  </si>
  <si>
    <t>OF241207_All By Fouta_Stock_LIL1020-B04-LuAr_LILI LUREX_1020_Non Trouvé_Non Trouvé_Non Trouvé_Non Trouvé_Non Trouvé</t>
  </si>
  <si>
    <t>OF241208_All By Fouta_Stock_LIL1020-B18-LuAr_LILI LUREX_1020_Non Trouvé_Non Trouvé_Non Trouvé_Non Trouvé_Non Trouvé</t>
  </si>
  <si>
    <t>OF241251_All By Fouta_Stock_CHB1020-B07-01_CHEVRON BANDE_1020_Non Trouvé_Non Trouvé_Non Trouvé_Non Trouvé_Non Trouvé</t>
  </si>
  <si>
    <t>OF241252_All By Fouta_Stock_CHB1020-B10-01_CHEVRON BANDE_1020_Non Trouvé_Non Trouvé_Non Trouvé_Non Trouvé_Non Trouvé</t>
  </si>
  <si>
    <t>OF241253_All By Fouta_Stock_CHB1020-B15-01_CHEVRON BANDE_1020_Non Trouvé_Non Trouvé_Non Trouvé_Non Trouvé_Non Trouvé</t>
  </si>
  <si>
    <t>OF241254_All By Fouta_Stock_CHB1020-B17-01_CHEVRON BANDE_1020_Non Trouvé_Non Trouvé_Non Trouvé_Non Trouvé_Non Trouvé</t>
  </si>
  <si>
    <t>OF241255_All By Fouta_Stock_CHB1020-B24-01_CHEVRON BANDE_1020_Non Trouvé_Non Trouvé_Non Trouvé_Non Trouvé_Non Trouvé</t>
  </si>
  <si>
    <t>OF241256_All By Fouta_Stock_CHB1020-B32-01_CHEVRON BANDE_1020_Non Trouvé_Non Trouvé_Non Trouvé_Non Trouvé_Non Trouvé</t>
  </si>
  <si>
    <t>OF241311_CL00129_ABF-CM90029_AR2426-B08-01_ARTHUR_2426_Non Trouvé_Non Trouvé_Non Trouvé_Non Trouvé_Non Trouvé</t>
  </si>
  <si>
    <t>OF241319_CL00129_ABF-CM90029_AR2426-B15-01_ARTHUR_2426_Non Trouvé_Non Trouvé_Non Trouvé_Non Trouvé_Non Trouvé</t>
  </si>
  <si>
    <t>OF241325_CL00129_ABF-CM90029_AR2426-B34-01_ARTHUR_2426_Non Trouvé_Non Trouvé_Non Trouvé_Non Trouvé_Non Trouvé</t>
  </si>
  <si>
    <t>OF241375_CL00837_ABF-CM80171_CHB1020-B20-01_CHEVRON BANDE_1020_Non Trouvé_Non Trouvé_Non Trouvé_Non Trouvé_Non Trouvé</t>
  </si>
  <si>
    <t>OF241376_CL00837_ABF-CM80171_CHB1020-B11-01_CHEVRON BANDE_1020_Non Trouvé_Non Trouvé_Non Trouvé_Non Trouvé_Non Trouvé</t>
  </si>
  <si>
    <t>OF241464_CL00833_ABF-CM90093_IB1020-B09-01_IBIZA_1020_Non Trouvé_Non Trouvé_Non Trouvé_Non Trouvé_Non Trouvé</t>
  </si>
  <si>
    <t>OF241536_CL00168_ABF-CM90009_IB2020-B04-02_IBIZA_2020_Non Trouvé_Non Trouvé_Non Trouvé_Non Trouvé_Non Trouvé</t>
  </si>
  <si>
    <t>OF241766_All By Fouta_Stock_PONADU-B10-14_PONCHO BICOULEUR_ADU_Non Trouvé_Non Trouvé_Non Trouvé_Non Trouvé_Non Trouvé</t>
  </si>
  <si>
    <t>OF241768_All By Fouta_Stock_PONADU-03_PONCHO UNI_ADU_Non Trouvé_Non Trouvé_Non Trouvé_Non Trouvé_Non Trouvé</t>
  </si>
  <si>
    <t>OF241769_All By Fouta_Stock_PONADU-06_PONCHO UNI_ADU_Non Trouvé_Non Trouvé_Non Trouvé_Non Trouvé_Non Trouvé</t>
  </si>
  <si>
    <t>OF241770_All By Fouta_Stock_PONADU-05_PONCHO UNI_ADU_Non Trouvé_Non Trouvé_Non Trouvé_Non Trouvé_Non Trouvé</t>
  </si>
  <si>
    <t>OF241771_All By Fouta_Stock_PONADU-16_PONCHO UNI_ADU_Non Trouvé_Non Trouvé_Non Trouvé_Non Trouvé_Non Trouvé</t>
  </si>
  <si>
    <t>OF241778_All By Fouta_Stock_PONADU-31_PONCHO UNI_ADU_Non Trouvé_Non Trouvé_Non Trouvé_Non Trouvé_Non Trouvé</t>
  </si>
  <si>
    <t>OF241780_All By Fouta_Stock_PONADU-12_PONCHO UNI_ADU_Non Trouvé_Non Trouvé_Non Trouvé_Non Trouvé_Non Trouvé</t>
  </si>
  <si>
    <t>OF241794_All By Fouta_Stock_PONADU-B32-24_PONCHO BICOULEUR_ADU_Non Trouvé_Non Trouvé_Non Trouvé_Non Trouvé_Non Trouvé</t>
  </si>
  <si>
    <t>OF241946_CL00706_ABF-CM90202_EPMA0918-B10-02_MARINIERE_0918_Non Trouvé_Non Trouvé_Non Trouvé_Non Trouvé_Non Trouvé</t>
  </si>
  <si>
    <t>OF241947_CL00706_ABF-CM90202_EPMA0918-B15-02_MARINIERE_0918_Non Trouvé_Non Trouvé_Non Trouvé_Non Trouvé_Non Trouvé</t>
  </si>
  <si>
    <t>OF242019_CL00312_ABF-CM90208_AR1626-B04-01_ARTHUR_1626_Non Trouvé_Non Trouvé_Non Trouvé_Non Trouvé_Non Trouvé</t>
  </si>
  <si>
    <t>OF242087_All By Fouta_Stock_NDFI1020-C32-18-16_ND FIVE_1020_Non Trouvé_Non Trouvé_Non Trouvé_Non Trouvé_Non Trouvé</t>
  </si>
  <si>
    <t>OF242088_All By Fouta_Stock_NDFI1020-C16-18-17_ND FIVE_1020_Non Trouvé_Non Trouvé_Non Trouvé_Non Trouvé_Non Trouvé</t>
  </si>
  <si>
    <t>OF242089_All By Fouta_Stock_NDFI1020-C16-10-11_ND FIVE_1020_Non Trouvé_Non Trouvé_Non Trouvé_Non Trouvé_Non Trouvé</t>
  </si>
  <si>
    <t>OF242090_All By Fouta_Stock_NDFI1020-C02-08-07_ND FIVE_1020_Non Trouvé_Non Trouvé_Non Trouvé_Non Trouvé_Non Trouvé</t>
  </si>
  <si>
    <t>OF242091_All By Fouta_Stock_NDFI1020-C02-05-05_ND FIVE_1020_Non Trouvé_Non Trouvé_Non Trouvé_Non Trouvé_Non Trouvé</t>
  </si>
  <si>
    <t>OF242092_All By Fouta_Stock_NDFI1020-C07-17-06_ND FIVE_1020_Non Trouvé_Non Trouvé_Non Trouvé_Non Trouvé_Non Trouvé</t>
  </si>
  <si>
    <t>OF242093_All By Fouta_Stock_NDFI1020-C02-29-30_ND FIVE_1020_Non Trouvé_Non Trouvé_Non Trouvé_Non Trouvé_Non Trouvé</t>
  </si>
  <si>
    <t>OF242095_All By Fouta_Stock_NDFI1020-C22-22-23_ND FIVE_1020_Non Trouvé_Non Trouvé_Non Trouvé_Non Trouvé_Non Trouvé</t>
  </si>
  <si>
    <t>OF242096_All By Fouta_Stock_NDFI1020-C02-20-20_ND FIVE_1020_Non Trouvé_Non Trouvé_Non Trouvé_Non Trouvé_Non Trouvé</t>
  </si>
  <si>
    <t>OF242162_All By Fouta_Stock_AR1626-B05-01_ARTHUR_1626_Non Trouvé_Non Trouvé_Non Trouvé_Non Trouvé_Non Trouvé</t>
  </si>
  <si>
    <t>OF242167_All By Fouta_Stock_AR1626-B17-01_ARTHUR_1626_Non Trouvé_Non Trouvé_Non Trouvé_Non Trouvé_Non Trouvé</t>
  </si>
  <si>
    <t>OF242168_All By Fouta_Stock_AR1626-B20-01_ARTHUR_1626_Non Trouvé_Non Trouvé_Non Trouvé_Non Trouvé_Non Trouvé</t>
  </si>
  <si>
    <t>OF242170_All By Fouta_Stock_AR1626-B02-04_ARTHUR_1626_Non Trouvé_Non Trouvé_Non Trouvé_Non Trouvé_Non Trouvé</t>
  </si>
  <si>
    <t>OF242172_All By Fouta_Stock_AR1626-B06-08_ARTHUR_1626_Non Trouvé_Non Trouvé_Non Trouvé_Non Trouvé_Non Trouvé</t>
  </si>
  <si>
    <t>OF242173_All By Fouta_Stock_AR1626-B10-16_ARTHUR_1626_Non Trouvé_Non Trouvé_Non Trouvé_Non Trouvé_Non Trouvé</t>
  </si>
  <si>
    <t>OF242174_All By Fouta_Stock_AR1626-B10-14_ARTHUR_1626_Non Trouvé_Non Trouvé_Non Trouvé_Non Trouvé_Non Trouvé</t>
  </si>
  <si>
    <t>OF242176_All By Fouta_Stock_UNS1626-03_UNI SURPIQUE_1626_Non Trouvé_Non Trouvé_Non Trouvé_Non Trouvé_Non Trouvé</t>
  </si>
  <si>
    <t>OF242177_All By Fouta_Stock_UNS1626-04_UNI SURPIQUE_1626_Non Trouvé_Non Trouvé_Non Trouvé_Non Trouvé_Non Trouvé</t>
  </si>
  <si>
    <t>OF242178_All By Fouta_Stock_UNS1626-06_UNI SURPIQUE_1626_Non Trouvé_Non Trouvé_Non Trouvé_Non Trouvé_Non Trouvé</t>
  </si>
  <si>
    <t>OF242179_All By Fouta_Stock_UNS1626-10_UNI SURPIQUE_1626_Non Trouvé_Non Trouvé_Non Trouvé_Non Trouvé_Non Trouvé</t>
  </si>
  <si>
    <t>OF242180_All By Fouta_Stock_UNS1626-12_UNI SURPIQUE_1626_Non Trouvé_Non Trouvé_Non Trouvé_Non Trouvé_Non Trouvé</t>
  </si>
  <si>
    <t>OF242181_All By Fouta_Stock_UNS1626-13_UNI SURPIQUE_1626_Non Trouvé_Non Trouvé_Non Trouvé_Non Trouvé_Non Trouvé</t>
  </si>
  <si>
    <t>OF242182_All By Fouta_Stock_UNS1626-18_UNI SURPIQUE_1626_Non Trouvé_Non Trouvé_Non Trouvé_Non Trouvé_Non Trouvé</t>
  </si>
  <si>
    <t>OF242183_All By Fouta_Stock_UNS1626-19_UNI SURPIQUE_1626_Non Trouvé_Non Trouvé_Non Trouvé_Non Trouvé_Non Trouvé</t>
  </si>
  <si>
    <t>OF242184_All By Fouta_Stock_UNS1626-20_UNI SURPIQUE_1626_Non Trouvé_Non Trouvé_Non Trouvé_Non Trouvé_Non Trouvé</t>
  </si>
  <si>
    <t>OF242185_All By Fouta_Stock_UNS1626-26_UNI SURPIQUE_1626_Non Trouvé_Non Trouvé_Non Trouvé_Non Trouvé_Non Trouvé</t>
  </si>
  <si>
    <t>OF242252_CL00833_ABF-CM90226_LIL1020-B02-LuAr_LILI LUREX_1020_Non Trouvé_Non Trouvé_Non Trouvé_Non Trouvé_Non Trouvé</t>
  </si>
  <si>
    <t>OF242321_CL00833_ABF-CM90226_CHB1020-B03-01_CHEVRON BANDE_1020_Non Trouvé_Non Trouvé_Non Trouvé_Non Trouvé_Non Trouvé</t>
  </si>
  <si>
    <t>OF242322_CL00833_ABF-CM90226_CHB1020-B04-01_CHEVRON BANDE_1020_Non Trouvé_Non Trouvé_Non Trouvé_Non Trouvé_Non Trouvé</t>
  </si>
  <si>
    <t>OF242331_CL00833_ABF-CM90226_CHB1020-B16-01_CHEVRON BANDE_1020_Non Trouvé_Non Trouvé_Non Trouvé_Non Trouvé_Non Trouvé</t>
  </si>
  <si>
    <t>OF242335_CL00833_ABF-CM90226_CHB1020-B20-01_CHEVRON BANDE_1020_Non Trouvé_Non Trouvé_Non Trouvé_Non Trouvé_Non Trouvé</t>
  </si>
  <si>
    <t>OF242337_CL00833_ABF-CM90226_CHB1020-B25-01_CHEVRON BANDE_1020_Non Trouvé_Non Trouvé_Non Trouvé_Non Trouvé_Non Trouvé</t>
  </si>
  <si>
    <t>OF242339_CL00833_ABF-CM90226_CHB1020-B29-01_CHEVRON BANDE_1020_Non Trouvé_Non Trouvé_Non Trouvé_Non Trouvé_Non Trouvé</t>
  </si>
  <si>
    <t>OF242352_CL00833_ABF-CM90226_AR2020-B06-01_ARTHUR_2020_Non Trouvé_Non Trouvé_Non Trouvé_Non Trouvé_Non Trouvé</t>
  </si>
  <si>
    <t>OF242389_CL00833_ABF-CM90226_UNS2020-14_UNI SURPIQUE_2020_Non Trouvé_Non Trouvé_Non Trouvé_Non Trouvé_Non Trouvé</t>
  </si>
  <si>
    <t>OF242390_CL00833_ABF-CM90226_UNS2020-15_UNI SURPIQUE_2020_Non Trouvé_Non Trouvé_Non Trouvé_Non Trouvé_Non Trouvé</t>
  </si>
  <si>
    <t>OF242391_CL00833_ABF-CM90226_UNS2020-16_UNI SURPIQUE_2020_Non Trouvé_Non Trouvé_Non Trouvé_Non Trouvé_Non Trouvé</t>
  </si>
  <si>
    <t>OF242394_CL00833_ABF-CM90226_UNS2020-19_UNI SURPIQUE_2020_Non Trouvé_Non Trouvé_Non Trouvé_Non Trouvé_Non Trouvé</t>
  </si>
  <si>
    <t>OF242395_CL00833_ABF-CM90226_UNS2020-20_UNI SURPIQUE_2020_Non Trouvé_Non Trouvé_Non Trouvé_Non Trouvé_Non Trouvé</t>
  </si>
  <si>
    <t>OF242396_CL00833_ABF-CM90226_UNS2020-22_UNI SURPIQUE_2020_Non Trouvé_Non Trouvé_Non Trouvé_Non Trouvé_Non Trouvé</t>
  </si>
  <si>
    <t>OF242397_CL00833_ABF-CM90226_UNS2020-24_UNI SURPIQUE_2020_Non Trouvé_Non Trouvé_Non Trouvé_Non Trouvé_Non Trouvé</t>
  </si>
  <si>
    <t>OF242398_CL00833_ABF-CM90226_UNS2020-26_UNI SURPIQUE_2020_Non Trouvé_Non Trouvé_Non Trouvé_Non Trouvé_Non Trouvé</t>
  </si>
  <si>
    <t>OF242399_CL00833_ABF-CM90226_UNS2020-29_UNI SURPIQUE_2020_Non Trouvé_Non Trouvé_Non Trouvé_Non Trouvé_Non Trouvé</t>
  </si>
  <si>
    <t>OF242400_CL00833_ABF-CM90226_UNS2020-32_UNI SURPIQUE_2020_Non Trouvé_Non Trouvé_Non Trouvé_Non Trouvé_Non Trouvé</t>
  </si>
  <si>
    <t>OF242401_CL00833_ABF-CM90226_AR1626-B03-01_ARTHUR_1626_Non Trouvé_Non Trouvé_Non Trouvé_Non Trouvé_Non Trouvé</t>
  </si>
  <si>
    <t>OF242416_CL00833_ABF-CM90226_AR1626-B23-01_ARTHUR_1626_Non Trouvé_Non Trouvé_Non Trouvé_Non Trouvé_Non Trouvé</t>
  </si>
  <si>
    <t>OF242426_CL00833_ABF-CM90226_UNS1626-07_UNI SURPIQUE_1626_Non Trouvé_Non Trouvé_Non Trouvé_Non Trouvé_Non Trouvé</t>
  </si>
  <si>
    <t>OF242457_CL00833_ABF-CM90226_AR2030-B26-01_ARTHUR_2030_Non Trouvé_Non Trouvé_Non Trouvé_Non Trouvé_Non Trouvé</t>
  </si>
  <si>
    <t>OF242480_CL00833_ABF-CM90226_AR2426-B07-01_ARTHUR_2426_Non Trouvé_Non Trouvé_Non Trouvé_Non Trouvé_Non Trouvé</t>
  </si>
  <si>
    <t>OF242481_CL00833_ABF-CM90226_AR2426-B08-01_ARTHUR_2426_Non Trouvé_Non Trouvé_Non Trouvé_Non Trouvé_Non Trouvé</t>
  </si>
  <si>
    <t>OF242482_CL00833_ABF-CM90226_AR2426-B10-01_ARTHUR_2426_Non Trouvé_Non Trouvé_Non Trouvé_Non Trouvé_Non Trouvé</t>
  </si>
  <si>
    <t>OF242483_CL00833_ABF-CM90226_AR2426-B12-01_ARTHUR_2426_Non Trouvé_Non Trouvé_Non Trouvé_Non Trouvé_Non Trouvé</t>
  </si>
  <si>
    <t>OF242484_CL00833_ABF-CM90226_AR2426-B13-01_ARTHUR_2426_Non Trouvé_Non Trouvé_Non Trouvé_Non Trouvé_Non Trouvé</t>
  </si>
  <si>
    <t>OF242485_CL00833_ABF-CM90226_AR2426-B14-01_ARTHUR_2426_Non Trouvé_Non Trouvé_Non Trouvé_Non Trouvé_Non Trouvé</t>
  </si>
  <si>
    <t>OF242486_CL00833_ABF-CM90226_AR2426-B15-01_ARTHUR_2426_Non Trouvé_Non Trouvé_Non Trouvé_Non Trouvé_Non Trouvé</t>
  </si>
  <si>
    <t>OF242487_CL00833_ABF-CM90226_AR2426-B16-01_ARTHUR_2426_Non Trouvé_Non Trouvé_Non Trouvé_Non Trouvé_Non Trouvé</t>
  </si>
  <si>
    <t>OF242490_CL00833_ABF-CM90226_AR2426-B19-01_ARTHUR_2426_Non Trouvé_Non Trouvé_Non Trouvé_Non Trouvé_Non Trouvé</t>
  </si>
  <si>
    <t>OF242492_CL00833_ABF-CM90226_AR2426-B22-01_ARTHUR_2426_Non Trouvé_Non Trouvé_Non Trouvé_Non Trouvé_Non Trouvé</t>
  </si>
  <si>
    <t>OF242493_CL00833_ABF-CM90226_AR2426-B23-01_ARTHUR_2426_Non Trouvé_Non Trouvé_Non Trouvé_Non Trouvé_Non Trouvé</t>
  </si>
  <si>
    <t>OF242494_CL00833_ABF-CM90226_AR2426-B24-01_ARTHUR_2426_Non Trouvé_Non Trouvé_Non Trouvé_Non Trouvé_Non Trouvé</t>
  </si>
  <si>
    <t>OF242495_CL00833_ABF-CM90226_AR2426-B25-01_ARTHUR_2426_Non Trouvé_Non Trouvé_Non Trouvé_Non Trouvé_Non Trouvé</t>
  </si>
  <si>
    <t>OF242496_CL00833_ABF-CM90226_AR2426-B26-01_ARTHUR_2426_Non Trouvé_Non Trouvé_Non Trouvé_Non Trouvé_Non Trouvé</t>
  </si>
  <si>
    <t>OF242497_CL00833_ABF-CM90226_AR2426-B29-01_ARTHUR_2426_Non Trouvé_Non Trouvé_Non Trouvé_Non Trouvé_Non Trouvé</t>
  </si>
  <si>
    <t>OF242667_CL00791_ABF-CM90230_AR1626-B17-02_ARTHUR_1626_Non Trouvé_Non Trouvé_Non Trouvé_Non Trouvé_Non Trouvé</t>
  </si>
  <si>
    <t>OF242675_CL00791_ABF-CM90230_AR1626-T06-29-17_ARTHUR_1626_Non Trouvé_Non Trouvé_Non Trouvé_Non Trouvé_Non Trouvé</t>
  </si>
  <si>
    <t>OF242679_CL00791_ABF-CM90230_AR2020-B15-01_ARTHUR_2020_Non Trouvé_Non Trouvé_Non Trouvé_Non Trouvé_Non Trouvé</t>
  </si>
  <si>
    <t>OF242732_CL00791_ABF-CM90230_UNS2020-24_UNI SURPIQUE_2020_Non Trouvé_Non Trouvé_Non Trouvé_Non Trouvé_Non Trouvé</t>
  </si>
  <si>
    <t>OF242736_CL00791_ABF-CM90230_UNS1626-03_UNI SURPIQUE_1626_Non Trouvé_Non Trouvé_Non Trouvé_Non Trouvé_Non Trouvé</t>
  </si>
  <si>
    <t>OF242748_CL00791_ABF-CM90230_UNS2030-15_UNI SURPIQUE_2030_Non Trouvé_Non Trouvé_Non Trouvé_Non Trouvé_Non Trouvé</t>
  </si>
  <si>
    <t>OF242766_CL00772_ABF-CM90231_AR1626-B10-02_ARTHUR_1626_Non Trouvé_Non Trouvé_Non Trouvé_Non Trouvé_Non Trouvé</t>
  </si>
  <si>
    <t>OF242848_CL00129_ABF-CM90233_AR1626-B20-01_ARTHUR_1626_Non Trouvé_Non Trouvé_Non Trouvé_Non Trouvé_Non Trouvé</t>
  </si>
  <si>
    <t>OF242850_CL00129_ABF-CM90233_AR1626-B33-01_ARTHUR_1626_Non Trouvé_Non Trouvé_Non Trouvé_Non Trouvé_Non Trouvé</t>
  </si>
  <si>
    <t>OF242852_CL00129_ABF-CM90233_AR1626-B02-04_ARTHUR_1626_Non Trouvé_Non Trouvé_Non Trouvé_Non Trouvé_Non Trouvé</t>
  </si>
  <si>
    <t>OF242888_CL00129_ABF-CM90233_AR2426-B05-01_ARTHUR_2426_Non Trouvé_Non Trouvé_Non Trouvé_Non Trouvé_Non Trouvé</t>
  </si>
  <si>
    <t>OF242904_CL00129_ABF-CM90233_AR2426-B07-17_ARTHUR_2426_Non Trouvé_Non Trouvé_Non Trouvé_Non Trouvé_Non Trouvé</t>
  </si>
  <si>
    <t>OF242905_CL00129_ABF-CM90233_AR2426-B07-21_ARTHUR_2426_Non Trouvé_Non Trouvé_Non Trouvé_Non Trouvé_Non Trouvé</t>
  </si>
  <si>
    <t>OF242908_CL00129_ABF-CM90233_AR2426-B10-16_ARTHUR_2426_Non Trouvé_Non Trouvé_Non Trouvé_Non Trouvé_Non Trouvé</t>
  </si>
  <si>
    <t>OF242916_CL00129_ABF-CM90233_IB1020-B10-25_IBIZA_1020_Non Trouvé_Non Trouvé_Non Trouvé_Non Trouvé_Non Trouvé</t>
  </si>
  <si>
    <t>OF242939_CL00129_ABF-CM90233_IB2020-B24-01_IBIZA_2020_Non Trouvé_Non Trouvé_Non Trouvé_Non Trouvé_Non Trouvé</t>
  </si>
  <si>
    <t>OF243018_CL00129_ABF-CM90233_NDL2020-B29-01_ND LILI_2020_Non Trouvé_Non Trouvé_Non Trouvé_Non Trouvé_Non Trouvé</t>
  </si>
  <si>
    <t>OF243019_CL00129_ABF-CM90233_NDL2020-B32-01_ND LILI_2020_Non Trouvé_Non Trouvé_Non Trouvé_Non Trouvé_Non Trouvé</t>
  </si>
  <si>
    <t>OF243026_CL00129_ABF-CM90233_NDL2020-B10-14_ND LILI_2020_Non Trouvé_Non Trouvé_Non Trouvé_Non Trouvé_Non Trouvé</t>
  </si>
  <si>
    <t>OF243040_CL00129_ABF-CM90233_NA2426-B20-01_NATURE_2426_Non Trouvé_Non Trouvé_Non Trouvé_Non Trouvé_Non Trouvé</t>
  </si>
  <si>
    <t>OF243094_CL00882_ABF-CM90234_AR2020-B03-01_ARTHUR_2020_Non Trouvé_Non Trouvé_Non Trouvé_Non Trouvé_Non Trouvé</t>
  </si>
  <si>
    <t>OF243161_CL00185_ABF-CM90235_NDU1020-04_ND UNI_1020_Non Trouvé_Non Trouvé_Non Trouvé_Non Trouvé_Non Trouvé</t>
  </si>
  <si>
    <t>OF243164_CL00185_ABF-CM90235_NDU2020-04_ND UNI_2020_Non Trouvé_Non Trouvé_Non Trouvé_Non Trouvé_Non Trouvé</t>
  </si>
  <si>
    <t>OF243165_CL00185_ABF-CM90235_EPU0919-04_UNI_0919_Non Trouvé_Non Trouvé_Non Trouvé_Non Trouvé_Non Trouvé</t>
  </si>
  <si>
    <t>OF243168_CL00129_ABF-CM90233_PONADU-B02-04_PONCHO BICOULEUR_ADU_Non Trouvé_Non Trouvé_Non Trouvé_Non Trouvé_Non Trouvé</t>
  </si>
  <si>
    <t>OF243173_CL00129_ABF-CM90233_PONADU-B28-30_PONCHO BICOULEUR_ADU_Non Trouvé_Non Trouvé_Non Trouvé_Non Trouvé_Non Trouvé</t>
  </si>
  <si>
    <t>OF243178_All By Fouta_Stock_PONADU-B16-14_PONCHO BICOULEUR_ADU_Non Trouvé_Non Trouvé_Non Trouvé_Non Trouvé_Non Trouvé</t>
  </si>
  <si>
    <t>OF243179_All By Fouta_Stock_PONADU-B18-17_PONCHO BICOULEUR_ADU_Non Trouvé_Non Trouvé_Non Trouvé_Non Trouvé_Non Trouvé</t>
  </si>
  <si>
    <t>OF243281_CL00850_ABF-CM90236_NDL1020-B32-01_ND LILI_1020_Non Trouvé_Non Trouvé_Non Trouvé_Non Trouvé_Non Trouvé</t>
  </si>
  <si>
    <t>OF243331_CL00010_ABF-CM90239_IB2020-B05-02_IBIZA_2020_Non Trouvé_Non Trouvé_Non Trouvé_Non Trouvé_Non Trouvé</t>
  </si>
  <si>
    <t>OF243332_CL00010_ABF-CM90239_IB2020-B05-02_IBIZA_2020_Non Trouvé_Non Trouvé_Non Trouvé_Non Trouvé_Non Trouvé</t>
  </si>
  <si>
    <t>OF243339_CL00010_ABF-CM90239_IB2020-B32-02_IBIZA_2020_Non Trouvé_Non Trouvé_Non Trouvé_Non Trouvé_Non Trouvé</t>
  </si>
  <si>
    <t>OF243346_CL00010_ABF-CM90239_RE1824-T01-02-01_RELIEF_1824_Non Trouvé_Non Trouvé_Non Trouvé_Non Trouvé_Non Trouvé</t>
  </si>
  <si>
    <t>OF243349_CL00010_ABF-CM90239_RE2426-T03-02-03_RELIEF_2426_Non Trouvé_Non Trouvé_Non Trouvé_Non Trouvé_Non Trouvé</t>
  </si>
  <si>
    <t>OF243350_CL00010_ABF-CM90239_RE1824-T16-01-16_RELIEF_1824_Non Trouvé_Non Trouvé_Non Trouvé_Non Trouvé_Non Trouvé</t>
  </si>
  <si>
    <t>OF243355_CL00010_ABF-CM90239_RE2426-T19-02-19_RELIEF_2426_Non Trouvé_Non Trouvé_Non Trouvé_Non Trouvé_Non Trouvé</t>
  </si>
  <si>
    <t>OF243383_CL00882_ABF-CM90234_PONADU-B02-03_PONCHO BICOULEUR_ADU_Non Trouvé_Non Trouvé_Non Trouvé_Non Trouvé_Non Trouvé</t>
  </si>
  <si>
    <t>OF243425_CL00162_CM-FT0032_UNS1626-03_UNI SURPIQUE_1626_Non Trouvé_Non Trouvé_Non Trouvé_Non Trouvé_Non Trouvé</t>
  </si>
  <si>
    <t>OF243820_CL00448_CM-FT0016_IB2020-B14-01_IBIZA_2020_Non Trouvé_Non Trouvé_Non Trouvé_Non Trouvé_Non Trouvé</t>
  </si>
  <si>
    <t>OF243895_CL00296_CM-FT0020_NDL1020-B26-01_ND LILI_1020_Non Trouvé_Non Trouvé_Non Trouvé_Non Trouvé_Non Trouvé</t>
  </si>
  <si>
    <t>OF243927_CL00674_CM-FT0022_RE1824-T12-01-12_RELIEF_1824_Non Trouvé_Non Trouvé_Non Trouvé_Non Trouvé_Non Trouvé</t>
  </si>
  <si>
    <t>OF243984_CL00296_CM-FT0024_NDL1020-B12-01_ND LILI_1020_Non Trouvé_Non Trouvé_Non Trouvé_Non Trouvé_Non Trouvé</t>
  </si>
  <si>
    <t>OF244179_CL00298_CM-FT0035_EPIB0919-B32-02_IBIZA_0919_Non Trouvé_Non Trouvé_Non Trouvé_Non Trouvé_Non Trouvé</t>
  </si>
  <si>
    <t>OF244181_All By Fouta_Stock_FAF1824-B04-02_FIL A FIL_1824_Non Trouvé_Non Trouvé_Non Trouvé_Non Trouvé_Non Trouvé</t>
  </si>
  <si>
    <t>OF244182_All By Fouta_Stock_FAF1824-B11-01_FIL A FIL_1824_Non Trouvé_Non Trouvé_Non Trouvé_Non Trouvé_Non Trouvé</t>
  </si>
  <si>
    <t>OF244183_All By Fouta_Stock_FAF1824-B07-01_FIL A FIL_1824_Non Trouvé_Non Trouvé_Non Trouvé_Non Trouvé_Non Trouvé</t>
  </si>
  <si>
    <t>OF244184_All By Fouta_Stock_FAF1824-B05-01_FIL A FIL_1824_Non Trouvé_Non Trouvé_Non Trouvé_Non Trouvé_Non Trouvé</t>
  </si>
  <si>
    <t>OF244185_All By Fouta_Stock_FAF1824-B18-19_FIL A FIL_1824_Non Trouvé_Non Trouvé_Non Trouvé_Non Trouvé_Non Trouvé</t>
  </si>
  <si>
    <t>OF244186_All By Fouta_Stock_FAF1824-B06-08_FIL A FIL_1824_Non Trouvé_Non Trouvé_Non Trouvé_Non Trouvé_Non Trouvé</t>
  </si>
  <si>
    <t>OF244187_All By Fouta_Stock_RE1824-T03-02-03_RELIEF_1824_Non Trouvé_Non Trouvé_Non Trouvé_Non Trouvé_Non Trouvé</t>
  </si>
  <si>
    <t>OF244188_All By Fouta_Stock_RE1824-T18-01-18_RELIEF_1824_Non Trouvé_Non Trouvé_Non Trouvé_Non Trouvé_Non Trouvé</t>
  </si>
  <si>
    <t>OF244189_All By Fouta_Stock_RE1824-T16-01-16_RELIEF_1824_Non Trouvé_Non Trouvé_Non Trouvé_Non Trouvé_Non Trouvé</t>
  </si>
  <si>
    <t>OF244190_All By Fouta_Stock_RE1824-T10-01-10_RELIEF_1824_Non Trouvé_Non Trouvé_Non Trouvé_Non Trouvé_Non Trouvé</t>
  </si>
  <si>
    <t>OF244191_All By Fouta_Stock_RE1824-T12-01-12_RELIEF_1824_Non Trouvé_Non Trouvé_Non Trouvé_Non Trouvé_Non Trouvé</t>
  </si>
  <si>
    <t>OF244192_All By Fouta_Stock_RE1824-T06-01-06_RELIEF_1824_Non Trouvé_Non Trouvé_Non Trouvé_Non Trouvé_Non Trouvé</t>
  </si>
  <si>
    <t>OF244260_CL00296_CM-FT0043_NDL2020-B09-01_ND LILI_2020_Non Trouvé_Non Trouvé_Non Trouvé_Non Trouvé_Non Trouvé</t>
  </si>
  <si>
    <t>OF244347_CL00162_CM-FT0032_OLI2426-B03-04_OLIVIER_2426_Non Trouvé_Non Trouvé_Non Trouvé_Non Trouvé_Non Trouvé</t>
  </si>
  <si>
    <t>OF244629_All By Fouta_Stock_INS2426-Q16-02-03_INSPIRATION _2426_Non Trouvé_Non Trouvé_Non Trouvé_Non Trouvé_Non Trouvé</t>
  </si>
  <si>
    <t>OF244630_All By Fouta_Stock_INS2426-Q19-02-03_INSPIRATION _2426_Non Trouvé_Non Trouvé_Non Trouvé_Non Trouvé_Non Trouvé</t>
  </si>
  <si>
    <t>OF244631_All By Fouta_Stock_INS2426-Q11-01-14_INSPIRATION _2426_Non Trouvé_Non Trouvé_Non Trouvé_Non Trouvé_Non Trouvé</t>
  </si>
  <si>
    <t>OF244632_All By Fouta_Stock_INS2426-Q17-02-03_INSPIRATION _2426_Non Trouvé_Non Trouvé_Non Trouvé_Non Trouvé_Non Trouvé</t>
  </si>
  <si>
    <t>OF244633_All By Fouta_Stock_INS2426-Q11-02-16_INSPIRATION _2426_Non Trouvé_Non Trouvé_Non Trouvé_Non Trouvé_Non Trouvé</t>
  </si>
  <si>
    <t>OF244634_All By Fouta_Stock_INS2426-Q02-03-05_INSPIRATION _2426_Non Trouvé_Non Trouvé_Non Trouvé_Non Trouvé_Non Trouvé</t>
  </si>
  <si>
    <t>OF244635_All By Fouta_Stock_INS2426-Q04-02-03_INSPIRATION _2426_Non Trouvé_Non Trouvé_Non Trouvé_Non Trouvé_Non Trouvé</t>
  </si>
  <si>
    <t>OF244636_All By Fouta_Stock_INS2426-Q16-02-03_INSPIRATION _2426_Non Trouvé_Non Trouvé_Non Trouvé_Non Trouvé_Non Trouvé</t>
  </si>
  <si>
    <t>OF244675_CL00296_CM-FT0029_EPMA0919-B29-02_MARINIERE_0919_Non Trouvé_Non Trouvé_Non Trouvé_Non Trouvé_Non Trouvé</t>
  </si>
  <si>
    <t>OF244784_All By Fouta_Stock_INS1824-Q16-02-03_INSPIRATION _1824_Non Trouvé_Non Trouvé_Non Trouvé_Non Trouvé_Non Trouvé</t>
  </si>
  <si>
    <t>OF244785_All By Fouta_Stock_INS1824-Q19-02-03_INSPIRATION _1824_Non Trouvé_Non Trouvé_Non Trouvé_Non Trouvé_Non Trouvé</t>
  </si>
  <si>
    <t>OF244786_All By Fouta_Stock_INS1824-Q11-01-14_INSPIRATION _1824_Non Trouvé_Non Trouvé_Non Trouvé_Non Trouvé_Non Trouvé</t>
  </si>
  <si>
    <t>OF244787_All By Fouta_Stock_INS1824-Q17-02-03_INSPIRATION _1824_Non Trouvé_Non Trouvé_Non Trouvé_Non Trouvé_Non Trouvé</t>
  </si>
  <si>
    <t>OF244788_All By Fouta_Stock_INS1824-Q11-02-16_INSPIRATION _1824_Non Trouvé_Non Trouvé_Non Trouvé_Non Trouvé_Non Trouvé</t>
  </si>
  <si>
    <t>OF244789_All By Fouta_Stock_INS1824-Q02-03-05_INSPIRATION _1824_Non Trouvé_Non Trouvé_Non Trouvé_Non Trouvé_Non Trouvé</t>
  </si>
  <si>
    <t>OF244790_All By Fouta_Stock_INS1824-Q04-02-03_INSPIRATION _1824_Non Trouvé_Non Trouvé_Non Trouvé_Non Trouvé_Non Trouvé</t>
  </si>
  <si>
    <t>OF244791_All By Fouta_Stock_INS1824-Q16-02-03_INSPIRATION _1824_Non Trouvé_Non Trouvé_Non Trouvé_Non Trouvé_Non Trouvé</t>
  </si>
  <si>
    <t>OF244792_All By Fouta_Stock_PACKSICL0507-B03-01_PACK CLASSIQUE_0507_Non Trouvé_Non Trouvé_Non Trouvé_Non Trouvé_Non Trouvé</t>
  </si>
  <si>
    <t>OF244793_All By Fouta_Stock_PACKSICL0507-B04-02_PACK CLASSIQUE_0507_Non Trouvé_Non Trouvé_Non Trouvé_Non Trouvé_Non Trouvé</t>
  </si>
  <si>
    <t>OF244794_All By Fouta_Stock_PACKSICL0507-B05-03_PACK CLASSIQUE_0507_Non Trouvé_Non Trouvé_Non Trouvé_Non Trouvé_Non Trouvé</t>
  </si>
  <si>
    <t>OF244795_All By Fouta_Stock_PACKSICL0507-B06-08_PACK CLASSIQUE_0507_Non Trouvé_Non Trouvé_Non Trouvé_Non Trouvé_Non Trouvé</t>
  </si>
  <si>
    <t>OF244796_All By Fouta_Stock_PACKSICL0507-B10-01_PACK CLASSIQUE_0507_Non Trouvé_Non Trouvé_Non Trouvé_Non Trouvé_Non Trouvé</t>
  </si>
  <si>
    <t>OF244797_All By Fouta_Stock_PACKSICL0507-B07-17_PACK CLASSIQUE_0507_Non Trouvé_Non Trouvé_Non Trouvé_Non Trouvé_Non Trouvé</t>
  </si>
  <si>
    <t>OF244798_All By Fouta_Stock_PACKSICL0507-B10-25_PACK CLASSIQUE_0507_Non Trouvé_Non Trouvé_Non Trouvé_Non Trouvé_Non Trouvé</t>
  </si>
  <si>
    <t>OF244799_All By Fouta_Stock_PACKSICL0507-B20-24_PACK CLASSIQUE_0507_Non Trouvé_Non Trouvé_Non Trouvé_Non Trouvé_Non Trouvé</t>
  </si>
  <si>
    <t>OF244800_All By Fouta_Stock_PACKSICL0507-B15-02_PACK CLASSIQUE_0507_Non Trouvé_Non Trouvé_Non Trouvé_Non Trouvé_Non Trouvé</t>
  </si>
  <si>
    <t>OF244801_All By Fouta_Stock_PACKSICL0507-B14-13_PACK CLASSIQUE_0507_Non Trouvé_Non Trouvé_Non Trouvé_Non Trouvé_Non Trouvé</t>
  </si>
  <si>
    <t>OF244802_All By Fouta_Stock_PACKSICL0507-B26-01_PACK CLASSIQUE_0507_Non Trouvé_Non Trouvé_Non Trouvé_Non Trouvé_Non Trouvé</t>
  </si>
  <si>
    <t>OF244803_All By Fouta_Stock_PACKSICL0507-B24-10_PACK CLASSIQUE_0507_Non Trouvé_Non Trouvé_Non Trouvé_Non Trouvé_Non Trouvé</t>
  </si>
  <si>
    <t>OF244804_All By Fouta_Stock_PACKSICL0507-B32-01_PACK CLASSIQUE_0507_Non Trouvé_Non Trouvé_Non Trouvé_Non Trouvé_Non Trouvé</t>
  </si>
  <si>
    <t>OF244805_All By Fouta_Stock_PACKSICL0507-B07-16_PACK CLASSIQUE_0507_Non Trouvé_Non Trouvé_Non Trouvé_Non Trouvé_Non Trouvé</t>
  </si>
  <si>
    <t>OF244806_All By Fouta_Stock_PACKSICL0507-B18-19_PACK CLASSIQUE_0507_Non Trouvé_Non Trouvé_Non Trouvé_Non Trouvé_Non Trouvé</t>
  </si>
  <si>
    <t>OF244807_CL00884_CM-FT0056_IB1020-B29-01_IBIZA_1020_Non Trouvé_Non Trouvé_Non Trouvé_Non Trouvé_Non Trouvé</t>
  </si>
  <si>
    <t>OF244889_CLPA0001_ PA-DE25001_FP1020-10_UNI_1020_Non Trouvé_Non Trouvé_Non Trouvé_Non Trouvé_Non Trouvé</t>
  </si>
  <si>
    <t>OF244961_CL00296_CM-FT0067_NDL2020-B16-01_ND LILI_2020_Non Trouvé_Non Trouvé_Non Trouvé_Non Trouvé_Non Trouvé</t>
  </si>
  <si>
    <t>OF244963_CL00296_CM-FT0067_NDL2020-B10-25_ND LILI_2020_Non Trouvé_Non Trouvé_Non Trouvé_Non Trouvé_Non Trouvé</t>
  </si>
  <si>
    <t>OF244969_CL00296_CM-FT0069_NDL1020-B09-29_ND LILI_1020_Non Trouvé_Non Trouvé_Non Trouvé_Non Trouvé_Non Trouvé</t>
  </si>
  <si>
    <t>OF244970_CL00296_CM-FT0069_NDL1020-B09-13_ND LILI_1020_Non Trouvé_Non Trouvé_Non Trouvé_Non Trouvé_Non Trouvé</t>
  </si>
  <si>
    <t>OF244973_CL00296_CM-FT0069_NDL1020-B09-26_ND LILI_1020_Non Trouvé_Non Trouvé_Non Trouvé_Non Trouvé_Non Trouvé</t>
  </si>
  <si>
    <t>OF244975_CL00296_CM-FT0069_NDL1020-B10-24_ND LILI_1020_Non Trouvé_Non Trouvé_Non Trouvé_Non Trouvé_Non Trouvé</t>
  </si>
  <si>
    <t>OF245024_CL00772_CM-FT0072_UN1020-01_UNI_1020_Non Trouvé_Non Trouvé_Non Trouvé_Non Trouvé_Non Trouvé</t>
  </si>
  <si>
    <t>OF245036_CL00296_CM-FT0074_NDL1020-B09-14_ND LILI_1020_Non Trouvé_Non Trouvé_Non Trouvé_Non Trouvé_Non Trouvé</t>
  </si>
  <si>
    <t>OF245042_CL00296_CM-FT0075_EPMA0919-B03-02_MARINIERE_0919_Non Trouvé_Non Trouvé_Non Trouvé_Non Trouvé_Non Trouvé</t>
  </si>
  <si>
    <t>OF245233_All By Fouta_Stock_MONT2426-B04-02_MONTAGNIA_2426_Non Trouvé_Non Trouvé_Non Trouvé_Non Trouvé_Non Trouvé</t>
  </si>
  <si>
    <t>OF245520_CL00296_CM-FT0083_NDL1020-B17-01_ND LILI_1020_Non Trouvé_Non Trouvé_Non Trouvé_Non Trouvé_Non Trouvé</t>
  </si>
  <si>
    <t>OF245558_CL00296_CM-FT0065_MA2450-B15-01_MARINIERE_2450_Non Trouvé_Non Trouvé_Non Trouvé_Non Trouvé_Non Trouvé</t>
  </si>
  <si>
    <t>OF245568_CL00296_CM-FT0065_IB2450-B14-24_IBIZA_2450_Non Trouvé_Non Trouvé_Non Trouvé_Non Trouvé_Non Trouvé</t>
  </si>
  <si>
    <t>OF245569_CL00296_CM-FT0065_IB2450-B16-01_IBIZA_2450_Non Trouvé_Non Trouvé_Non Trouvé_Non Trouvé_Non Trouvé</t>
  </si>
  <si>
    <t>OF245576_CL00296_CM-FT0065_NDL2450-B29-25_ND LILI_2450_Non Trouvé_Non Trouvé_Non Trouvé_Non Trouvé_Non Trouvé</t>
  </si>
  <si>
    <t>OF245592_CL00296_CM-FT0065_NDL2450-B26-01_ND LILI_2450_Non Trouvé_Non Trouvé_Non Trouvé_Non Trouvé_Non Trouvé</t>
  </si>
  <si>
    <t>OF245593_CL00296_CM-FT0065_NDL2450-B29-01_ND LILI_2450_Non Trouvé_Non Trouvé_Non Trouvé_Non Trouvé_Non Trouvé</t>
  </si>
  <si>
    <t>OF245595_CL00296_CM-FT0085_NDL1020-B14-01_ND LILI_1020_Non Trouvé_Non Trouvé_Non Trouvé_Non Trouvé_Non Trouvé</t>
  </si>
  <si>
    <t>OF245597_All By Fouta_Stock_MONT2426-B12-02_MONTAGNIA_2426_Non Trouvé_Non Trouvé_Non Trouvé_Non Trouvé_Non Trouvé</t>
  </si>
  <si>
    <t>OF245598_All By Fouta_Stock_MONT2426-B03-02_MONTAGNIA_2426_Non Trouvé_Non Trouvé_Non Trouvé_Non Trouvé_Non Trouvé</t>
  </si>
  <si>
    <t>OF245599_All By Fouta_Stock_MONT2426-B07-02_MONTAGNIA_2426_Non Trouvé_Non Trouvé_Non Trouvé_Non Trouvé_Non Trouvé</t>
  </si>
  <si>
    <t>OF245600_All By Fouta_Stock_MONT2426-B06-02_MONTAGNIA_2426_Non Trouvé_Non Trouvé_Non Trouvé_Non Trouvé_Non Trouvé</t>
  </si>
  <si>
    <t>OF245601_All By Fouta_Stock_MONT2426-B27-02_MONTAGNIA_2426_Non Trouvé_Non Trouvé_Non Trouvé_Non Trouvé_Non Trouvé</t>
  </si>
  <si>
    <t>OF245769_CL00391_CM-FT0076_IB1020-B32-01_IBIZA_1020_Non Trouvé_Non Trouvé_Non Trouvé_Non Trouvé_Non Trouvé</t>
  </si>
  <si>
    <t>OF245839_All By Fouta_Stock_KA1020-Q02-04-08_KAIROUAN_1020_Non Trouvé_Non Trouvé_Non Trouvé_Non Trouvé_Non Trouvé</t>
  </si>
  <si>
    <t>OF245841_All By Fouta_Stock_KA1020-Q06-14-13_KAIROUAN_1020_Non Trouvé_Non Trouvé_Non Trouvé_Non Trouvé_Non Trouvé</t>
  </si>
  <si>
    <t>OF245842_All By Fouta_Stock_KA1020-Q10-01-14_KAIROUAN_1020_Non Trouvé_Non Trouvé_Non Trouvé_Non Trouvé_Non Trouvé</t>
  </si>
  <si>
    <t>OF245843_All By Fouta_Stock_KA1020-Q14-01-13_KAIROUAN_1020_Non Trouvé_Non Trouvé_Non Trouvé_Non Trouvé_Non Trouvé</t>
  </si>
  <si>
    <t>OF245844_All By Fouta_Stock_KA1020-Q25-01-10_KAIROUAN_1020_Non Trouvé_Non Trouvé_Non Trouvé_Non Trouvé_Non Trouvé</t>
  </si>
  <si>
    <t>OF245845_All By Fouta_Stock_KA1020-Q29-01-15_KAIROUAN_1020_Non Trouvé_Non Trouvé_Non Trouvé_Non Trouvé_Non Trouvé</t>
  </si>
  <si>
    <t>OF245846_All By Fouta_Stock_KA1020-Q32-06-15_KAIROUAN_1020_Non Trouvé_Non Trouvé_Non Trouvé_Non Trouvé_Non Trouvé</t>
  </si>
  <si>
    <t>OF245856_CL00296_CM-FT0093_NDL1020-B09-24_ND LILI_1020_Non Trouvé_Non Trouvé_Non Trouvé_Non Trouvé_Non Trouvé</t>
  </si>
  <si>
    <t>OF245874_CL00296_CM-FT0093_NDL1020-B21-01_ND LILI_1020_Non Trouvé_Non Trouvé_Non Trouvé_Non Trouvé_Non Trouvé</t>
  </si>
  <si>
    <t>OF245876_CL00296_CM-FT0094_NDL2020-B09-14_ND LILI_2020_Non Trouvé_Non Trouvé_Non Trouvé_Non Trouvé_Non Trouvé</t>
  </si>
  <si>
    <t>OF245878_CL00296_CM-FT0094_NDL2020-B12-01_ND LILI_2020_Non Trouvé_Non Trouvé_Non Trouvé_Non Trouvé_Non Trouvé</t>
  </si>
  <si>
    <t>OF245886_CL00296_CM-FT0094_NDL2020-B29-25_ND LILI_2020_Non Trouvé_Non Trouvé_Non Trouvé_Non Trouvé_Non Trouvé</t>
  </si>
  <si>
    <t>OF245888_CL00296_STOCK 2025_NDL1020-B09-24_ND LILI_1020_Non Trouvé_Non Trouvé_Non Trouvé_Non Trouvé_Non Trouvé</t>
  </si>
  <si>
    <t>OF245889_CL00296_STOCK 2025_NDL1020-B12-01_ND LILI_1020_Non Trouvé_Non Trouvé_Non Trouvé_Non Trouvé_Non Trouvé</t>
  </si>
  <si>
    <t>OF245891_CL00296_STOCK 2025_NDL1020-B29-01_ND LILI_1020_Non Trouvé_Non Trouvé_Non Trouvé_Non Trouvé_Non Trouvé</t>
  </si>
  <si>
    <t>OF245893_CL00296_STOCK 2025_NDL1020-B26-01_ND LILI_1020_Non Trouvé_Non Trouvé_Non Trouvé_Non Trouvé_Non Trouvé</t>
  </si>
  <si>
    <t>OF245894_CL00296_STOCK 2025_NDL1020-B16-01_ND LILI_1020_Non Trouvé_Non Trouvé_Non Trouvé_Non Trouvé_Non Trouvé</t>
  </si>
  <si>
    <t>OF245896_CL00296_STOCK 2025_NDL1020-B09-14_ND LILI_1020_Non Trouvé_Non Trouvé_Non Trouvé_Non Trouvé_Non Trouvé</t>
  </si>
  <si>
    <t>OF245897_CL00296_STOCK 2025_NDL1020-B21-01_ND LILI_1020_Non Trouvé_Non Trouvé_Non Trouvé_Non Trouvé_Non Trouvé</t>
  </si>
  <si>
    <t>OF245911_All By Fouta_Stock_IB1020-B29-01_IBIZA_1020_Non Trouvé_Non Trouvé_Non Trouvé_Non Trouvé_Non Trouvé</t>
  </si>
  <si>
    <t>OF245935_All By Fouta_Stock_AR1020-B28-01_ARTHUR_1020_Non Trouvé_Non Trouvé_Non Trouvé_Non Trouvé_Non Trouvé</t>
  </si>
  <si>
    <t>OF245960_All By Fouta_Stock_ST1020-S28-25-24_ST TROPEZ_1020_Non Trouvé_Non Trouvé_Non Trouvé_Non Trouvé_Non Trouvé</t>
  </si>
  <si>
    <t>OF245965_All By Fouta_Stock_NDL1020-B04-01_ND LILI_1020_Non Trouvé_Non Trouvé_Non Trouvé_Non Trouvé_Non Trouvé</t>
  </si>
  <si>
    <t>OF245966_All By Fouta_Stock_NDL1020-B06-01_ND LILI_1020_Non Trouvé_Non Trouvé_Non Trouvé_Non Trouvé_Non Trouvé</t>
  </si>
  <si>
    <t>OF245967_All By Fouta_Stock_NDL1020-B08-01_ND LILI_1020_Non Trouvé_Non Trouvé_Non Trouvé_Non Trouvé_Non Trouvé</t>
  </si>
  <si>
    <t>OF245968_All By Fouta_Stock_NDL1020-B11-01_ND LILI_1020_Non Trouvé_Non Trouvé_Non Trouvé_Non Trouvé_Non Trouvé</t>
  </si>
  <si>
    <t>OF245969_All By Fouta_Stock_NDL1020-B13-01_ND LILI_1020_Non Trouvé_Non Trouvé_Non Trouvé_Non Trouvé_Non Trouvé</t>
  </si>
  <si>
    <t>OF245970_All By Fouta_Stock_NDL1020-B15-01_ND LILI_1020_Non Trouvé_Non Trouvé_Non Trouvé_Non Trouvé_Non Trouvé</t>
  </si>
  <si>
    <t>OF245971_All By Fouta_Stock_NDL1020-B16-01_ND LILI_1020_Non Trouvé_Non Trouvé_Non Trouvé_Non Trouvé_Non Trouvé</t>
  </si>
  <si>
    <t>OF245972_All By Fouta_Stock_NDL1020-B19-01_ND LILI_1020_Non Trouvé_Non Trouvé_Non Trouvé_Non Trouvé_Non Trouvé</t>
  </si>
  <si>
    <t>OF245973_All By Fouta_Stock_NDL1020-B22-01_ND LILI_1020_Non Trouvé_Non Trouvé_Non Trouvé_Non Trouvé_Non Trouvé</t>
  </si>
  <si>
    <t>OF245974_All By Fouta_Stock_NDL1020-B24-01_ND LILI_1020_Non Trouvé_Non Trouvé_Non Trouvé_Non Trouvé_Non Trouvé</t>
  </si>
  <si>
    <t>OF245975_All By Fouta_Stock_NDL1020-B25-01_ND LILI_1020_Non Trouvé_Non Trouvé_Non Trouvé_Non Trouvé_Non Trouvé</t>
  </si>
  <si>
    <t>OF245976_All By Fouta_Stock_NDL1020-B26-01_ND LILI_1020_Non Trouvé_Non Trouvé_Non Trouvé_Non Trouvé_Non Trouvé</t>
  </si>
  <si>
    <t>OF245977_All By Fouta_Stock_NDL1020-B29-01_ND LILI_1020_Non Trouvé_Non Trouvé_Non Trouvé_Non Trouvé_Non Trouvé</t>
  </si>
  <si>
    <t>OF245979_All By Fouta_Stock_NDL1020-B02-04_ND LILI_1020_Non Trouvé_Non Trouvé_Non Trouvé_Non Trouvé_Non Trouvé</t>
  </si>
  <si>
    <t>OF245980_All By Fouta_Stock_NDL1020-B02-10_ND LILI_1020_Non Trouvé_Non Trouvé_Non Trouvé_Non Trouvé_Non Trouvé</t>
  </si>
  <si>
    <t>OF245981_All By Fouta_Stock_NDL1020-B06-08_ND LILI_1020_Non Trouvé_Non Trouvé_Non Trouvé_Non Trouvé_Non Trouvé</t>
  </si>
  <si>
    <t>OF245982_All By Fouta_Stock_NDL1020-B06-32_ND LILI_1020_Non Trouvé_Non Trouvé_Non Trouvé_Non Trouvé_Non Trouvé</t>
  </si>
  <si>
    <t>OF245983_All By Fouta_Stock_NDL1020-B07-17_ND LILI_1020_Non Trouvé_Non Trouvé_Non Trouvé_Non Trouvé_Non Trouvé</t>
  </si>
  <si>
    <t>OF245984_All By Fouta_Stock_NDL1020-B11-25_ND LILI_1020_Non Trouvé_Non Trouvé_Non Trouvé_Non Trouvé_Non Trouvé</t>
  </si>
  <si>
    <t>OF245985_All By Fouta_Stock_NDL1020-B11-14_ND LILI_1020_Non Trouvé_Non Trouvé_Non Trouvé_Non Trouvé_Non Trouvé</t>
  </si>
  <si>
    <t>OF245986_All By Fouta_Stock_NDL1020-B14-13_ND LILI_1020_Non Trouvé_Non Trouvé_Non Trouvé_Non Trouvé_Non Trouvé</t>
  </si>
  <si>
    <t>OF245987_All By Fouta_Stock_NDFL1020-B02-11_ND FLY_1020_Non Trouvé_Non Trouvé_Non Trouvé_Non Trouvé_Non Trouvé</t>
  </si>
  <si>
    <t>OF245988_All By Fouta_Stock_NDFL1020-B04-02_ND FLY_1020_Non Trouvé_Non Trouvé_Non Trouvé_Non Trouvé_Non Trouvé</t>
  </si>
  <si>
    <t>OF245989_All By Fouta_Stock_NDFL1020-B06-02_ND FLY_1020_Non Trouvé_Non Trouvé_Non Trouvé_Non Trouvé_Non Trouvé</t>
  </si>
  <si>
    <t>OF245991_All By Fouta_Stock_NDFL1020-B15-02_ND FLY_1020_Non Trouvé_Non Trouvé_Non Trouvé_Non Trouvé_Non Trouvé</t>
  </si>
  <si>
    <t>OF245993_All By Fouta_Stock_NDFL1020-B25-02_ND FLY_1020_Non Trouvé_Non Trouvé_Non Trouvé_Non Trouvé_Non Trouvé</t>
  </si>
  <si>
    <t>OF245994_All By Fouta_Stock_NDFL1020-B26-02_ND FLY_1020_Non Trouvé_Non Trouvé_Non Trouvé_Non Trouvé_Non Trouvé</t>
  </si>
  <si>
    <t>OF245995_All By Fouta_Stock_NDF1020-T04-08-02_ND FOULA_1020_Non Trouvé_Non Trouvé_Non Trouvé_Non Trouvé_Non Trouvé</t>
  </si>
  <si>
    <t>OF245998_All By Fouta_Stock_NDF1020-T11-01-25_ND FOULA_1020_Non Trouvé_Non Trouvé_Non Trouvé_Non Trouvé_Non Trouvé</t>
  </si>
  <si>
    <t>OF245999_All By Fouta_Stock_NDF1020-T17-07-32_ND FOULA_1020_Non Trouvé_Non Trouvé_Non Trouvé_Non Trouvé_Non Trouvé</t>
  </si>
  <si>
    <t>OF246000_All By Fouta_Stock_NDF1020-T20-24-01_ND FOULA_1020_Non Trouvé_Non Trouvé_Non Trouvé_Non Trouvé_Non Trouvé</t>
  </si>
  <si>
    <t>OF246001_All By Fouta_Stock_NDLO1020-B02-04_ND LONDON_1020_Non Trouvé_Non Trouvé_Non Trouvé_Non Trouvé_Non Trouvé</t>
  </si>
  <si>
    <t>OF246002_All By Fouta_Stock_NDLO1020-B02-04_ND LONDON_1020_Non Trouvé_Non Trouvé_Non Trouvé_Non Trouvé_Non Trouvé</t>
  </si>
  <si>
    <t>OF246003_All By Fouta_Stock_NDLO1020-B02-19_ND LONDON_1020_Non Trouvé_Non Trouvé_Non Trouvé_Non Trouvé_Non Trouvé</t>
  </si>
  <si>
    <t>OF246004_All By Fouta_Stock_NDLO1020-B08-06_ND LONDON_1020_Non Trouvé_Non Trouvé_Non Trouvé_Non Trouvé_Non Trouvé</t>
  </si>
  <si>
    <t>OF246005_All By Fouta_Stock_NDLO1020-B11-14_ND LONDON_1020_Non Trouvé_Non Trouvé_Non Trouvé_Non Trouvé_Non Trouvé</t>
  </si>
  <si>
    <t>OF246006_All By Fouta_Stock_NDLO1020-B11-25_ND LONDON_1020_Non Trouvé_Non Trouvé_Non Trouvé_Non Trouvé_Non Trouvé</t>
  </si>
  <si>
    <t>OF246007_All By Fouta_Stock_NDLO1020-B17-07_ND LONDON_1020_Non Trouvé_Non Trouvé_Non Trouvé_Non Trouvé_Non Trouvé</t>
  </si>
  <si>
    <t>OF246008_All By Fouta_Stock_NDLO1020-B32-06_ND LONDON_1020_Non Trouvé_Non Trouvé_Non Trouvé_Non Trouvé_Non Trouvé</t>
  </si>
  <si>
    <t>OF246009_All By Fouta_Stock_NDH1020-C01-04-10_ND HOSSEGOR_1020_Non Trouvé_Non Trouvé_Non Trouvé_Non Trouvé_Non Trouvé</t>
  </si>
  <si>
    <t>OF246010_All By Fouta_Stock_NDH1020-C01-10-14_ND HOSSEGOR_1020_Non Trouvé_Non Trouvé_Non Trouvé_Non Trouvé_Non Trouvé</t>
  </si>
  <si>
    <t>OF246011_All By Fouta_Stock_NDH1020-C01-25-14_ND HOSSEGOR_1020_Non Trouvé_Non Trouvé_Non Trouvé_Non Trouvé_Non Trouvé</t>
  </si>
  <si>
    <t>OF246012_All By Fouta_Stock_NDH1020-C01-26-10_ND HOSSEGOR_1020_Non Trouvé_Non Trouvé_Non Trouvé_Non Trouvé_Non Trouvé</t>
  </si>
  <si>
    <t>OF246013_All By Fouta_Stock_NDH1020-C06-02-32_ND HOSSEGOR_1020_Non Trouvé_Non Trouvé_Non Trouvé_Non Trouvé_Non Trouvé</t>
  </si>
  <si>
    <t>OF246014_All By Fouta_Stock_NDH1020-C06-07-08_ND HOSSEGOR_1020_Non Trouvé_Non Trouvé_Non Trouvé_Non Trouvé_Non Trouvé</t>
  </si>
  <si>
    <t>OF246015_All By Fouta_Stock_NDH1020-C07-03-17_ND HOSSEGOR_1020_Non Trouvé_Non Trouvé_Non Trouvé_Non Trouvé_Non Trouvé</t>
  </si>
  <si>
    <t>OF246016_All By Fouta_Stock_NDH1020-C14-29-07_ND HOSSEGOR_1020_Non Trouvé_Non Trouvé_Non Trouvé_Non Trouvé_Non Trouvé</t>
  </si>
  <si>
    <t>OF246017_All By Fouta_Stock_NDH1020-C20-24-01_ND HOSSEGOR_1020_Non Trouvé_Non Trouvé_Non Trouvé_Non Trouvé_Non Trouvé</t>
  </si>
  <si>
    <t>OF246018_All By Fouta_Stock_NDH1020-C25-03-12_ND HOSSEGOR_1020_Non Trouvé_Non Trouvé_Non Trouvé_Non Trouvé_Non Trouvé</t>
  </si>
  <si>
    <t>OF246027_All By Fouta_Stock_EPMA0919-B04-02_MARINIERE_0919_Non Trouvé_Non Trouvé_Non Trouvé_Non Trouvé_Non Trouvé</t>
  </si>
  <si>
    <t>OF246028_All By Fouta_Stock_EPMA0919-B11-02_MARINIERE_0919_Non Trouvé_Non Trouvé_Non Trouvé_Non Trouvé_Non Trouvé</t>
  </si>
  <si>
    <t>OF246030_All By Fouta_Stock_EPMA0919-B26-02_MARINIERE_0919_Non Trouvé_Non Trouvé_Non Trouvé_Non Trouvé_Non Trouvé</t>
  </si>
  <si>
    <t>OF246031_All By Fouta_Stock_EPMA0919-B28-02_MARINIERE_0919_Non Trouvé_Non Trouvé_Non Trouvé_Non Trouvé_Non Trouvé</t>
  </si>
  <si>
    <t>OF246032_All By Fouta_Stock_EPMA0919-B32-02_MARINIERE_0919_Non Trouvé_Non Trouvé_Non Trouvé_Non Trouvé_Non Trouvé</t>
  </si>
  <si>
    <t>OF246033_All By Fouta_Stock_EPMA0919-B17-02_MARINIERE_0919_Non Trouvé_Non Trouvé_Non Trouvé_Non Trouvé_Non Trouvé</t>
  </si>
  <si>
    <t>OF246041_All By Fouta_Stock_EPIB0919-B26-02_IBIZA_0919_Non Trouvé_Non Trouvé_Non Trouvé_Non Trouvé_Non Trouvé</t>
  </si>
  <si>
    <t>OF246042_All By Fouta_Stock_EPIB0919-B28-02_IBIZA_0919_Non Trouvé_Non Trouvé_Non Trouvé_Non Trouvé_Non Trouvé</t>
  </si>
  <si>
    <t>OF246043_All By Fouta_Stock_EPIB0919-B32-02_IBIZA_0919_Non Trouvé_Non Trouvé_Non Trouvé_Non Trouvé_Non Trouvé</t>
  </si>
  <si>
    <t>OF246044_CL00296_CM-FT0096_EPMA0919-B15-02_MARINIERE_0919_Non Trouvé_Non Trouvé_Non Trouvé_Non Trouvé_Non Trouvé</t>
  </si>
  <si>
    <t>OF246046_CL00300_CM-FT0097_UNS2030-02_UNI SURPIQUE_2030_Non Trouvé_Non Trouvé_Non Trouvé_Non Trouvé_Non Trouvé</t>
  </si>
  <si>
    <t>OF246306_CL00162_CM-FT0103_UNS1626-09_UNI SURPIQUE_1626_Non Trouvé_Non Trouvé_Non Trouvé_Non Trouvé_Non Trouvé</t>
  </si>
  <si>
    <t>OF246338_CL00791_CM-FT0104_UNS2030-20_UNI SURPIQUE_2030_Non Trouvé_Non Trouvé_Non Trouvé_Non Trouvé_Non Trouvé</t>
  </si>
  <si>
    <t>OF246339_CL00791_CM-FT0104_UNS2030-12_UNI SURPIQUE_2030_Non Trouvé_Non Trouvé_Non Trouvé_Non Trouvé_Non Trouvé</t>
  </si>
  <si>
    <t>OF246340_CL00791_CM-FT0104_UNS2030-15_UNI SURPIQUE_2030_Non Trouvé_Non Trouvé_Non Trouvé_Non Trouvé_Non Trouvé</t>
  </si>
  <si>
    <t>OF246341_All By Fouta_Stock_PONADU-B18-03_PONCHO BICOULEUR_ADU_Non Trouvé_Non Trouvé_Non Trouvé_Non Trouvé_Non Trouvé</t>
  </si>
  <si>
    <t>OF246346_CL00791_CM-FT0104_UNS2020-24_UNI SURPIQUE_2020_Non Trouvé_Non Trouvé_Non Trouvé_Non Trouvé_Non Trouvé</t>
  </si>
  <si>
    <t>OF246349_CL00791_CM-FT0104_UNS2030-03_UNI SURPIQUE_2030_Non Trouvé_Non Trouvé_Non Trouvé_Non Trouvé_Non Trouvé</t>
  </si>
  <si>
    <t>OF246352_CL00791_CM-FT0104_UNS2030-26_UNI SURPIQUE_2030_Non Trouvé_Non Trouvé_Non Trouvé_Non Trouvé_Non Trouvé</t>
  </si>
  <si>
    <t>OF246353_CL00791_CM-FT0104_UNS2030-17_UNI SURPIQUE_2030_Non Trouvé_Non Trouvé_Non Trouvé_Non Trouvé_Non Trouvé</t>
  </si>
  <si>
    <t>OF246398_CLTN0009_ATPF100011_BE1020-Q02-07-06_BERBER_1020_Non Trouvé_Non Trouvé_Non Trouvé_Non Trouvé_Non Trouvé</t>
  </si>
  <si>
    <t>OF246413_CLTN0009_ATPF100011_NDLO1020-B08-06_ND LONDON_1020_Non Trouvé_Non Trouvé_Non Trouvé_Non Trouvé_Non Trouvé</t>
  </si>
  <si>
    <t>OF246449_CLTN0009_ATPF100011_BA1020-C06-07-32_BASQUE_1020_Non Trouvé_Non Trouvé_Non Trouvé_Non Trouvé_Non Trouvé</t>
  </si>
  <si>
    <t>OF246450_CLTN0009_ATPF100011_BA1020-C07-18-32_BASQUE_1020_Non Trouvé_Non Trouvé_Non Trouvé_Non Trouvé_Non Trouvé</t>
  </si>
  <si>
    <t>OF246453_All By Fouta_Stock_MONT1824-B04-02_MONTAGNIA_1824_Non Trouvé_Non Trouvé_Non Trouvé_Non Trouvé_Non Trouvé</t>
  </si>
  <si>
    <t>OF246455_All By Fouta_Stock_MONT1824-B03-02_MONTAGNIA_1824_Non Trouvé_Non Trouvé_Non Trouvé_Non Trouvé_Non Trouvé</t>
  </si>
  <si>
    <t>OF246490_CL00285_CM-FT0107_AR2020-T04-02-08_ARTHUR_2020_Non Trouvé_Non Trouvé_Non Trouvé_Non Trouvé_Non Trouvé</t>
  </si>
  <si>
    <t>OF246491_CL00285_CM-FT0107_AR2020-T15-01-29_ARTHUR_2020_Non Trouvé_Non Trouvé_Non Trouvé_Non Trouvé_Non Trouvé</t>
  </si>
  <si>
    <t>OF246496_CL00285_CM-FT0107_AR2020-B16-01_ARTHUR_2020_Non Trouvé_Non Trouvé_Non Trouvé_Non Trouvé_Non Trouvé</t>
  </si>
  <si>
    <t>OF246506_CL00296_CM-FT0108_NDL1020-B15-24_ND LILI_1020_Non Trouvé_Non Trouvé_Non Trouvé_Non Trouvé_Non Trouvé</t>
  </si>
  <si>
    <t>OF246507_CL00296_CM-FT0108_NDL1020-B03-23_ND LILI_1020_Non Trouvé_Non Trouvé_Non Trouvé_Non Trouvé_Non Trouvé</t>
  </si>
  <si>
    <t>OF246508_CL00296_CM-FT0108_NDL1020-B13-06_ND LILI_1020_Non Trouvé_Non Trouvé_Non Trouvé_Non Trouvé_Non Trouvé</t>
  </si>
  <si>
    <t>OF246509_CL00296_CM-FT0108_NDL1020-B26-05_ND LILI_1020_Non Trouvé_Non Trouvé_Non Trouvé_Non Trouvé_Non Trouvé</t>
  </si>
  <si>
    <t>OF246510_CL00296_CM-FT0108_NDL1020-B31-06_ND LILI_1020_Non Trouvé_Non Trouvé_Non Trouvé_Non Trouvé_Non Trouvé</t>
  </si>
  <si>
    <t>OF246512_CL00296_CM-FT0108_NDL1020-B21-28_ND LILI_1020_Non Trouvé_Non Trouvé_Non Trouvé_Non Trouvé_Non Trouvé</t>
  </si>
  <si>
    <t>OF246513_CL00296_CM-FT0108_NDL1020-B09-24_ND LILI_1020_Non Trouvé_Non Trouvé_Non Trouvé_Non Trouvé_Non Trouvé</t>
  </si>
  <si>
    <t>OF246515_CL00296_CM-FT0108_NDL1020-B12-01_ND LILI_1020_Non Trouvé_Non Trouvé_Non Trouvé_Non Trouvé_Non Trouvé</t>
  </si>
  <si>
    <t>OF246517_CL00296_CM-FT0108_NDL1020-B03-01_ND LILI_1020_Non Trouvé_Non Trouvé_Non Trouvé_Non Trouvé_Non Trouvé</t>
  </si>
  <si>
    <t>OF246519_CL00296_CM-FT0108_NDL1020-B29-01_ND LILI_1020_Non Trouvé_Non Trouvé_Non Trouvé_Non Trouvé_Non Trouvé</t>
  </si>
  <si>
    <t>OF246521_CL00296_CM-FT0108_NDL1020-B15-01_ND LILI_1020_Non Trouvé_Non Trouvé_Non Trouvé_Non Trouvé_Non Trouvé</t>
  </si>
  <si>
    <t>OF246523_CL00296_CM-FT0108_NDL1020-B26-01_ND LILI_1020_Non Trouvé_Non Trouvé_Non Trouvé_Non Trouvé_Non Trouvé</t>
  </si>
  <si>
    <t>OF246525_CL00296_CM-FT0108_NDL1020-B16-01_ND LILI_1020_Non Trouvé_Non Trouvé_Non Trouvé_Non Trouvé_Non Trouvé</t>
  </si>
  <si>
    <t>OF246527_CL00296_CM-FT0108_NDL1020-B29-25_ND LILI_1020_Non Trouvé_Non Trouvé_Non Trouvé_Non Trouvé_Non Trouvé</t>
  </si>
  <si>
    <t>OF246529_CL00296_CM-FT0108_NDL1020-B09-14_ND LILI_1020_Non Trouvé_Non Trouvé_Non Trouvé_Non Trouvé_Non Trouvé</t>
  </si>
  <si>
    <t>OF246531_CL00296_CM-FT0108_NDL1020-B21-01_ND LILI_1020_Non Trouvé_Non Trouvé_Non Trouvé_Non Trouvé_Non Trouvé</t>
  </si>
  <si>
    <t>OF246537_CL00296_CM-FT0108_EPMA0919-B26-02_MARINIERE_0919_Non Trouvé_Non Trouvé_Non Trouvé_Non Trouvé_Non Trouvé</t>
  </si>
  <si>
    <t>OF246544_CL00296_CM-FT0108_EPMA0919-B03-02_MARINIERE_0919_Non Trouvé_Non Trouvé_Non Trouvé_Non Trouvé_Non Trouvé</t>
  </si>
  <si>
    <t>OF246545_CL00296_CM-FT0108_EPMA0919-B26-02_MARINIERE_0919_Non Trouvé_Non Trouvé_Non Trouvé_Non Trouvé_Non Trouvé</t>
  </si>
  <si>
    <t>OF246802_CL00300_CM-FT0116_AR1020-B04-01_ARTHUR_1020_Non Trouvé_Non Trouvé_Non Trouvé_Non Trouvé_Non Trouvé</t>
  </si>
  <si>
    <t>OF246816_CL00300_CM-FT0116_AR2020-B04-01_ARTHUR_2020_Non Trouvé_Non Trouvé_Non Trouvé_Non Trouvé_Non Trouvé</t>
  </si>
  <si>
    <t>OF246817_CL00300_CM-FT0116_AR2020-B06-01_ARTHUR_2020_Non Trouvé_Non Trouvé_Non Trouvé_Non Trouvé_Non Trouvé</t>
  </si>
  <si>
    <t>OF246820_CL00300_CM-FT0116_AR2020-B14-01_ARTHUR_2020_Non Trouvé_Non Trouvé_Non Trouvé_Non Trouvé_Non Trouvé</t>
  </si>
  <si>
    <t>OF246821_CL00300_CM-FT0116_AR2020-B17-01_ARTHUR_2020_Non Trouvé_Non Trouvé_Non Trouvé_Non Trouvé_Non Trouvé</t>
  </si>
  <si>
    <t>OF246827_CL00300_CM-FT0116_AR2020-B11-14_ARTHUR_2020_Non Trouvé_Non Trouvé_Non Trouvé_Non Trouvé_Non Trouvé</t>
  </si>
  <si>
    <t>OF246831_CL00300_CM-FT0116_AR2030-B06-01_ARTHUR_2030_Non Trouvé_Non Trouvé_Non Trouvé_Non Trouvé_Non Trouvé</t>
  </si>
  <si>
    <t>OF246833_CL00300_CM-FT0116_AR2030-B11-01_ARTHUR_2030_Non Trouvé_Non Trouvé_Non Trouvé_Non Trouvé_Non Trouvé</t>
  </si>
  <si>
    <t>OF246834_CL00300_CM-FT0116_AR2030-B14-01_ARTHUR_2030_Non Trouvé_Non Trouvé_Non Trouvé_Non Trouvé_Non Trouvé</t>
  </si>
  <si>
    <t>OF246839_CL00300_CM-FT0116_AR2030-B07-17_ARTHUR_2030_Non Trouvé_Non Trouvé_Non Trouvé_Non Trouvé_Non Trouvé</t>
  </si>
  <si>
    <t>OF246840_CL00300_CM-FT0116_AR2030-B11-25_ARTHUR_2030_Non Trouvé_Non Trouvé_Non Trouvé_Non Trouvé_Non Trouvé</t>
  </si>
  <si>
    <t>OF246842_CL00300_CM-FT0116_AR2030-B11-16_ARTHUR_2030_Non Trouvé_Non Trouvé_Non Trouvé_Non Trouvé_Non Trouvé</t>
  </si>
  <si>
    <t>OF246849_CL00300_CM-FT0116_UNS1020-17_UNI SURPIQUE_1020_Non Trouvé_Non Trouvé_Non Trouvé_Non Trouvé_Non Trouvé</t>
  </si>
  <si>
    <t>OF246852_CL00300_CM-FT0116_UNS1020-24_UNI SURPIQUE_1020_Non Trouvé_Non Trouvé_Non Trouvé_Non Trouvé_Non Trouvé</t>
  </si>
  <si>
    <t>OF246856_CL00300_CM-FT0116_UNS2020-03_UNI SURPIQUE_2020_Non Trouvé_Non Trouvé_Non Trouvé_Non Trouvé_Non Trouvé</t>
  </si>
  <si>
    <t>OF246861_CL00300_CM-FT0116_UNS2020-14_UNI SURPIQUE_2020_Non Trouvé_Non Trouvé_Non Trouvé_Non Trouvé_Non Trouvé</t>
  </si>
  <si>
    <t>OF246862_CL00300_CM-FT0116_UNS2020-17_UNI SURPIQUE_2020_Non Trouvé_Non Trouvé_Non Trouvé_Non Trouvé_Non Trouvé</t>
  </si>
  <si>
    <t>OF246863_CL00300_CM-FT0116_UNS2020-19_UNI SURPIQUE_2020_Non Trouvé_Non Trouvé_Non Trouvé_Non Trouvé_Non Trouvé</t>
  </si>
  <si>
    <t>OF246868_CL00300_CM-FT0116_UNS2020-32_UNI SURPIQUE_2020_Non Trouvé_Non Trouvé_Non Trouvé_Non Trouvé_Non Trouvé</t>
  </si>
  <si>
    <t>OF246871_CL00300_CM-FT0116_UNS2030-06_UNI SURPIQUE_2030_Non Trouvé_Non Trouvé_Non Trouvé_Non Trouvé_Non Trouvé</t>
  </si>
  <si>
    <t>OF246874_CL00300_CM-FT0116_UNS2030-14_UNI SURPIQUE_2030_Non Trouvé_Non Trouvé_Non Trouvé_Non Trouvé_Non Trouvé</t>
  </si>
  <si>
    <t>OF246884_All By Fouta_Stock_OLI2426-B07-02_OLIVIER_2426_Non Trouvé_Non Trouvé_Non Trouvé_Non Trouvé_Non Trouvé</t>
  </si>
  <si>
    <t>OF246885_All By Fouta_Stock_OLI2426-B12-02_OLIVIER_2426_Non Trouvé_Non Trouvé_Non Trouvé_Non Trouvé_Non Trouvé</t>
  </si>
  <si>
    <t>OF246887_All By Fouta_Stock_OLI2426-B06-02_OLIVIER_2426_Non Trouvé_Non Trouvé_Non Trouvé_Non Trouvé_Non Trouvé</t>
  </si>
  <si>
    <t>OF246888_All By Fouta_Stock_OLI2426-B04-02_OLIVIER_2426_Non Trouvé_Non Trouvé_Non Trouvé_Non Trouvé_Non Trouvé</t>
  </si>
  <si>
    <t>CA250831_All by Fouta_Stock_AR2426-B02-04_ARTHUR_2426_Non Trouvé_Non Trouvé_Non Trouvé_Non Trouvé_Non Trouvé</t>
  </si>
  <si>
    <t>CA250311_All by Fouta_Stock_AR2426-B03-01_ARTHUR_2426_Non Trouvé_Non Trouvé_Non Trouvé_Non Trouvé_Non Trouvé</t>
  </si>
  <si>
    <t>OF241312_CL00129_ABF-CM90029_AR2426-B09-25_ARTHUR_2426_Non Trouvé_Non Trouvé_Non Trouvé_Non Trouvé_Non Trouvé</t>
  </si>
  <si>
    <t>CA250314_All by Fouta_Stock_AR2426-B10-01_ARTHUR_2426_Non Trouvé_Non Trouvé_Non Trouvé_Non Trouvé_Non Trouvé</t>
  </si>
  <si>
    <t>CA250315_All by Fouta_Stock_AR2426-B12-01_ARTHUR_2426_Non Trouvé_Non Trouvé_Non Trouvé_Non Trouvé_Non Trouvé</t>
  </si>
  <si>
    <t>CA250320_All by Fouta_Stock_AR2426-B17-01_ARTHUR_2426_Non Trouvé_Non Trouvé_Non Trouvé_Non Trouvé_Non Trouvé</t>
  </si>
  <si>
    <t>CA250325_All by Fouta_Stock_AR2426-B26-01_ARTHUR_2426_Non Trouvé_Non Trouvé_Non Trouvé_Non Trouvé_Non Trouvé</t>
  </si>
  <si>
    <t>CA250626_All by Fouta_Stock_CHB1020-B04-01_CHEVRON BANDE_1020_Non Trouvé_Non Trouvé_Non Trouvé_Non Trouvé_Non Trouvé</t>
  </si>
  <si>
    <t>CA250650_All by Fouta_Stock_EPIB0919-B32-02_IBIZA_0919_Non Trouvé_Non Trouvé_Non Trouvé_Non Trouvé_Non Trouvé</t>
  </si>
  <si>
    <t>OF245295_CL00163_CM-FT0078_IB2030-B06-07_IBIZA_2030_Non Trouvé_Non Trouvé_Non Trouvé_Non Trouvé_Non Trouvé</t>
  </si>
  <si>
    <t>OF242314_CL00833_ABF-CM90226_LOZ1020-B17-01_LOZANGE_1020_Non Trouvé_Non Trouvé_Non Trouvé_Non Trouvé_Non Trouvé</t>
  </si>
  <si>
    <t>EC240001_Non Trouvé_Non Trouvé_Non Trouvé_Non Trouvé_Non Trouvé_Non Trouvé_Non Trouvé_Non Trouvé_Non Trouvé_Non Trouvé</t>
  </si>
  <si>
    <t>EC240002_Non Trouvé_Non Trouvé_Non Trouvé_Non Trouvé_Non Trouvé_Non Trouvé_Non Trouvé_Non Trouvé_Non Trouvé_Non Trouvé</t>
  </si>
  <si>
    <t>EC240003_Non Trouvé_Non Trouvé_Non Trouvé_Non Trouvé_Non Trouvé_Non Trouvé_Non Trouvé_Non Trouvé_Non Trouvé_Non Trouvé</t>
  </si>
  <si>
    <t>EC240004_Non Trouvé_Non Trouvé_Non Trouvé_Non Trouvé_Non Trouvé_Non Trouvé_Non Trouvé_Non Trouvé_Non Trouvé_Non Trouvé</t>
  </si>
  <si>
    <t>OF240866_CL00657_ABF-CM90030_NDL1020-B07-21_ND LILI_1020_Non Trouvé_Non Trouvé_Non Trouvé_Non Trouvé_Non Trouvé</t>
  </si>
  <si>
    <t>OF245321_CL00163_CM-FT0078_NDL1020-B07-25_ND LILI_1020_Non Trouvé_Non Trouvé_Non Trouvé_Non Trouvé_Non Trouvé</t>
  </si>
  <si>
    <t>OF245688_CL00475_CM-FT0087_NDL1020-B08-06_ND LILI_1020_Non Trouvé_Non Trouvé_Non Trouvé_Non Trouvé_Non Trouvé</t>
  </si>
  <si>
    <t>OF248792_CL00296_ABF-CM90149_NDL1020-B10-01_ND LILI_1020_Non Trouvé_Non Trouvé_Non Trouvé_Non Trouvé_Non Trouvé</t>
  </si>
  <si>
    <t>OF243004_CL00129_ABF-CM90233_NDL1020-B10-25_ND LILI_1020_Non Trouvé_Non Trouvé_Non Trouvé_Non Trouvé_Non Trouvé</t>
  </si>
  <si>
    <t>OF246109_CL00475_CM-FT0087_NDL1020-B13-14_ND LILI_1020_Non Trouvé_Non Trouvé_Non Trouvé_Non Trouvé_Non Trouvé</t>
  </si>
  <si>
    <t>OF240651_CL00754_ABF-CM90023_NDL1020-B16-06_ND LILI_1020_Non Trouvé_Non Trouvé_Non Trouvé_Non Trouvé_Non Trouvé</t>
  </si>
  <si>
    <t>OF246111_CL00475_CM-FT0087_NDL1020-B17-07_ND LILI_1020_Non Trouvé_Non Trouvé_Non Trouvé_Non Trouvé_Non Trouvé</t>
  </si>
  <si>
    <t>OF244486_CL00754_CM-FT0049_NDL1020-B28-01_ND LILI_1020_Non Trouvé_Non Trouvé_Non Trouvé_Non Trouvé_Non Trouvé</t>
  </si>
  <si>
    <t>EC240005_Non Trouvé_Non Trouvé_Non Trouvé_Non Trouvé_Non Trouvé_Non Trouvé_Non Trouvé_Non Trouvé_Non Trouvé_Non Trouvé</t>
  </si>
  <si>
    <t>OF243827_CL00186_CM-FT0018_NDL1020-B28-25_ND LILI_1020_Non Trouvé_Non Trouvé_Non Trouvé_Non Trouvé_Non Trouvé</t>
  </si>
  <si>
    <t>EC240006_Non Trouvé_Non Trouvé_Non Trouvé_Non Trouvé_Non Trouvé_Non Trouvé_Non Trouvé_Non Trouvé_Non Trouvé_Non Trouvé</t>
  </si>
  <si>
    <t>CA250004_All by Fouta_Stock_UNS1020-09_UNI SURPIQUE_1020_Non Trouvé_Non Trouvé_Non Trouvé_Non Trouvé_Non Trouvé</t>
  </si>
  <si>
    <t>CA250469_All by Fouta_Stock_FAF1020-B04-02_FIL A FIL_1020_Non Trouvé_Non Trouvé_Non Trouvé_Non Trouvé_Non Trouvé</t>
  </si>
  <si>
    <t>CA250009_All by Fouta_Stock_UNS1020-17_UNI SURPIQUE_1020_Non Trouvé_Non Trouvé_Non Trouvé_Non Trouvé_Non Trouvé</t>
  </si>
  <si>
    <t>CA250023_All by Fouta_Stock_UNS2020-06_UNI SURPIQUE_2020_Non Trouvé_Non Trouvé_Non Trouvé_Non Trouvé_Non Trouvé</t>
  </si>
  <si>
    <t>CA250008_All by Fouta_Stock_UNS1020-15_UNI SURPIQUE_1020_Non Trouvé_Non Trouvé_Non Trouvé_Non Trouvé_Non Trouvé</t>
  </si>
  <si>
    <t>CA250473_All by Fouta_Stock_FAF1020-B18-19_FIL A FIL_1020_Non Trouvé_Non Trouvé_Non Trouvé_Non Trouvé_Non Trouvé</t>
  </si>
  <si>
    <t>CA250012_All by Fouta_Stock_UNS1020-20_UNI SURPIQUE_1020_Non Trouvé_Non Trouvé_Non Trouvé_Non Trouvé_Non Trouvé</t>
  </si>
  <si>
    <t>CA250392_All by Fouta_Stock_BE1020-Q26-13-01_BERBER_1020_Non Trouvé_Non Trouvé_Non Trouvé_Non Trouvé_Non Trouvé</t>
  </si>
  <si>
    <t>CA250013_All by Fouta_Stock_UNS1020-23_UNI SURPIQUE_1020_Non Trouvé_Non Trouvé_Non Trouvé_Non Trouvé_Non Trouvé</t>
  </si>
  <si>
    <t>CA250022_All by Fouta_Stock_UNS2020-04_UNI SURPIQUE_2020_Non Trouvé_Non Trouvé_Non Trouvé_Non Trouvé_Non Trouvé</t>
  </si>
  <si>
    <t>CA250014_All by Fouta_Stock_UNS1020-24_UNI SURPIQUE_1020_Non Trouvé_Non Trouvé_Non Trouvé_Non Trouvé_Non Trouvé</t>
  </si>
  <si>
    <t>CA250474_All by Fouta_Stock_FAF1020-B06-08_FIL A FIL_1020_Non Trouvé_Non Trouvé_Non Trouvé_Non Trouvé_Non Trouvé</t>
  </si>
  <si>
    <t>CA250015_All by Fouta_Stock_UNS1020-26_UNI SURPIQUE_1020_Non Trouvé_Non Trouvé_Non Trouvé_Non Trouvé_Non Trouvé</t>
  </si>
  <si>
    <t>CA250017_All by Fouta_Stock_UNS1020-30_UNI SURPIQUE_1020_Non Trouvé_Non Trouvé_Non Trouvé_Non Trouvé_Non Trouvé</t>
  </si>
  <si>
    <t>CA250018_All by Fouta_Stock_UNS1020-31_UNI SURPIQUE_1020_Non Trouvé_Non Trouvé_Non Trouvé_Non Trouvé_Non Trouvé</t>
  </si>
  <si>
    <t>CA250019_All by Fouta_Stock_UNS1020-32_UNI SURPIQUE_1020_Non Trouvé_Non Trouvé_Non Trouvé_Non Trouvé_Non Trouvé</t>
  </si>
  <si>
    <t>CA250021_All by Fouta_Stock_UNS2020-03_UNI SURPIQUE_2020_Non Trouvé_Non Trouvé_Non Trouvé_Non Trouvé_Non Trouvé</t>
  </si>
  <si>
    <t>CA250025_All by Fouta_Stock_UNS2020-10_UNI SURPIQUE_2020_Non Trouvé_Non Trouvé_Non Trouvé_Non Trouvé_Non Trouvé</t>
  </si>
  <si>
    <t>CA250024_All by Fouta_Stock_UNS2020-09_UNI SURPIQUE_2020_Non Trouvé_Non Trouvé_Non Trouvé_Non Trouvé_Non Trouvé</t>
  </si>
  <si>
    <t>CA250029_All by Fouta_Stock_UNS2020-17_UNI SURPIQUE_2020_Non Trouvé_Non Trouvé_Non Trouvé_Non Trouvé_Non Trouvé</t>
  </si>
  <si>
    <t>CA250030_All by Fouta_Stock_UNS2020-18_UNI SURPIQUE_2020_Non Trouvé_Non Trouvé_Non Trouvé_Non Trouvé_Non Trouvé</t>
  </si>
  <si>
    <t>CA250031_All by Fouta_Stock_UNS2020-19_UNI SURPIQUE_2020_Non Trouvé_Non Trouvé_Non Trouvé_Non Trouvé_Non Trouvé</t>
  </si>
  <si>
    <t>CA250032_All by Fouta_Stock_UNS2020-20_UNI SURPIQUE_2020_Non Trouvé_Non Trouvé_Non Trouvé_Non Trouvé_Non Trouvé</t>
  </si>
  <si>
    <t>CA250033_All by Fouta_Stock_UNS2020-23_UNI SURPIQUE_2020_Non Trouvé_Non Trouvé_Non Trouvé_Non Trouvé_Non Trouvé</t>
  </si>
  <si>
    <t>CA250043_All by Fouta_Stock_UNS1626-06_UNI SURPIQUE_1626_Non Trouvé_Non Trouvé_Non Trouvé_Non Trouvé_Non Trouvé</t>
  </si>
  <si>
    <t>CA250044_All by Fouta_Stock_UNS1626-09_UNI SURPIQUE_1626_Non Trouvé_Non Trouvé_Non Trouvé_Non Trouvé_Non Trouvé</t>
  </si>
  <si>
    <t>CA250036_All by Fouta_Stock_UNS2020-27_UNI SURPIQUE_2020_Non Trouvé_Non Trouvé_Non Trouvé_Non Trouvé_Non Trouvé</t>
  </si>
  <si>
    <t>CA250039_All by Fouta_Stock_UNS2020-32_UNI SURPIQUE_2020_Non Trouvé_Non Trouvé_Non Trouvé_Non Trouvé_Non Trouvé</t>
  </si>
  <si>
    <t>CA250048_All by Fouta_Stock_UNS1626-15_UNI SURPIQUE_1626_Non Trouvé_Non Trouvé_Non Trouvé_Non Trouvé_Non Trouvé</t>
  </si>
  <si>
    <t>CA250046_All by Fouta_Stock_UNS1626-12_UNI SURPIQUE_1626_Non Trouvé_Non Trouvé_Non Trouvé_Non Trouvé_Non Trouvé</t>
  </si>
  <si>
    <t>CA250058_All by Fouta_Stock_UNS1626-31_UNI SURPIQUE_1626_Non Trouvé_Non Trouvé_Non Trouvé_Non Trouvé_Non Trouvé</t>
  </si>
  <si>
    <t>CA250057_All by Fouta_Stock_UNS1626-30_UNI SURPIQUE_1626_Non Trouvé_Non Trouvé_Non Trouvé_Non Trouvé_Non Trouvé</t>
  </si>
  <si>
    <t>CA250071_All by Fouta_Stock_UNS2030-19_UNI SURPIQUE_2030_Non Trouvé_Non Trouvé_Non Trouvé_Non Trouvé_Non Trouvé</t>
  </si>
  <si>
    <t>CA250079_All by Fouta_Stock_UNS2030-32_UNI SURPIQUE_2030_Non Trouvé_Non Trouvé_Non Trouvé_Non Trouvé_Non Trouvé</t>
  </si>
  <si>
    <t>CA250050_All by Fouta_Stock_UNS1626-18_UNI SURPIQUE_1626_Non Trouvé_Non Trouvé_Non Trouvé_Non Trouvé_Non Trouvé</t>
  </si>
  <si>
    <t>CA250072_All by Fouta_Stock_UNS2030-20_UNI SURPIQUE_2030_Non Trouvé_Non Trouvé_Non Trouvé_Non Trouvé_Non Trouvé</t>
  </si>
  <si>
    <t>CA250054_All by Fouta_Stock_UNS1626-24_UNI SURPIQUE_1626_Non Trouvé_Non Trouvé_Non Trouvé_Non Trouvé_Non Trouvé</t>
  </si>
  <si>
    <t>CA250055_All by Fouta_Stock_UNS1626-26_UNI SURPIQUE_1626_Non Trouvé_Non Trouvé_Non Trouvé_Non Trouvé_Non Trouvé</t>
  </si>
  <si>
    <t>CA250059_All by Fouta_Stock_UNS1626-32_UNI SURPIQUE_1626_Non Trouvé_Non Trouvé_Non Trouvé_Non Trouvé_Non Trouvé</t>
  </si>
  <si>
    <t>CA250074_All by Fouta_Stock_UNS2030-24_UNI SURPIQUE_2030_Non Trouvé_Non Trouvé_Non Trouvé_Non Trouvé_Non Trouvé</t>
  </si>
  <si>
    <t>CA250078_All by Fouta_Stock_UNS2030-31_UNI SURPIQUE_2030_Non Trouvé_Non Trouvé_Non Trouvé_Non Trouvé_Non Trouvé</t>
  </si>
  <si>
    <t>OF242757_CL00791_ABF-CM90230_PACKSICL0507-B10-25_PACK CLASSIQUE_0507_Non Trouvé_Non Trouvé_Non Trouvé_Non Trouvé_Non Trouvé</t>
  </si>
  <si>
    <t>OF243289_CL00850_ABF-CM90236_PACKSICL0507-B10-01_PACK CLASSIQUE_0507_Non Trouvé_Non Trouvé_Non Trouvé_Non Trouvé_Non Trouvé</t>
  </si>
  <si>
    <t>OF243290_CL00850_ABF-CM90236_PACKSICL0507-B10-25_PACK CLASSIQUE_0507_Non Trouvé_Non Trouvé_Non Trouvé_Non Trouvé_Non Trouvé</t>
  </si>
  <si>
    <t>OF243291_CL00850_ABF-CM90236_PACKSICL0507-B14-13_PACK CLASSIQUE_0507_Non Trouvé_Non Trouvé_Non Trouvé_Non Trouvé_Non Trouvé</t>
  </si>
  <si>
    <t>OF242755_CL00791_ABF-CM90230_PACKSICL0507-B04-02_PACK CLASSIQUE_0507_Non Trouvé_Non Trouvé_Non Trouvé_Non Trouvé_Non Trouvé</t>
  </si>
  <si>
    <t>OF243292_CL00850_ABF-CM90236_PACKSICL0507-B15-02_PACK CLASSIQUE_0507_Non Trouvé_Non Trouvé_Non Trouvé_Non Trouvé_Non Trouvé</t>
  </si>
  <si>
    <t>OF246518_CL00296_CM-FT0108_SACF0507-03_SAC FOUTA_0507_Non Trouvé_Non Trouvé_Non Trouvé_Non Trouvé_Non Trouvé</t>
  </si>
  <si>
    <t>OF246522_CL00296_CM-FT0108_SACF0507-15_SAC FOUTA_0507_Non Trouvé_Non Trouvé_Non Trouvé_Non Trouvé_Non Trouvé</t>
  </si>
  <si>
    <t>OF246530_CL00296_CM-FT0108_SACF0507-B09-14_SAC FOUTA_0507_Non Trouvé_Non Trouvé_Non Trouvé_Non Trouvé_Non Trouvé</t>
  </si>
  <si>
    <t>OF246516_CL00296_CM-FT0108_SACF0507-12_SAC FOUTA_0507_Non Trouvé_Non Trouvé_Non Trouvé_Non Trouvé_Non Trouvé</t>
  </si>
  <si>
    <t>OF246528_CL00296_CM-FT0108_SACF0507-B29-25_SAC FOUTA_0507_Non Trouvé_Non Trouvé_Non Trouvé_Non Trouvé_Non Trouvé</t>
  </si>
  <si>
    <t>OF246524_CL00296_CM-FT0108_SACF0507-26_SAC FOUTA_0507_Non Trouvé_Non Trouvé_Non Trouvé_Non Trouvé_Non Trouvé</t>
  </si>
  <si>
    <t>OF246514_CL00296_CM-FT0108_SACF0507-B09-24_SAC FOUTA_0507_Non Trouvé_Non Trouvé_Non Trouvé_Non Trouvé_Non Trouvé</t>
  </si>
  <si>
    <t>OF246520_CL00296_CM-FT0108_SACF0507-29_SAC FOUTA_0507_Non Trouvé_Non Trouvé_Non Trouvé_Non Trouvé_Non Trouvé</t>
  </si>
  <si>
    <t>OF246532_CL00296_CM-FT0108_SACF0507-21_SAC FOUTA_0507_Non Trouvé_Non Trouvé_Non Trouvé_Non Trouvé_Non Trouvé</t>
  </si>
  <si>
    <t>OF246526_CL00296_CM-FT0108_SACF0507-16_SAC FOUTA_0507_Non Trouvé_Non Trouvé_Non Trouvé_Non Trouvé_Non Trouvé</t>
  </si>
  <si>
    <t>OF246538_CL00296_CM-FT0108_SACF0507-26_SAC FOUTA_0507_Non Trouvé_Non Trouvé_Non Trouvé_Non Trouvé_Non Trouvé</t>
  </si>
  <si>
    <t>OF246540_CL00296_CM-FT0108_SACF0507-29_SAC FOUTA_0507_Non Trouvé_Non Trouvé_Non Trouvé_Non Trouvé_Non Trouvé</t>
  </si>
  <si>
    <t>OF244964_CL00296_CM-FT0067_SACF0507-B10-25_SAC FOUTA_0507_Non Trouvé_Non Trouvé_Non Trouvé_Non Trouvé_Non Trouvé</t>
  </si>
  <si>
    <t>OF246536_CL00296_CM-FT0108_SACF0507-03_SAC FOUTA_0507_Non Trouvé_Non Trouvé_Non Trouvé_Non Trouvé_Non Trouvé</t>
  </si>
  <si>
    <t>OF246542_CL00296_CM-FT0108_SACF0507-11_SAC FOUTA_0507_Non Trouvé_Non Trouvé_Non Trouvé_Non Trouvé_Non Trouvé</t>
  </si>
  <si>
    <t>OF244934_CL00296_CM-FT0063_SACF0507-B10-24_SAC FOUTA_0507_Non Trouvé_Non Trouvé_Non Trouvé_Non Trouvé_Non Trouvé</t>
  </si>
  <si>
    <t>OF246534_CL00296_CM-FT0108_SACF0507-15_SAC FOUTA_0507_Non Trouvé_Non Trouvé_Non Trouvé_Non Trouvé_Non Trouvé</t>
  </si>
  <si>
    <t>OF244261_CL00296_CM-FT0043_SACF0507-09_SAC FOUTA_0507_Non Trouvé_Non Trouvé_Non Trouvé_Non Trouvé_Non Trouvé</t>
  </si>
  <si>
    <t>OF244950_CL00296_CM-FT0066_SACF0507-B29-25_SAC FOUTA_0507_Non Trouvé_Non Trouvé_Non Trouvé_Non Trouvé_Non Trouvé</t>
  </si>
  <si>
    <t>CA250032-5_All by Fouta_Stock_UNS2020-20_UNI SURPIQUE_2020_All by Fouta_Stock_UNS2020-20_UNI SURPIQUE_2020</t>
  </si>
  <si>
    <t>CA250071-1_All by Fouta_Stock_UNS2030-19_UNI SURPIQUE_2030_All by Fouta_Stock_UNS2030-19_UNI SURPIQUE_2030</t>
  </si>
  <si>
    <t>CA250071-2_All by Fouta_Stock_UNS2030-19_UNI SURPIQUE_2030_All by Fouta_Stock_UNS2030-19_UNI SURPIQUE_2030</t>
  </si>
  <si>
    <t>CA250076-4_All by Fouta_Stock_UNS2030-27_UNI SURPIQUE_2030_All by Fouta_Stock_UNS2030-27_UNI SURPIQUE_2030</t>
  </si>
  <si>
    <t>CA250071-3_All by Fouta_Stock_UNS2030-19_UNI SURPIQUE_2030_All by Fouta_Stock_UNS2030-19_UNI SURPIQUE_2030</t>
  </si>
  <si>
    <t>CA250071-5_All by Fouta_Stock_UNS2030-19_UNI SURPIQUE_2030_All by Fouta_Stock_UNS2030-19_UNI SURPIQUE_2030</t>
  </si>
  <si>
    <t>CA250026_All by Fouta_Stock_UNS2020-12_UNI SURPIQUE_2020_Non Trouvé_Non Trouvé_Non Trouvé_Non Trouvé_Non Trouvé</t>
  </si>
  <si>
    <t>CA250044-2_All by Fouta_Stock_UNS1626-09_UNI SURPIQUE_1626_All by Fouta_Stock_UNS1626-09_UNI SURPIQUE_1626</t>
  </si>
  <si>
    <t>CA250031-5_All by Fouta_Stock_UNS2020-19_UNI SURPIQUE_2020_All by Fouta_Stock_UNS2020-19_UNI SURPIQUE_2020</t>
  </si>
  <si>
    <t>CA250031-3_All by Fouta_Stock_UNS2020-19_UNI SURPIQUE_2020_All by Fouta_Stock_UNS2020-19_UNI SURPIQUE_2020</t>
  </si>
  <si>
    <t>CA250044-1_All by Fouta_Stock_UNS1626-09_UNI SURPIQUE_1626_All by Fouta_Stock_UNS1626-09_UNI SURPIQUE_1626</t>
  </si>
  <si>
    <t>CA250076-3_All by Fouta_Stock_UNS2030-27_UNI SURPIQUE_2030_All by Fouta_Stock_UNS2030-27_UNI SURPIQUE_2030</t>
  </si>
  <si>
    <t>CA250048-1_All by Fouta_Stock_UNS1626-15_UNI SURPIQUE_1626_All by Fouta_Stock_UNS1626-15_UNI SURPIQUE_1626</t>
  </si>
  <si>
    <t>CA250048-2_All by Fouta_Stock_UNS1626-15_UNI SURPIQUE_1626_All by Fouta_Stock_UNS1626-15_UNI SURPIQUE_1626</t>
  </si>
  <si>
    <t>CA250048-3_All by Fouta_Stock_UNS1626-15_UNI SURPIQUE_1626_All by Fouta_Stock_UNS1626-15_UNI SURPIQUE_1626</t>
  </si>
  <si>
    <t>CA250044-4_All by Fouta_Stock_UNS1626-09_UNI SURPIQUE_1626_All by Fouta_Stock_UNS1626-09_UNI SURPIQUE_1626</t>
  </si>
  <si>
    <t>CA250045-3_All by Fouta_Stock_UNS1626-10_UNI SURPIQUE_1626_All by Fouta_Stock_UNS1626-10_UNI SURPIQUE_1626</t>
  </si>
  <si>
    <t>CA250045-4_All by Fouta_Stock_UNS1626-10_UNI SURPIQUE_1626_All by Fouta_Stock_UNS1626-10_UNI SURPIQUE_1626</t>
  </si>
  <si>
    <t>CA250045-2_All by Fouta_Stock_UNS1626-10_UNI SURPIQUE_1626_All by Fouta_Stock_UNS1626-10_UNI SURPIQUE_1626</t>
  </si>
  <si>
    <t>CA250046-3_All by Fouta_Stock_UNS1626-12_UNI SURPIQUE_1626_All by Fouta_Stock_UNS1626-12_UNI SURPIQUE_1626</t>
  </si>
  <si>
    <t>CA250043-5_All by Fouta_Stock_UNS1626-06_UNI SURPIQUE_1626_All by Fouta_Stock_UNS1626-06_UNI SURPIQUE_1626</t>
  </si>
  <si>
    <t>CA250033-6_All by Fouta_Stock_UNS2020-23_UNI SURPIQUE_2020_All by Fouta_Stock_UNS2020-23_UNI SURPIQUE_2020</t>
  </si>
  <si>
    <t>CA250044-6_All by Fouta_Stock_UNS1626-09_UNI SURPIQUE_1626_All by Fouta_Stock_UNS1626-09_UNI SURPIQUE_1626</t>
  </si>
  <si>
    <t>CA250033-4_All by Fouta_Stock_UNS2020-23_UNI SURPIQUE_2020_All by Fouta_Stock_UNS2020-23_UNI SURPIQUE_2020</t>
  </si>
  <si>
    <t>CA250031-1_All by Fouta_Stock_UNS2020-19_UNI SURPIQUE_2020_All by Fouta_Stock_UNS2020-19_UNI SURPIQUE_2020</t>
  </si>
  <si>
    <t>CA250043-6_All by Fouta_Stock_UNS1626-06_UNI SURPIQUE_1626_All by Fouta_Stock_UNS1626-06_UNI SURPIQUE_1626</t>
  </si>
  <si>
    <t>CA250046-6_All by Fouta_Stock_UNS1626-12_UNI SURPIQUE_1626_All by Fouta_Stock_UNS1626-12_UNI SURPIQUE_1626</t>
  </si>
  <si>
    <t>CA250046-2_All by Fouta_Stock_UNS1626-12_UNI SURPIQUE_1626_All by Fouta_Stock_UNS1626-12_UNI SURPIQUE_1626</t>
  </si>
  <si>
    <t>CA250046-5_All by Fouta_Stock_UNS1626-12_UNI SURPIQUE_1626_All by Fouta_Stock_UNS1626-12_UNI SURPIQUE_1626</t>
  </si>
  <si>
    <t>CA250046-1_All by Fouta_Stock_UNS1626-12_UNI SURPIQUE_1626_All by Fouta_Stock_UNS1626-12_UNI SURPIQUE_1626</t>
  </si>
  <si>
    <t>CA250010-10_All by Fouta_Stock_UNS1020-18_UNI SURPIQUE_1020_All by Fouta_Stock_UNS1020-18_UNI SURPIQUE_1020</t>
  </si>
  <si>
    <t>CA250010-4_All by Fouta_Stock_UNS1020-18_UNI SURPIQUE_1020_All by Fouta_Stock_UNS1020-18_UNI SURPIQUE_1020</t>
  </si>
  <si>
    <t>CA250010-11_All by Fouta_Stock_UNS1020-18_UNI SURPIQUE_1020_All by Fouta_Stock_UNS1020-18_UNI SURPIQUE_1020</t>
  </si>
  <si>
    <t>CA250010-2_All by Fouta_Stock_UNS1020-18_UNI SURPIQUE_1020_All by Fouta_Stock_UNS1020-18_UNI SURPIQUE_1020</t>
  </si>
  <si>
    <t>CA250065-5_All by Fouta_Stock_UNS2030-10_UNI SURPIQUE_2030_All by Fouta_Stock_UNS2030-10_UNI SURPIQUE_2030</t>
  </si>
  <si>
    <t>CA250474-13_All by Fouta_Stock_FAF1020-B06-08_FIL A FIL_1020_All by Fouta_Stock_FAF1020-B06-08_FIL A FIL_1020</t>
  </si>
  <si>
    <t>CA250473-13_All by Fouta_Stock_FAF1020-B18-19_FIL A FIL_1020_All by Fouta_Stock_FAF1020-B18-19_FIL A FIL_1020</t>
  </si>
  <si>
    <t>CA250474-2_All by Fouta_Stock_FAF1020-B06-08_FIL A FIL_1020_All by Fouta_Stock_FAF1020-B06-08_FIL A FIL_1020</t>
  </si>
  <si>
    <t>CA250397-6_All by Fouta_Stock_BE1020-Q10-16-01_BERBER_1020_All by Fouta_Stock_BE1020-Q10-16-01_BERBER_1020</t>
  </si>
  <si>
    <t>CA250397-4_All by Fouta_Stock_BE1020-Q10-16-01_BERBER_1020_All by Fouta_Stock_BE1020-Q10-16-01_BERBER_1020</t>
  </si>
  <si>
    <t>CA250397-1_All by Fouta_Stock_BE1020-Q10-16-01_BERBER_1020_All by Fouta_Stock_BE1020-Q10-16-01_BERBER_1020</t>
  </si>
  <si>
    <t>CA250473-11_All by Fouta_Stock_FAF1020-B18-19_FIL A FIL_1020_All by Fouta_Stock_FAF1020-B18-19_FIL A FIL_1020</t>
  </si>
  <si>
    <t>CA250474-6_All by Fouta_Stock_FAF1020-B06-08_FIL A FIL_1020_All by Fouta_Stock_FAF1020-B06-08_FIL A FIL_1020</t>
  </si>
  <si>
    <t>CA250474-5_All by Fouta_Stock_FAF1020-B06-08_FIL A FIL_1020_All by Fouta_Stock_FAF1020-B06-08_FIL A FIL_1020</t>
  </si>
  <si>
    <t>CA250474-4_All by Fouta_Stock_FAF1020-B06-08_FIL A FIL_1020_All by Fouta_Stock_FAF1020-B06-08_FIL A FIL_1020</t>
  </si>
  <si>
    <t>CA250473-7_All by Fouta_Stock_FAF1020-B18-19_FIL A FIL_1020_All by Fouta_Stock_FAF1020-B18-19_FIL A FIL_1020</t>
  </si>
  <si>
    <t>CA250473-10_All by Fouta_Stock_FAF1020-B18-19_FIL A FIL_1020_All by Fouta_Stock_FAF1020-B18-19_FIL A FIL_1020</t>
  </si>
  <si>
    <t>CA250397-2_All by Fouta_Stock_BE1020-Q10-16-01_BERBER_1020_All by Fouta_Stock_BE1020-Q10-16-01_BERBER_1020</t>
  </si>
  <si>
    <t>CA250397-3_All by Fouta_Stock_BE1020-Q10-16-01_BERBER_1020_All by Fouta_Stock_BE1020-Q10-16-01_BERBER_1020</t>
  </si>
  <si>
    <t>CA250473-6_All by Fouta_Stock_FAF1020-B18-19_FIL A FIL_1020_All by Fouta_Stock_FAF1020-B18-19_FIL A FIL_1020</t>
  </si>
  <si>
    <t>CA250397-5_All by Fouta_Stock_BE1020-Q10-16-01_BERBER_1020_All by Fouta_Stock_BE1020-Q10-16-01_BERBER_1020</t>
  </si>
  <si>
    <t>CA250022-5_All by Fouta_Stock_UNS2020-04_UNI SURPIQUE_2020_All by Fouta_Stock_UNS2020-04_UNI SURPIQUE_2020</t>
  </si>
  <si>
    <t>CA250079-1_All by Fouta_Stock_UNS2030-32_UNI SURPIQUE_2030_All by Fouta_Stock_UNS2030-32_UNI SURPIQUE_2030</t>
  </si>
  <si>
    <t>CA250078-2_All by Fouta_Stock_UNS2030-31_UNI SURPIQUE_2030_All by Fouta_Stock_UNS2030-31_UNI SURPIQUE_2030</t>
  </si>
  <si>
    <t>CA250039-1_All by Fouta_Stock_UNS2020-32_UNI SURPIQUE_2020_All by Fouta_Stock_UNS2020-32_UNI SURPIQUE_2020</t>
  </si>
  <si>
    <t>CA250022-3_All by Fouta_Stock_UNS2020-04_UNI SURPIQUE_2020_All by Fouta_Stock_UNS2020-04_UNI SURPIQUE_2020</t>
  </si>
  <si>
    <t>CA250023-6_All by Fouta_Stock_UNS2020-06_UNI SURPIQUE_2020_All by Fouta_Stock_UNS2020-06_UNI SURPIQUE_2020</t>
  </si>
  <si>
    <t>CA250013-1_All by Fouta_Stock_UNS1020-23_UNI SURPIQUE_1020_All by Fouta_Stock_UNS1020-23_UNI SURPIQUE_1020</t>
  </si>
  <si>
    <t>CA250008-8_All by Fouta_Stock_UNS1020-15_UNI SURPIQUE_1020_All by Fouta_Stock_UNS1020-15_UNI SURPIQUE_1020</t>
  </si>
  <si>
    <t>CA250008-1_All by Fouta_Stock_UNS1020-15_UNI SURPIQUE_1020_All by Fouta_Stock_UNS1020-15_UNI SURPIQUE_1020</t>
  </si>
  <si>
    <t>CA250019-1_All by Fouta_Stock_UNS1020-32_UNI SURPIQUE_1020_All by Fouta_Stock_UNS1020-32_UNI SURPIQUE_1020</t>
  </si>
  <si>
    <t>CA250008-3_All by Fouta_Stock_UNS1020-15_UNI SURPIQUE_1020_All by Fouta_Stock_UNS1020-15_UNI SURPIQUE_1020</t>
  </si>
  <si>
    <t>CA250008-2_All by Fouta_Stock_UNS1020-15_UNI SURPIQUE_1020_All by Fouta_Stock_UNS1020-15_UNI SURPIQUE_1020</t>
  </si>
  <si>
    <t>CA250008-12_All by Fouta_Stock_UNS1020-15_UNI SURPIQUE_1020_All by Fouta_Stock_UNS1020-15_UNI SURPIQUE_1020</t>
  </si>
  <si>
    <t>CA250018-6_All by Fouta_Stock_UNS1020-31_UNI SURPIQUE_1020_All by Fouta_Stock_UNS1020-31_UNI SURPIQUE_1020</t>
  </si>
  <si>
    <t>CA250008-11_All by Fouta_Stock_UNS1020-15_UNI SURPIQUE_1020_All by Fouta_Stock_UNS1020-15_UNI SURPIQUE_1020</t>
  </si>
  <si>
    <t>CA250018-10_All by Fouta_Stock_UNS1020-31_UNI SURPIQUE_1020_All by Fouta_Stock_UNS1020-31_UNI SURPIQUE_1020</t>
  </si>
  <si>
    <t>CA250008-4_All by Fouta_Stock_UNS1020-15_UNI SURPIQUE_1020_All by Fouta_Stock_UNS1020-15_UNI SURPIQUE_1020</t>
  </si>
  <si>
    <t>CA250008-6_All by Fouta_Stock_UNS1020-15_UNI SURPIQUE_1020_All by Fouta_Stock_UNS1020-15_UNI SURPIQUE_1020</t>
  </si>
  <si>
    <t>CA250018-9_All by Fouta_Stock_UNS1020-31_UNI SURPIQUE_1020_All by Fouta_Stock_UNS1020-31_UNI SURPIQUE_1020</t>
  </si>
  <si>
    <t>CA250018-5_All by Fouta_Stock_UNS1020-31_UNI SURPIQUE_1020_All by Fouta_Stock_UNS1020-31_UNI SURPIQUE_1020</t>
  </si>
  <si>
    <t>CA250008-10_All by Fouta_Stock_UNS1020-15_UNI SURPIQUE_1020_All by Fouta_Stock_UNS1020-15_UNI SURPIQUE_1020</t>
  </si>
  <si>
    <t>CA250008-5_All by Fouta_Stock_UNS1020-15_UNI SURPIQUE_1020_All by Fouta_Stock_UNS1020-15_UNI SURPIQUE_1020</t>
  </si>
  <si>
    <t>CA250018-11_All by Fouta_Stock_UNS1020-31_UNI SURPIQUE_1020_All by Fouta_Stock_UNS1020-31_UNI SURPIQUE_1020</t>
  </si>
  <si>
    <t>CA250008-9_All by Fouta_Stock_UNS1020-15_UNI SURPIQUE_1020_All by Fouta_Stock_UNS1020-15_UNI SURPIQUE_1020</t>
  </si>
  <si>
    <t>CA250008-7_All by Fouta_Stock_UNS1020-15_UNI SURPIQUE_1020_All by Fouta_Stock_UNS1020-15_UNI SURPIQUE_1020</t>
  </si>
  <si>
    <t>CA250015-4_All by Fouta_Stock_UNS1020-26_UNI SURPIQUE_1020_All by Fouta_Stock_UNS1020-26_UNI SURPIQUE_1020</t>
  </si>
  <si>
    <t>CA250015-11_All by Fouta_Stock_UNS1020-26_UNI SURPIQUE_1020_All by Fouta_Stock_UNS1020-26_UNI SURPIQUE_1020</t>
  </si>
  <si>
    <t>CA250015-5_All by Fouta_Stock_UNS1020-26_UNI SURPIQUE_1020_All by Fouta_Stock_UNS1020-26_UNI SURPIQUE_1020</t>
  </si>
  <si>
    <t>CA250015-6_All by Fouta_Stock_UNS1020-26_UNI SURPIQUE_1020_All by Fouta_Stock_UNS1020-26_UNI SURPIQUE_1020</t>
  </si>
  <si>
    <t>CA250005-2_All by Fouta_Stock_UNS1020-10_UNI SURPIQUE_1020_All by Fouta_Stock_UNS1020-10_UNI SURPIQUE_1020</t>
  </si>
  <si>
    <t>CA250015-12_All by Fouta_Stock_UNS1020-26_UNI SURPIQUE_1020_All by Fouta_Stock_UNS1020-26_UNI SURPIQUE_1020</t>
  </si>
  <si>
    <t>CA250005-12_All by Fouta_Stock_UNS1020-10_UNI SURPIQUE_1020_All by Fouta_Stock_UNS1020-10_UNI SURPIQUE_1020</t>
  </si>
  <si>
    <t>CA250005-11_All by Fouta_Stock_UNS1020-10_UNI SURPIQUE_1020_All by Fouta_Stock_UNS1020-10_UNI SURPIQUE_1020</t>
  </si>
  <si>
    <t>CA250005-7_All by Fouta_Stock_UNS1020-10_UNI SURPIQUE_1020_All by Fouta_Stock_UNS1020-10_UNI SURPIQUE_1020</t>
  </si>
  <si>
    <t>CA250015-9_All by Fouta_Stock_UNS1020-26_UNI SURPIQUE_1020_All by Fouta_Stock_UNS1020-26_UNI SURPIQUE_1020</t>
  </si>
  <si>
    <t>CA250015-7_All by Fouta_Stock_UNS1020-26_UNI SURPIQUE_1020_All by Fouta_Stock_UNS1020-26_UNI SURPIQUE_1020</t>
  </si>
  <si>
    <t>CA250012-9_All by Fouta_Stock_UNS1020-20_UNI SURPIQUE_1020_All by Fouta_Stock_UNS1020-20_UNI SURPIQUE_1020</t>
  </si>
  <si>
    <t>CA250012-8_All by Fouta_Stock_UNS1020-20_UNI SURPIQUE_1020_All by Fouta_Stock_UNS1020-20_UNI SURPIQUE_1020</t>
  </si>
  <si>
    <t>CA250015-3_All by Fouta_Stock_UNS1020-26_UNI SURPIQUE_1020_All by Fouta_Stock_UNS1020-26_UNI SURPIQUE_1020</t>
  </si>
  <si>
    <t>CA250015-10_All by Fouta_Stock_UNS1020-26_UNI SURPIQUE_1020_All by Fouta_Stock_UNS1020-26_UNI SURPIQUE_1020</t>
  </si>
  <si>
    <t>CA250015-8_All by Fouta_Stock_UNS1020-26_UNI SURPIQUE_1020_All by Fouta_Stock_UNS1020-26_UNI SURPIQUE_1020</t>
  </si>
  <si>
    <t>CA250015-1_All by Fouta_Stock_UNS1020-26_UNI SURPIQUE_1020_All by Fouta_Stock_UNS1020-26_UNI SURPIQUE_1020</t>
  </si>
  <si>
    <t>CA250014-1_All by Fouta_Stock_UNS1020-24_UNI SURPIQUE_1020_All by Fouta_Stock_UNS1020-24_UNI SURPIQUE_1020</t>
  </si>
  <si>
    <t>CA250014-5_All by Fouta_Stock_UNS1020-24_UNI SURPIQUE_1020_All by Fouta_Stock_UNS1020-24_UNI SURPIQUE_1020</t>
  </si>
  <si>
    <t>CA250012-13_All by Fouta_Stock_UNS1020-20_UNI SURPIQUE_1020_All by Fouta_Stock_UNS1020-20_UNI SURPIQUE_1020</t>
  </si>
  <si>
    <t>CA250012-5_All by Fouta_Stock_UNS1020-20_UNI SURPIQUE_1020_All by Fouta_Stock_UNS1020-20_UNI SURPIQUE_1020</t>
  </si>
  <si>
    <t>CA250012-7_All by Fouta_Stock_UNS1020-20_UNI SURPIQUE_1020_All by Fouta_Stock_UNS1020-20_UNI SURPIQUE_1020</t>
  </si>
  <si>
    <t>CA250012-6_All by Fouta_Stock_UNS1020-20_UNI SURPIQUE_1020_All by Fouta_Stock_UNS1020-20_UNI SURPIQUE_1020</t>
  </si>
  <si>
    <t>CA250014-7_All by Fouta_Stock_UNS1020-24_UNI SURPIQUE_1020_All by Fouta_Stock_UNS1020-24_UNI SURPIQUE_1020</t>
  </si>
  <si>
    <t>CA250014-12_All by Fouta_Stock_UNS1020-24_UNI SURPIQUE_1020_All by Fouta_Stock_UNS1020-24_UNI SURPIQUE_1020</t>
  </si>
  <si>
    <t>CA250014-10_All by Fouta_Stock_UNS1020-24_UNI SURPIQUE_1020_All by Fouta_Stock_UNS1020-24_UNI SURPIQUE_1020</t>
  </si>
  <si>
    <t>CA250014-2_All by Fouta_Stock_UNS1020-24_UNI SURPIQUE_1020_All by Fouta_Stock_UNS1020-24_UNI SURPIQUE_1020</t>
  </si>
  <si>
    <t>CA250004-11_All by Fouta_Stock_UNS1020-09_UNI SURPIQUE_1020_All by Fouta_Stock_UNS1020-09_UNI SURPIQUE_1020</t>
  </si>
  <si>
    <t>CA250004-7_All by Fouta_Stock_UNS1020-09_UNI SURPIQUE_1020_All by Fouta_Stock_UNS1020-09_UNI SURPIQUE_1020</t>
  </si>
  <si>
    <t>CA250012-10_All by Fouta_Stock_UNS1020-20_UNI SURPIQUE_1020_All by Fouta_Stock_UNS1020-20_UNI SURPIQUE_1020</t>
  </si>
  <si>
    <t>CA250004-1_All by Fouta_Stock_UNS1020-09_UNI SURPIQUE_1020_All by Fouta_Stock_UNS1020-09_UNI SURPIQUE_1020</t>
  </si>
  <si>
    <t>CA250012-12_All by Fouta_Stock_UNS1020-20_UNI SURPIQUE_1020_All by Fouta_Stock_UNS1020-20_UNI SURPIQUE_1020</t>
  </si>
  <si>
    <t>CA250012-11_All by Fouta_Stock_UNS1020-20_UNI SURPIQUE_1020_All by Fouta_Stock_UNS1020-20_UNI SURPIQUE_1020</t>
  </si>
  <si>
    <t>CA250012-3_All by Fouta_Stock_UNS1020-20_UNI SURPIQUE_1020_All by Fouta_Stock_UNS1020-20_UNI SURPIQUE_1020</t>
  </si>
  <si>
    <t>CA250012-1_All by Fouta_Stock_UNS1020-20_UNI SURPIQUE_1020_All by Fouta_Stock_UNS1020-20_UNI SURPIQUE_1020</t>
  </si>
  <si>
    <t>CA250012-2_All by Fouta_Stock_UNS1020-20_UNI SURPIQUE_1020_All by Fouta_Stock_UNS1020-20_UNI SURPIQUE_1020</t>
  </si>
  <si>
    <t>CA250002-13_All by Fouta_Stock_UNS1020-04_UNI SURPIQUE_1020_All by Fouta_Stock_UNS1020-04_UNI SURPIQUE_1020</t>
  </si>
  <si>
    <t>CA250014-4_All by Fouta_Stock_UNS1020-24_UNI SURPIQUE_1020_All by Fouta_Stock_UNS1020-24_UNI SURPIQUE_1020</t>
  </si>
  <si>
    <t>CA250004-4_All by Fouta_Stock_UNS1020-09_UNI SURPIQUE_1020_All by Fouta_Stock_UNS1020-09_UNI SURPIQUE_1020</t>
  </si>
  <si>
    <t>CA250009-4_All by Fouta_Stock_UNS1020-17_UNI SURPIQUE_1020_All by Fouta_Stock_UNS1020-17_UNI SURPIQUE_1020</t>
  </si>
  <si>
    <t>CA250009-1_All by Fouta_Stock_UNS1020-17_UNI SURPIQUE_1020_All by Fouta_Stock_UNS1020-17_UNI SURPIQUE_1020</t>
  </si>
  <si>
    <t>CA250009-7_All by Fouta_Stock_UNS1020-17_UNI SURPIQUE_1020_All by Fouta_Stock_UNS1020-17_UNI SURPIQUE_1020</t>
  </si>
  <si>
    <t>CA250009-9_All by Fouta_Stock_UNS1020-17_UNI SURPIQUE_1020_All by Fouta_Stock_UNS1020-17_UNI SURPIQUE_1020</t>
  </si>
  <si>
    <t>CA250009-2_All by Fouta_Stock_UNS1020-17_UNI SURPIQUE_1020_All by Fouta_Stock_UNS1020-17_UNI SURPIQUE_1020</t>
  </si>
  <si>
    <t>CA250014-11_All by Fouta_Stock_UNS1020-24_UNI SURPIQUE_1020_All by Fouta_Stock_UNS1020-24_UNI SURPIQUE_1020</t>
  </si>
  <si>
    <t>CA250009-3_All by Fouta_Stock_UNS1020-17_UNI SURPIQUE_1020_All by Fouta_Stock_UNS1020-17_UNI SURPIQUE_1020</t>
  </si>
  <si>
    <t>CA250009-12_All by Fouta_Stock_UNS1020-17_UNI SURPIQUE_1020_All by Fouta_Stock_UNS1020-17_UNI SURPIQUE_1020</t>
  </si>
  <si>
    <t>CA250005-13_All by Fouta_Stock_UNS1020-10_UNI SURPIQUE_1020_All by Fouta_Stock_UNS1020-10_UNI SURPIQUE_1020</t>
  </si>
  <si>
    <t>CA250014-13_All by Fouta_Stock_UNS1020-24_UNI SURPIQUE_1020_All by Fouta_Stock_UNS1020-24_UNI SURPIQUE_1020</t>
  </si>
  <si>
    <t>CA250014-8_All by Fouta_Stock_UNS1020-24_UNI SURPIQUE_1020_All by Fouta_Stock_UNS1020-24_UNI SURPIQUE_1020</t>
  </si>
  <si>
    <t>CA250009-13_All by Fouta_Stock_UNS1020-17_UNI SURPIQUE_1020_All by Fouta_Stock_UNS1020-17_UNI SURPIQUE_1020</t>
  </si>
  <si>
    <t>CA250004-5_All by Fouta_Stock_UNS1020-09_UNI SURPIQUE_1020_All by Fouta_Stock_UNS1020-09_UNI SURPIQUE_1020</t>
  </si>
  <si>
    <t>CA250004-3_All by Fouta_Stock_UNS1020-09_UNI SURPIQUE_1020_All by Fouta_Stock_UNS1020-09_UNI SURPIQUE_1020</t>
  </si>
  <si>
    <t>CA250013-3_All by Fouta_Stock_UNS1020-23_UNI SURPIQUE_1020_All by Fouta_Stock_UNS1020-23_UNI SURPIQUE_1020</t>
  </si>
  <si>
    <t>CA250013-2_All by Fouta_Stock_UNS1020-23_UNI SURPIQUE_1020_All by Fouta_Stock_UNS1020-23_UNI SURPIQUE_1020</t>
  </si>
  <si>
    <t>CA250010-9_All by Fouta_Stock_UNS1020-18_UNI SURPIQUE_1020_All by Fouta_Stock_UNS1020-18_UNI SURPIQUE_1020</t>
  </si>
  <si>
    <t>CA250013-8_All by Fouta_Stock_UNS1020-23_UNI SURPIQUE_1020_All by Fouta_Stock_UNS1020-23_UNI SURPIQUE_1020</t>
  </si>
  <si>
    <t>CA250013-10_All by Fouta_Stock_UNS1020-23_UNI SURPIQUE_1020_All by Fouta_Stock_UNS1020-23_UNI SURPIQUE_1020</t>
  </si>
  <si>
    <t>CA250013-4_All by Fouta_Stock_UNS1020-23_UNI SURPIQUE_1020_All by Fouta_Stock_UNS1020-23_UNI SURPIQUE_1020</t>
  </si>
  <si>
    <t>CA250013-6_All by Fouta_Stock_UNS1020-23_UNI SURPIQUE_1020_All by Fouta_Stock_UNS1020-23_UNI SURPIQUE_1020</t>
  </si>
  <si>
    <t>CA250010-7_All by Fouta_Stock_UNS1020-18_UNI SURPIQUE_1020_All by Fouta_Stock_UNS1020-18_UNI SURPIQUE_1020</t>
  </si>
  <si>
    <t>CA250013-13_All by Fouta_Stock_UNS1020-23_UNI SURPIQUE_1020_All by Fouta_Stock_UNS1020-23_UNI SURPIQUE_1020</t>
  </si>
  <si>
    <t>CA250013-7_All by Fouta_Stock_UNS1020-23_UNI SURPIQUE_1020_All by Fouta_Stock_UNS1020-23_UNI SURPIQUE_1020</t>
  </si>
  <si>
    <t>CA250004-12_All by Fouta_Stock_UNS1020-09_UNI SURPIQUE_1020_All by Fouta_Stock_UNS1020-09_UNI SURPIQUE_1020</t>
  </si>
  <si>
    <t>CA250013-11_All by Fouta_Stock_UNS1020-23_UNI SURPIQUE_1020_All by Fouta_Stock_UNS1020-23_UNI SURPIQUE_1020</t>
  </si>
  <si>
    <t>CA250004-8_All by Fouta_Stock_UNS1020-09_UNI SURPIQUE_1020_All by Fouta_Stock_UNS1020-09_UNI SURPIQUE_1020</t>
  </si>
  <si>
    <t>CA250013-9_All by Fouta_Stock_UNS1020-23_UNI SURPIQUE_1020_All by Fouta_Stock_UNS1020-23_UNI SURPIQUE_1020</t>
  </si>
  <si>
    <t>CA250004-9_All by Fouta_Stock_UNS1020-09_UNI SURPIQUE_1020_All by Fouta_Stock_UNS1020-09_UNI SURPIQUE_1020</t>
  </si>
  <si>
    <t>CA250013-5_All by Fouta_Stock_UNS1020-23_UNI SURPIQUE_1020_All by Fouta_Stock_UNS1020-23_UNI SURPIQUE_1020</t>
  </si>
  <si>
    <t>CA250013-12_All by Fouta_Stock_UNS1020-23_UNI SURPIQUE_1020_All by Fouta_Stock_UNS1020-23_UNI SURPIQUE_1020</t>
  </si>
  <si>
    <t>CA250011-7_All by Fouta_Stock_UNS1020-19_UNI SURPIQUE_1020_All by Fouta_Stock_UNS1020-19_UNI SURPIQUE_1020</t>
  </si>
  <si>
    <t>CA250002-9_All by Fouta_Stock_UNS1020-04_UNI SURPIQUE_1020_All by Fouta_Stock_UNS1020-04_UNI SURPIQUE_1020</t>
  </si>
  <si>
    <t>CA250010-1_All by Fouta_Stock_UNS1020-18_UNI SURPIQUE_1020_All by Fouta_Stock_UNS1020-18_UNI SURPIQUE_1020</t>
  </si>
  <si>
    <t>CA250009-5_All by Fouta_Stock_UNS1020-17_UNI SURPIQUE_1020_All by Fouta_Stock_UNS1020-17_UNI SURPIQUE_1020</t>
  </si>
  <si>
    <t>CA250010-8_All by Fouta_Stock_UNS1020-18_UNI SURPIQUE_1020_All by Fouta_Stock_UNS1020-18_UNI SURPIQUE_1020</t>
  </si>
  <si>
    <t>CA250002-10_All by Fouta_Stock_UNS1020-04_UNI SURPIQUE_1020_All by Fouta_Stock_UNS1020-04_UNI SURPIQUE_1020</t>
  </si>
  <si>
    <t>CA250011-4_All by Fouta_Stock_UNS1020-19_UNI SURPIQUE_1020_All by Fouta_Stock_UNS1020-19_UNI SURPIQUE_1020</t>
  </si>
  <si>
    <t>CA250011-11_All by Fouta_Stock_UNS1020-19_UNI SURPIQUE_1020_All by Fouta_Stock_UNS1020-19_UNI SURPIQUE_1020</t>
  </si>
  <si>
    <t>CA250011-3_All by Fouta_Stock_UNS1020-19_UNI SURPIQUE_1020_All by Fouta_Stock_UNS1020-19_UNI SURPIQUE_1020</t>
  </si>
  <si>
    <t>CA250009-10_All by Fouta_Stock_UNS1020-17_UNI SURPIQUE_1020_All by Fouta_Stock_UNS1020-17_UNI SURPIQUE_1020</t>
  </si>
  <si>
    <t>CA250011-5_All by Fouta_Stock_UNS1020-19_UNI SURPIQUE_1020_All by Fouta_Stock_UNS1020-19_UNI SURPIQUE_1020</t>
  </si>
  <si>
    <t>CA250009-8_All by Fouta_Stock_UNS1020-17_UNI SURPIQUE_1020_All by Fouta_Stock_UNS1020-17_UNI SURPIQUE_1020</t>
  </si>
  <si>
    <t>CA250011-12_All by Fouta_Stock_UNS1020-19_UNI SURPIQUE_1020_All by Fouta_Stock_UNS1020-19_UNI SURPIQUE_1020</t>
  </si>
  <si>
    <t>CA250002-11_All by Fouta_Stock_UNS1020-04_UNI SURPIQUE_1020_All by Fouta_Stock_UNS1020-04_UNI SURPIQUE_1020</t>
  </si>
  <si>
    <t>CA250010-12_All by Fouta_Stock_UNS1020-18_UNI SURPIQUE_1020_All by Fouta_Stock_UNS1020-18_UNI SURPIQUE_1020</t>
  </si>
  <si>
    <t>CA250010-3_All by Fouta_Stock_UNS1020-18_UNI SURPIQUE_1020_All by Fouta_Stock_UNS1020-18_UNI SURPIQUE_1020</t>
  </si>
  <si>
    <t>CA250011-10_All by Fouta_Stock_UNS1020-19_UNI SURPIQUE_1020_All by Fouta_Stock_UNS1020-19_UNI SURPIQUE_1020</t>
  </si>
  <si>
    <t>CA250011-9_All by Fouta_Stock_UNS1020-19_UNI SURPIQUE_1020_All by Fouta_Stock_UNS1020-19_UNI SURPIQUE_1020</t>
  </si>
  <si>
    <t>CA250009-11_All by Fouta_Stock_UNS1020-17_UNI SURPIQUE_1020_All by Fouta_Stock_UNS1020-17_UNI SURPIQUE_1020</t>
  </si>
  <si>
    <t>CA250002-12_All by Fouta_Stock_UNS1020-04_UNI SURPIQUE_1020_All by Fouta_Stock_UNS1020-04_UNI SURPIQUE_1020</t>
  </si>
  <si>
    <t>CA250011-8_All by Fouta_Stock_UNS1020-19_UNI SURPIQUE_1020_All by Fouta_Stock_UNS1020-19_UNI SURPIQUE_1020</t>
  </si>
  <si>
    <t>CA250010-5_All by Fouta_Stock_UNS1020-18_UNI SURPIQUE_1020_All by Fouta_Stock_UNS1020-18_UNI SURPIQUE_1020</t>
  </si>
  <si>
    <t>CA250006-3_All by Fouta_Stock_UNS1020-12_UNI SURPIQUE_1020_All by Fouta_Stock_UNS1020-12_UNI SURPIQUE_1020</t>
  </si>
  <si>
    <t>CA250006-12_All by Fouta_Stock_UNS1020-12_UNI SURPIQUE_1020_All by Fouta_Stock_UNS1020-12_UNI SURPIQUE_1020</t>
  </si>
  <si>
    <t>CA250006-7_All by Fouta_Stock_UNS1020-12_UNI SURPIQUE_1020_All by Fouta_Stock_UNS1020-12_UNI SURPIQUE_1020</t>
  </si>
  <si>
    <t>CA250010-6_All by Fouta_Stock_UNS1020-18_UNI SURPIQUE_1020_All by Fouta_Stock_UNS1020-18_UNI SURPIQUE_1020</t>
  </si>
  <si>
    <t>CA250006-13_All by Fouta_Stock_UNS1020-12_UNI SURPIQUE_1020_All by Fouta_Stock_UNS1020-12_UNI SURPIQUE_1020</t>
  </si>
  <si>
    <t>CA250006-11_All by Fouta_Stock_UNS1020-12_UNI SURPIQUE_1020_All by Fouta_Stock_UNS1020-12_UNI SURPIQUE_1020</t>
  </si>
  <si>
    <t>CA250011-1_All by Fouta_Stock_UNS1020-19_UNI SURPIQUE_1020_All by Fouta_Stock_UNS1020-19_UNI SURPIQUE_1020</t>
  </si>
  <si>
    <t>CA250005-3_All by Fouta_Stock_UNS1020-10_UNI SURPIQUE_1020_All by Fouta_Stock_UNS1020-10_UNI SURPIQUE_1020</t>
  </si>
  <si>
    <t>CA250006_All by Fouta_Stock_UNS1020-12_UNI SURPIQUE_1020_Non Trouvé_Non Trouvé_Non Trouvé_Non Trouvé_Non Trouvé</t>
  </si>
  <si>
    <t>CA250017-10_All by Fouta_Stock_UNS1020-30_UNI SURPIQUE_1020_All by Fouta_Stock_UNS1020-30_UNI SURPIQUE_1020</t>
  </si>
  <si>
    <t>CA250006-9_All by Fouta_Stock_UNS1020-12_UNI SURPIQUE_1020_All by Fouta_Stock_UNS1020-12_UNI SURPIQUE_1020</t>
  </si>
  <si>
    <t>CA250005-8_All by Fouta_Stock_UNS1020-10_UNI SURPIQUE_1020_All by Fouta_Stock_UNS1020-10_UNI SURPIQUE_1020</t>
  </si>
  <si>
    <t>CA250017-5_All by Fouta_Stock_UNS1020-30_UNI SURPIQUE_1020_All by Fouta_Stock_UNS1020-30_UNI SURPIQUE_1020</t>
  </si>
  <si>
    <t>CA250006-1_All by Fouta_Stock_UNS1020-12_UNI SURPIQUE_1020_All by Fouta_Stock_UNS1020-12_UNI SURPIQUE_1020</t>
  </si>
  <si>
    <t>CA250006-2_All by Fouta_Stock_UNS1020-12_UNI SURPIQUE_1020_All by Fouta_Stock_UNS1020-12_UNI SURPIQUE_1020</t>
  </si>
  <si>
    <t>CA250006-4_All by Fouta_Stock_UNS1020-12_UNI SURPIQUE_1020_All by Fouta_Stock_UNS1020-12_UNI SURPIQUE_1020</t>
  </si>
  <si>
    <t>CA250006-8_All by Fouta_Stock_UNS1020-12_UNI SURPIQUE_1020_All by Fouta_Stock_UNS1020-12_UNI SURPIQUE_1020</t>
  </si>
  <si>
    <t>CA250006-5_All by Fouta_Stock_UNS1020-12_UNI SURPIQUE_1020_All by Fouta_Stock_UNS1020-12_UNI SURPIQUE_1020</t>
  </si>
  <si>
    <t>CA250005-6_All by Fouta_Stock_UNS1020-10_UNI SURPIQUE_1020_All by Fouta_Stock_UNS1020-10_UNI SURPIQUE_1020</t>
  </si>
  <si>
    <t>CA250017-6_All by Fouta_Stock_UNS1020-30_UNI SURPIQUE_1020_All by Fouta_Stock_UNS1020-30_UNI SURPIQUE_1020</t>
  </si>
  <si>
    <t>CA250017-7_All by Fouta_Stock_UNS1020-30_UNI SURPIQUE_1020_All by Fouta_Stock_UNS1020-30_UNI SURPIQUE_1020</t>
  </si>
  <si>
    <t>CA250017-1_All by Fouta_Stock_UNS1020-30_UNI SURPIQUE_1020_All by Fouta_Stock_UNS1020-30_UNI SURPIQUE_1020</t>
  </si>
  <si>
    <t>CA250017-4_All by Fouta_Stock_UNS1020-30_UNI SURPIQUE_1020_All by Fouta_Stock_UNS1020-30_UNI SURPIQUE_1020</t>
  </si>
  <si>
    <t>CA250017-12_All by Fouta_Stock_UNS1020-30_UNI SURPIQUE_1020_All by Fouta_Stock_UNS1020-30_UNI SURPIQUE_1020</t>
  </si>
  <si>
    <t>CA250017-8_All by Fouta_Stock_UNS1020-30_UNI SURPIQUE_1020_All by Fouta_Stock_UNS1020-30_UNI SURPIQUE_1020</t>
  </si>
  <si>
    <t>CA250017-3_All by Fouta_Stock_UNS1020-30_UNI SURPIQUE_1020_All by Fouta_Stock_UNS1020-30_UNI SURPIQUE_1020</t>
  </si>
  <si>
    <t>CA250017-11_All by Fouta_Stock_UNS1020-30_UNI SURPIQUE_1020_All by Fouta_Stock_UNS1020-30_UNI SURPIQUE_1020</t>
  </si>
  <si>
    <t>CA250017-2_All by Fouta_Stock_UNS1020-30_UNI SURPIQUE_1020_All by Fouta_Stock_UNS1020-30_UNI SURPIQUE_1020</t>
  </si>
  <si>
    <t>CA250017-9_All by Fouta_Stock_UNS1020-30_UNI SURPIQUE_1020_All by Fouta_Stock_UNS1020-30_UNI SURPIQUE_1020</t>
  </si>
  <si>
    <t>CA250004-2_All by Fouta_Stock_UNS1020-09_UNI SURPIQUE_1020_All by Fouta_Stock_UNS1020-09_UNI SURPIQUE_1020</t>
  </si>
  <si>
    <t>CA250018-12_All by Fouta_Stock_UNS1020-31_UNI SURPIQUE_1020_All by Fouta_Stock_UNS1020-31_UNI SURPIQUE_1020</t>
  </si>
  <si>
    <t>CA250014-9_All by Fouta_Stock_UNS1020-24_UNI SURPIQUE_1020_All by Fouta_Stock_UNS1020-24_UNI SURPIQUE_1020</t>
  </si>
  <si>
    <t>CA250014-6_All by Fouta_Stock_UNS1020-24_UNI SURPIQUE_1020_All by Fouta_Stock_UNS1020-24_UNI SURPIQUE_1020</t>
  </si>
  <si>
    <t>CA250014-3_All by Fouta_Stock_UNS1020-24_UNI SURPIQUE_1020_All by Fouta_Stock_UNS1020-24_UNI SURPIQUE_1020</t>
  </si>
  <si>
    <t>CA250018-7_All by Fouta_Stock_UNS1020-31_UNI SURPIQUE_1020_All by Fouta_Stock_UNS1020-31_UNI SURPIQUE_1020</t>
  </si>
  <si>
    <t>CA250018-8_All by Fouta_Stock_UNS1020-31_UNI SURPIQUE_1020_All by Fouta_Stock_UNS1020-31_UNI SURPIQUE_1020</t>
  </si>
  <si>
    <t>CA250018-4_All by Fouta_Stock_UNS1020-31_UNI SURPIQUE_1020_All by Fouta_Stock_UNS1020-31_UNI SURPIQUE_1020</t>
  </si>
  <si>
    <t>CA250011-2_All by Fouta_Stock_UNS1020-19_UNI SURPIQUE_1020_All by Fouta_Stock_UNS1020-19_UNI SURPIQUE_1020</t>
  </si>
  <si>
    <t>CA250030-1_All by Fouta_Stock_UNS2020-18_UNI SURPIQUE_2020_All by Fouta_Stock_UNS2020-18_UNI SURPIQUE_2020</t>
  </si>
  <si>
    <t>CA250050-4_All by Fouta_Stock_UNS1626-18_UNI SURPIQUE_1626_All by Fouta_Stock_UNS1626-18_UNI SURPIQUE_1626</t>
  </si>
  <si>
    <t>CA250057-1_All by Fouta_Stock_UNS1626-30_UNI SURPIQUE_1626_All by Fouta_Stock_UNS1626-30_UNI SURPIQUE_1626</t>
  </si>
  <si>
    <t>CA250050-6_All by Fouta_Stock_UNS1626-18_UNI SURPIQUE_1626_All by Fouta_Stock_UNS1626-18_UNI SURPIQUE_1626</t>
  </si>
  <si>
    <t>CA250050-5_All by Fouta_Stock_UNS1626-18_UNI SURPIQUE_1626_All by Fouta_Stock_UNS1626-18_UNI SURPIQUE_1626</t>
  </si>
  <si>
    <t>CA250050-1_All by Fouta_Stock_UNS1626-18_UNI SURPIQUE_1626_All by Fouta_Stock_UNS1626-18_UNI SURPIQUE_1626</t>
  </si>
  <si>
    <t>CA250057-2_All by Fouta_Stock_UNS1626-30_UNI SURPIQUE_1626_All by Fouta_Stock_UNS1626-30_UNI SURPIQUE_1626</t>
  </si>
  <si>
    <t>CA250059-1_All by Fouta_Stock_UNS1626-32_UNI SURPIQUE_1626_All by Fouta_Stock_UNS1626-32_UNI SURPIQUE_1626</t>
  </si>
  <si>
    <t>CA250055-2_All by Fouta_Stock_UNS1626-26_UNI SURPIQUE_1626_All by Fouta_Stock_UNS1626-26_UNI SURPIQUE_1626</t>
  </si>
  <si>
    <t>CA250050-3_All by Fouta_Stock_UNS1626-18_UNI SURPIQUE_1626_All by Fouta_Stock_UNS1626-18_UNI SURPIQUE_1626</t>
  </si>
  <si>
    <t>CA250050-2_All by Fouta_Stock_UNS1626-18_UNI SURPIQUE_1626_All by Fouta_Stock_UNS1626-18_UNI SURPIQUE_1626</t>
  </si>
  <si>
    <t>CA250055-1_All by Fouta_Stock_UNS1626-26_UNI SURPIQUE_1626_All by Fouta_Stock_UNS1626-26_UNI SURPIQUE_1626</t>
  </si>
  <si>
    <t>CA250055-3_All by Fouta_Stock_UNS1626-26_UNI SURPIQUE_1626_All by Fouta_Stock_UNS1626-26_UNI SURPIQUE_1626</t>
  </si>
  <si>
    <t>CA250057-3_All by Fouta_Stock_UNS1626-30_UNI SURPIQUE_1626_All by Fouta_Stock_UNS1626-30_UNI SURPIQUE_1626</t>
  </si>
  <si>
    <t>CA250030-4_All by Fouta_Stock_UNS2020-18_UNI SURPIQUE_2020_All by Fouta_Stock_UNS2020-18_UNI SURPIQUE_2020</t>
  </si>
  <si>
    <t>CA250033-2_All by Fouta_Stock_UNS2020-23_UNI SURPIQUE_2020_All by Fouta_Stock_UNS2020-23_UNI SURPIQUE_2020</t>
  </si>
  <si>
    <t>CA250023-5_All by Fouta_Stock_UNS2020-06_UNI SURPIQUE_2020_All by Fouta_Stock_UNS2020-06_UNI SURPIQUE_2020</t>
  </si>
  <si>
    <t>CA250059-2_All by Fouta_Stock_UNS1626-32_UNI SURPIQUE_1626_All by Fouta_Stock_UNS1626-32_UNI SURPIQUE_1626</t>
  </si>
  <si>
    <t>CA250043-4_All by Fouta_Stock_UNS1626-06_UNI SURPIQUE_1626_All by Fouta_Stock_UNS1626-06_UNI SURPIQUE_1626</t>
  </si>
  <si>
    <t>CA250045-5_All by Fouta_Stock_UNS1626-10_UNI SURPIQUE_1626_All by Fouta_Stock_UNS1626-10_UNI SURPIQUE_1626</t>
  </si>
  <si>
    <t>CA250032-1_All by Fouta_Stock_UNS2020-20_UNI SURPIQUE_2020_All by Fouta_Stock_UNS2020-20_UNI SURPIQUE_2020</t>
  </si>
  <si>
    <t>CA250059-3_All by Fouta_Stock_UNS1626-32_UNI SURPIQUE_1626_All by Fouta_Stock_UNS1626-32_UNI SURPIQUE_1626</t>
  </si>
  <si>
    <t>CA250039-6_All by Fouta_Stock_UNS2020-32_UNI SURPIQUE_2020_All by Fouta_Stock_UNS2020-32_UNI SURPIQUE_2020</t>
  </si>
  <si>
    <t>CA250032-3_All by Fouta_Stock_UNS2020-20_UNI SURPIQUE_2020_All by Fouta_Stock_UNS2020-20_UNI SURPIQUE_2020</t>
  </si>
  <si>
    <t>CA250044-7_All by Fouta_Stock_UNS1626-09_UNI SURPIQUE_1626_All by Fouta_Stock_UNS1626-09_UNI SURPIQUE_1626</t>
  </si>
  <si>
    <t>CA250072-5_All by Fouta_Stock_UNS2030-20_UNI SURPIQUE_2030_All by Fouta_Stock_UNS2030-20_UNI SURPIQUE_2030</t>
  </si>
  <si>
    <t>CA250044-3_All by Fouta_Stock_UNS1626-09_UNI SURPIQUE_1626_All by Fouta_Stock_UNS1626-09_UNI SURPIQUE_1626</t>
  </si>
  <si>
    <t>CA250032-4_All by Fouta_Stock_UNS2020-20_UNI SURPIQUE_2020_All by Fouta_Stock_UNS2020-20_UNI SURPIQUE_2020</t>
  </si>
  <si>
    <t>CA250043-1_All by Fouta_Stock_UNS1626-06_UNI SURPIQUE_1626_All by Fouta_Stock_UNS1626-06_UNI SURPIQUE_1626</t>
  </si>
  <si>
    <t>CA250024-2_All by Fouta_Stock_UNS2020-09_UNI SURPIQUE_2020_All by Fouta_Stock_UNS2020-09_UNI SURPIQUE_2020</t>
  </si>
  <si>
    <t>CA250021-1_All by Fouta_Stock_UNS2020-03_UNI SURPIQUE_2020_All by Fouta_Stock_UNS2020-03_UNI SURPIQUE_2020</t>
  </si>
  <si>
    <t>CA250023-3_All by Fouta_Stock_UNS2020-06_UNI SURPIQUE_2020_All by Fouta_Stock_UNS2020-06_UNI SURPIQUE_2020</t>
  </si>
  <si>
    <t>CA250033-3_All by Fouta_Stock_UNS2020-23_UNI SURPIQUE_2020_All by Fouta_Stock_UNS2020-23_UNI SURPIQUE_2020</t>
  </si>
  <si>
    <t>CA250023-1_All by Fouta_Stock_UNS2020-06_UNI SURPIQUE_2020_All by Fouta_Stock_UNS2020-06_UNI SURPIQUE_2020</t>
  </si>
  <si>
    <t>CA250033-5_All by Fouta_Stock_UNS2020-23_UNI SURPIQUE_2020_All by Fouta_Stock_UNS2020-23_UNI SURPIQUE_2020</t>
  </si>
  <si>
    <t>CA250033-1_All by Fouta_Stock_UNS2020-23_UNI SURPIQUE_2020_All by Fouta_Stock_UNS2020-23_UNI SURPIQUE_2020</t>
  </si>
  <si>
    <t>CA250078-1_All by Fouta_Stock_UNS2030-31_UNI SURPIQUE_2030_All by Fouta_Stock_UNS2030-31_UNI SURPIQUE_2030</t>
  </si>
  <si>
    <t>CA250036-4_All by Fouta_Stock_UNS2020-27_UNI SURPIQUE_2020_All by Fouta_Stock_UNS2020-27_UNI SURPIQUE_2020</t>
  </si>
  <si>
    <t>CA250036-1_All by Fouta_Stock_UNS2020-27_UNI SURPIQUE_2020_All by Fouta_Stock_UNS2020-27_UNI SURPIQUE_2020</t>
  </si>
  <si>
    <t>CA250039-7_All by Fouta_Stock_UNS2020-32_UNI SURPIQUE_2020_All by Fouta_Stock_UNS2020-32_UNI SURPIQUE_2020</t>
  </si>
  <si>
    <t>CA250022-6_All by Fouta_Stock_UNS2020-04_UNI SURPIQUE_2020_All by Fouta_Stock_UNS2020-04_UNI SURPIQUE_2020</t>
  </si>
  <si>
    <t>CA250032-7_All by Fouta_Stock_UNS2020-20_UNI SURPIQUE_2020_All by Fouta_Stock_UNS2020-20_UNI SURPIQUE_2020</t>
  </si>
  <si>
    <t>CA250074-2_All by Fouta_Stock_UNS2030-24_UNI SURPIQUE_2030_All by Fouta_Stock_UNS2030-24_UNI SURPIQUE_2030</t>
  </si>
  <si>
    <t>CA250039-4_All by Fouta_Stock_UNS2020-32_UNI SURPIQUE_2020_All by Fouta_Stock_UNS2020-32_UNI SURPIQUE_2020</t>
  </si>
  <si>
    <t>CA250039-2_All by Fouta_Stock_UNS2020-32_UNI SURPIQUE_2020_All by Fouta_Stock_UNS2020-32_UNI SURPIQUE_2020</t>
  </si>
  <si>
    <t>CA250073-2_All by Fouta_Stock_UNS2030-23_UNI SURPIQUE_2030_All by Fouta_Stock_UNS2030-23_UNI SURPIQUE_2030</t>
  </si>
  <si>
    <t>CA250036-2_All by Fouta_Stock_UNS2020-27_UNI SURPIQUE_2020_All by Fouta_Stock_UNS2020-27_UNI SURPIQUE_2020</t>
  </si>
  <si>
    <t>CA250036-3_All by Fouta_Stock_UNS2020-27_UNI SURPIQUE_2020_All by Fouta_Stock_UNS2020-27_UNI SURPIQUE_2020</t>
  </si>
  <si>
    <t>CA250036-5_All by Fouta_Stock_UNS2020-27_UNI SURPIQUE_2020_All by Fouta_Stock_UNS2020-27_UNI SURPIQUE_2020</t>
  </si>
  <si>
    <t>CA250022-1_All by Fouta_Stock_UNS2020-04_UNI SURPIQUE_2020_All by Fouta_Stock_UNS2020-04_UNI SURPIQUE_2020</t>
  </si>
  <si>
    <t>CA250049-2_All by Fouta_Stock_UNS1626-17_UNI SURPIQUE_1626_All by Fouta_Stock_UNS1626-17_UNI SURPIQUE_1626</t>
  </si>
  <si>
    <t>CA250058-2_All by Fouta_Stock_UNS1626-31_UNI SURPIQUE_1626_All by Fouta_Stock_UNS1626-31_UNI SURPIQUE_1626</t>
  </si>
  <si>
    <t>CA250048-6_All by Fouta_Stock_UNS1626-15_UNI SURPIQUE_1626_All by Fouta_Stock_UNS1626-15_UNI SURPIQUE_1626</t>
  </si>
  <si>
    <t>CA250022-4_All by Fouta_Stock_UNS2020-04_UNI SURPIQUE_2020_All by Fouta_Stock_UNS2020-04_UNI SURPIQUE_2020</t>
  </si>
  <si>
    <t>CA250074-1_All by Fouta_Stock_UNS2030-24_UNI SURPIQUE_2030_All by Fouta_Stock_UNS2030-24_UNI SURPIQUE_2030</t>
  </si>
  <si>
    <t>CA250048-4_All by Fouta_Stock_UNS1626-15_UNI SURPIQUE_1626_All by Fouta_Stock_UNS1626-15_UNI SURPIQUE_1626</t>
  </si>
  <si>
    <t>CA250073-1_All by Fouta_Stock_UNS2030-23_UNI SURPIQUE_2030_All by Fouta_Stock_UNS2030-23_UNI SURPIQUE_2030</t>
  </si>
  <si>
    <t>CA250079-2_All by Fouta_Stock_UNS2030-32_UNI SURPIQUE_2030_All by Fouta_Stock_UNS2030-32_UNI SURPIQUE_2030</t>
  </si>
  <si>
    <t>CA250022-2_All by Fouta_Stock_UNS2020-04_UNI SURPIQUE_2020_All by Fouta_Stock_UNS2020-04_UNI SURPIQUE_2020</t>
  </si>
  <si>
    <t>CA250022-7_All by Fouta_Stock_UNS2020-04_UNI SURPIQUE_2020_All by Fouta_Stock_UNS2020-04_UNI SURPIQUE_2020</t>
  </si>
  <si>
    <t>CA250024-5_All by Fouta_Stock_UNS2020-09_UNI SURPIQUE_2020_All by Fouta_Stock_UNS2020-09_UNI SURPIQUE_2020</t>
  </si>
  <si>
    <t>CA250024-3_All by Fouta_Stock_UNS2020-09_UNI SURPIQUE_2020_All by Fouta_Stock_UNS2020-09_UNI SURPIQUE_2020</t>
  </si>
  <si>
    <t>CA250043-7_All by Fouta_Stock_UNS1626-06_UNI SURPIQUE_1626_All by Fouta_Stock_UNS1626-06_UNI SURPIQUE_1626</t>
  </si>
  <si>
    <t>CA250045-6_All by Fouta_Stock_UNS1626-10_UNI SURPIQUE_1626_All by Fouta_Stock_UNS1626-10_UNI SURPIQUE_1626</t>
  </si>
  <si>
    <t>CA250024-4_All by Fouta_Stock_UNS2020-09_UNI SURPIQUE_2020_All by Fouta_Stock_UNS2020-09_UNI SURPIQUE_2020</t>
  </si>
  <si>
    <t>CA250033-7_All by Fouta_Stock_UNS2020-23_UNI SURPIQUE_2020_All by Fouta_Stock_UNS2020-23_UNI SURPIQUE_2020</t>
  </si>
  <si>
    <t>CA250064-5_All by Fouta_Stock_UNS2030-09_UNI SURPIQUE_2030_All by Fouta_Stock_UNS2030-09_UNI SURPIQUE_2030</t>
  </si>
  <si>
    <t>CA250054-3_All by Fouta_Stock_UNS1626-24_UNI SURPIQUE_1626_All by Fouta_Stock_UNS1626-24_UNI SURPIQUE_1626</t>
  </si>
  <si>
    <t>CA250044-5_All by Fouta_Stock_UNS1626-09_UNI SURPIQUE_1626_All by Fouta_Stock_UNS1626-09_UNI SURPIQUE_1626</t>
  </si>
  <si>
    <t>CA250024-1_All by Fouta_Stock_UNS2020-09_UNI SURPIQUE_2020_All by Fouta_Stock_UNS2020-09_UNI SURPIQUE_2020</t>
  </si>
  <si>
    <t>CA250054-2_All by Fouta_Stock_UNS1626-24_UNI SURPIQUE_1626_All by Fouta_Stock_UNS1626-24_UNI SURPIQUE_1626</t>
  </si>
  <si>
    <t>CA250041-7_All by Fouta_Stock_UNS1626-03_UNI SURPIQUE_1626_All by Fouta_Stock_UNS1626-03_UNI SURPIQUE_1626</t>
  </si>
  <si>
    <t>CA250030-7_All by Fouta_Stock_UNS2020-18_UNI SURPIQUE_2020_All by Fouta_Stock_UNS2020-18_UNI SURPIQUE_2020</t>
  </si>
  <si>
    <t>CA250046-4_All by Fouta_Stock_UNS1626-12_UNI SURPIQUE_1626_All by Fouta_Stock_UNS1626-12_UNI SURPIQUE_1626</t>
  </si>
  <si>
    <t>CA250054-1_All by Fouta_Stock_UNS1626-24_UNI SURPIQUE_1626_All by Fouta_Stock_UNS1626-24_UNI SURPIQUE_1626</t>
  </si>
  <si>
    <t>CA250030-6_All by Fouta_Stock_UNS2020-18_UNI SURPIQUE_2020_All by Fouta_Stock_UNS2020-18_UNI SURPIQUE_2020</t>
  </si>
  <si>
    <t>CA250030-3_All by Fouta_Stock_UNS2020-18_UNI SURPIQUE_2020_All by Fouta_Stock_UNS2020-18_UNI SURPIQUE_2020</t>
  </si>
  <si>
    <t>CA250030-2_All by Fouta_Stock_UNS2020-18_UNI SURPIQUE_2020_All by Fouta_Stock_UNS2020-18_UNI SURPIQUE_2020</t>
  </si>
  <si>
    <t>CA250039-5_All by Fouta_Stock_UNS2020-32_UNI SURPIQUE_2020_All by Fouta_Stock_UNS2020-32_UNI SURPIQUE_2020</t>
  </si>
  <si>
    <t>CA250030-5_All by Fouta_Stock_UNS2020-18_UNI SURPIQUE_2020_All by Fouta_Stock_UNS2020-18_UNI SURPIQUE_2020</t>
  </si>
  <si>
    <t>CA250049-4_All by Fouta_Stock_UNS1626-17_UNI SURPIQUE_1626_All by Fouta_Stock_UNS1626-17_UNI SURPIQUE_1626</t>
  </si>
  <si>
    <t>CA250049-1_All by Fouta_Stock_UNS1626-17_UNI SURPIQUE_1626_All by Fouta_Stock_UNS1626-17_UNI SURPIQUE_1626</t>
  </si>
  <si>
    <t>CA250391-7_All by Fouta_Stock_BE1020-Q04-24-20_BERBER_1020_All by Fouta_Stock_BE1020-Q04-24-20_BERBER_1020</t>
  </si>
  <si>
    <t>CA250391-13_All by Fouta_Stock_BE1020-Q04-24-20_BERBER_1020_All by Fouta_Stock_BE1020-Q04-24-20_BERBER_1020</t>
  </si>
  <si>
    <t>CA250365-2_All by Fouta_Stock_BIB1020-T20-01-24_BIBI_1020_All by Fouta_Stock_BIB1020-T20-01-24_BIBI_1020</t>
  </si>
  <si>
    <t>CA250391-12_All by Fouta_Stock_BE1020-Q04-24-20_BERBER_1020_All by Fouta_Stock_BE1020-Q04-24-20_BERBER_1020</t>
  </si>
  <si>
    <t>CA250474-9_All by Fouta_Stock_FAF1020-B06-08_FIL A FIL_1020_All by Fouta_Stock_FAF1020-B06-08_FIL A FIL_1020</t>
  </si>
  <si>
    <t>CA250473-8_All by Fouta_Stock_FAF1020-B18-19_FIL A FIL_1020_All by Fouta_Stock_FAF1020-B18-19_FIL A FIL_1020</t>
  </si>
  <si>
    <t>CA250473-4_All by Fouta_Stock_FAF1020-B18-19_FIL A FIL_1020_All by Fouta_Stock_FAF1020-B18-19_FIL A FIL_1020</t>
  </si>
  <si>
    <t>CA250473-12_All by Fouta_Stock_FAF1020-B18-19_FIL A FIL_1020_All by Fouta_Stock_FAF1020-B18-19_FIL A FIL_1020</t>
  </si>
  <si>
    <t>CA250473-9_All by Fouta_Stock_FAF1020-B18-19_FIL A FIL_1020_All by Fouta_Stock_FAF1020-B18-19_FIL A FIL_1020</t>
  </si>
  <si>
    <t>CA250473-5_All by Fouta_Stock_FAF1020-B18-19_FIL A FIL_1020_All by Fouta_Stock_FAF1020-B18-19_FIL A FIL_1020</t>
  </si>
  <si>
    <t>CA250473-3_All by Fouta_Stock_FAF1020-B18-19_FIL A FIL_1020_All by Fouta_Stock_FAF1020-B18-19_FIL A FIL_1020</t>
  </si>
  <si>
    <t>CA250473-2_All by Fouta_Stock_FAF1020-B18-19_FIL A FIL_1020_All by Fouta_Stock_FAF1020-B18-19_FIL A FIL_1020</t>
  </si>
  <si>
    <t>CA250474-11_All by Fouta_Stock_FAF1020-B06-08_FIL A FIL_1020_All by Fouta_Stock_FAF1020-B06-08_FIL A FIL_1020</t>
  </si>
  <si>
    <t>CA250474-3_All by Fouta_Stock_FAF1020-B06-08_FIL A FIL_1020_All by Fouta_Stock_FAF1020-B06-08_FIL A FIL_1020</t>
  </si>
  <si>
    <t>CA250474-12_All by Fouta_Stock_FAF1020-B06-08_FIL A FIL_1020_All by Fouta_Stock_FAF1020-B06-08_FIL A FIL_1020</t>
  </si>
  <si>
    <t>CA250474-8_All by Fouta_Stock_FAF1020-B06-08_FIL A FIL_1020_All by Fouta_Stock_FAF1020-B06-08_FIL A FIL_1020</t>
  </si>
  <si>
    <t>CA250474-7_All by Fouta_Stock_FAF1020-B06-08_FIL A FIL_1020_All by Fouta_Stock_FAF1020-B06-08_FIL A FIL_1020</t>
  </si>
  <si>
    <t>CA250469-9_All by Fouta_Stock_FAF1020-B04-02_FIL A FIL_1020_All by Fouta_Stock_FAF1020-B04-02_FIL A FIL_1020</t>
  </si>
  <si>
    <t>CA250474-10_All by Fouta_Stock_FAF1020-B06-08_FIL A FIL_1020_All by Fouta_Stock_FAF1020-B06-08_FIL A FIL_1020</t>
  </si>
  <si>
    <t>OF249977_CL00791_CM-FT0104_AR1020-B15-25_ARTHUR_1020_Non Trouvé_Non Trouvé_Non Trouvé_Non Trouvé_Non Trouvé</t>
  </si>
  <si>
    <t>CA250469-13_All by Fouta_Stock_FAF1020-B04-02_FIL A FIL_1020_All by Fouta_Stock_FAF1020-B04-02_FIL A FIL_1020</t>
  </si>
  <si>
    <t>CA250474-1_All by Fouta_Stock_FAF1020-B06-08_FIL A FIL_1020_All by Fouta_Stock_FAF1020-B06-08_FIL A FIL_1020</t>
  </si>
  <si>
    <t>CA250469-8_All by Fouta_Stock_FAF1020-B04-02_FIL A FIL_1020_All by Fouta_Stock_FAF1020-B04-02_FIL A FIL_1020</t>
  </si>
  <si>
    <t>CA250469-4_All by Fouta_Stock_FAF1020-B04-02_FIL A FIL_1020_All by Fouta_Stock_FAF1020-B04-02_FIL A FIL_1020</t>
  </si>
  <si>
    <t>CA250469-10_All by Fouta_Stock_FAF1020-B04-02_FIL A FIL_1020_All by Fouta_Stock_FAF1020-B04-02_FIL A FIL_1020</t>
  </si>
  <si>
    <t>CA250469-2_All by Fouta_Stock_FAF1020-B04-02_FIL A FIL_1020_All by Fouta_Stock_FAF1020-B04-02_FIL A FIL_1020</t>
  </si>
  <si>
    <t>CA250469-6_All by Fouta_Stock_FAF1020-B04-02_FIL A FIL_1020_All by Fouta_Stock_FAF1020-B04-02_FIL A FIL_1020</t>
  </si>
  <si>
    <t>CA250469-3_All by Fouta_Stock_FAF1020-B04-02_FIL A FIL_1020_All by Fouta_Stock_FAF1020-B04-02_FIL A FIL_1020</t>
  </si>
  <si>
    <t>CA250469-11_All by Fouta_Stock_FAF1020-B04-02_FIL A FIL_1020_All by Fouta_Stock_FAF1020-B04-02_FIL A FIL_1020</t>
  </si>
  <si>
    <t>CA250469-1_All by Fouta_Stock_FAF1020-B04-02_FIL A FIL_1020_All by Fouta_Stock_FAF1020-B04-02_FIL A FIL_1020</t>
  </si>
  <si>
    <t>CA250469-5_All by Fouta_Stock_FAF1020-B04-02_FIL A FIL_1020_All by Fouta_Stock_FAF1020-B04-02_FIL A FIL_1020</t>
  </si>
  <si>
    <t>CA250469-12_All by Fouta_Stock_FAF1020-B04-02_FIL A FIL_1020_All by Fouta_Stock_FAF1020-B04-02_FIL A FIL_1020</t>
  </si>
  <si>
    <t>CA250469-7_All by Fouta_Stock_FAF1020-B04-02_FIL A FIL_1020_All by Fouta_Stock_FAF1020-B04-02_FIL A FIL_1020</t>
  </si>
  <si>
    <t>CA250358-5_All by Fouta_Stock_BIB1020-T03-02-17_BIBI_1020_All by Fouta_Stock_BIB1020-T03-02-17_BIBI_1020</t>
  </si>
  <si>
    <t>CA250358-6_All by Fouta_Stock_BIB1020-T03-02-17_BIBI_1020_All by Fouta_Stock_BIB1020-T03-02-17_BIBI_1020</t>
  </si>
  <si>
    <t>CA250358-2_All by Fouta_Stock_BIB1020-T03-02-17_BIBI_1020_All by Fouta_Stock_BIB1020-T03-02-17_BIBI_1020</t>
  </si>
  <si>
    <t>CA250358-4_All by Fouta_Stock_BIB1020-T03-02-17_BIBI_1020_All by Fouta_Stock_BIB1020-T03-02-17_BIBI_1020</t>
  </si>
  <si>
    <t>CA250364-6_All by Fouta_Stock_BIB1020-T26-01-10_BIBI_1020_All by Fouta_Stock_BIB1020-T26-01-10_BIBI_1020</t>
  </si>
  <si>
    <t>CA250358-1_All by Fouta_Stock_BIB1020-T03-02-17_BIBI_1020_All by Fouta_Stock_BIB1020-T03-02-17_BIBI_1020</t>
  </si>
  <si>
    <t>CA250363-5_All by Fouta_Stock_BIB1020-T24-01-29_BIBI_1020_All by Fouta_Stock_BIB1020-T24-01-29_BIBI_1020</t>
  </si>
  <si>
    <t>CA250365-1_All by Fouta_Stock_BIB1020-T20-01-24_BIBI_1020_All by Fouta_Stock_BIB1020-T20-01-24_BIBI_1020</t>
  </si>
  <si>
    <t>CA250365-6_All by Fouta_Stock_BIB1020-T20-01-24_BIBI_1020_All by Fouta_Stock_BIB1020-T20-01-24_BIBI_1020</t>
  </si>
  <si>
    <t>CA250365-4_All by Fouta_Stock_BIB1020-T20-01-24_BIBI_1020_All by Fouta_Stock_BIB1020-T20-01-24_BIBI_1020</t>
  </si>
  <si>
    <t>CA250362-4_All by Fouta_Stock_BIB1020-T17-02-10_BIBI_1020_All by Fouta_Stock_BIB1020-T17-02-10_BIBI_1020</t>
  </si>
  <si>
    <t>CA250363-4_All by Fouta_Stock_BIB1020-T24-01-29_BIBI_1020_All by Fouta_Stock_BIB1020-T24-01-29_BIBI_1020</t>
  </si>
  <si>
    <t>CA250363_All by Fouta_Stock_BIB1020-T24-01-29_BIBI_1020_Non Trouvé_Non Trouvé_Non Trouvé_Non Trouvé_Non Trouvé</t>
  </si>
  <si>
    <t>CA250363-1_All by Fouta_Stock_BIB1020-T24-01-29_BIBI_1020_All by Fouta_Stock_BIB1020-T24-01-29_BIBI_1020</t>
  </si>
  <si>
    <t>CA250358-3_All by Fouta_Stock_BIB1020-T03-02-17_BIBI_1020_All by Fouta_Stock_BIB1020-T03-02-17_BIBI_1020</t>
  </si>
  <si>
    <t>CA250363-3_All by Fouta_Stock_BIB1020-T24-01-29_BIBI_1020_All by Fouta_Stock_BIB1020-T24-01-29_BIBI_1020</t>
  </si>
  <si>
    <t>CA250363-6_All by Fouta_Stock_BIB1020-T24-01-29_BIBI_1020_All by Fouta_Stock_BIB1020-T24-01-29_BIBI_1020</t>
  </si>
  <si>
    <t>CA250365-3_All by Fouta_Stock_BIB1020-T20-01-24_BIBI_1020_All by Fouta_Stock_BIB1020-T20-01-24_BIBI_1020</t>
  </si>
  <si>
    <t>CA250365-5_All by Fouta_Stock_BIB1020-T20-01-24_BIBI_1020_All by Fouta_Stock_BIB1020-T20-01-24_BIBI_1020</t>
  </si>
  <si>
    <t>CA250362-5_All by Fouta_Stock_BIB1020-T17-02-10_BIBI_1020_All by Fouta_Stock_BIB1020-T17-02-10_BIBI_1020</t>
  </si>
  <si>
    <t>CA250362-6_All by Fouta_Stock_BIB1020-T17-02-10_BIBI_1020_All by Fouta_Stock_BIB1020-T17-02-10_BIBI_1020</t>
  </si>
  <si>
    <t>CA250391-2_All by Fouta_Stock_BE1020-Q04-24-20_BERBER_1020_All by Fouta_Stock_BE1020-Q04-24-20_BERBER_1020</t>
  </si>
  <si>
    <t>CA250391-9_All by Fouta_Stock_BE1020-Q04-24-20_BERBER_1020_All by Fouta_Stock_BE1020-Q04-24-20_BERBER_1020</t>
  </si>
  <si>
    <t>CA250362-3_All by Fouta_Stock_BIB1020-T17-02-10_BIBI_1020_All by Fouta_Stock_BIB1020-T17-02-10_BIBI_1020</t>
  </si>
  <si>
    <t>CA250391-1_All by Fouta_Stock_BE1020-Q04-24-20_BERBER_1020_All by Fouta_Stock_BE1020-Q04-24-20_BERBER_1020</t>
  </si>
  <si>
    <t>CA250362-1_All by Fouta_Stock_BIB1020-T17-02-10_BIBI_1020_All by Fouta_Stock_BIB1020-T17-02-10_BIBI_1020</t>
  </si>
  <si>
    <t>CA250391-5_All by Fouta_Stock_BE1020-Q04-24-20_BERBER_1020_All by Fouta_Stock_BE1020-Q04-24-20_BERBER_1020</t>
  </si>
  <si>
    <t>CA250362-2_All by Fouta_Stock_BIB1020-T17-02-10_BIBI_1020_All by Fouta_Stock_BIB1020-T17-02-10_BIBI_1020</t>
  </si>
  <si>
    <t>CA250392-4_All by Fouta_Stock_BE1020-Q26-13-01_BERBER_1020_All by Fouta_Stock_BE1020-Q26-13-01_BERBER_1020</t>
  </si>
  <si>
    <t>CA250392-1_All by Fouta_Stock_BE1020-Q26-13-01_BERBER_1020_All by Fouta_Stock_BE1020-Q26-13-01_BERBER_1020</t>
  </si>
  <si>
    <t>CA250392-3_All by Fouta_Stock_BE1020-Q26-13-01_BERBER_1020_All by Fouta_Stock_BE1020-Q26-13-01_BERBER_1020</t>
  </si>
  <si>
    <t>CA250392-9_All by Fouta_Stock_BE1020-Q26-13-01_BERBER_1020_All by Fouta_Stock_BE1020-Q26-13-01_BERBER_1020</t>
  </si>
  <si>
    <t>CA250392-10_All by Fouta_Stock_BE1020-Q26-13-01_BERBER_1020_All by Fouta_Stock_BE1020-Q26-13-01_BERBER_1020</t>
  </si>
  <si>
    <t>CA250392-13_All by Fouta_Stock_BE1020-Q26-13-01_BERBER_1020_All by Fouta_Stock_BE1020-Q26-13-01_BERBER_1020</t>
  </si>
  <si>
    <t>CA250391-6_All by Fouta_Stock_BE1020-Q04-24-20_BERBER_1020_All by Fouta_Stock_BE1020-Q04-24-20_BERBER_1020</t>
  </si>
  <si>
    <t>CA250392-12_All by Fouta_Stock_BE1020-Q26-13-01_BERBER_1020_All by Fouta_Stock_BE1020-Q26-13-01_BERBER_1020</t>
  </si>
  <si>
    <t>CA250391-8_All by Fouta_Stock_BE1020-Q04-24-20_BERBER_1020_All by Fouta_Stock_BE1020-Q04-24-20_BERBER_1020</t>
  </si>
  <si>
    <t>CA250392-5_All by Fouta_Stock_BE1020-Q26-13-01_BERBER_1020_All by Fouta_Stock_BE1020-Q26-13-01_BERBER_1020</t>
  </si>
  <si>
    <t>CA250392-8_All by Fouta_Stock_BE1020-Q26-13-01_BERBER_1020_All by Fouta_Stock_BE1020-Q26-13-01_BERBER_1020</t>
  </si>
  <si>
    <t>CA250392-6_All by Fouta_Stock_BE1020-Q26-13-01_BERBER_1020_All by Fouta_Stock_BE1020-Q26-13-01_BERBER_1020</t>
  </si>
  <si>
    <t>CA250392-2_All by Fouta_Stock_BE1020-Q26-13-01_BERBER_1020_All by Fouta_Stock_BE1020-Q26-13-01_BERBER_1020</t>
  </si>
  <si>
    <t>CA250393-7_All by Fouta_Stock_BE1020-Q04-20-01_BERBER_1020_All by Fouta_Stock_BE1020-Q04-20-01_BERBER_1020</t>
  </si>
  <si>
    <t>CA250393-3_All by Fouta_Stock_BE1020-Q04-20-01_BERBER_1020_All by Fouta_Stock_BE1020-Q04-20-01_BERBER_1020</t>
  </si>
  <si>
    <t>CA250393-2_All by Fouta_Stock_BE1020-Q04-20-01_BERBER_1020_All by Fouta_Stock_BE1020-Q04-20-01_BERBER_1020</t>
  </si>
  <si>
    <t>CA250393-10_All by Fouta_Stock_BE1020-Q04-20-01_BERBER_1020_All by Fouta_Stock_BE1020-Q04-20-01_BERBER_1020</t>
  </si>
  <si>
    <t>CA250393-4_All by Fouta_Stock_BE1020-Q04-20-01_BERBER_1020_All by Fouta_Stock_BE1020-Q04-20-01_BERBER_1020</t>
  </si>
  <si>
    <t>CA250393-6_All by Fouta_Stock_BE1020-Q04-20-01_BERBER_1020_All by Fouta_Stock_BE1020-Q04-20-01_BERBER_1020</t>
  </si>
  <si>
    <t>CA250393-11_All by Fouta_Stock_BE1020-Q04-20-01_BERBER_1020_All by Fouta_Stock_BE1020-Q04-20-01_BERBER_1020</t>
  </si>
  <si>
    <t>CA250393-5_All by Fouta_Stock_BE1020-Q04-20-01_BERBER_1020_All by Fouta_Stock_BE1020-Q04-20-01_BERBER_1020</t>
  </si>
  <si>
    <t>CA250392-11_All by Fouta_Stock_BE1020-Q26-13-01_BERBER_1020_All by Fouta_Stock_BE1020-Q26-13-01_BERBER_1020</t>
  </si>
  <si>
    <t>CA250392-7_All by Fouta_Stock_BE1020-Q26-13-01_BERBER_1020_All by Fouta_Stock_BE1020-Q26-13-01_BERBER_1020</t>
  </si>
  <si>
    <t>CA250019-5_All by Fouta_Stock_UNS1020-32_UNI SURPIQUE_1020_All by Fouta_Stock_UNS1020-32_UNI SURPIQUE_1020</t>
  </si>
  <si>
    <t>CA250019-12_All by Fouta_Stock_UNS1020-32_UNI SURPIQUE_1020_All by Fouta_Stock_UNS1020-32_UNI SURPIQUE_1020</t>
  </si>
  <si>
    <t>CA250019-6_All by Fouta_Stock_UNS1020-32_UNI SURPIQUE_1020_All by Fouta_Stock_UNS1020-32_UNI SURPIQUE_1020</t>
  </si>
  <si>
    <t>CA250038-1_All by Fouta_Stock_UNS2020-31_UNI SURPIQUE_2020_All by Fouta_Stock_UNS2020-31_UNI SURPIQUE_2020</t>
  </si>
  <si>
    <t>CA250016-10_All by Fouta_Stock_UNS1020-27_UNI SURPIQUE_1020_All by Fouta_Stock_UNS1020-27_UNI SURPIQUE_1020</t>
  </si>
  <si>
    <t>CA250053-3_All by Fouta_Stock_UNS1626-23_UNI SURPIQUE_1626_All by Fouta_Stock_UNS1626-23_UNI SURPIQUE_1626</t>
  </si>
  <si>
    <t>CA250024-6_All by Fouta_Stock_UNS2020-09_UNI SURPIQUE_2020_All by Fouta_Stock_UNS2020-09_UNI SURPIQUE_2020</t>
  </si>
  <si>
    <t>CA250047-2_All by Fouta_Stock_UNS1626-13_UNI SURPIQUE_1626_All by Fouta_Stock_UNS1626-13_UNI SURPIQUE_1626</t>
  </si>
  <si>
    <t>CA250016-4_All by Fouta_Stock_UNS1020-27_UNI SURPIQUE_1020_All by Fouta_Stock_UNS1020-27_UNI SURPIQUE_1020</t>
  </si>
  <si>
    <t>CA250053-1_All by Fouta_Stock_UNS1626-23_UNI SURPIQUE_1626_All by Fouta_Stock_UNS1626-23_UNI SURPIQUE_1626</t>
  </si>
  <si>
    <t>CA250053-2_All by Fouta_Stock_UNS1626-23_UNI SURPIQUE_1626_All by Fouta_Stock_UNS1626-23_UNI SURPIQUE_1626</t>
  </si>
  <si>
    <t>CA250047-3_All by Fouta_Stock_UNS1626-13_UNI SURPIQUE_1626_All by Fouta_Stock_UNS1626-13_UNI SURPIQUE_1626</t>
  </si>
  <si>
    <t>CA250051-5_All by Fouta_Stock_UNS1626-19_UNI SURPIQUE_1626_All by Fouta_Stock_UNS1626-19_UNI SURPIQUE_1626</t>
  </si>
  <si>
    <t>CA250052-3_All by Fouta_Stock_UNS1626-20_UNI SURPIQUE_1626_All by Fouta_Stock_UNS1626-20_UNI SURPIQUE_1626</t>
  </si>
  <si>
    <t>CA250052-5_All by Fouta_Stock_UNS1626-20_UNI SURPIQUE_1626_All by Fouta_Stock_UNS1626-20_UNI SURPIQUE_1626</t>
  </si>
  <si>
    <t>CA250021-7_All by Fouta_Stock_UNS2020-03_UNI SURPIQUE_2020_All by Fouta_Stock_UNS2020-03_UNI SURPIQUE_2020</t>
  </si>
  <si>
    <t>CA250051-6_All by Fouta_Stock_UNS1626-19_UNI SURPIQUE_1626_All by Fouta_Stock_UNS1626-19_UNI SURPIQUE_1626</t>
  </si>
  <si>
    <t>CA250051-1_All by Fouta_Stock_UNS1626-19_UNI SURPIQUE_1626_All by Fouta_Stock_UNS1626-19_UNI SURPIQUE_1626</t>
  </si>
  <si>
    <t>CA250052-4_All by Fouta_Stock_UNS1626-20_UNI SURPIQUE_1626_All by Fouta_Stock_UNS1626-20_UNI SURPIQUE_1626</t>
  </si>
  <si>
    <t>CA250051-2_All by Fouta_Stock_UNS1626-19_UNI SURPIQUE_1626_All by Fouta_Stock_UNS1626-19_UNI SURPIQUE_1626</t>
  </si>
  <si>
    <t>CA250049-6_All by Fouta_Stock_UNS1626-17_UNI SURPIQUE_1626_All by Fouta_Stock_UNS1626-17_UNI SURPIQUE_1626</t>
  </si>
  <si>
    <t>CA250047-1_All by Fouta_Stock_UNS1626-13_UNI SURPIQUE_1626_All by Fouta_Stock_UNS1626-13_UNI SURPIQUE_1626</t>
  </si>
  <si>
    <t>CA250052-1_All by Fouta_Stock_UNS1626-20_UNI SURPIQUE_1626_All by Fouta_Stock_UNS1626-20_UNI SURPIQUE_1626</t>
  </si>
  <si>
    <t>CA250052-6_All by Fouta_Stock_UNS1626-20_UNI SURPIQUE_1626_All by Fouta_Stock_UNS1626-20_UNI SURPIQUE_1626</t>
  </si>
  <si>
    <t>CA250047-4_All by Fouta_Stock_UNS1626-13_UNI SURPIQUE_1626_All by Fouta_Stock_UNS1626-13_UNI SURPIQUE_1626</t>
  </si>
  <si>
    <t>CA250049-5_All by Fouta_Stock_UNS1626-17_UNI SURPIQUE_1626_All by Fouta_Stock_UNS1626-17_UNI SURPIQUE_1626</t>
  </si>
  <si>
    <t>CA250019-3_All by Fouta_Stock_UNS1020-32_UNI SURPIQUE_1020_All by Fouta_Stock_UNS1020-32_UNI SURPIQUE_1020</t>
  </si>
  <si>
    <t>CA250023-4_All by Fouta_Stock_UNS2020-06_UNI SURPIQUE_2020_All by Fouta_Stock_UNS2020-06_UNI SURPIQUE_2020</t>
  </si>
  <si>
    <t>CA250037-1_All by Fouta_Stock_UNS2020-30_UNI SURPIQUE_2020_All by Fouta_Stock_UNS2020-30_UNI SURPIQUE_2020</t>
  </si>
  <si>
    <t>CA250037-3_All by Fouta_Stock_UNS2020-30_UNI SURPIQUE_2020_All by Fouta_Stock_UNS2020-30_UNI SURPIQUE_2020</t>
  </si>
  <si>
    <t>CA250037-4_All by Fouta_Stock_UNS2020-30_UNI SURPIQUE_2020_All by Fouta_Stock_UNS2020-30_UNI SURPIQUE_2020</t>
  </si>
  <si>
    <t>CA250037-5_All by Fouta_Stock_UNS2020-30_UNI SURPIQUE_2020_All by Fouta_Stock_UNS2020-30_UNI SURPIQUE_2020</t>
  </si>
  <si>
    <t>CA250051-4_All by Fouta_Stock_UNS1626-19_UNI SURPIQUE_1626_All by Fouta_Stock_UNS1626-19_UNI SURPIQUE_1626</t>
  </si>
  <si>
    <t>CA250037-7_All by Fouta_Stock_UNS2020-30_UNI SURPIQUE_2020_All by Fouta_Stock_UNS2020-30_UNI SURPIQUE_2020</t>
  </si>
  <si>
    <t>CA250051-3_All by Fouta_Stock_UNS1626-19_UNI SURPIQUE_1626_All by Fouta_Stock_UNS1626-19_UNI SURPIQUE_1626</t>
  </si>
  <si>
    <t>CA250047-5_All by Fouta_Stock_UNS1626-13_UNI SURPIQUE_1626_All by Fouta_Stock_UNS1626-13_UNI SURPIQUE_1626</t>
  </si>
  <si>
    <t>CA250038-6_All by Fouta_Stock_UNS2020-31_UNI SURPIQUE_2020_All by Fouta_Stock_UNS2020-31_UNI SURPIQUE_2020</t>
  </si>
  <si>
    <t>CA250037-2_All by Fouta_Stock_UNS2020-30_UNI SURPIQUE_2020_All by Fouta_Stock_UNS2020-30_UNI SURPIQUE_2020</t>
  </si>
  <si>
    <t>CA250037-6_All by Fouta_Stock_UNS2020-30_UNI SURPIQUE_2020_All by Fouta_Stock_UNS2020-30_UNI SURPIQUE_2020</t>
  </si>
  <si>
    <t>CA250038-7_All by Fouta_Stock_UNS2020-31_UNI SURPIQUE_2020_All by Fouta_Stock_UNS2020-31_UNI SURPIQUE_2020</t>
  </si>
  <si>
    <t>CA250036-6_All by Fouta_Stock_UNS2020-27_UNI SURPIQUE_2020_All by Fouta_Stock_UNS2020-27_UNI SURPIQUE_2020</t>
  </si>
  <si>
    <t>CA250056-3_All by Fouta_Stock_UNS1626-27_UNI SURPIQUE_1626_All by Fouta_Stock_UNS1626-27_UNI SURPIQUE_1626</t>
  </si>
  <si>
    <t>CA250016-2_All by Fouta_Stock_UNS1020-27_UNI SURPIQUE_1020_All by Fouta_Stock_UNS1020-27_UNI SURPIQUE_1020</t>
  </si>
  <si>
    <t>CA250019-4_All by Fouta_Stock_UNS1020-32_UNI SURPIQUE_1020_All by Fouta_Stock_UNS1020-32_UNI SURPIQUE_1020</t>
  </si>
  <si>
    <t>CA250056-2_All by Fouta_Stock_UNS1626-27_UNI SURPIQUE_1626_All by Fouta_Stock_UNS1626-27_UNI SURPIQUE_1626</t>
  </si>
  <si>
    <t>CA250016-12_All by Fouta_Stock_UNS1020-27_UNI SURPIQUE_1020_All by Fouta_Stock_UNS1020-27_UNI SURPIQUE_1020</t>
  </si>
  <si>
    <t>CA250016-3_All by Fouta_Stock_UNS1020-27_UNI SURPIQUE_1020_All by Fouta_Stock_UNS1020-27_UNI SURPIQUE_1020</t>
  </si>
  <si>
    <t>CA250038-4_All by Fouta_Stock_UNS2020-31_UNI SURPIQUE_2020_All by Fouta_Stock_UNS2020-31_UNI SURPIQUE_2020</t>
  </si>
  <si>
    <t>CA250038-2_All by Fouta_Stock_UNS2020-31_UNI SURPIQUE_2020_All by Fouta_Stock_UNS2020-31_UNI SURPIQUE_2020</t>
  </si>
  <si>
    <t>CA250016-11_All by Fouta_Stock_UNS1020-27_UNI SURPIQUE_1020_All by Fouta_Stock_UNS1020-27_UNI SURPIQUE_1020</t>
  </si>
  <si>
    <t>CA250052-2_All by Fouta_Stock_UNS1626-20_UNI SURPIQUE_1626_All by Fouta_Stock_UNS1626-20_UNI SURPIQUE_1626</t>
  </si>
  <si>
    <t>CA250038-5_All by Fouta_Stock_UNS2020-31_UNI SURPIQUE_2020_All by Fouta_Stock_UNS2020-31_UNI SURPIQUE_2020</t>
  </si>
  <si>
    <t>CA250038-3_All by Fouta_Stock_UNS2020-31_UNI SURPIQUE_2020_All by Fouta_Stock_UNS2020-31_UNI SURPIQUE_2020</t>
  </si>
  <si>
    <t>CA250016-1_All by Fouta_Stock_UNS1020-27_UNI SURPIQUE_1020_All by Fouta_Stock_UNS1020-27_UNI SURPIQUE_1020</t>
  </si>
  <si>
    <t>CA250016-9_All by Fouta_Stock_UNS1020-27_UNI SURPIQUE_1020_All by Fouta_Stock_UNS1020-27_UNI SURPIQUE_1020</t>
  </si>
  <si>
    <t>CA250016-6_All by Fouta_Stock_UNS1020-27_UNI SURPIQUE_1020_All by Fouta_Stock_UNS1020-27_UNI SURPIQUE_1020</t>
  </si>
  <si>
    <t>CA250019-11_All by Fouta_Stock_UNS1020-32_UNI SURPIQUE_1020_All by Fouta_Stock_UNS1020-32_UNI SURPIQUE_1020</t>
  </si>
  <si>
    <t>CA250019-9_All by Fouta_Stock_UNS1020-32_UNI SURPIQUE_1020_All by Fouta_Stock_UNS1020-32_UNI SURPIQUE_1020</t>
  </si>
  <si>
    <t>CA250052-7_All by Fouta_Stock_UNS1626-20_UNI SURPIQUE_1626_All by Fouta_Stock_UNS1626-20_UNI SURPIQUE_1626</t>
  </si>
  <si>
    <t>CA250019-8_All by Fouta_Stock_UNS1020-32_UNI SURPIQUE_1020_All by Fouta_Stock_UNS1020-32_UNI SURPIQUE_1020</t>
  </si>
  <si>
    <t>CA250016-5_All by Fouta_Stock_UNS1020-27_UNI SURPIQUE_1020_All by Fouta_Stock_UNS1020-27_UNI SURPIQUE_1020</t>
  </si>
  <si>
    <t>CA250016-7_All by Fouta_Stock_UNS1020-27_UNI SURPIQUE_1020_All by Fouta_Stock_UNS1020-27_UNI SURPIQUE_1020</t>
  </si>
  <si>
    <t>CA250016-8_All by Fouta_Stock_UNS1020-27_UNI SURPIQUE_1020_All by Fouta_Stock_UNS1020-27_UNI SURPIQUE_1020</t>
  </si>
  <si>
    <t>CA250056-1_All by Fouta_Stock_UNS1626-27_UNI SURPIQUE_1626_All by Fouta_Stock_UNS1626-27_UNI SURPIQUE_1626</t>
  </si>
  <si>
    <t>CA250019-7_All by Fouta_Stock_UNS1020-32_UNI SURPIQUE_1020_All by Fouta_Stock_UNS1020-32_UNI SURPIQUE_1020</t>
  </si>
  <si>
    <t>CA250019-10_All by Fouta_Stock_UNS1020-32_UNI SURPIQUE_1020_All by Fouta_Stock_UNS1020-32_UNI SURPIQUE_1020</t>
  </si>
  <si>
    <t>STOCK</t>
  </si>
  <si>
    <t>IB2030-B15-09</t>
  </si>
  <si>
    <t>OF230240_All by Fouta_STOCK_IB2030-B07-08_IBIZA_2030</t>
  </si>
  <si>
    <t>OF230242_All by Fouta_STOCK_IB2030-B15-09_IBIZA_2030</t>
  </si>
  <si>
    <t>OF230243_All by Fouta_STOCK_IB2030-B04-02_IBIZA_2030</t>
  </si>
  <si>
    <t>OF230509_All by Fouta_STOCK_DL1020-B31-LuAr_DEGRADER DE LUREX_1020</t>
  </si>
  <si>
    <t>Qte Commander</t>
  </si>
  <si>
    <t>QTE A fabriquer</t>
  </si>
  <si>
    <t>Couleur</t>
  </si>
  <si>
    <t>Code Fabrication</t>
  </si>
  <si>
    <t>Code Couleur</t>
  </si>
  <si>
    <t>C01_BLANC_NM05-01.00_S2023</t>
  </si>
  <si>
    <t>C02_ECRU_NM05-02.00_58733</t>
  </si>
  <si>
    <t>C02_ECRU_NM05-02.00_59839</t>
  </si>
  <si>
    <t>C02_ECRU_NM05-02.00_60083</t>
  </si>
  <si>
    <t>C02_ECRU_NM05-02.00_60473</t>
  </si>
  <si>
    <t>C02_ECRU_NM10-02.00_S2023</t>
  </si>
  <si>
    <t>C02_ECRU_NM15-02.00_61424</t>
  </si>
  <si>
    <t>C02_ECRU_NM20-02.00_S2023</t>
  </si>
  <si>
    <t>C02_ECRU_NM34-02.00_S2024</t>
  </si>
  <si>
    <t>C03_BEIGE _NM05-03.00_53005</t>
  </si>
  <si>
    <t>C03_BEIGE _NM05-03.00_59816</t>
  </si>
  <si>
    <t>C03_BEIGE CLAIR_NM05-03.01_58783</t>
  </si>
  <si>
    <t>C03_BEIGE CLAIR_NM05-03.03_59648</t>
  </si>
  <si>
    <t>C03_BEIGE CLAIRE_NM15-03.00_61559</t>
  </si>
  <si>
    <t>C03_BEIGE _NM15-03.01_61559</t>
  </si>
  <si>
    <t>C03_BEIGE CLAIRE_NM34-03.00_S2024</t>
  </si>
  <si>
    <t>C04_TAUPE_NM05-04.00_S2023</t>
  </si>
  <si>
    <t>C04_BRUN_NM05-04.02_60623</t>
  </si>
  <si>
    <t>C04_NATUREL_NM10-04.01_59630</t>
  </si>
  <si>
    <t>C04_TAUPE_NM15-04.00_S2023</t>
  </si>
  <si>
    <t>C04_NATUREL_NM15-04.01_65437</t>
  </si>
  <si>
    <t>C04_BRUN_NM15-04.02_61439</t>
  </si>
  <si>
    <t>C04_TAUPE_NM34-04.00_S2024</t>
  </si>
  <si>
    <t>C05_MARRON_NM05-05.00_59949</t>
  </si>
  <si>
    <t>C05_MARRON_NM05-05.00_61660</t>
  </si>
  <si>
    <t>C05_MARRON_NM10-05.00_59629</t>
  </si>
  <si>
    <t>C05_MARRON_NM15-05.00_61440</t>
  </si>
  <si>
    <t>C05_TERRA_NM15-05.01_61561</t>
  </si>
  <si>
    <t>C05_MARRON_NM15-05.02_S2023</t>
  </si>
  <si>
    <t>C05_MARRON_NM34-05.00_S2024</t>
  </si>
  <si>
    <t>C06_GRIS CLAIR_NM05-06.00_S2023</t>
  </si>
  <si>
    <t>C06_GRIS CLAIR_NM05-06.00_59935</t>
  </si>
  <si>
    <t>C06_GRIS CLAIR_NM12.02-06.00_S2023</t>
  </si>
  <si>
    <t>C06_GRIS CLAIR_NM14-06.00_60195</t>
  </si>
  <si>
    <t>C06_GRIS CLAIR_NM15-06.00_61428</t>
  </si>
  <si>
    <t>C07_GRIS MOYEN_NM05-07.00_60292</t>
  </si>
  <si>
    <t>C07_GRIS MOYEN_NM05-07.00_60448</t>
  </si>
  <si>
    <t>C07_GRIS MOYEN_NM12-07.00_51595</t>
  </si>
  <si>
    <t>C07_GRIS MOYEN_NM15-07.00_61445</t>
  </si>
  <si>
    <t>C07_GRIS MOYEN_NM15-07.01_S2023</t>
  </si>
  <si>
    <t>C08_GRIS ANTHRACITE_NM10-08.00_61463</t>
  </si>
  <si>
    <t>C08_GRIS ANTHRACITE_NM15-08.00_59358</t>
  </si>
  <si>
    <t>C08_GRIS ANTHRACITE_NM20-08.00_S2022</t>
  </si>
  <si>
    <t>C09_NOIR_NM05-09.00_59713</t>
  </si>
  <si>
    <t>C09_BLEU NUIT_NM10-09.00_59176</t>
  </si>
  <si>
    <t>C09_NOIR_NM14-09.00_59635</t>
  </si>
  <si>
    <t>C10_BLEU MARINE_NM15-10.00_61462</t>
  </si>
  <si>
    <t>C11_BLEU GITANE_NM15-11.00_61659</t>
  </si>
  <si>
    <t>C11_BLEU GITANE_NM15-11.01_54771</t>
  </si>
  <si>
    <t>C12_BLEU JEANS_NM05-12.00_S2023</t>
  </si>
  <si>
    <t>C12_BLEU JEANS_NM12.2-12.00_S2023</t>
  </si>
  <si>
    <t>C12_BLEU DJEAN_NM15-12.00_S2023</t>
  </si>
  <si>
    <t>C12_BLEU DELAVE_NM20-12.00_S2023</t>
  </si>
  <si>
    <t>C12_BLEU JEANS_NM20-12.01_S2023</t>
  </si>
  <si>
    <t>C12_BLEU DELAVE_NM34-12.00_S2024</t>
  </si>
  <si>
    <t>C13_BLEU ROI_NM15-13.00_61519</t>
  </si>
  <si>
    <t>C13_BLEU ROI_NM20-13.00_S2023</t>
  </si>
  <si>
    <t>C14_TURQUOISE_NM05-14.00_60654</t>
  </si>
  <si>
    <t>C14_BLEU TURQUOISE_NM15-14.00_61597</t>
  </si>
  <si>
    <t>C14_BLEU TURQUOISE_NM20-14.01_S2023</t>
  </si>
  <si>
    <t>C15_LAGON_NM15-15.00_61645</t>
  </si>
  <si>
    <t>C15_LAGON_NM20-15.00_S2023</t>
  </si>
  <si>
    <t>C16_BLEU CIEL_NM15-16.00_61533</t>
  </si>
  <si>
    <t>C16_GLACIER_NM15-16.01_61628</t>
  </si>
  <si>
    <t>C16_BLEU CIEL_NM20-16.00_S2023</t>
  </si>
  <si>
    <t>C17_EMAURAUDE_NM15-17.00_61571</t>
  </si>
  <si>
    <t>C17_EMAURAUDE_NM15-17.01_S2022</t>
  </si>
  <si>
    <t>C18_VERT D'EAU CLAIR_NM05-18.01_59842</t>
  </si>
  <si>
    <t>C18_VERT D'EAU _NM15-18.00_61535</t>
  </si>
  <si>
    <t>C19_KAKI CLAIRE_NM15.19.02_S2022</t>
  </si>
  <si>
    <t>C19_CEDRE_NM15-19.00_61471</t>
  </si>
  <si>
    <t>C19_KAKI_NM15-19.01_61602</t>
  </si>
  <si>
    <t>C19_KAKI_NM34-19.01_S2024</t>
  </si>
  <si>
    <t>C20_VERT OLIVE_NM05-20.02_S2023</t>
  </si>
  <si>
    <t>C20_VERT OLIVE_NM15-20.00_S2023</t>
  </si>
  <si>
    <t>C20_VERT OLIVE_NM15-20.01_61652</t>
  </si>
  <si>
    <t>C20_VERT OLIVE_NM34-20.01_S2024</t>
  </si>
  <si>
    <t>C21_KAKI_NM10-21.01_53987</t>
  </si>
  <si>
    <t>C21_VERT PISTACHE_NM15-21.00_61669</t>
  </si>
  <si>
    <t>C21_VERT PISTACHE_NM15-21.01_S2023</t>
  </si>
  <si>
    <t>C21_VERT PISTACHE_NM15-21.02_S2022</t>
  </si>
  <si>
    <t>C22_JAUNE FLUO_NM15-22.00_61540</t>
  </si>
  <si>
    <t>C22_JAUNE CITRON_NM15-22.01_S2023</t>
  </si>
  <si>
    <t>C22_JAUNE CITRON_NM20-22.01_S2022</t>
  </si>
  <si>
    <t>C23_OR_NM15-23.00_61566</t>
  </si>
  <si>
    <t>C23_JAUNE_NM20-23.00_S2022</t>
  </si>
  <si>
    <t>C24_JAUNE SAFRAN_NM15-24.00_61554</t>
  </si>
  <si>
    <t>C25_ORANGE_NM15-25.00_61729</t>
  </si>
  <si>
    <t>C25_ORANGE_NM15-25.00_64414</t>
  </si>
  <si>
    <t>C25_ORANGE_NM15-25.01_S2023</t>
  </si>
  <si>
    <t>C25_ORANGE_NM20-25.01_S2023</t>
  </si>
  <si>
    <t>C26_ROUGE FERRARI_NM05-26.00_49914</t>
  </si>
  <si>
    <t>C26_ROUGE FERRARI_NM15-26.00_61551</t>
  </si>
  <si>
    <t>C27_ROUGE BORDEAU_NM07/2-27.00_60703</t>
  </si>
  <si>
    <t>C27_ROUGE BORDEAU_NM15-27.00_61518</t>
  </si>
  <si>
    <t>C27_ROUGE BORDEAU_NM15-27.01_S2022</t>
  </si>
  <si>
    <t>C28_FRAMBOISE_NM15-28.00_S2022</t>
  </si>
  <si>
    <t>C28_FRAMBOISE_NM15-28.01_61639</t>
  </si>
  <si>
    <t>C29_FUSHIA_NM15-29.00_61549</t>
  </si>
  <si>
    <t>C29_FUSHIA_NM15-29.01_S2023</t>
  </si>
  <si>
    <t>C29_FUSHIA_NM20-29.01_S2023</t>
  </si>
  <si>
    <t>C30_PRALINE_NM15-30.00_61570</t>
  </si>
  <si>
    <t>C31_SAUMON_NM15-31.00_61434</t>
  </si>
  <si>
    <t>C32_ROSE LOTUS_NM05-32.01_59815</t>
  </si>
  <si>
    <t>C32_ROSE CLAIR_NM05-32.02_56218</t>
  </si>
  <si>
    <t>C32_VIEUX ROSE_NM15-32.00_61455</t>
  </si>
  <si>
    <t>C32_ROSE BB_NM15-32.02_S2023</t>
  </si>
  <si>
    <t>C32_ROSE PALE_NM20-32-02_S2022</t>
  </si>
  <si>
    <t>C33_LILA_NM15-33.00_S2023</t>
  </si>
  <si>
    <t>C34_VIOLET_NM15-34.00_S2023</t>
  </si>
  <si>
    <t>CH_Ecru_CH2/40CE_A220324523/2</t>
  </si>
  <si>
    <t>CH_Ecru_CH2/50CE_24580001</t>
  </si>
  <si>
    <t>CH_Ecru_CH2/50CE_A221030545/2</t>
  </si>
  <si>
    <t>CH_Noir_CH2/50PN_400722.5</t>
  </si>
  <si>
    <t>CLin_LIN Claire_NM20-LinC_S2018</t>
  </si>
  <si>
    <t>CLin_LIN Fonce_NM20-LinF_S2018</t>
  </si>
  <si>
    <t>CLin_LIN Moyen_NM20-LinM_S2018</t>
  </si>
  <si>
    <t>CLuAr_LUREX ARGENT_LuAr_S2023</t>
  </si>
  <si>
    <t>CLuDo_LUREX DORE_LuDo_S2023</t>
  </si>
  <si>
    <t>CH_Blanc_CH2/50VB_18950002</t>
  </si>
  <si>
    <t>C01_BLANC_NM15-01.00_62721</t>
  </si>
  <si>
    <t>C06_GRIS CLAIR_NM15-06.00_61828</t>
  </si>
  <si>
    <t>C19_CEDRE_NM15-19.00_51471</t>
  </si>
  <si>
    <t>C16_BLEU CIEL_NM15-16.00_61532</t>
  </si>
  <si>
    <t>C09_NOIR_NM15-09.00_S2023</t>
  </si>
  <si>
    <t>C19_KAKI_NM15-19.01_S2024</t>
  </si>
  <si>
    <t>CH_Ecru_CH2/50CE_24580002</t>
  </si>
  <si>
    <t>C18_VERT D'EAU CLAIR_NM15-18.01_S2023</t>
  </si>
  <si>
    <t>QR 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</si>
</sst>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\ h:mm;@"/>
    <numFmt numFmtId="165" formatCode="0.000"/>
  </numFmts>
  <fonts count="10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u/>
      <sz val="10"/>
      <color theme="10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4">
    <xf numFmtId="0" fontId="0" fillId="0" borderId="0" xfId="0"/>
    <xf numFmtId="0" fontId="0" fillId="0" borderId="0" xfId="0" applyAlignment="1">
      <alignment horizontal="left"/>
    </xf>
    <xf numFmtId="0" fontId="2" fillId="0" borderId="8" xfId="0" applyFont="1" applyBorder="1" applyAlignment="1">
      <alignment horizontal="left" wrapText="1"/>
    </xf>
    <xf numFmtId="0" fontId="2" fillId="0" borderId="10" xfId="0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0" fillId="0" borderId="0" xfId="0" applyAlignment="1">
      <alignment horizontal="left" wrapText="1"/>
    </xf>
    <xf numFmtId="0" fontId="4" fillId="2" borderId="2" xfId="0" applyFont="1" applyFill="1" applyBorder="1" applyAlignment="1">
      <alignment horizontal="left" wrapText="1"/>
    </xf>
    <xf numFmtId="0" fontId="4" fillId="2" borderId="3" xfId="0" applyFont="1" applyFill="1" applyBorder="1" applyAlignment="1">
      <alignment horizontal="left" wrapText="1"/>
    </xf>
    <xf numFmtId="22" fontId="4" fillId="2" borderId="3" xfId="0" applyNumberFormat="1" applyFont="1" applyFill="1" applyBorder="1" applyAlignment="1">
      <alignment horizontal="left" wrapText="1"/>
    </xf>
    <xf numFmtId="22" fontId="4" fillId="2" borderId="4" xfId="0" applyNumberFormat="1" applyFont="1" applyFill="1" applyBorder="1" applyAlignment="1">
      <alignment horizontal="left" wrapText="1"/>
    </xf>
    <xf numFmtId="0" fontId="5" fillId="2" borderId="10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1" fontId="2" fillId="0" borderId="1" xfId="0" applyNumberFormat="1" applyFont="1" applyBorder="1" applyAlignment="1">
      <alignment horizontal="left"/>
    </xf>
    <xf numFmtId="164" fontId="2" fillId="0" borderId="1" xfId="0" applyNumberFormat="1" applyFont="1" applyBorder="1" applyAlignment="1">
      <alignment horizontal="left"/>
    </xf>
    <xf numFmtId="22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left"/>
    </xf>
    <xf numFmtId="14" fontId="0" fillId="0" borderId="0" xfId="0" applyNumberFormat="1"/>
    <xf numFmtId="0" fontId="5" fillId="3" borderId="1" xfId="0" applyFont="1" applyFill="1" applyBorder="1" applyAlignment="1">
      <alignment horizontal="left"/>
    </xf>
    <xf numFmtId="1" fontId="5" fillId="3" borderId="1" xfId="0" applyNumberFormat="1" applyFont="1" applyFill="1" applyBorder="1" applyAlignment="1">
      <alignment horizontal="left"/>
    </xf>
    <xf numFmtId="22" fontId="5" fillId="3" borderId="1" xfId="0" applyNumberFormat="1" applyFont="1" applyFill="1" applyBorder="1" applyAlignment="1">
      <alignment horizontal="left"/>
    </xf>
    <xf numFmtId="14" fontId="5" fillId="3" borderId="1" xfId="0" applyNumberFormat="1" applyFont="1" applyFill="1" applyBorder="1" applyAlignment="1">
      <alignment horizontal="left"/>
    </xf>
    <xf numFmtId="22" fontId="5" fillId="0" borderId="1" xfId="0" applyNumberFormat="1" applyFont="1" applyBorder="1" applyAlignment="1">
      <alignment horizontal="left"/>
    </xf>
    <xf numFmtId="14" fontId="5" fillId="0" borderId="1" xfId="0" applyNumberFormat="1" applyFont="1" applyBorder="1" applyAlignment="1">
      <alignment horizontal="left"/>
    </xf>
    <xf numFmtId="1" fontId="5" fillId="0" borderId="5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0" fontId="2" fillId="0" borderId="3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22" fontId="2" fillId="0" borderId="6" xfId="0" applyNumberFormat="1" applyFont="1" applyBorder="1" applyAlignment="1">
      <alignment horizontal="left"/>
    </xf>
    <xf numFmtId="1" fontId="2" fillId="0" borderId="6" xfId="0" applyNumberFormat="1" applyFont="1" applyBorder="1" applyAlignment="1">
      <alignment horizontal="left"/>
    </xf>
    <xf numFmtId="0" fontId="0" fillId="2" borderId="0" xfId="0" applyFill="1" applyAlignment="1">
      <alignment horizontal="left" wrapText="1"/>
    </xf>
    <xf numFmtId="22" fontId="0" fillId="2" borderId="0" xfId="0" applyNumberFormat="1" applyFill="1" applyAlignment="1">
      <alignment horizontal="left" wrapText="1"/>
    </xf>
    <xf numFmtId="0" fontId="5" fillId="0" borderId="0" xfId="0" applyFont="1" applyAlignment="1">
      <alignment horizontal="left"/>
    </xf>
    <xf numFmtId="1" fontId="5" fillId="0" borderId="0" xfId="0" applyNumberFormat="1" applyFont="1" applyAlignment="1">
      <alignment horizontal="left"/>
    </xf>
    <xf numFmtId="164" fontId="5" fillId="0" borderId="0" xfId="0" applyNumberFormat="1" applyFont="1" applyAlignment="1">
      <alignment horizontal="left"/>
    </xf>
    <xf numFmtId="0" fontId="5" fillId="5" borderId="0" xfId="0" applyFont="1" applyFill="1" applyAlignment="1">
      <alignment horizontal="left"/>
    </xf>
    <xf numFmtId="1" fontId="5" fillId="5" borderId="0" xfId="0" applyNumberFormat="1" applyFont="1" applyFill="1" applyAlignment="1">
      <alignment horizontal="left"/>
    </xf>
    <xf numFmtId="22" fontId="5" fillId="5" borderId="0" xfId="0" applyNumberFormat="1" applyFont="1" applyFill="1" applyAlignment="1">
      <alignment horizontal="left"/>
    </xf>
    <xf numFmtId="164" fontId="5" fillId="5" borderId="0" xfId="0" applyNumberFormat="1" applyFont="1" applyFill="1" applyAlignment="1">
      <alignment horizontal="left"/>
    </xf>
    <xf numFmtId="1" fontId="5" fillId="3" borderId="5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14" fontId="5" fillId="2" borderId="1" xfId="0" applyNumberFormat="1" applyFont="1" applyFill="1" applyBorder="1" applyAlignment="1">
      <alignment horizontal="left" wrapText="1"/>
    </xf>
    <xf numFmtId="0" fontId="5" fillId="2" borderId="3" xfId="0" applyFont="1" applyFill="1" applyBorder="1" applyAlignment="1">
      <alignment horizontal="left" wrapText="1"/>
    </xf>
    <xf numFmtId="0" fontId="5" fillId="0" borderId="14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165" fontId="5" fillId="0" borderId="9" xfId="0" applyNumberFormat="1" applyFont="1" applyBorder="1" applyAlignment="1">
      <alignment horizontal="left"/>
    </xf>
    <xf numFmtId="164" fontId="5" fillId="0" borderId="15" xfId="0" applyNumberFormat="1" applyFont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165" fontId="5" fillId="0" borderId="17" xfId="0" applyNumberFormat="1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49" fontId="5" fillId="0" borderId="9" xfId="0" applyNumberFormat="1" applyFont="1" applyBorder="1" applyAlignment="1">
      <alignment horizontal="left"/>
    </xf>
    <xf numFmtId="49" fontId="5" fillId="0" borderId="17" xfId="0" applyNumberFormat="1" applyFont="1" applyBorder="1" applyAlignment="1">
      <alignment horizontal="left"/>
    </xf>
    <xf numFmtId="164" fontId="5" fillId="0" borderId="18" xfId="0" applyNumberFormat="1" applyFont="1" applyBorder="1" applyAlignment="1">
      <alignment horizontal="left"/>
    </xf>
    <xf numFmtId="22" fontId="5" fillId="0" borderId="15" xfId="0" applyNumberFormat="1" applyFont="1" applyBorder="1" applyAlignment="1">
      <alignment horizontal="left"/>
    </xf>
    <xf numFmtId="22" fontId="5" fillId="0" borderId="18" xfId="0" applyNumberFormat="1" applyFont="1" applyBorder="1" applyAlignment="1">
      <alignment horizontal="left"/>
    </xf>
    <xf numFmtId="0" fontId="5" fillId="0" borderId="9" xfId="0" applyFont="1" applyBorder="1" applyAlignment="1">
      <alignment horizontal="left" wrapText="1"/>
    </xf>
    <xf numFmtId="0" fontId="6" fillId="0" borderId="9" xfId="1" applyFont="1" applyBorder="1" applyAlignment="1">
      <alignment horizontal="left" wrapText="1"/>
    </xf>
    <xf numFmtId="164" fontId="5" fillId="0" borderId="9" xfId="0" applyNumberFormat="1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5" fillId="0" borderId="17" xfId="0" applyFont="1" applyBorder="1" applyAlignment="1">
      <alignment horizontal="left" wrapText="1"/>
    </xf>
    <xf numFmtId="0" fontId="5" fillId="0" borderId="6" xfId="0" applyFont="1" applyBorder="1" applyAlignment="1">
      <alignment horizontal="left"/>
    </xf>
    <xf numFmtId="1" fontId="5" fillId="0" borderId="6" xfId="0" applyNumberFormat="1" applyFont="1" applyBorder="1" applyAlignment="1">
      <alignment horizontal="left"/>
    </xf>
    <xf numFmtId="22" fontId="5" fillId="0" borderId="6" xfId="0" applyNumberFormat="1" applyFont="1" applyBorder="1" applyAlignment="1">
      <alignment horizontal="left"/>
    </xf>
    <xf numFmtId="14" fontId="5" fillId="0" borderId="6" xfId="0" applyNumberFormat="1" applyFont="1" applyBorder="1" applyAlignment="1">
      <alignment horizontal="left"/>
    </xf>
    <xf numFmtId="164" fontId="5" fillId="0" borderId="1" xfId="0" applyNumberFormat="1" applyFont="1" applyBorder="1" applyAlignment="1">
      <alignment horizontal="left"/>
    </xf>
    <xf numFmtId="164" fontId="5" fillId="0" borderId="6" xfId="0" applyNumberFormat="1" applyFont="1" applyBorder="1" applyAlignment="1">
      <alignment horizontal="left"/>
    </xf>
    <xf numFmtId="0" fontId="0" fillId="6" borderId="11" xfId="0" applyFill="1" applyBorder="1" applyAlignment="1">
      <alignment horizontal="left"/>
    </xf>
    <xf numFmtId="0" fontId="0" fillId="6" borderId="12" xfId="0" applyFill="1" applyBorder="1" applyAlignment="1">
      <alignment horizontal="left"/>
    </xf>
    <xf numFmtId="0" fontId="0" fillId="6" borderId="13" xfId="0" applyFill="1" applyBorder="1" applyAlignment="1">
      <alignment horizontal="left"/>
    </xf>
    <xf numFmtId="0" fontId="5" fillId="0" borderId="14" xfId="0" applyFont="1" applyBorder="1"/>
    <xf numFmtId="0" fontId="5" fillId="0" borderId="9" xfId="0" applyFont="1" applyBorder="1"/>
    <xf numFmtId="22" fontId="5" fillId="0" borderId="15" xfId="0" applyNumberFormat="1" applyFont="1" applyBorder="1"/>
    <xf numFmtId="0" fontId="5" fillId="0" borderId="16" xfId="0" applyFont="1" applyBorder="1"/>
    <xf numFmtId="0" fontId="5" fillId="0" borderId="17" xfId="0" applyFont="1" applyBorder="1"/>
    <xf numFmtId="0" fontId="0" fillId="6" borderId="11" xfId="0" applyFill="1" applyBorder="1"/>
    <xf numFmtId="0" fontId="0" fillId="6" borderId="12" xfId="0" applyFill="1" applyBorder="1"/>
    <xf numFmtId="0" fontId="0" fillId="6" borderId="12" xfId="0" applyFill="1" applyBorder="1" applyAlignment="1">
      <alignment wrapText="1"/>
    </xf>
    <xf numFmtId="0" fontId="0" fillId="6" borderId="13" xfId="0" applyFill="1" applyBorder="1"/>
    <xf numFmtId="0" fontId="5" fillId="0" borderId="3" xfId="0" applyFont="1" applyBorder="1" applyAlignment="1">
      <alignment horizontal="left"/>
    </xf>
    <xf numFmtId="0" fontId="0" fillId="2" borderId="19" xfId="0" applyFill="1" applyBorder="1" applyAlignment="1">
      <alignment horizontal="left" wrapText="1"/>
    </xf>
    <xf numFmtId="0" fontId="5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wrapText="1"/>
    </xf>
    <xf numFmtId="0" fontId="2" fillId="6" borderId="12" xfId="0" applyFont="1" applyFill="1" applyBorder="1" applyAlignment="1">
      <alignment horizontal="left"/>
    </xf>
    <xf numFmtId="0" fontId="5" fillId="0" borderId="12" xfId="0" applyFont="1" applyBorder="1"/>
    <xf numFmtId="0" fontId="2" fillId="6" borderId="12" xfId="0" applyFont="1" applyFill="1" applyBorder="1" applyAlignment="1">
      <alignment horizontal="left" wrapText="1"/>
    </xf>
    <xf numFmtId="0" fontId="2" fillId="0" borderId="3" xfId="0" applyFont="1" applyBorder="1" applyAlignment="1">
      <alignment horizontal="left"/>
    </xf>
    <xf numFmtId="2" fontId="2" fillId="0" borderId="3" xfId="0" applyNumberFormat="1" applyFont="1" applyBorder="1" applyAlignment="1">
      <alignment horizontal="left" wrapText="1"/>
    </xf>
    <xf numFmtId="2" fontId="2" fillId="0" borderId="1" xfId="0" applyNumberFormat="1" applyFont="1" applyBorder="1" applyAlignment="1">
      <alignment horizontal="left"/>
    </xf>
    <xf numFmtId="2" fontId="2" fillId="0" borderId="6" xfId="0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0" fontId="5" fillId="6" borderId="10" xfId="0" applyFont="1" applyFill="1" applyBorder="1" applyAlignment="1">
      <alignment horizontal="left" wrapText="1"/>
    </xf>
    <xf numFmtId="0" fontId="5" fillId="6" borderId="7" xfId="0" applyFont="1" applyFill="1" applyBorder="1" applyAlignment="1">
      <alignment horizontal="left" wrapText="1"/>
    </xf>
    <xf numFmtId="0" fontId="7" fillId="0" borderId="1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9" fillId="2" borderId="12" xfId="0" applyFont="1" applyFill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49" fontId="7" fillId="0" borderId="6" xfId="0" applyNumberFormat="1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5" borderId="0" xfId="0" applyFont="1" applyFill="1" applyAlignment="1">
      <alignment horizontal="left"/>
    </xf>
    <xf numFmtId="0" fontId="7" fillId="0" borderId="0" xfId="0" applyFont="1" applyAlignment="1">
      <alignment horizontal="left"/>
    </xf>
    <xf numFmtId="0" fontId="7" fillId="3" borderId="1" xfId="0" applyFont="1" applyFill="1" applyBorder="1" applyAlignment="1">
      <alignment horizontal="left"/>
    </xf>
    <xf numFmtId="164" fontId="5" fillId="0" borderId="9" xfId="0" applyNumberFormat="1" applyFont="1" applyBorder="1" applyAlignment="1">
      <alignment horizontal="left"/>
    </xf>
    <xf numFmtId="164" fontId="5" fillId="0" borderId="17" xfId="0" applyNumberFormat="1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164" fontId="5" fillId="0" borderId="12" xfId="0" applyNumberFormat="1" applyFont="1" applyBorder="1" applyAlignment="1">
      <alignment horizontal="left"/>
    </xf>
    <xf numFmtId="0" fontId="8" fillId="0" borderId="11" xfId="0" applyFont="1" applyBorder="1" applyAlignment="1">
      <alignment horizontal="left" wrapText="1"/>
    </xf>
    <xf numFmtId="0" fontId="8" fillId="0" borderId="12" xfId="0" applyFont="1" applyBorder="1" applyAlignment="1">
      <alignment horizontal="left" wrapText="1"/>
    </xf>
    <xf numFmtId="0" fontId="8" fillId="0" borderId="13" xfId="0" applyFont="1" applyBorder="1" applyAlignment="1">
      <alignment horizontal="left" wrapText="1"/>
    </xf>
    <xf numFmtId="0" fontId="8" fillId="6" borderId="13" xfId="0" applyFont="1" applyFill="1" applyBorder="1" applyAlignment="1">
      <alignment horizontal="left"/>
    </xf>
    <xf numFmtId="0" fontId="8" fillId="6" borderId="12" xfId="0" applyFont="1" applyFill="1" applyBorder="1" applyAlignment="1">
      <alignment horizontal="left" wrapText="1"/>
    </xf>
    <xf numFmtId="0" fontId="5" fillId="6" borderId="12" xfId="0" applyFont="1" applyFill="1" applyBorder="1" applyAlignment="1">
      <alignment horizontal="left" wrapText="1"/>
    </xf>
    <xf numFmtId="0" fontId="0" fillId="4" borderId="8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6" xfId="0" applyBorder="1" applyAlignment="1">
      <alignment horizontal="left"/>
    </xf>
    <xf numFmtId="0" fontId="5" fillId="0" borderId="10" xfId="0" applyFont="1" applyBorder="1" applyAlignment="1">
      <alignment horizontal="left"/>
    </xf>
  </cellXfs>
  <cellStyles count="2">
    <cellStyle name="Lien hypertexte" xfId="1" builtinId="8"/>
    <cellStyle name="Normal" xfId="0" builtinId="0"/>
  </cellStyles>
  <dxfs count="210">
    <dxf>
      <font>
        <b/>
      </font>
      <numFmt numFmtId="0" formatCode="General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numFmt numFmtId="0" formatCode="General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" formatCode="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27" formatCode="dd/mm/yyyy\ hh:mm"/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relativeIndent="-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font>
        <b/>
      </font>
      <alignment horizontal="left" vertical="bottom" relativeIndent="-1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z val="10"/>
      </font>
      <numFmt numFmtId="0" formatCode="General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z val="10"/>
      </font>
      <border diagonalUp="0" diagonalDown="0">
        <left style="thin">
          <color auto="1"/>
        </left>
        <right/>
        <top style="double">
          <color auto="1"/>
        </top>
        <bottom style="double">
          <color auto="1"/>
        </bottom>
      </border>
    </dxf>
    <dxf>
      <font>
        <b/>
        <sz val="10"/>
      </font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z val="10"/>
      </font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z val="10"/>
      </font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z val="10"/>
      </font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z val="10"/>
      </font>
      <border diagonalUp="0" diagonalDown="0">
        <left/>
        <right style="thin">
          <color auto="1"/>
        </right>
        <top style="double">
          <color auto="1"/>
        </top>
        <bottom style="double">
          <color auto="1"/>
        </bottom>
      </border>
    </dxf>
    <dxf>
      <border>
        <top style="double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z val="10"/>
      </font>
    </dxf>
    <dxf>
      <border>
        <bottom style="double">
          <color auto="1"/>
        </bottom>
      </border>
    </dxf>
    <dxf>
      <fill>
        <patternFill patternType="solid">
          <fgColor indexed="64"/>
          <bgColor theme="4" tint="0.79998168889431442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double">
          <color auto="1"/>
        </horizontal>
      </border>
    </dxf>
    <dxf>
      <font>
        <b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  <numFmt numFmtId="1" formatCode="0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double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</font>
      <alignment horizontal="left" vertical="bottom" textRotation="0" wrapText="0" indent="0" justifyLastLine="0" shrinkToFit="0" readingOrder="0"/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9" formatCode="dd/mm/yyyy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7" formatCode="dd/mm/yyyy\ hh:mm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theme="9" tint="0.79998168889431442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" formatCode="0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numFmt numFmtId="30" formatCode="@"/>
      <fill>
        <patternFill patternType="none"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/>
        <top style="double">
          <color auto="1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7" formatCode="dd/mm/yyyy\ hh:mm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8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double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>
        <bottom style="double">
          <color auto="1"/>
        </bottom>
      </border>
    </dxf>
    <dxf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27" formatCode="dd/mm/yyyy\ hh:mm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double">
          <color indexed="64"/>
        </top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4" formatCode="d/m/yy\ h:mm;@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165" formatCode="0.000"/>
      <alignment horizontal="left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indexed="64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double">
          <color auto="1"/>
        </top>
        <bottom style="double">
          <color auto="1"/>
        </bottom>
      </border>
    </dxf>
    <dxf>
      <border>
        <top style="double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double">
          <color auto="1"/>
        </top>
        <bottom style="double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border>
        <bottom style="double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sz val="10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numFmt numFmtId="0" formatCode="General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numFmt numFmtId="164" formatCode="d/m/yy\ h:mm;@"/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ouble">
          <color indexed="64"/>
        </top>
        <bottom style="double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z val="10"/>
      </font>
      <alignment horizontal="left" vertical="bottom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microsoft.com/office/2022/10/relationships/richValueRel" Target="richData/richValueRel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2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5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9086C2-C413-47E2-A6DB-9EA0868CB9DB}" name="coordonnee_st" displayName="coordonnee_st" ref="A1:L43" totalsRowShown="0" headerRowDxfId="209" dataDxfId="207" headerRowBorderDxfId="208" tableBorderDxfId="206" totalsRowBorderDxfId="205">
  <autoFilter ref="A1:L43" xr:uid="{B39086C2-C413-47E2-A6DB-9EA0868CB9DB}"/>
  <tableColumns count="12">
    <tableColumn id="1" xr3:uid="{7F95C8F2-4478-4A90-972C-D3026D88B9AA}" name="NOM" dataDxfId="204"/>
    <tableColumn id="2" xr3:uid="{82D95409-362F-4C59-B082-8657D67A25B7}" name="PRENOM" dataDxfId="203"/>
    <tableColumn id="3" xr3:uid="{C44A562E-040A-4637-A656-9F14A724AF89}" name="NUM DE TEL" dataDxfId="202"/>
    <tableColumn id="4" xr3:uid="{4A7C3B96-5193-4872-B8F2-A00C5EB39774}" name="SERVICE" dataDxfId="201"/>
    <tableColumn id="5" xr3:uid="{D213C071-1431-402B-8D83-D0FC8AFA52CB}" name="ADRESSE" dataDxfId="200"/>
    <tableColumn id="6" xr3:uid="{8C4CD4CD-196D-4661-9580-5B2BBA42710E}" name="RECTO CIN" dataDxfId="199"/>
    <tableColumn id="7" xr3:uid="{CCB4B613-E29E-4606-995F-B0DCD6B13576}" name="VERSO CIN" dataDxfId="198"/>
    <tableColumn id="8" xr3:uid="{087DE81D-53D1-412C-8EA8-9E0D59C51E9D}" name="NOTE" dataDxfId="197"/>
    <tableColumn id="9" xr3:uid="{05555874-C890-4E3E-974D-ED28EC73A38E}" name="TERMINAL" dataDxfId="196"/>
    <tableColumn id="10" xr3:uid="{F99F1240-9924-42FE-B690-D223742D2A40}" name="DATE" dataDxfId="195"/>
    <tableColumn id="11" xr3:uid="{CC263DB6-E69E-4A14-8144-FA41F82CBA4E}" name="Identification" dataDxfId="194">
      <calculatedColumnFormula>coordonnee_st[[#This Row],[PRENOM]]&amp;coordonnee_st[[#This Row],[NOM]]</calculatedColumnFormula>
    </tableColumn>
    <tableColumn id="12" xr3:uid="{D049BFC2-A59B-4788-A455-BCC24630BD24}" name="Contrôle Saisis" dataDxfId="193">
      <calculatedColumnFormula>IF(
   COUNTIFS($K$2:K2,K2
           )&gt;1,
   "Doublon",
   "Correcte"
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36DB047-AF44-41F5-98D1-40648347B81B}" name="mouvementmp" displayName="mouvementmp" ref="A1:V558" totalsRowShown="0" headerRowDxfId="192" dataDxfId="190" headerRowBorderDxfId="191" tableBorderDxfId="189" totalsRowBorderDxfId="188">
  <autoFilter ref="A1:V558" xr:uid="{A36DB047-AF44-41F5-98D1-40648347B81B}"/>
  <tableColumns count="22">
    <tableColumn id="1" xr3:uid="{2D7DF398-40B0-46E3-A096-F522C3E70974}" name="QR Fabrication" dataDxfId="187"/>
    <tableColumn id="2" xr3:uid="{99C33DF9-6E3D-4FD8-86A7-25E2B93B401D}" name="QR MP" dataDxfId="186"/>
    <tableColumn id="3" xr3:uid="{910C633A-0748-40EF-9C3D-103CF412A668}" name="Type D'opération" dataDxfId="185"/>
    <tableColumn id="4" xr3:uid="{9FF38DEA-D436-4673-AA11-58348FBBD482}" name="Depart" dataDxfId="184"/>
    <tableColumn id="5" xr3:uid="{994813BC-47B5-462D-9049-59D5E93CA049}" name="Destination" dataDxfId="183"/>
    <tableColumn id="6" xr3:uid="{A5BE925C-A6BF-47CA-9172-A8740C460769}" name="Poids" dataDxfId="182"/>
    <tableColumn id="7" xr3:uid="{D5BD4353-8B73-4AD0-891E-F379B54FE5EE}" name="Photo" dataDxfId="181"/>
    <tableColumn id="8" xr3:uid="{0C958D25-B170-4707-A47B-50902B3E435D}" name="Note" dataDxfId="180"/>
    <tableColumn id="9" xr3:uid="{2D2213B5-629E-4B8D-8F97-E32429589340}" name="Terminal" dataDxfId="179"/>
    <tableColumn id="10" xr3:uid="{F51D491F-5393-4374-86CC-C56EF33B7587}" name="Date" dataDxfId="178"/>
    <tableColumn id="11" xr3:uid="{06B55C4D-055F-4B73-AD35-F406AF73B681}" name="Code Couleur" dataDxfId="177">
      <calculatedColumnFormula>INDEX(_xlfn.TEXTSPLIT(mouvementmp[[#This Row],[QR MP]],"_"),1,1)</calculatedColumnFormula>
    </tableColumn>
    <tableColumn id="17" xr3:uid="{BB2758EB-49CF-4376-93DB-7BC1C9CF140E}" name="Couleur" dataDxfId="176">
      <calculatedColumnFormula>INDEX(_xlfn.TEXTSPLIT(mouvementmp[[#This Row],[QR MP]],"_"),1,2)</calculatedColumnFormula>
    </tableColumn>
    <tableColumn id="12" xr3:uid="{8E1A0243-01D7-4A34-8345-A7A8B2D90B42}" name="Code Fabrication" dataDxfId="175">
      <calculatedColumnFormula>INDEX(_xlfn.TEXTSPLIT(mouvementmp[[#This Row],[QR MP]],"_"),1,3)</calculatedColumnFormula>
    </tableColumn>
    <tableColumn id="13" xr3:uid="{BB688805-AD9E-4CA0-B137-4C8B667FD6A4}" name="Num de Lot" dataDxfId="174">
      <calculatedColumnFormula>INDEX(_xlfn.TEXTSPLIT(mouvementmp[[#This Row],[QR MP]],"_"),1,4)</calculatedColumnFormula>
    </tableColumn>
    <tableColumn id="14" xr3:uid="{AB322EE2-43FB-458D-B6BE-B29E506F76E7}" name="Mouvement" dataDxfId="173">
      <calculatedColumnFormula>-mouvementmp[[#This Row],[Poids]]</calculatedColumnFormula>
    </tableColumn>
    <tableColumn id="15" xr3:uid="{EE28F980-F5AF-48D1-B5CE-FFD0803A4C01}" name="Contrôle Saisis" dataDxfId="172">
      <calculatedColumnFormula>IF(
   COUNTIFS($A$2:A2,A2,
             $B$2:B2,B2,
             $C$2:C2,C2,
             $D$2:D2,D2,
             $E$2:E2,E2,
             $F$2:F2,F2,
              $J$2:J2,J2)&gt;1,
   "Doublon",
   "Correcte"
)</calculatedColumnFormula>
    </tableColumn>
    <tableColumn id="16" xr3:uid="{E6379C20-CB49-4C40-A64B-13BC5D0608A7}" name="Num OF" dataDxfId="171">
      <calculatedColumnFormula>IF(mouvementmp[[#This Row],[QR Fabrication]]&lt;&gt;"",INDEX(_xlfn.TEXTSPLIT(mouvementmp[[#This Row],[QR Fabrication]],"_"),1,1),"")</calculatedColumnFormula>
    </tableColumn>
    <tableColumn id="18" xr3:uid="{FA246985-2642-48C4-9A39-D9E12597B493}" name="Num Client" dataDxfId="170">
      <calculatedColumnFormula>IF(mouvementmp[[#This Row],[QR Fabrication]]&lt;&gt;"",INDEX(_xlfn.TEXTSPLIT(mouvementmp[[#This Row],[QR Fabrication]],"_"),1,2),"")</calculatedColumnFormula>
    </tableColumn>
    <tableColumn id="19" xr3:uid="{6337327F-123F-4F35-B0E1-70F6AA88E28D}" name="Num Commande" dataDxfId="169">
      <calculatedColumnFormula>IF(mouvementmp[[#This Row],[QR Fabrication]]&lt;&gt;"",INDEX(_xlfn.TEXTSPLIT(mouvementmp[[#This Row],[QR Fabrication]],"_"),1,3),"")</calculatedColumnFormula>
    </tableColumn>
    <tableColumn id="20" xr3:uid="{2DE1054B-699C-43AF-9CA4-E26297C2A5F3}" name="Ref Commercial" dataDxfId="168">
      <calculatedColumnFormula>IF(mouvementmp[[#This Row],[QR Fabrication]]&lt;&gt;"",INDEX(_xlfn.TEXTSPLIT(mouvementmp[[#This Row],[QR Fabrication]],"_"),1,4),"")</calculatedColumnFormula>
    </tableColumn>
    <tableColumn id="21" xr3:uid="{5A4F437E-10D9-43CD-A333-DF20A4EE87FB}" name="Modèle" dataDxfId="167">
      <calculatedColumnFormula>IF(mouvementmp[[#This Row],[QR Fabrication]]&lt;&gt;"",INDEX(_xlfn.TEXTSPLIT(mouvementmp[[#This Row],[QR Fabrication]],"_"),1,5),"")</calculatedColumnFormula>
    </tableColumn>
    <tableColumn id="22" xr3:uid="{DD6E0DFF-CAE3-4F42-BB67-46B720EED6EA}" name="Dimensions" dataDxfId="166">
      <calculatedColumnFormula>IF(mouvementmp[[#This Row],[QR Fabrication]]&lt;&gt;"",_xlfn.TEXTAFTER(mouvementmp[[#This Row],[QR Fabrication]],"_",5),"")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D47512E-6350-400C-A694-40ECC13CDD0E}" name="mouvement_fourniture" displayName="mouvement_fourniture" ref="A1:M67" totalsRowShown="0" headerRowDxfId="165" dataDxfId="163" headerRowBorderDxfId="164" tableBorderDxfId="162">
  <autoFilter ref="A1:M67" xr:uid="{4D47512E-6350-400C-A694-40ECC13CDD0E}"/>
  <tableColumns count="13">
    <tableColumn id="16" xr3:uid="{EDD99A20-592D-4D62-869C-85ADF1F5AB1C}" name="QR Commande" dataDxfId="161"/>
    <tableColumn id="2" xr3:uid="{40FB0732-1DD4-4FCB-8863-2660C9368DE8}" name="Code" dataDxfId="160"/>
    <tableColumn id="3" xr3:uid="{736FF457-318D-4B11-A1EB-FE79D36AA3C1}" name="Type D'opération" dataDxfId="159"/>
    <tableColumn id="6" xr3:uid="{41771462-FBE2-426B-B837-96AEEEA33793}" name="Qte" dataDxfId="158"/>
    <tableColumn id="7" xr3:uid="{E3289C57-5DEC-44E6-84EF-C8A42366E637}" name="Photo" dataDxfId="157"/>
    <tableColumn id="8" xr3:uid="{901B54F9-5993-40D4-941E-1D12FDE1B9B4}" name="Note" dataDxfId="156"/>
    <tableColumn id="9" xr3:uid="{7E8DF242-130D-45DC-8BB9-FCA65BF489DE}" name="Terminal" dataDxfId="155"/>
    <tableColumn id="10" xr3:uid="{D4CCD273-9BC6-42D3-8439-E8B65FB2E98D}" name="Date" dataDxfId="154"/>
    <tableColumn id="15" xr3:uid="{2B942E97-12D2-4B54-9FCF-24059294F45F}" name="Contrôle Saisis" dataDxfId="153">
      <calculatedColumnFormula>IF(
   COUNTIFS($A$2:A2,A2,
             $B$2:B2,B2,
             $C$2:C2,C2,
             $D$2:D2,D2,
              $H$2:H2,H2)&gt;1,
   "Doublon",
   "Correcte"
)</calculatedColumnFormula>
    </tableColumn>
    <tableColumn id="17" xr3:uid="{757E5151-D868-4CF8-BF6E-27C1EA2DE13D}" name="Type" dataDxfId="152">
      <calculatedColumnFormula>_xlfn.TEXTBEFORE(mouvement_fourniture[[#This Row],[Code]],"_")</calculatedColumnFormula>
    </tableColumn>
    <tableColumn id="18" xr3:uid="{F8490A48-A420-4148-88E6-18D118DB7FB9}" name="Référence" dataDxfId="151">
      <calculatedColumnFormula>_xlfn.TEXTAFTER(mouvement_fourniture[[#This Row],[Code]],"_")</calculatedColumnFormula>
    </tableColumn>
    <tableColumn id="1" xr3:uid="{D23CD8DD-2DC4-4784-B949-8507C6026A2C}" name="Num Client" dataDxfId="150">
      <calculatedColumnFormula>IF(mouvement_fourniture[[#This Row],[QR Commande]]&lt;&gt;"",INDEX(_xlfn.TEXTSPLIT(mouvement_fourniture[[#This Row],[QR Commande]],"_"),1,1),"")</calculatedColumnFormula>
    </tableColumn>
    <tableColumn id="4" xr3:uid="{DDA59FD4-33B1-4DAF-A7FF-C5BEE640C6B8}" name="Num Commande" dataDxfId="149">
      <calculatedColumnFormula>IF(mouvement_fourniture[[#This Row],[QR Commande]]&lt;&gt;"",INDEX(_xlfn.TEXTSPLIT(mouvement_fourniture[[#This Row],[QR Commande]],"_"),1,2),"")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68C0F1B-2747-41CB-A63C-754E9123E64C}" name="tissage" displayName="tissage" ref="A1:P231" totalsRowShown="0" headerRowDxfId="148" dataDxfId="146" headerRowBorderDxfId="147" tableBorderDxfId="145" totalsRowBorderDxfId="144">
  <autoFilter ref="A1:P231" xr:uid="{E68C0F1B-2747-41CB-A63C-754E9123E64C}"/>
  <tableColumns count="16">
    <tableColumn id="1" xr3:uid="{4254B9DC-D314-4645-B578-B5BA1C9AADA2}" name="Opérateur" dataDxfId="143"/>
    <tableColumn id="4" xr3:uid="{B2E3582F-92F6-4A43-B5A5-63073DA95C58}" name="Machine" dataDxfId="142"/>
    <tableColumn id="2" xr3:uid="{52B91A7B-3528-4D7F-88D0-E0BB84E4693C}" name="QR Fabrication" dataDxfId="141"/>
    <tableColumn id="3" xr3:uid="{631581F8-B7F3-4CFD-ACDD-006057179B61}" name="Type D'opération" dataDxfId="140"/>
    <tableColumn id="5" xr3:uid="{EC0B17FF-3EA2-441F-A51F-EA4B34333867}" name="Compteur" dataDxfId="139"/>
    <tableColumn id="6" xr3:uid="{84A3DB3A-ED32-40CA-8A3B-51BF5B566487}" name="Photo" dataDxfId="138"/>
    <tableColumn id="7" xr3:uid="{42180CA9-1676-4FA1-9512-C24414D498EC}" name="Note" dataDxfId="137"/>
    <tableColumn id="8" xr3:uid="{78F396C1-9457-45A5-9B13-AE21398BA5A9}" name="Terminale" dataDxfId="136"/>
    <tableColumn id="9" xr3:uid="{3382A461-0522-494A-813E-BF0F324ABFF1}" name="Date" dataDxfId="135"/>
    <tableColumn id="17" xr3:uid="{429B5CEF-22E0-4B91-99ED-CC67F1C22664}" name="Num OF" dataDxfId="134">
      <calculatedColumnFormula>INDEX(_xlfn.TEXTSPLIT(tissage[[#This Row],[QR Fabrication]],"_"),1,1)</calculatedColumnFormula>
    </tableColumn>
    <tableColumn id="11" xr3:uid="{88596992-6F88-4CC1-BD52-A2E804EFD37F}" name="Num Client" dataDxfId="133">
      <calculatedColumnFormula>INDEX(_xlfn.TEXTSPLIT(tissage[[#This Row],[QR Fabrication]],"_"),1,2)</calculatedColumnFormula>
    </tableColumn>
    <tableColumn id="10" xr3:uid="{FF86814E-658F-4E68-8939-970A56B7D919}" name="Num Commande" dataDxfId="132">
      <calculatedColumnFormula>INDEX(_xlfn.TEXTSPLIT(tissage[[#This Row],[QR Fabrication]],"_"),1,3)</calculatedColumnFormula>
    </tableColumn>
    <tableColumn id="12" xr3:uid="{9C8876A0-1375-4B65-AC08-8BA26ABCB1D2}" name="Ref Commercial" dataDxfId="131">
      <calculatedColumnFormula>INDEX(_xlfn.TEXTSPLIT(tissage[[#This Row],[QR Fabrication]],"_"),1,4)</calculatedColumnFormula>
    </tableColumn>
    <tableColumn id="13" xr3:uid="{61687ABF-4035-4F1C-A2FB-F5E1D96FA83B}" name="Modèle" dataDxfId="130">
      <calculatedColumnFormula>INDEX(_xlfn.TEXTSPLIT(tissage[[#This Row],[QR Fabrication]],"_"),1,5)</calculatedColumnFormula>
    </tableColumn>
    <tableColumn id="14" xr3:uid="{56F9C18A-2A3A-42E6-8486-6C174064505E}" name="Dimensions" dataDxfId="129">
      <calculatedColumnFormula>_xlfn.TEXTAFTER(tissage[[#This Row],[QR Fabrication]],"_",5)</calculatedColumnFormula>
    </tableColumn>
    <tableColumn id="15" xr3:uid="{7D41E588-F673-4B9F-95AB-BD7A705D3DDD}" name="Contrôle Saisis" dataDxfId="128">
      <calculatedColumnFormula>IF(
   COUNTIFS($A$2:A2,A2,
             $C$2:C2,C2,
             $D$2:D2,D2,
             $B$2:B2,B2,
             $E$2:E2,E2,
             $I$2:I2,I2
               )&gt;1,
   "Doublon",
   "Correcte"
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6296EB-B3DA-40E2-AA07-2E4067DD8A50}" name="coupe" displayName="coupe" ref="A1:V280" totalsRowShown="0" headerRowDxfId="127" dataDxfId="125" headerRowBorderDxfId="126" tableBorderDxfId="124" totalsRowBorderDxfId="123">
  <autoFilter ref="A1:V280" xr:uid="{F56296EB-B3DA-40E2-AA07-2E4067DD8A50}"/>
  <tableColumns count="22">
    <tableColumn id="1" xr3:uid="{355AEEC6-532B-4152-9CEB-AC859A3A50C2}" name="QR Fabrication" dataDxfId="122"/>
    <tableColumn id="2" xr3:uid="{0C740401-97BE-4F4D-94B4-BA03829DF250}" name="Personne" dataDxfId="121"/>
    <tableColumn id="20" xr3:uid="{3C4BEE4B-5645-47C5-B5BE-6B52B25C0C6F}" name="Date Tissage" dataDxfId="120"/>
    <tableColumn id="3" xr3:uid="{674E7797-699E-43C8-9CD9-CCA087AAA747}" name="QTE" dataDxfId="119"/>
    <tableColumn id="4" xr3:uid="{D62C1C4C-E1B5-481A-BA06-758873E50B1B}" name="QTE DEUXIEME" dataDxfId="118"/>
    <tableColumn id="5" xr3:uid="{784935AF-DE28-4046-B0E1-0ACD9B4FB74A}" name="DECHET" dataDxfId="117"/>
    <tableColumn id="6" xr3:uid="{04A93F81-303D-4F62-A633-A2EC19A3307E}" name="DEUXIEME APPROUVEE" dataDxfId="116"/>
    <tableColumn id="7" xr3:uid="{03F0B1D0-C351-4EBC-B461-7CFA987A5B8E}" name="OURLET" dataDxfId="115"/>
    <tableColumn id="9" xr3:uid="{34F9F808-F1DC-4745-9FE3-C0C16D78B039}" name="TYPE DEXIEME" dataDxfId="114"/>
    <tableColumn id="8" xr3:uid="{B5B96AF1-ED8E-4325-A17A-022B2AEB22F9}" name="PHOTO" dataDxfId="113"/>
    <tableColumn id="10" xr3:uid="{069E0A9E-FA45-4EC0-B33E-DA3DD242647F}" name="TERMINAL" dataDxfId="112"/>
    <tableColumn id="11" xr3:uid="{624DA2E9-0FB4-4C2A-A667-48BA39C6929B}" name="Date" dataDxfId="111"/>
    <tableColumn id="17" xr3:uid="{8E0939E6-915F-4B10-9065-7FE59357CE8B}" name="Type D'opération" dataDxfId="110">
      <calculatedColumnFormula>"Coupe"</calculatedColumnFormula>
    </tableColumn>
    <tableColumn id="23" xr3:uid="{32FF6BDB-9FD8-47FB-A8C0-C090052DAD75}" name="Num OF" dataDxfId="109">
      <calculatedColumnFormula>INDEX(_xlfn.TEXTSPLIT(coupe[[#This Row],[QR Fabrication]],"_"),1,1)</calculatedColumnFormula>
    </tableColumn>
    <tableColumn id="21" xr3:uid="{56DAC432-6CBE-4A3C-98E8-185691D7E60A}" name="Num Client" dataDxfId="108">
      <calculatedColumnFormula>INDEX(_xlfn.TEXTSPLIT(coupe[[#This Row],[QR Fabrication]],"_"),1,2)</calculatedColumnFormula>
    </tableColumn>
    <tableColumn id="12" xr3:uid="{033F5D2E-77FF-45A0-941E-57A81FC50D2B}" name="Num Commande" dataDxfId="107">
      <calculatedColumnFormula>INDEX(_xlfn.TEXTSPLIT(coupe[[#This Row],[QR Fabrication]],"_"),1,3)</calculatedColumnFormula>
    </tableColumn>
    <tableColumn id="14" xr3:uid="{7DAB817E-451C-4D72-99B1-15B50518A457}" name="Ref Commercial" dataDxfId="106">
      <calculatedColumnFormula>INDEX(_xlfn.TEXTSPLIT(coupe[[#This Row],[QR Fabrication]],"_"),1,4)</calculatedColumnFormula>
    </tableColumn>
    <tableColumn id="15" xr3:uid="{A3CBAFD7-8D43-4CCF-995F-FAB281A5A1F8}" name="Modèle" dataDxfId="105">
      <calculatedColumnFormula>INDEX(_xlfn.TEXTSPLIT(coupe[[#This Row],[QR Fabrication]],"_"),1,5)</calculatedColumnFormula>
    </tableColumn>
    <tableColumn id="16" xr3:uid="{6E48E3E2-32E2-41DF-B0CB-86F3D4500CCC}" name="Dimensions" dataDxfId="104">
      <calculatedColumnFormula>_xlfn.TEXTAFTER(coupe[[#This Row],[QR Fabrication]],"_",5)</calculatedColumnFormula>
    </tableColumn>
    <tableColumn id="18" xr3:uid="{8D6D3332-DDDF-4327-A1EA-F949270F28CC}" name="Qte Commander" dataDxfId="103">
      <calculatedColumnFormula>_xlfn.XLOOKUP(coupe[[#This Row],[Num OF]],#REF!,#REF!,0)</calculatedColumnFormula>
    </tableColumn>
    <tableColumn id="13" xr3:uid="{193441BA-B666-4E5E-9267-6FE8375C80E7}" name="QTE A fabriquer" dataDxfId="102">
      <calculatedColumnFormula>_xlfn.XLOOKUP(coupe[[#This Row],[Num OF]],#REF!,#REF!,0)</calculatedColumnFormula>
    </tableColumn>
    <tableColumn id="19" xr3:uid="{37EBD3B3-9407-4AFA-A02A-71156FA6B5D7}" name="Contrôle Saisis" dataDxfId="101">
      <calculatedColumnFormula>IF(
   COUNTIFS($A$2:A2,A2,
             $B$2:B2,B2,
             $D$2:D2,D2,
             $E$2:E2,E2,
             $F$2:F2,F2,
             $G$2:G2,G2,
             $H$2:H2,H2,
             $L$2:L2,L2)&gt;1,
   "Doublon",
   "Correcte"
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FF5A51-0651-4607-BCCF-1D87B73EDA62}" name="mvtst" displayName="mvtst" ref="A1:R2056" totalsRowShown="0" headerRowDxfId="100" dataDxfId="99" tableBorderDxfId="98" totalsRowBorderDxfId="97">
  <autoFilter ref="A1:R2056" xr:uid="{7DFF5A51-0651-4607-BCCF-1D87B73EDA62}"/>
  <tableColumns count="18">
    <tableColumn id="1" xr3:uid="{43325417-71E3-46C0-8FA7-A0035A67B354}" name="QR Suivis" dataDxfId="96"/>
    <tableColumn id="2" xr3:uid="{DAC3090B-9D72-4301-A14C-35D60CA18FB0}" name="Sous Traitant" dataDxfId="95"/>
    <tableColumn id="3" xr3:uid="{BD789B05-2EB6-41DB-BD47-DC0EFD951ABB}" name="QTE SORTIS" dataDxfId="94"/>
    <tableColumn id="4" xr3:uid="{74B1B984-9255-4279-BFEC-3DEC4C4B97AE}" name="QTE RETOUR" dataDxfId="93"/>
    <tableColumn id="5" xr3:uid="{D3FA5686-2F1A-4756-AD12-E325B6B39398}" name="PHOTO" dataDxfId="92"/>
    <tableColumn id="6" xr3:uid="{251538E1-B02E-43D1-BD7B-F9AD9FA5392E}" name="Terminal" dataDxfId="91"/>
    <tableColumn id="7" xr3:uid="{1D4F547A-1CA9-41D0-87BD-01C937EE5956}" name="Date" dataDxfId="90"/>
    <tableColumn id="19" xr3:uid="{DA99AE65-46D7-487B-9EF2-98F243B7AA8F}" name="Num Suivis" dataDxfId="89">
      <calculatedColumnFormula>INDEX(_xlfn.TEXTSPLIT(mvtst[[#This Row],[QR Suivis]],"_"),1,1)</calculatedColumnFormula>
    </tableColumn>
    <tableColumn id="8" xr3:uid="{13837640-B329-4C66-963E-0B1DC7C23277}" name="Num OF" dataDxfId="88">
      <calculatedColumnFormula>_xlfn.TEXTBEFORE(mvtst[[#This Row],[Num Suivis]],"-",,,1)</calculatedColumnFormula>
    </tableColumn>
    <tableColumn id="9" xr3:uid="{9B03F6FD-6D1E-4FC8-87C6-1DC7E9B5DD38}" name="RESTE A RETOURNEE" dataDxfId="87">
      <calculatedColumnFormula>SUMIF(mvtst[QR Suivis],mvtst[[#This Row],[QR Suivis]],mvtst[QTE SORTIS])-SUMIF(mvtst[QR Suivis],mvtst[[#This Row],[QR Suivis]],mvtst[QTE RETOUR])</calculatedColumnFormula>
    </tableColumn>
    <tableColumn id="10" xr3:uid="{3B9CA5A9-A990-4542-B61C-0B3FFC61916E}" name="Entrepot" dataDxfId="86">
      <calculatedColumnFormula>"Usine"</calculatedColumnFormula>
    </tableColumn>
    <tableColumn id="16" xr3:uid="{7333E52F-B983-4C9C-B0B1-BC46BA50145F}" name="Type D'opération" dataDxfId="85">
      <calculatedColumnFormula>_xlfn.XLOOKUP(mvtst[[#This Row],[Sous Traitant]],coordonnee_st[Identification],coordonnee_st[SERVICE],"Non Trouvé")</calculatedColumnFormula>
    </tableColumn>
    <tableColumn id="12" xr3:uid="{EF78A086-3DC2-476B-95BF-57B334A16F50}" name="Num Client" dataDxfId="84">
      <calculatedColumnFormula>INDEX(_xlfn.TEXTSPLIT(mvtst[[#This Row],[QR Suivis]],"_"),1,2)</calculatedColumnFormula>
    </tableColumn>
    <tableColumn id="11" xr3:uid="{A7AC839D-6449-480F-A2B5-A308A12807C7}" name="Num Commande" dataDxfId="83">
      <calculatedColumnFormula>INDEX(_xlfn.TEXTSPLIT(mvtst[[#This Row],[QR Suivis]],"_"),1,3)</calculatedColumnFormula>
    </tableColumn>
    <tableColumn id="13" xr3:uid="{25EC8BF3-F24B-4DD3-9EFC-26EEF6AABC5F}" name="Ref Commercial" dataDxfId="82">
      <calculatedColumnFormula>INDEX(_xlfn.TEXTSPLIT(mvtst[[#This Row],[QR Suivis]],"_"),1,4)</calculatedColumnFormula>
    </tableColumn>
    <tableColumn id="14" xr3:uid="{3C5A2067-81FA-4E98-96E6-E35AA6D6A343}" name="Modèle" dataDxfId="81">
      <calculatedColumnFormula>INDEX(_xlfn.TEXTSPLIT(mvtst[[#This Row],[QR Suivis]],"_"),1,5)</calculatedColumnFormula>
    </tableColumn>
    <tableColumn id="15" xr3:uid="{6963F8B8-1D38-4FAE-AABB-431F60C3200E}" name="Dimensions" dataDxfId="80">
      <calculatedColumnFormula>_xlfn.TEXTAFTER(mvtst[[#This Row],[QR Suivis]],"_",5)</calculatedColumnFormula>
    </tableColumn>
    <tableColumn id="17" xr3:uid="{E625925C-1288-44CC-9C63-43C9ABAD8400}" name="Contrôle Saisis" dataDxfId="79">
      <calculatedColumnFormula>IF(
   COUNTIFS($A$2:A2,A2,
             $B$2:B2,B2,
             $C$2:C2,C2,
             $D$2:D2,D2,
             $G$2:G2,G2)&gt;1,
   "Doublon",
   "Correcte"
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1EE8EA-116D-40E0-8004-28F85728F75A}" name="qualite" displayName="qualite" ref="A1:R11" totalsRowShown="0" headerRowDxfId="78" dataDxfId="76" headerRowBorderDxfId="77" tableBorderDxfId="75">
  <autoFilter ref="A1:R11" xr:uid="{341EE8EA-116D-40E0-8004-28F85728F75A}"/>
  <sortState xmlns:xlrd2="http://schemas.microsoft.com/office/spreadsheetml/2017/richdata2" ref="A2:O8">
    <sortCondition ref="H1:H8"/>
  </sortState>
  <tableColumns count="18">
    <tableColumn id="1" xr3:uid="{D0A543BF-6BD8-4EC4-B645-E46AFD4D98BC}" name="QR Suivis" dataDxfId="74"/>
    <tableColumn id="2" xr3:uid="{BE889897-5633-4C74-AF69-98C3729F4F18}" name="DEUXIEME EXTERNE" dataDxfId="73"/>
    <tableColumn id="3" xr3:uid="{57CC61FF-5F75-49AB-8794-33697F87EFD9}" name="DEUXIEME APPROUVEE" dataDxfId="72"/>
    <tableColumn id="4" xr3:uid="{BED51199-1C6E-4A22-94A4-F9F4532DF4F3}" name="OURLET" dataDxfId="71"/>
    <tableColumn id="5" xr3:uid="{10EDB587-B216-4A76-84FE-C7AEB5388F31}" name="PHOTO" dataDxfId="70"/>
    <tableColumn id="6" xr3:uid="{ED84338F-18A3-49E5-8180-5E7A308D447C}" name="TYPE DE DEUXIEME" dataDxfId="69"/>
    <tableColumn id="7" xr3:uid="{3A85B968-B9FA-47DC-B198-D936C0ACD5F4}" name="TERMINALE" dataDxfId="68"/>
    <tableColumn id="8" xr3:uid="{C7486698-C997-4398-9F2A-9117C6032D3C}" name="DATE" dataDxfId="67"/>
    <tableColumn id="17" xr3:uid="{CF92FF7D-B2D6-4EDC-BB9A-4B9E43FFA3BD}" name="Num Suivis" dataDxfId="66">
      <calculatedColumnFormula>INDEX(_xlfn.TEXTSPLIT(qualite[[#This Row],[QR Suivis]],"_"),1,1)</calculatedColumnFormula>
    </tableColumn>
    <tableColumn id="9" xr3:uid="{4E651E16-DB2D-49AE-AF46-3E6124E8365D}" name="Num OF" dataDxfId="65">
      <calculatedColumnFormula>_xlfn.TEXTBEFORE(qualite[[#This Row],[Num Suivis]],"-",,,1)</calculatedColumnFormula>
    </tableColumn>
    <tableColumn id="11" xr3:uid="{FCF9E4B4-35D5-4127-A65D-0B09968B69DD}" name="Num Client" dataDxfId="64">
      <calculatedColumnFormula>INDEX(_xlfn.TEXTSPLIT(mvtst[[#This Row],[QR Suivis]],"_"),1,2)</calculatedColumnFormula>
    </tableColumn>
    <tableColumn id="10" xr3:uid="{DD5464CF-5BD4-4671-ADA0-7A5384955D32}" name="Num Commande" dataDxfId="63">
      <calculatedColumnFormula>INDEX(_xlfn.TEXTSPLIT(mvtst[[#This Row],[QR Suivis]],"_"),1,3)</calculatedColumnFormula>
    </tableColumn>
    <tableColumn id="12" xr3:uid="{B087DBD4-C867-49CB-89BF-EC26AD91444A}" name="Ref Commercial" dataDxfId="62">
      <calculatedColumnFormula>INDEX(_xlfn.TEXTSPLIT(mvtst[[#This Row],[QR Suivis]],"_"),1,4)</calculatedColumnFormula>
    </tableColumn>
    <tableColumn id="13" xr3:uid="{B18ABD41-0FBF-4277-8BD8-5541D5F61FD1}" name="Modèle" dataDxfId="61">
      <calculatedColumnFormula>INDEX(_xlfn.TEXTSPLIT(mvtst[[#This Row],[QR Suivis]],"_"),1,5)</calculatedColumnFormula>
    </tableColumn>
    <tableColumn id="14" xr3:uid="{EBF5F9BD-09B7-4E69-9A6A-E8E9C196D34A}" name="Dimensions" dataDxfId="60">
      <calculatedColumnFormula>_xlfn.TEXTAFTER(qualite[[#This Row],[QR Suivis]],"_",5)</calculatedColumnFormula>
    </tableColumn>
    <tableColumn id="18" xr3:uid="{6EA245C6-C5B7-47CF-8AEF-87C67F085056}" name="Sous Traitant" dataDxfId="59">
      <calculatedColumnFormula>_xlfn.XLOOKUP(qualite[[#This Row],[Num Suivis]],mvtst[Num Suivis],mvtst[Sous Traitant],0)</calculatedColumnFormula>
    </tableColumn>
    <tableColumn id="20" xr3:uid="{8FD1C344-72C9-4E80-B506-674D424F363D}" name="Type D'opération" dataDxfId="58">
      <calculatedColumnFormula>_xlfn.XLOOKUP(qualite[[#This Row],[Num Suivis]],mvtst[Num Suivis],mvtst[Type D''opération],0)</calculatedColumnFormula>
    </tableColumn>
    <tableColumn id="15" xr3:uid="{43290CC8-72A0-4EF7-8F7E-334D19265A75}" name="Contrôle Saisis" dataDxfId="57">
      <calculatedColumnFormula>IF(
   COUNTIFS($A$2:A2,A2,
             $B$2:B2,B2,
             $C$2:C2,C2,
             $D$2:D2,D2,
             $H$2:H2,H2)&gt;1,
   "Doublon",
   "Correcte"
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E6114F9-5DB9-47FD-848E-B240D45EC34C}" name="liste_colisage" displayName="liste_colisage" ref="A1:R131" totalsRowShown="0" headerRowDxfId="56" dataDxfId="54" headerRowBorderDxfId="55" tableBorderDxfId="53" totalsRowBorderDxfId="52">
  <autoFilter ref="A1:R131" xr:uid="{5E6114F9-5DB9-47FD-848E-B240D45EC34C}"/>
  <tableColumns count="18">
    <tableColumn id="1" xr3:uid="{64082245-E08F-4157-B8EB-1ED31F5EF962}" name="Num de Colis" dataDxfId="51"/>
    <tableColumn id="20" xr3:uid="{F9CE0E7E-DDA1-4158-96F9-EE029C3AC62A}" name="QR Commande" dataDxfId="50"/>
    <tableColumn id="21" xr3:uid="{4037D2AC-F40B-409D-B66E-50D2A7EB6265}" name="QR Suivis" dataDxfId="49"/>
    <tableColumn id="5" xr3:uid="{AF109100-5E91-417F-AF03-D3581FF8F5FD}" name="Quantité" dataDxfId="48"/>
    <tableColumn id="2" xr3:uid="{0D6ED8D5-E52F-494C-8A95-AB362D124F56}" name="Num Client" dataDxfId="47"/>
    <tableColumn id="3" xr3:uid="{7CDABD2C-27BE-45B0-9D5F-A9FCA0911B56}" name="Num Commande" dataDxfId="46"/>
    <tableColumn id="4" xr3:uid="{91FDDC0A-DCA5-4D1A-A4D5-4252B6837051}" name="Num Suivis" dataDxfId="45"/>
    <tableColumn id="6" xr3:uid="{89B30245-7B41-40A8-9A95-22F37B91645D}" name="PHOTO" dataDxfId="44"/>
    <tableColumn id="7" xr3:uid="{88F12D6D-DC37-4790-925C-DEC38D44CC52}" name="NOTE" dataDxfId="43"/>
    <tableColumn id="8" xr3:uid="{3B162083-1116-4EFF-897B-466B8D596537}" name="Terminal" dataDxfId="42"/>
    <tableColumn id="9" xr3:uid="{7438D8A8-BDEA-46EE-A6CB-2E67557E08B3}" name="Date" dataDxfId="41"/>
    <tableColumn id="15" xr3:uid="{FBDAFA0C-7865-4811-A32E-C51C3A41191F}" name="Num OF" dataDxfId="40">
      <calculatedColumnFormula>_xlfn.TEXTBEFORE(liste_colisage[[#This Row],[Num Suivis]],"-",,,1)</calculatedColumnFormula>
    </tableColumn>
    <tableColumn id="10" xr3:uid="{E545CDF0-ED34-45DB-84F4-8C609A81F0B5}" name="Position" dataDxfId="39">
      <calculatedColumnFormula>_xlfn.XLOOKUP(liste_colisage[[#This Row],[Num de Colis]],liste_palette[Num De colis],liste_palette[Num de Palette],"Magasin")</calculatedColumnFormula>
    </tableColumn>
    <tableColumn id="11" xr3:uid="{AFD4C854-46A5-4433-B978-518285CF8A67}" name="Facture export" dataDxfId="38">
      <calculatedColumnFormula>_xlfn.XLOOKUP(liste_colisage[[#This Row],[Num de Colis]],liste_palette[Num De colis],liste_palette[Facture Export],"Magasin")</calculatedColumnFormula>
    </tableColumn>
    <tableColumn id="13" xr3:uid="{3C07ABA7-DD12-480C-89BB-9B3C98876DD4}" name="Ref Commercial" dataDxfId="37">
      <calculatedColumnFormula>_xlfn.XLOOKUP(liste_colisage[[#This Row],[Num OF]],#REF!,#REF!,"Non Trouvé")</calculatedColumnFormula>
    </tableColumn>
    <tableColumn id="14" xr3:uid="{B11D398C-EB02-4193-A2DF-622742F5448E}" name="Modèle" dataDxfId="36">
      <calculatedColumnFormula>_xlfn.XLOOKUP(liste_colisage[[#This Row],[Num OF]],#REF!,#REF!,"Non Trouvé")</calculatedColumnFormula>
    </tableColumn>
    <tableColumn id="16" xr3:uid="{74320688-B2BF-4DC7-B9EC-123CCA42E69C}" name="Dimensions" dataDxfId="35">
      <calculatedColumnFormula>_xlfn.XLOOKUP(liste_colisage[[#This Row],[Num OF]],#REF!,#REF!,"Non Trouvé")</calculatedColumnFormula>
    </tableColumn>
    <tableColumn id="19" xr3:uid="{EBC14C06-3D3E-4516-ABBB-557710DAF855}" name="Contrôle Saisis" dataDxfId="34">
      <calculatedColumnFormula>IF(
   COUNTIFS($A$2:A2,A2,
             $E$2:E2,E2,
             $F$2:F2,F2,
             $G$2:G2,G2,
             $D$2:D2,D2,
             $K$2:K2,K2
             )&gt;1,
   "Doublon",
   "Correcte"
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A78B005-DC0E-43E9-A225-5F308ACEB8B8}" name="liste_palette" displayName="liste_palette" ref="A1:H92" totalsRowShown="0" headerRowDxfId="33" dataDxfId="31" headerRowBorderDxfId="32" tableBorderDxfId="30" totalsRowBorderDxfId="29">
  <autoFilter ref="A1:H92" xr:uid="{AA78B005-DC0E-43E9-A225-5F308ACEB8B8}"/>
  <tableColumns count="8">
    <tableColumn id="1" xr3:uid="{C57D5299-C6B4-4067-96F7-BD496AD37BD7}" name="Num de Palette" dataDxfId="28"/>
    <tableColumn id="2" xr3:uid="{6387ABE2-6306-463B-8CA5-F8021C3B31E9}" name="Num De colis" dataDxfId="27"/>
    <tableColumn id="3" xr3:uid="{D27F0470-F484-4ACC-A324-E2612A2E1696}" name="Photo" dataDxfId="26"/>
    <tableColumn id="7" xr3:uid="{BA8D5057-4065-4539-B706-DC6608A22C15}" name="Facture Export" dataDxfId="25"/>
    <tableColumn id="4" xr3:uid="{1A55E5A4-9692-4663-B8C6-D68E9BD1529B}" name="Note" dataDxfId="24"/>
    <tableColumn id="5" xr3:uid="{BA6B9823-82D1-43D3-BD24-4C4013F9A3BB}" name="Terminale" dataDxfId="23"/>
    <tableColumn id="6" xr3:uid="{1A41DACD-B0D6-4D11-973A-1ED8A1B12206}" name="Date" dataDxfId="22"/>
    <tableColumn id="8" xr3:uid="{D5603D72-B4A8-4BAA-AAA1-29FEF9E28A05}" name="Contrôle Saisis" dataDxfId="21">
      <calculatedColumnFormula>IF(
   COUNTIFS($A$2:A2,A2,
             $B$2:B2,B2,
             $D$2:D2,D2,
              $I$2:I2,I2
             )&gt;1,
   "Doublon",
   "Correcte"
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50B933-8564-4550-A87B-02E8EFA2EEC5}" name="Mvt_Inter_entrepot" displayName="Mvt_Inter_entrepot" ref="A1:Q1172" totalsRowShown="0" headerRowDxfId="20" dataDxfId="18" headerRowBorderDxfId="19" tableBorderDxfId="17">
  <autoFilter ref="A1:Q1172" xr:uid="{CE50B933-8564-4550-A87B-02E8EFA2EEC5}"/>
  <tableColumns count="17">
    <tableColumn id="1" xr3:uid="{8C7E7369-A7D7-456A-AFA6-5708B8B7B615}" name="QR Suivis" dataDxfId="16"/>
    <tableColumn id="2" xr3:uid="{8E8E9DD4-0F1C-4B52-87C9-2689E198BB72}" name="Type" dataDxfId="15"/>
    <tableColumn id="3" xr3:uid="{95606E9D-ABD4-4D61-ACC1-B8345C2ECCAB}" name="Entrepot Depart" dataDxfId="14"/>
    <tableColumn id="4" xr3:uid="{930D9D8C-313A-4B4B-9020-4DCF2C00D424}" name="Entrepot Destination" dataDxfId="13"/>
    <tableColumn id="5" xr3:uid="{F68F523B-CEE2-4977-A331-208EC224902B}" name="QTE" dataDxfId="12"/>
    <tableColumn id="6" xr3:uid="{2FE048D9-5C46-4916-A6B5-D71C4445C642}" name="Photo" dataDxfId="11"/>
    <tableColumn id="7" xr3:uid="{C4895C49-37BE-4745-B359-B0D0DBD171F0}" name="TERMINAL" dataDxfId="10"/>
    <tableColumn id="8" xr3:uid="{AB166C4A-6120-4EDC-8048-A25A14501F37}" name="DATE" dataDxfId="9"/>
    <tableColumn id="10" xr3:uid="{CF2DA8F3-B97D-446C-948B-B480575B0629}" name="Mouvement" dataDxfId="8">
      <calculatedColumnFormula>-Mvt_Inter_entrepot[[#This Row],[QTE]]</calculatedColumnFormula>
    </tableColumn>
    <tableColumn id="9" xr3:uid="{99725E87-227F-4985-BD43-6F71137F203B}" name="Num Suivis" dataDxfId="7"/>
    <tableColumn id="18" xr3:uid="{2AE7DA68-FA49-4C8F-A1DD-4BC8F2186410}" name="Num OF" dataDxfId="6">
      <calculatedColumnFormula>_xlfn.TEXTBEFORE(Mvt_Inter_entrepot[[#This Row],[Num Suivis]],"-",,,1)</calculatedColumnFormula>
    </tableColumn>
    <tableColumn id="11" xr3:uid="{E542CCFE-295F-4B30-AB95-DCF6F829D8A5}" name="Num Commande" dataDxfId="5">
      <calculatedColumnFormula>_xlfn.XLOOKUP(Mvt_Inter_entrepot[[#This Row],[Num OF]],#REF!,#REF!,"Non Trouvé")</calculatedColumnFormula>
    </tableColumn>
    <tableColumn id="12" xr3:uid="{238EEAE0-6ACD-4383-8CE3-14FE8C9150B1}" name="Num Client" dataDxfId="4">
      <calculatedColumnFormula>_xlfn.XLOOKUP(Mvt_Inter_entrepot[[#This Row],[Num OF]],#REF!,#REF!,"Non Trouvé")</calculatedColumnFormula>
    </tableColumn>
    <tableColumn id="13" xr3:uid="{C9A98867-429A-49BC-AC0B-1B85F2F412AE}" name="Ref Commercial" dataDxfId="3">
      <calculatedColumnFormula>_xlfn.XLOOKUP(Mvt_Inter_entrepot[[#This Row],[Num OF]],#REF!,#REF!,"Non Trouvé")</calculatedColumnFormula>
    </tableColumn>
    <tableColumn id="14" xr3:uid="{B02D6A34-D21F-442A-96FC-BC3740C1665F}" name="Modèle" dataDxfId="2">
      <calculatedColumnFormula>_xlfn.XLOOKUP(Mvt_Inter_entrepot[[#This Row],[Num OF]],#REF!,#REF!,"Non Trouvé")</calculatedColumnFormula>
    </tableColumn>
    <tableColumn id="15" xr3:uid="{309C106E-426D-4FAE-ABE8-9411138EE73E}" name="Dimensions" dataDxfId="1">
      <calculatedColumnFormula>_xlfn.XLOOKUP(Mvt_Inter_entrepot[[#This Row],[Num OF]],#REF!,#REF!,"Non Trouvé")</calculatedColumnFormula>
    </tableColumn>
    <tableColumn id="16" xr3:uid="{09B1CB5F-FB9D-464E-AC15-72F9F36BE556}" name="Contrôle Saisis" dataDxfId="0">
      <calculatedColumnFormula>IF(
   COUNTIFS($A$2:A2,A2,
             $B$2:B2,B2,
             $C$2:C2,C2,
             $D$2:D2,D2,
             $E$2:E2,E2,
             $H$2:H2,H2
             )&gt;1,
   "Doublon",
   "Correcte"
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1" width="350" row="5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  <wetp:taskpane dockstate="right" visibility="1" width="350" row="0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0236EC40-72F0-489B-9578-0F935E119EB1}">
  <we:reference id="wa104379742" version="1.0.0.11" store="fr-FR" storeType="OMEX"/>
  <we:alternateReferences>
    <we:reference id="WA10437974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5D8338A6-5D94-432C-8BEB-935E4D625C66}">
  <we:reference id="WA104381026" version="1.2.0.0" store="fr-fr" storeType="omex"/>
  <we:alternateReferences>
    <we:reference id="WA104381026" version="1.2.0.0" store="fr-fr" storeType="omex"/>
  </we:alternateReferences>
  <we:properties>
    <we:property name="Office.AutoShowTaskpaneWithDocument" value="true"/>
    <we:property name="insertIntoCell" value="&quot;&quot;"/>
    <we:property name="insertIntoSheet2" value="&quot;coordonne sous traitant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3.xml><?xml version="1.0" encoding="utf-8"?>
<we:webextension xmlns:we="http://schemas.microsoft.com/office/webextensions/webextension/2010/11" id="{A92C895C-E388-4EA0-BB08-8301E12F4398}">
  <we:reference id="wa104051163" version="1.2.0.3" store="fr-FR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4.xml><?xml version="1.0" encoding="utf-8"?>
<we:webextension xmlns:we="http://schemas.microsoft.com/office/webextensions/webextension/2010/11" id="{9708D050-7E19-4FE8-B4DA-2792A7DA94C3}">
  <we:reference id="ee5ff867-b433-45a8-aa6c-c69d56b7dde7" version="1.2.0.0" store="excatalog" storeType="excatalog"/>
  <we:alternateReferences>
    <we:reference id="WA104381026" version="1.2.0.0" store="fr-fr" storeType="omex"/>
  </we:alternateReferences>
  <we:properties>
    <we:property name="insertIntoSheet2" value="&quot;coordonne sous traitant&quot;"/>
    <we:property name="insertIntoCell" value="&quot;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1D187-AEF6-4926-9C6B-3B30C4EEAF98}">
  <dimension ref="A1:L50"/>
  <sheetViews>
    <sheetView topLeftCell="C1" workbookViewId="0">
      <selection activeCell="G27" sqref="G27"/>
    </sheetView>
  </sheetViews>
  <sheetFormatPr baseColWidth="10" defaultColWidth="11.42578125" defaultRowHeight="30" customHeight="1" x14ac:dyDescent="0.25"/>
  <cols>
    <col min="1" max="1" width="16.28515625" customWidth="1"/>
    <col min="2" max="2" width="19.140625" customWidth="1"/>
    <col min="3" max="3" width="19.28515625" customWidth="1"/>
    <col min="4" max="4" width="16.5703125" customWidth="1"/>
    <col min="5" max="5" width="35.5703125" customWidth="1"/>
    <col min="6" max="7" width="26.85546875" customWidth="1"/>
    <col min="8" max="8" width="26.5703125" customWidth="1"/>
    <col min="9" max="9" width="16.85546875" customWidth="1"/>
    <col min="10" max="10" width="18.85546875" customWidth="1"/>
    <col min="11" max="11" width="18.5703125" customWidth="1"/>
    <col min="12" max="12" width="14.5703125" customWidth="1"/>
  </cols>
  <sheetData>
    <row r="1" spans="1:12" s="1" customFormat="1" ht="30" customHeight="1" thickBot="1" x14ac:dyDescent="0.3">
      <c r="A1" s="2" t="s">
        <v>578</v>
      </c>
      <c r="B1" s="3" t="s">
        <v>579</v>
      </c>
      <c r="C1" s="3" t="s">
        <v>580</v>
      </c>
      <c r="D1" s="3" t="s">
        <v>581</v>
      </c>
      <c r="E1" s="3" t="s">
        <v>582</v>
      </c>
      <c r="F1" s="3" t="s">
        <v>583</v>
      </c>
      <c r="G1" s="3" t="s">
        <v>584</v>
      </c>
      <c r="H1" s="3" t="s">
        <v>585</v>
      </c>
      <c r="I1" s="3" t="s">
        <v>586</v>
      </c>
      <c r="J1" s="4" t="s">
        <v>587</v>
      </c>
      <c r="K1" s="29" t="s">
        <v>588</v>
      </c>
      <c r="L1" s="29" t="s">
        <v>1227</v>
      </c>
    </row>
    <row r="2" spans="1:12" ht="16.5" thickTop="1" thickBot="1" x14ac:dyDescent="0.3">
      <c r="A2" s="59" t="s">
        <v>628</v>
      </c>
      <c r="B2" s="59" t="s">
        <v>629</v>
      </c>
      <c r="C2" s="59">
        <v>93491729</v>
      </c>
      <c r="D2" s="59" t="s">
        <v>8</v>
      </c>
      <c r="E2" s="59" t="s">
        <v>616</v>
      </c>
      <c r="F2" s="59"/>
      <c r="G2" s="59"/>
      <c r="H2" s="59"/>
      <c r="I2" s="59" t="s">
        <v>664</v>
      </c>
      <c r="J2" s="61">
        <v>45915</v>
      </c>
      <c r="K2" s="62" t="str">
        <f>coordonnee_st[[#This Row],[PRENOM]]&amp;coordonnee_st[[#This Row],[NOM]]</f>
        <v>AbedGannoun</v>
      </c>
      <c r="L2" s="62" t="str">
        <f>IF(
   COUNTIFS($K$2:K2,K2
           )&gt;1,
   "Doublon",
   "Correcte"
)</f>
        <v>Correcte</v>
      </c>
    </row>
    <row r="3" spans="1:12" ht="16.5" thickTop="1" thickBot="1" x14ac:dyDescent="0.3">
      <c r="A3" s="59"/>
      <c r="B3" s="59" t="s">
        <v>635</v>
      </c>
      <c r="C3" s="59"/>
      <c r="D3" s="59" t="s">
        <v>8</v>
      </c>
      <c r="E3" s="59"/>
      <c r="F3" s="59"/>
      <c r="G3" s="59"/>
      <c r="H3" s="59"/>
      <c r="I3" s="59" t="s">
        <v>664</v>
      </c>
      <c r="J3" s="61">
        <v>45915</v>
      </c>
      <c r="K3" s="59" t="str">
        <f>coordonnee_st[[#This Row],[PRENOM]]&amp;coordonnee_st[[#This Row],[NOM]]</f>
        <v>Abir</v>
      </c>
      <c r="L3" s="59" t="str">
        <f>IF(
   COUNTIFS($K$2:K3,K3
           )&gt;1,
   "Doublon",
   "Correcte"
)</f>
        <v>Correcte</v>
      </c>
    </row>
    <row r="4" spans="1:12" ht="16.5" thickTop="1" thickBot="1" x14ac:dyDescent="0.3">
      <c r="A4" s="59" t="s">
        <v>589</v>
      </c>
      <c r="B4" s="59" t="s">
        <v>590</v>
      </c>
      <c r="C4" s="59">
        <v>29596798</v>
      </c>
      <c r="D4" s="59" t="s">
        <v>10</v>
      </c>
      <c r="E4" s="60"/>
      <c r="F4" s="59"/>
      <c r="G4" s="59"/>
      <c r="H4" s="59"/>
      <c r="I4" s="59" t="s">
        <v>664</v>
      </c>
      <c r="J4" s="61">
        <v>45915</v>
      </c>
      <c r="K4" s="59" t="str">
        <f>coordonnee_st[[#This Row],[PRENOM]]&amp;coordonnee_st[[#This Row],[NOM]]</f>
        <v>AdelChakroun</v>
      </c>
      <c r="L4" s="59" t="str">
        <f>IF(
   COUNTIFS($K$2:K4,K4
           )&gt;1,
   "Doublon",
   "Correcte"
)</f>
        <v>Correcte</v>
      </c>
    </row>
    <row r="5" spans="1:12" ht="16.5" thickTop="1" thickBot="1" x14ac:dyDescent="0.3">
      <c r="A5" s="59"/>
      <c r="B5" s="59" t="s">
        <v>602</v>
      </c>
      <c r="C5" s="59">
        <v>28109531</v>
      </c>
      <c r="D5" s="59" t="s">
        <v>8</v>
      </c>
      <c r="E5" s="59" t="s">
        <v>599</v>
      </c>
      <c r="F5" s="59"/>
      <c r="G5" s="59"/>
      <c r="H5" s="59"/>
      <c r="I5" s="59" t="s">
        <v>664</v>
      </c>
      <c r="J5" s="61">
        <v>45915</v>
      </c>
      <c r="K5" s="59" t="str">
        <f>coordonnee_st[[#This Row],[PRENOM]]&amp;coordonnee_st[[#This Row],[NOM]]</f>
        <v>Ahmed</v>
      </c>
      <c r="L5" s="59" t="str">
        <f>IF(
   COUNTIFS($K$2:K5,K5
           )&gt;1,
   "Doublon",
   "Correcte"
)</f>
        <v>Correcte</v>
      </c>
    </row>
    <row r="6" spans="1:12" ht="16.5" thickTop="1" thickBot="1" x14ac:dyDescent="0.3">
      <c r="A6" s="59" t="s">
        <v>591</v>
      </c>
      <c r="B6" s="59" t="s">
        <v>592</v>
      </c>
      <c r="C6" s="59" t="s">
        <v>593</v>
      </c>
      <c r="D6" s="59" t="s">
        <v>8</v>
      </c>
      <c r="E6" s="59"/>
      <c r="F6" s="59"/>
      <c r="G6" s="59"/>
      <c r="H6" s="59"/>
      <c r="I6" s="59" t="s">
        <v>664</v>
      </c>
      <c r="J6" s="61">
        <v>45915</v>
      </c>
      <c r="K6" s="59" t="str">
        <f>coordonnee_st[[#This Row],[PRENOM]]&amp;coordonnee_st[[#This Row],[NOM]]</f>
        <v>AliSassi</v>
      </c>
      <c r="L6" s="59" t="str">
        <f>IF(
   COUNTIFS($K$2:K6,K6
           )&gt;1,
   "Doublon",
   "Correcte"
)</f>
        <v>Correcte</v>
      </c>
    </row>
    <row r="7" spans="1:12" ht="16.5" thickTop="1" thickBot="1" x14ac:dyDescent="0.3">
      <c r="A7" s="59" t="s">
        <v>636</v>
      </c>
      <c r="B7" s="59" t="s">
        <v>592</v>
      </c>
      <c r="C7" s="59"/>
      <c r="D7" s="59" t="s">
        <v>6</v>
      </c>
      <c r="E7" s="59"/>
      <c r="F7" s="59"/>
      <c r="G7" s="59"/>
      <c r="H7" s="59"/>
      <c r="I7" s="59" t="s">
        <v>664</v>
      </c>
      <c r="J7" s="61">
        <v>45915</v>
      </c>
      <c r="K7" s="59" t="str">
        <f>coordonnee_st[[#This Row],[PRENOM]]&amp;coordonnee_st[[#This Row],[NOM]]</f>
        <v>AliThabet</v>
      </c>
      <c r="L7" s="59" t="str">
        <f>IF(
   COUNTIFS($K$2:K7,K7
           )&gt;1,
   "Doublon",
   "Correcte"
)</f>
        <v>Correcte</v>
      </c>
    </row>
    <row r="8" spans="1:12" ht="16.5" thickTop="1" thickBot="1" x14ac:dyDescent="0.3">
      <c r="A8" s="59" t="s">
        <v>637</v>
      </c>
      <c r="B8" s="59" t="s">
        <v>638</v>
      </c>
      <c r="C8" s="59"/>
      <c r="D8" s="59" t="s">
        <v>8</v>
      </c>
      <c r="E8" s="59"/>
      <c r="F8" s="59"/>
      <c r="G8" s="59"/>
      <c r="H8" s="59"/>
      <c r="I8" s="59" t="s">
        <v>664</v>
      </c>
      <c r="J8" s="61">
        <v>45915</v>
      </c>
      <c r="K8" s="59" t="str">
        <f>coordonnee_st[[#This Row],[PRENOM]]&amp;coordonnee_st[[#This Row],[NOM]]</f>
        <v>AmelWannes</v>
      </c>
      <c r="L8" s="59" t="str">
        <f>IF(
   COUNTIFS($K$2:K8,K8
           )&gt;1,
   "Doublon",
   "Correcte"
)</f>
        <v>Correcte</v>
      </c>
    </row>
    <row r="9" spans="1:12" ht="16.5" thickTop="1" thickBot="1" x14ac:dyDescent="0.3">
      <c r="A9" s="59"/>
      <c r="B9" s="59" t="s">
        <v>639</v>
      </c>
      <c r="C9" s="59"/>
      <c r="D9" s="59" t="s">
        <v>10</v>
      </c>
      <c r="E9" s="59"/>
      <c r="F9" s="59"/>
      <c r="G9" s="59"/>
      <c r="H9" s="59"/>
      <c r="I9" s="59" t="s">
        <v>664</v>
      </c>
      <c r="J9" s="61">
        <v>45915</v>
      </c>
      <c r="K9" s="59" t="str">
        <f>coordonnee_st[[#This Row],[PRENOM]]&amp;coordonnee_st[[#This Row],[NOM]]</f>
        <v>Atelier</v>
      </c>
      <c r="L9" s="59" t="str">
        <f>IF(
   COUNTIFS($K$2:K9,K9
           )&gt;1,
   "Doublon",
   "Correcte"
)</f>
        <v>Correcte</v>
      </c>
    </row>
    <row r="10" spans="1:12" ht="16.5" thickTop="1" thickBot="1" x14ac:dyDescent="0.3">
      <c r="A10" s="59" t="s">
        <v>600</v>
      </c>
      <c r="B10" s="59" t="s">
        <v>601</v>
      </c>
      <c r="C10" s="59">
        <v>99950042</v>
      </c>
      <c r="D10" s="59" t="s">
        <v>8</v>
      </c>
      <c r="E10" s="59" t="s">
        <v>599</v>
      </c>
      <c r="F10" s="59"/>
      <c r="G10" s="59"/>
      <c r="H10" s="59"/>
      <c r="I10" s="59" t="s">
        <v>664</v>
      </c>
      <c r="J10" s="61">
        <v>45915</v>
      </c>
      <c r="K10" s="59" t="str">
        <f>coordonnee_st[[#This Row],[PRENOM]]&amp;coordonnee_st[[#This Row],[NOM]]</f>
        <v>BahriLotfi</v>
      </c>
      <c r="L10" s="59" t="str">
        <f>IF(
   COUNTIFS($K$2:K10,K10
           )&gt;1,
   "Doublon",
   "Correcte"
)</f>
        <v>Correcte</v>
      </c>
    </row>
    <row r="11" spans="1:12" ht="16.5" thickTop="1" thickBot="1" x14ac:dyDescent="0.3">
      <c r="A11" s="59"/>
      <c r="B11" s="59" t="s">
        <v>640</v>
      </c>
      <c r="C11" s="59"/>
      <c r="D11" s="59" t="s">
        <v>10</v>
      </c>
      <c r="E11" s="59"/>
      <c r="F11" s="59"/>
      <c r="G11" s="59"/>
      <c r="H11" s="59"/>
      <c r="I11" s="59" t="s">
        <v>664</v>
      </c>
      <c r="J11" s="61">
        <v>45915</v>
      </c>
      <c r="K11" s="59" t="str">
        <f>coordonnee_st[[#This Row],[PRENOM]]&amp;coordonnee_st[[#This Row],[NOM]]</f>
        <v>Bent Aissa</v>
      </c>
      <c r="L11" s="59" t="str">
        <f>IF(
   COUNTIFS($K$2:K11,K11
           )&gt;1,
   "Doublon",
   "Correcte"
)</f>
        <v>Correcte</v>
      </c>
    </row>
    <row r="12" spans="1:12" ht="16.5" thickTop="1" thickBot="1" x14ac:dyDescent="0.3">
      <c r="A12" s="59"/>
      <c r="B12" s="59" t="s">
        <v>627</v>
      </c>
      <c r="C12" s="59">
        <v>53564690</v>
      </c>
      <c r="D12" s="59" t="s">
        <v>8</v>
      </c>
      <c r="E12" s="59" t="s">
        <v>616</v>
      </c>
      <c r="F12" s="59"/>
      <c r="G12" s="59"/>
      <c r="H12" s="59"/>
      <c r="I12" s="59" t="s">
        <v>664</v>
      </c>
      <c r="J12" s="61">
        <v>45915</v>
      </c>
      <c r="K12" s="59" t="str">
        <f>coordonnee_st[[#This Row],[PRENOM]]&amp;coordonnee_st[[#This Row],[NOM]]</f>
        <v>Bilel</v>
      </c>
      <c r="L12" s="59" t="str">
        <f>IF(
   COUNTIFS($K$2:K12,K12
           )&gt;1,
   "Doublon",
   "Correcte"
)</f>
        <v>Correcte</v>
      </c>
    </row>
    <row r="13" spans="1:12" ht="16.5" thickTop="1" thickBot="1" x14ac:dyDescent="0.3">
      <c r="A13" s="59" t="s">
        <v>597</v>
      </c>
      <c r="B13" s="59" t="s">
        <v>598</v>
      </c>
      <c r="C13" s="59">
        <v>97852008</v>
      </c>
      <c r="D13" s="59" t="s">
        <v>8</v>
      </c>
      <c r="E13" s="59" t="s">
        <v>599</v>
      </c>
      <c r="F13" s="59"/>
      <c r="G13" s="59"/>
      <c r="H13" s="59"/>
      <c r="I13" s="59" t="s">
        <v>664</v>
      </c>
      <c r="J13" s="61">
        <v>45915</v>
      </c>
      <c r="K13" s="59" t="str">
        <f>coordonnee_st[[#This Row],[PRENOM]]&amp;coordonnee_st[[#This Row],[NOM]]</f>
        <v>ChaiebBelaid</v>
      </c>
      <c r="L13" s="59" t="str">
        <f>IF(
   COUNTIFS($K$2:K13,K13
           )&gt;1,
   "Doublon",
   "Correcte"
)</f>
        <v>Correcte</v>
      </c>
    </row>
    <row r="14" spans="1:12" ht="16.5" thickTop="1" thickBot="1" x14ac:dyDescent="0.3">
      <c r="A14" s="59"/>
      <c r="B14" s="59" t="s">
        <v>610</v>
      </c>
      <c r="C14" s="59">
        <v>93539671</v>
      </c>
      <c r="D14" s="59" t="s">
        <v>8</v>
      </c>
      <c r="E14" s="59" t="s">
        <v>611</v>
      </c>
      <c r="F14" s="59"/>
      <c r="G14" s="59"/>
      <c r="H14" s="59"/>
      <c r="I14" s="59" t="s">
        <v>664</v>
      </c>
      <c r="J14" s="61">
        <v>45915</v>
      </c>
      <c r="K14" s="59" t="str">
        <f>coordonnee_st[[#This Row],[PRENOM]]&amp;coordonnee_st[[#This Row],[NOM]]</f>
        <v>Diwani</v>
      </c>
      <c r="L14" s="59" t="str">
        <f>IF(
   COUNTIFS($K$2:K14,K14
           )&gt;1,
   "Doublon",
   "Correcte"
)</f>
        <v>Correcte</v>
      </c>
    </row>
    <row r="15" spans="1:12" ht="16.5" thickTop="1" thickBot="1" x14ac:dyDescent="0.3">
      <c r="A15" s="59"/>
      <c r="B15" s="59" t="s">
        <v>641</v>
      </c>
      <c r="C15" s="59"/>
      <c r="D15" s="59" t="s">
        <v>8</v>
      </c>
      <c r="E15" s="59"/>
      <c r="F15" s="59"/>
      <c r="G15" s="59"/>
      <c r="H15" s="59"/>
      <c r="I15" s="59" t="s">
        <v>664</v>
      </c>
      <c r="J15" s="61">
        <v>45915</v>
      </c>
      <c r="K15" s="59" t="str">
        <f>coordonnee_st[[#This Row],[PRENOM]]&amp;coordonnee_st[[#This Row],[NOM]]</f>
        <v>Fahima</v>
      </c>
      <c r="L15" s="59" t="str">
        <f>IF(
   COUNTIFS($K$2:K15,K15
           )&gt;1,
   "Doublon",
   "Correcte"
)</f>
        <v>Correcte</v>
      </c>
    </row>
    <row r="16" spans="1:12" ht="16.5" thickTop="1" thickBot="1" x14ac:dyDescent="0.3">
      <c r="A16" s="59"/>
      <c r="B16" s="59" t="s">
        <v>642</v>
      </c>
      <c r="C16" s="59"/>
      <c r="D16" s="59" t="s">
        <v>8</v>
      </c>
      <c r="E16" s="59"/>
      <c r="F16" s="59"/>
      <c r="G16" s="59"/>
      <c r="H16" s="59"/>
      <c r="I16" s="59" t="s">
        <v>664</v>
      </c>
      <c r="J16" s="61">
        <v>45915</v>
      </c>
      <c r="K16" s="59" t="str">
        <f>coordonnee_st[[#This Row],[PRENOM]]&amp;coordonnee_st[[#This Row],[NOM]]</f>
        <v>Fathia</v>
      </c>
      <c r="L16" s="59" t="str">
        <f>IF(
   COUNTIFS($K$2:K16,K16
           )&gt;1,
   "Doublon",
   "Correcte"
)</f>
        <v>Correcte</v>
      </c>
    </row>
    <row r="17" spans="1:12" ht="16.5" thickTop="1" thickBot="1" x14ac:dyDescent="0.3">
      <c r="A17" s="59"/>
      <c r="B17" s="59" t="s">
        <v>643</v>
      </c>
      <c r="C17" s="59"/>
      <c r="D17" s="59" t="s">
        <v>8</v>
      </c>
      <c r="E17" s="59"/>
      <c r="F17" s="59"/>
      <c r="G17" s="59"/>
      <c r="H17" s="59"/>
      <c r="I17" s="59" t="s">
        <v>664</v>
      </c>
      <c r="J17" s="61">
        <v>45915</v>
      </c>
      <c r="K17" s="59" t="str">
        <f>coordonnee_st[[#This Row],[PRENOM]]&amp;coordonnee_st[[#This Row],[NOM]]</f>
        <v>Fayza</v>
      </c>
      <c r="L17" s="59" t="str">
        <f>IF(
   COUNTIFS($K$2:K17,K17
           )&gt;1,
   "Doublon",
   "Correcte"
)</f>
        <v>Correcte</v>
      </c>
    </row>
    <row r="18" spans="1:12" ht="16.5" thickTop="1" thickBot="1" x14ac:dyDescent="0.3">
      <c r="A18" s="59"/>
      <c r="B18" s="59" t="s">
        <v>644</v>
      </c>
      <c r="C18" s="59"/>
      <c r="D18" s="59" t="s">
        <v>8</v>
      </c>
      <c r="E18" s="59"/>
      <c r="F18" s="59"/>
      <c r="G18" s="59"/>
      <c r="H18" s="59"/>
      <c r="I18" s="59" t="s">
        <v>664</v>
      </c>
      <c r="J18" s="61">
        <v>45915</v>
      </c>
      <c r="K18" s="59" t="str">
        <f>coordonnee_st[[#This Row],[PRENOM]]&amp;coordonnee_st[[#This Row],[NOM]]</f>
        <v>Fouzia</v>
      </c>
      <c r="L18" s="59" t="str">
        <f>IF(
   COUNTIFS($K$2:K18,K18
           )&gt;1,
   "Doublon",
   "Correcte"
)</f>
        <v>Correcte</v>
      </c>
    </row>
    <row r="19" spans="1:12" ht="16.5" thickTop="1" thickBot="1" x14ac:dyDescent="0.3">
      <c r="A19" s="59"/>
      <c r="B19" s="59" t="s">
        <v>594</v>
      </c>
      <c r="C19" s="59">
        <v>52209281</v>
      </c>
      <c r="D19" s="59" t="s">
        <v>8</v>
      </c>
      <c r="E19" s="59"/>
      <c r="F19" s="59"/>
      <c r="G19" s="59"/>
      <c r="H19" s="59"/>
      <c r="I19" s="59" t="s">
        <v>664</v>
      </c>
      <c r="J19" s="61">
        <v>45915</v>
      </c>
      <c r="K19" s="59" t="str">
        <f>coordonnee_st[[#This Row],[PRENOM]]&amp;coordonnee_st[[#This Row],[NOM]]</f>
        <v>Habiba</v>
      </c>
      <c r="L19" s="59" t="str">
        <f>IF(
   COUNTIFS($K$2:K19,K19
           )&gt;1,
   "Doublon",
   "Correcte"
)</f>
        <v>Correcte</v>
      </c>
    </row>
    <row r="20" spans="1:12" ht="16.5" thickTop="1" thickBot="1" x14ac:dyDescent="0.3">
      <c r="A20" s="59" t="s">
        <v>631</v>
      </c>
      <c r="B20" s="59" t="s">
        <v>632</v>
      </c>
      <c r="C20" s="59" t="s">
        <v>633</v>
      </c>
      <c r="D20" s="59" t="s">
        <v>8</v>
      </c>
      <c r="E20" s="63" t="s">
        <v>608</v>
      </c>
      <c r="F20" s="59" t="e" vm="1">
        <v>#VALUE!</v>
      </c>
      <c r="G20" s="59" t="e" vm="2">
        <v>#VALUE!</v>
      </c>
      <c r="H20" s="59"/>
      <c r="I20" s="59" t="s">
        <v>634</v>
      </c>
      <c r="J20" s="61">
        <v>45936.679293981484</v>
      </c>
      <c r="K20" s="59" t="str">
        <f>coordonnee_st[[#This Row],[PRENOM]]&amp;coordonnee_st[[#This Row],[NOM]]</f>
        <v>HatemBenAbid</v>
      </c>
      <c r="L20" s="59" t="str">
        <f>IF(
   COUNTIFS($K$2:K20,K20
           )&gt;1,
   "Doublon",
   "Correcte"
)</f>
        <v>Correcte</v>
      </c>
    </row>
    <row r="21" spans="1:12" ht="16.5" thickTop="1" thickBot="1" x14ac:dyDescent="0.3">
      <c r="A21" s="63"/>
      <c r="B21" s="63" t="s">
        <v>626</v>
      </c>
      <c r="C21" s="63">
        <v>50406264</v>
      </c>
      <c r="D21" s="59" t="s">
        <v>8</v>
      </c>
      <c r="E21" s="63" t="s">
        <v>623</v>
      </c>
      <c r="F21" s="63"/>
      <c r="G21" s="63"/>
      <c r="H21" s="63"/>
      <c r="I21" s="59" t="s">
        <v>664</v>
      </c>
      <c r="J21" s="61">
        <v>45915</v>
      </c>
      <c r="K21" s="59" t="str">
        <f>coordonnee_st[[#This Row],[PRENOM]]&amp;coordonnee_st[[#This Row],[NOM]]</f>
        <v>Karim</v>
      </c>
      <c r="L21" s="59" t="str">
        <f>IF(
   COUNTIFS($K$2:K21,K21
           )&gt;1,
   "Doublon",
   "Correcte"
)</f>
        <v>Correcte</v>
      </c>
    </row>
    <row r="22" spans="1:12" ht="16.5" thickTop="1" thickBot="1" x14ac:dyDescent="0.3">
      <c r="A22" s="63" t="s">
        <v>619</v>
      </c>
      <c r="B22" s="63" t="s">
        <v>620</v>
      </c>
      <c r="C22" s="63">
        <v>27547987</v>
      </c>
      <c r="D22" s="59" t="s">
        <v>8</v>
      </c>
      <c r="E22" s="63"/>
      <c r="F22" s="63"/>
      <c r="G22" s="63"/>
      <c r="H22" s="63"/>
      <c r="I22" s="59" t="s">
        <v>664</v>
      </c>
      <c r="J22" s="61">
        <v>45915</v>
      </c>
      <c r="K22" s="59" t="str">
        <f>coordonnee_st[[#This Row],[PRENOM]]&amp;coordonnee_st[[#This Row],[NOM]]</f>
        <v>KhadijaBen Hsen</v>
      </c>
      <c r="L22" s="59" t="str">
        <f>IF(
   COUNTIFS($K$2:K22,K22
           )&gt;1,
   "Doublon",
   "Correcte"
)</f>
        <v>Correcte</v>
      </c>
    </row>
    <row r="23" spans="1:12" ht="16.5" thickTop="1" thickBot="1" x14ac:dyDescent="0.3">
      <c r="A23" s="63"/>
      <c r="B23" s="63" t="s">
        <v>613</v>
      </c>
      <c r="C23" s="63">
        <v>24730228</v>
      </c>
      <c r="D23" s="59" t="s">
        <v>8</v>
      </c>
      <c r="E23" s="63" t="s">
        <v>611</v>
      </c>
      <c r="F23" s="63"/>
      <c r="G23" s="63"/>
      <c r="H23" s="63"/>
      <c r="I23" s="59" t="s">
        <v>664</v>
      </c>
      <c r="J23" s="61">
        <v>45915</v>
      </c>
      <c r="K23" s="59" t="str">
        <f>coordonnee_st[[#This Row],[PRENOM]]&amp;coordonnee_st[[#This Row],[NOM]]</f>
        <v>Kisra</v>
      </c>
      <c r="L23" s="59" t="str">
        <f>IF(
   COUNTIFS($K$2:K23,K23
           )&gt;1,
   "Doublon",
   "Correcte"
)</f>
        <v>Correcte</v>
      </c>
    </row>
    <row r="24" spans="1:12" ht="16.5" thickTop="1" thickBot="1" x14ac:dyDescent="0.3">
      <c r="A24" s="59"/>
      <c r="B24" s="59" t="s">
        <v>595</v>
      </c>
      <c r="C24" s="59">
        <v>97578234</v>
      </c>
      <c r="D24" s="59" t="s">
        <v>8</v>
      </c>
      <c r="E24" s="59"/>
      <c r="F24" s="59"/>
      <c r="G24" s="59"/>
      <c r="H24" s="59"/>
      <c r="I24" s="59" t="s">
        <v>664</v>
      </c>
      <c r="J24" s="61">
        <v>45915</v>
      </c>
      <c r="K24" s="59" t="str">
        <f>coordonnee_st[[#This Row],[PRENOM]]&amp;coordonnee_st[[#This Row],[NOM]]</f>
        <v>Leyla</v>
      </c>
      <c r="L24" s="59" t="str">
        <f>IF(
   COUNTIFS($K$2:K24,K24
           )&gt;1,
   "Doublon",
   "Correcte"
)</f>
        <v>Correcte</v>
      </c>
    </row>
    <row r="25" spans="1:12" ht="16.5" thickTop="1" thickBot="1" x14ac:dyDescent="0.3">
      <c r="A25" s="59"/>
      <c r="B25" s="59" t="s">
        <v>607</v>
      </c>
      <c r="C25" s="59"/>
      <c r="D25" s="59" t="s">
        <v>8</v>
      </c>
      <c r="E25" s="59"/>
      <c r="F25" s="59"/>
      <c r="G25" s="59"/>
      <c r="H25" s="59"/>
      <c r="I25" s="59" t="s">
        <v>664</v>
      </c>
      <c r="J25" s="61">
        <v>45915</v>
      </c>
      <c r="K25" s="59" t="str">
        <f>coordonnee_st[[#This Row],[PRENOM]]&amp;coordonnee_st[[#This Row],[NOM]]</f>
        <v>Lobna</v>
      </c>
      <c r="L25" s="59" t="str">
        <f>IF(
   COUNTIFS($K$2:K25,K25
           )&gt;1,
   "Doublon",
   "Correcte"
)</f>
        <v>Correcte</v>
      </c>
    </row>
    <row r="26" spans="1:12" ht="16.5" thickTop="1" thickBot="1" x14ac:dyDescent="0.3">
      <c r="A26" s="59" t="s">
        <v>606</v>
      </c>
      <c r="B26" s="59" t="s">
        <v>607</v>
      </c>
      <c r="C26" s="59">
        <v>52234678</v>
      </c>
      <c r="D26" s="59" t="s">
        <v>8</v>
      </c>
      <c r="E26" s="59" t="s">
        <v>608</v>
      </c>
      <c r="F26" s="59"/>
      <c r="G26" s="59"/>
      <c r="H26" s="59"/>
      <c r="I26" s="59" t="s">
        <v>664</v>
      </c>
      <c r="J26" s="61">
        <v>45915</v>
      </c>
      <c r="K26" s="59" t="str">
        <f>coordonnee_st[[#This Row],[PRENOM]]&amp;coordonnee_st[[#This Row],[NOM]]</f>
        <v>LobnaMarzoug</v>
      </c>
      <c r="L26" s="59" t="str">
        <f>IF(
   COUNTIFS($K$2:K26,K26
           )&gt;1,
   "Doublon",
   "Correcte"
)</f>
        <v>Correcte</v>
      </c>
    </row>
    <row r="27" spans="1:12" ht="16.5" thickTop="1" thickBot="1" x14ac:dyDescent="0.3">
      <c r="A27" s="59"/>
      <c r="B27" s="59" t="s">
        <v>615</v>
      </c>
      <c r="C27" s="59">
        <v>46216058</v>
      </c>
      <c r="D27" s="59" t="s">
        <v>8</v>
      </c>
      <c r="E27" s="59" t="s">
        <v>616</v>
      </c>
      <c r="F27" s="59"/>
      <c r="G27" s="59"/>
      <c r="H27" s="59"/>
      <c r="I27" s="59" t="s">
        <v>664</v>
      </c>
      <c r="J27" s="61">
        <v>45915</v>
      </c>
      <c r="K27" s="59" t="str">
        <f>coordonnee_st[[#This Row],[PRENOM]]&amp;coordonnee_st[[#This Row],[NOM]]</f>
        <v>Maher</v>
      </c>
      <c r="L27" s="59" t="str">
        <f>IF(
   COUNTIFS($K$2:K27,K27
           )&gt;1,
   "Doublon",
   "Correcte"
)</f>
        <v>Correcte</v>
      </c>
    </row>
    <row r="28" spans="1:12" ht="16.5" thickTop="1" thickBot="1" x14ac:dyDescent="0.3">
      <c r="A28" s="59" t="s">
        <v>621</v>
      </c>
      <c r="B28" s="59" t="s">
        <v>622</v>
      </c>
      <c r="C28" s="59">
        <v>42217654</v>
      </c>
      <c r="D28" s="59" t="s">
        <v>8</v>
      </c>
      <c r="E28" s="59" t="s">
        <v>623</v>
      </c>
      <c r="F28" s="59"/>
      <c r="G28" s="59"/>
      <c r="H28" s="59"/>
      <c r="I28" s="59" t="s">
        <v>664</v>
      </c>
      <c r="J28" s="61">
        <v>45915</v>
      </c>
      <c r="K28" s="59" t="str">
        <f>coordonnee_st[[#This Row],[PRENOM]]&amp;coordonnee_st[[#This Row],[NOM]]</f>
        <v>MouldiaSlema</v>
      </c>
      <c r="L28" s="59" t="str">
        <f>IF(
   COUNTIFS($K$2:K28,K28
           )&gt;1,
   "Doublon",
   "Correcte"
)</f>
        <v>Correcte</v>
      </c>
    </row>
    <row r="29" spans="1:12" ht="16.5" thickTop="1" thickBot="1" x14ac:dyDescent="0.3">
      <c r="A29" s="59" t="s">
        <v>603</v>
      </c>
      <c r="B29" s="59" t="s">
        <v>604</v>
      </c>
      <c r="C29" s="59">
        <v>95612259</v>
      </c>
      <c r="D29" s="59" t="s">
        <v>8</v>
      </c>
      <c r="E29" s="59" t="s">
        <v>605</v>
      </c>
      <c r="F29" s="59"/>
      <c r="G29" s="59"/>
      <c r="H29" s="59"/>
      <c r="I29" s="59" t="s">
        <v>664</v>
      </c>
      <c r="J29" s="61">
        <v>45915</v>
      </c>
      <c r="K29" s="59" t="str">
        <f>coordonnee_st[[#This Row],[PRENOM]]&amp;coordonnee_st[[#This Row],[NOM]]</f>
        <v>NaimaNouri</v>
      </c>
      <c r="L29" s="59" t="str">
        <f>IF(
   COUNTIFS($K$2:K29,K29
           )&gt;1,
   "Doublon",
   "Correcte"
)</f>
        <v>Correcte</v>
      </c>
    </row>
    <row r="30" spans="1:12" ht="16.5" thickTop="1" thickBot="1" x14ac:dyDescent="0.3">
      <c r="A30" s="59"/>
      <c r="B30" s="59" t="s">
        <v>645</v>
      </c>
      <c r="C30" s="59"/>
      <c r="D30" s="59" t="s">
        <v>8</v>
      </c>
      <c r="E30" s="59"/>
      <c r="F30" s="59"/>
      <c r="G30" s="59"/>
      <c r="H30" s="59"/>
      <c r="I30" s="59" t="s">
        <v>664</v>
      </c>
      <c r="J30" s="61">
        <v>45915</v>
      </c>
      <c r="K30" s="59" t="str">
        <f>coordonnee_st[[#This Row],[PRENOM]]&amp;coordonnee_st[[#This Row],[NOM]]</f>
        <v>Najet Omda</v>
      </c>
      <c r="L30" s="59" t="str">
        <f>IF(
   COUNTIFS($K$2:K30,K30
           )&gt;1,
   "Doublon",
   "Correcte"
)</f>
        <v>Correcte</v>
      </c>
    </row>
    <row r="31" spans="1:12" ht="16.5" thickTop="1" thickBot="1" x14ac:dyDescent="0.3">
      <c r="A31" s="59" t="s">
        <v>617</v>
      </c>
      <c r="B31" s="59" t="s">
        <v>618</v>
      </c>
      <c r="C31" s="59">
        <v>94535116</v>
      </c>
      <c r="D31" s="59" t="s">
        <v>8</v>
      </c>
      <c r="E31" s="59"/>
      <c r="F31" s="59"/>
      <c r="G31" s="59"/>
      <c r="H31" s="59"/>
      <c r="I31" s="59" t="s">
        <v>664</v>
      </c>
      <c r="J31" s="61">
        <v>45915</v>
      </c>
      <c r="K31" s="59" t="str">
        <f>coordonnee_st[[#This Row],[PRENOM]]&amp;coordonnee_st[[#This Row],[NOM]]</f>
        <v>NajiaKhlifa</v>
      </c>
      <c r="L31" s="59" t="str">
        <f>IF(
   COUNTIFS($K$2:K31,K31
           )&gt;1,
   "Doublon",
   "Correcte"
)</f>
        <v>Correcte</v>
      </c>
    </row>
    <row r="32" spans="1:12" ht="16.5" thickTop="1" thickBot="1" x14ac:dyDescent="0.3">
      <c r="A32" s="59"/>
      <c r="B32" s="59" t="s">
        <v>614</v>
      </c>
      <c r="C32" s="59">
        <v>97157610</v>
      </c>
      <c r="D32" s="59" t="s">
        <v>8</v>
      </c>
      <c r="E32" s="59"/>
      <c r="F32" s="59"/>
      <c r="G32" s="59"/>
      <c r="H32" s="59"/>
      <c r="I32" s="59" t="s">
        <v>664</v>
      </c>
      <c r="J32" s="61">
        <v>45915</v>
      </c>
      <c r="K32" s="59" t="str">
        <f>coordonnee_st[[#This Row],[PRENOM]]&amp;coordonnee_st[[#This Row],[NOM]]</f>
        <v>Rachida</v>
      </c>
      <c r="L32" s="59" t="str">
        <f>IF(
   COUNTIFS($K$2:K32,K32
           )&gt;1,
   "Doublon",
   "Correcte"
)</f>
        <v>Correcte</v>
      </c>
    </row>
    <row r="33" spans="1:12" ht="16.5" thickTop="1" thickBot="1" x14ac:dyDescent="0.3">
      <c r="A33" s="59"/>
      <c r="B33" s="59" t="s">
        <v>649</v>
      </c>
      <c r="C33" s="59"/>
      <c r="D33" s="59" t="s">
        <v>8</v>
      </c>
      <c r="E33" s="59"/>
      <c r="F33" s="59"/>
      <c r="G33" s="59"/>
      <c r="H33" s="59"/>
      <c r="I33" s="59" t="s">
        <v>664</v>
      </c>
      <c r="J33" s="61">
        <v>45915</v>
      </c>
      <c r="K33" s="59" t="str">
        <f>coordonnee_st[[#This Row],[PRENOM]]&amp;coordonnee_st[[#This Row],[NOM]]</f>
        <v>Rkaya</v>
      </c>
      <c r="L33" s="59" t="str">
        <f>IF(
   COUNTIFS($K$2:K33,K33
           )&gt;1,
   "Doublon",
   "Correcte"
)</f>
        <v>Correcte</v>
      </c>
    </row>
    <row r="34" spans="1:12" ht="16.5" thickTop="1" thickBot="1" x14ac:dyDescent="0.3">
      <c r="A34" s="59"/>
      <c r="B34" s="59" t="s">
        <v>612</v>
      </c>
      <c r="C34" s="59">
        <v>73430209</v>
      </c>
      <c r="D34" s="59" t="s">
        <v>8</v>
      </c>
      <c r="E34" s="59"/>
      <c r="F34" s="59"/>
      <c r="G34" s="59"/>
      <c r="H34" s="59"/>
      <c r="I34" s="59" t="s">
        <v>664</v>
      </c>
      <c r="J34" s="61">
        <v>45915</v>
      </c>
      <c r="K34" s="59" t="str">
        <f>coordonnee_st[[#This Row],[PRENOM]]&amp;coordonnee_st[[#This Row],[NOM]]</f>
        <v>Safia</v>
      </c>
      <c r="L34" s="59" t="str">
        <f>IF(
   COUNTIFS($K$2:K34,K34
           )&gt;1,
   "Doublon",
   "Correcte"
)</f>
        <v>Correcte</v>
      </c>
    </row>
    <row r="35" spans="1:12" ht="16.5" thickTop="1" thickBot="1" x14ac:dyDescent="0.3">
      <c r="A35" s="59"/>
      <c r="B35" s="59" t="s">
        <v>646</v>
      </c>
      <c r="C35" s="59"/>
      <c r="D35" s="59" t="s">
        <v>8</v>
      </c>
      <c r="E35" s="59"/>
      <c r="F35" s="59"/>
      <c r="G35" s="59"/>
      <c r="H35" s="59"/>
      <c r="I35" s="59" t="s">
        <v>664</v>
      </c>
      <c r="J35" s="61">
        <v>45915</v>
      </c>
      <c r="K35" s="59" t="str">
        <f>coordonnee_st[[#This Row],[PRENOM]]&amp;coordonnee_st[[#This Row],[NOM]]</f>
        <v>Safiya</v>
      </c>
      <c r="L35" s="59" t="str">
        <f>IF(
   COUNTIFS($K$2:K35,K35
           )&gt;1,
   "Doublon",
   "Correcte"
)</f>
        <v>Correcte</v>
      </c>
    </row>
    <row r="36" spans="1:12" ht="16.5" thickTop="1" thickBot="1" x14ac:dyDescent="0.3">
      <c r="A36" s="59"/>
      <c r="B36" s="59" t="s">
        <v>609</v>
      </c>
      <c r="C36" s="59">
        <v>92270476</v>
      </c>
      <c r="D36" s="59" t="s">
        <v>8</v>
      </c>
      <c r="E36" s="59"/>
      <c r="F36" s="59"/>
      <c r="G36" s="59"/>
      <c r="H36" s="59"/>
      <c r="I36" s="59" t="s">
        <v>664</v>
      </c>
      <c r="J36" s="61">
        <v>45915</v>
      </c>
      <c r="K36" s="59" t="str">
        <f>coordonnee_st[[#This Row],[PRENOM]]&amp;coordonnee_st[[#This Row],[NOM]]</f>
        <v>Saida</v>
      </c>
      <c r="L36" s="59" t="str">
        <f>IF(
   COUNTIFS($K$2:K36,K36
           )&gt;1,
   "Doublon",
   "Correcte"
)</f>
        <v>Correcte</v>
      </c>
    </row>
    <row r="37" spans="1:12" ht="16.5" thickTop="1" thickBot="1" x14ac:dyDescent="0.3">
      <c r="A37" s="59"/>
      <c r="B37" s="59" t="s">
        <v>596</v>
      </c>
      <c r="C37" s="59">
        <v>95988429</v>
      </c>
      <c r="D37" s="59" t="s">
        <v>8</v>
      </c>
      <c r="E37" s="59"/>
      <c r="F37" s="59"/>
      <c r="G37" s="59"/>
      <c r="H37" s="59"/>
      <c r="I37" s="59" t="s">
        <v>664</v>
      </c>
      <c r="J37" s="61">
        <v>45915</v>
      </c>
      <c r="K37" s="59" t="str">
        <f>coordonnee_st[[#This Row],[PRENOM]]&amp;coordonnee_st[[#This Row],[NOM]]</f>
        <v>Samira</v>
      </c>
      <c r="L37" s="59" t="str">
        <f>IF(
   COUNTIFS($K$2:K37,K37
           )&gt;1,
   "Doublon",
   "Correcte"
)</f>
        <v>Correcte</v>
      </c>
    </row>
    <row r="38" spans="1:12" ht="16.5" thickTop="1" thickBot="1" x14ac:dyDescent="0.3">
      <c r="A38" s="59"/>
      <c r="B38" s="59" t="s">
        <v>651</v>
      </c>
      <c r="C38" s="59"/>
      <c r="D38" s="59" t="s">
        <v>8</v>
      </c>
      <c r="E38" s="59"/>
      <c r="F38" s="59"/>
      <c r="G38" s="59"/>
      <c r="H38" s="59"/>
      <c r="I38" s="59" t="s">
        <v>664</v>
      </c>
      <c r="J38" s="61">
        <v>45915</v>
      </c>
      <c r="K38" s="59" t="str">
        <f>coordonnee_st[[#This Row],[PRENOM]]&amp;coordonnee_st[[#This Row],[NOM]]</f>
        <v>Souad</v>
      </c>
      <c r="L38" s="59" t="str">
        <f>IF(
   COUNTIFS($K$2:K38,K38
           )&gt;1,
   "Doublon",
   "Correcte"
)</f>
        <v>Correcte</v>
      </c>
    </row>
    <row r="39" spans="1:12" ht="16.5" thickTop="1" thickBot="1" x14ac:dyDescent="0.3">
      <c r="A39" s="59"/>
      <c r="B39" s="59" t="s">
        <v>647</v>
      </c>
      <c r="C39" s="59"/>
      <c r="D39" s="59" t="s">
        <v>10</v>
      </c>
      <c r="E39" s="59"/>
      <c r="F39" s="59"/>
      <c r="G39" s="59"/>
      <c r="H39" s="59"/>
      <c r="I39" s="59" t="s">
        <v>664</v>
      </c>
      <c r="J39" s="61">
        <v>45915</v>
      </c>
      <c r="K39" s="59" t="str">
        <f>coordonnee_st[[#This Row],[PRENOM]]&amp;coordonnee_st[[#This Row],[NOM]]</f>
        <v>STE Chemiserie</v>
      </c>
      <c r="L39" s="59" t="str">
        <f>IF(
   COUNTIFS($K$2:K39,K39
           )&gt;1,
   "Doublon",
   "Correcte"
)</f>
        <v>Correcte</v>
      </c>
    </row>
    <row r="40" spans="1:12" ht="16.5" thickTop="1" thickBot="1" x14ac:dyDescent="0.3">
      <c r="A40" s="59"/>
      <c r="B40" s="59" t="s">
        <v>648</v>
      </c>
      <c r="C40" s="59"/>
      <c r="D40" s="59" t="s">
        <v>6</v>
      </c>
      <c r="E40" s="59"/>
      <c r="F40" s="59"/>
      <c r="G40" s="59"/>
      <c r="H40" s="59"/>
      <c r="I40" s="59" t="s">
        <v>664</v>
      </c>
      <c r="J40" s="61">
        <v>45915</v>
      </c>
      <c r="K40" s="59" t="str">
        <f>coordonnee_st[[#This Row],[PRENOM]]&amp;coordonnee_st[[#This Row],[NOM]]</f>
        <v>Univers sérigraphie</v>
      </c>
      <c r="L40" s="59" t="str">
        <f>IF(
   COUNTIFS($K$2:K40,K40
           )&gt;1,
   "Doublon",
   "Correcte"
)</f>
        <v>Correcte</v>
      </c>
    </row>
    <row r="41" spans="1:12" ht="16.5" thickTop="1" thickBot="1" x14ac:dyDescent="0.3">
      <c r="A41" s="59" t="s">
        <v>624</v>
      </c>
      <c r="B41" s="59" t="s">
        <v>625</v>
      </c>
      <c r="C41" s="59">
        <v>22647070</v>
      </c>
      <c r="D41" s="59" t="s">
        <v>8</v>
      </c>
      <c r="E41" s="59" t="s">
        <v>623</v>
      </c>
      <c r="F41" s="59"/>
      <c r="G41" s="59"/>
      <c r="H41" s="59"/>
      <c r="I41" s="59" t="s">
        <v>664</v>
      </c>
      <c r="J41" s="61">
        <v>45915</v>
      </c>
      <c r="K41" s="59" t="str">
        <f>coordonnee_st[[#This Row],[PRENOM]]&amp;coordonnee_st[[#This Row],[NOM]]</f>
        <v>WafaHsin</v>
      </c>
      <c r="L41" s="59" t="str">
        <f>IF(
   COUNTIFS($K$2:K41,K41
           )&gt;1,
   "Doublon",
   "Correcte"
)</f>
        <v>Correcte</v>
      </c>
    </row>
    <row r="42" spans="1:12" ht="16.5" thickTop="1" thickBot="1" x14ac:dyDescent="0.3">
      <c r="A42" s="59"/>
      <c r="B42" s="59" t="s">
        <v>630</v>
      </c>
      <c r="C42" s="59">
        <v>29897753</v>
      </c>
      <c r="D42" s="59" t="s">
        <v>8</v>
      </c>
      <c r="E42" s="59" t="s">
        <v>616</v>
      </c>
      <c r="F42" s="59"/>
      <c r="G42" s="59"/>
      <c r="H42" s="59"/>
      <c r="I42" s="59" t="s">
        <v>664</v>
      </c>
      <c r="J42" s="61">
        <v>45915</v>
      </c>
      <c r="K42" s="59" t="str">
        <f>coordonnee_st[[#This Row],[PRENOM]]&amp;coordonnee_st[[#This Row],[NOM]]</f>
        <v>Yasmine</v>
      </c>
      <c r="L42" s="59" t="str">
        <f>IF(
   COUNTIFS($K$2:K42,K42
           )&gt;1,
   "Doublon",
   "Correcte"
)</f>
        <v>Correcte</v>
      </c>
    </row>
    <row r="43" spans="1:12" ht="16.5" thickTop="1" thickBot="1" x14ac:dyDescent="0.3">
      <c r="A43" s="63"/>
      <c r="B43" s="63" t="s">
        <v>650</v>
      </c>
      <c r="C43" s="63"/>
      <c r="D43" s="63" t="s">
        <v>8</v>
      </c>
      <c r="E43" s="63"/>
      <c r="F43" s="63"/>
      <c r="G43" s="63"/>
      <c r="H43" s="63"/>
      <c r="I43" s="59" t="s">
        <v>664</v>
      </c>
      <c r="J43" s="61">
        <v>45915</v>
      </c>
      <c r="K43" s="63" t="str">
        <f>coordonnee_st[[#This Row],[PRENOM]]&amp;coordonnee_st[[#This Row],[NOM]]</f>
        <v>Zohra</v>
      </c>
      <c r="L43" s="63" t="str">
        <f>IF(
   COUNTIFS($K$2:K43,K43
           )&gt;1,
   "Doublon",
   "Correcte"
)</f>
        <v>Correcte</v>
      </c>
    </row>
    <row r="44" spans="1:12" ht="15.75" thickTop="1" x14ac:dyDescent="0.25"/>
    <row r="45" spans="1:12" ht="15" x14ac:dyDescent="0.25"/>
    <row r="46" spans="1:12" ht="15" x14ac:dyDescent="0.25"/>
    <row r="47" spans="1:12" ht="15" x14ac:dyDescent="0.25"/>
    <row r="48" spans="1:12" ht="15" x14ac:dyDescent="0.25"/>
    <row r="49" ht="15" x14ac:dyDescent="0.25"/>
    <row r="50" ht="15" x14ac:dyDescent="0.25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FD8CA-5138-49A8-BB49-ADC643132408}">
  <dimension ref="A1:V559"/>
  <sheetViews>
    <sheetView workbookViewId="0">
      <selection activeCell="D19" sqref="D19"/>
    </sheetView>
  </sheetViews>
  <sheetFormatPr baseColWidth="10" defaultColWidth="11.42578125" defaultRowHeight="15" x14ac:dyDescent="0.25"/>
  <cols>
    <col min="1" max="1" width="18.5703125" customWidth="1"/>
    <col min="2" max="2" width="26.85546875" customWidth="1"/>
    <col min="3" max="3" width="27.140625" customWidth="1"/>
    <col min="4" max="4" width="16" customWidth="1"/>
    <col min="5" max="5" width="15.28515625" customWidth="1"/>
    <col min="6" max="6" width="12" customWidth="1"/>
    <col min="7" max="7" width="14.5703125" customWidth="1"/>
    <col min="8" max="8" width="16" customWidth="1"/>
    <col min="9" max="9" width="11.5703125" customWidth="1"/>
    <col min="10" max="10" width="17.42578125" customWidth="1"/>
    <col min="11" max="12" width="12.7109375" customWidth="1"/>
    <col min="13" max="13" width="12.85546875" customWidth="1"/>
    <col min="14" max="14" width="16.85546875" customWidth="1"/>
    <col min="20" max="20" width="16.5703125" customWidth="1"/>
  </cols>
  <sheetData>
    <row r="1" spans="1:22" s="5" customFormat="1" ht="27.75" thickBot="1" x14ac:dyDescent="0.3">
      <c r="A1" s="110" t="s">
        <v>1297</v>
      </c>
      <c r="B1" s="111" t="s">
        <v>3928</v>
      </c>
      <c r="C1" s="111" t="s">
        <v>652</v>
      </c>
      <c r="D1" s="111" t="s">
        <v>653</v>
      </c>
      <c r="E1" s="111" t="s">
        <v>654</v>
      </c>
      <c r="F1" s="111" t="s">
        <v>655</v>
      </c>
      <c r="G1" s="111" t="s">
        <v>656</v>
      </c>
      <c r="H1" s="111" t="s">
        <v>657</v>
      </c>
      <c r="I1" s="111" t="s">
        <v>658</v>
      </c>
      <c r="J1" s="112" t="s">
        <v>659</v>
      </c>
      <c r="K1" s="111" t="s">
        <v>3799</v>
      </c>
      <c r="L1" s="111" t="s">
        <v>3797</v>
      </c>
      <c r="M1" s="111" t="s">
        <v>3798</v>
      </c>
      <c r="N1" s="111" t="s">
        <v>660</v>
      </c>
      <c r="O1" s="111" t="s">
        <v>661</v>
      </c>
      <c r="P1" s="62" t="s">
        <v>1227</v>
      </c>
      <c r="Q1" s="113" t="s">
        <v>0</v>
      </c>
      <c r="R1" s="114" t="s">
        <v>2</v>
      </c>
      <c r="S1" s="114" t="s">
        <v>1</v>
      </c>
      <c r="T1" s="114" t="s">
        <v>3</v>
      </c>
      <c r="U1" s="114" t="s">
        <v>4</v>
      </c>
      <c r="V1" s="114" t="s">
        <v>5</v>
      </c>
    </row>
    <row r="2" spans="1:22" ht="16.5" thickTop="1" thickBot="1" x14ac:dyDescent="0.3">
      <c r="A2" s="46"/>
      <c r="B2" s="54" t="s">
        <v>3800</v>
      </c>
      <c r="C2" s="47" t="s">
        <v>662</v>
      </c>
      <c r="D2" s="47" t="s">
        <v>662</v>
      </c>
      <c r="E2" s="47" t="s">
        <v>663</v>
      </c>
      <c r="F2" s="48">
        <v>381.5</v>
      </c>
      <c r="G2" s="47"/>
      <c r="H2" s="47"/>
      <c r="I2" s="47" t="s">
        <v>664</v>
      </c>
      <c r="J2" s="49">
        <v>45913</v>
      </c>
      <c r="K2" s="47" t="str">
        <f>INDEX(_xlfn.TEXTSPLIT(mouvementmp[[#This Row],[QR MP]],"_"),1,1)</f>
        <v>C01</v>
      </c>
      <c r="L2" s="47" t="str">
        <f>INDEX(_xlfn.TEXTSPLIT(mouvementmp[[#This Row],[QR MP]],"_"),1,2)</f>
        <v>BLANC</v>
      </c>
      <c r="M2" s="47" t="str">
        <f>INDEX(_xlfn.TEXTSPLIT(mouvementmp[[#This Row],[QR MP]],"_"),1,3)</f>
        <v>NM05-01.00</v>
      </c>
      <c r="N2" s="47" t="str">
        <f>INDEX(_xlfn.TEXTSPLIT(mouvementmp[[#This Row],[QR MP]],"_"),1,4)</f>
        <v>S2023</v>
      </c>
      <c r="O2" s="53">
        <f>-mouvementmp[[#This Row],[Poids]]</f>
        <v>-381.5</v>
      </c>
      <c r="P2" s="53" t="str">
        <f>IF(
   COUNTIFS($A$2:A2,A2,
             $B$2:B2,B2,
             $C$2:C2,C2,
             $D$2:D2,D2,
             $E$2:E2,E2,
             $F$2:F2,F2,
              $J$2:J2,J2)&gt;1,
   "Doublon",
   "Correcte"
)</f>
        <v>Correcte</v>
      </c>
      <c r="Q2" s="68" t="str">
        <f>IF(mouvementmp[[#This Row],[QR Fabrication]]&lt;&gt;"",INDEX(_xlfn.TEXTSPLIT(mouvementmp[[#This Row],[QR Fabrication]],"_"),1,1),"")</f>
        <v/>
      </c>
      <c r="R2" s="68" t="str">
        <f>IF(mouvementmp[[#This Row],[QR Fabrication]]&lt;&gt;"",INDEX(_xlfn.TEXTSPLIT(mouvementmp[[#This Row],[QR Fabrication]],"_"),1,2),"")</f>
        <v/>
      </c>
      <c r="S2" s="16" t="str">
        <f>IF(mouvementmp[[#This Row],[QR Fabrication]]&lt;&gt;"",INDEX(_xlfn.TEXTSPLIT(mouvementmp[[#This Row],[QR Fabrication]],"_"),1,3),"")</f>
        <v/>
      </c>
      <c r="T2" s="16" t="str">
        <f>IF(mouvementmp[[#This Row],[QR Fabrication]]&lt;&gt;"",INDEX(_xlfn.TEXTSPLIT(mouvementmp[[#This Row],[QR Fabrication]],"_"),1,4),"")</f>
        <v/>
      </c>
      <c r="U2" s="16" t="str">
        <f>IF(mouvementmp[[#This Row],[QR Fabrication]]&lt;&gt;"",INDEX(_xlfn.TEXTSPLIT(mouvementmp[[#This Row],[QR Fabrication]],"_"),1,5),"")</f>
        <v/>
      </c>
      <c r="V2" s="16" t="str">
        <f>IF(mouvementmp[[#This Row],[QR Fabrication]]&lt;&gt;"",_xlfn.TEXTAFTER(mouvementmp[[#This Row],[QR Fabrication]],"_",5),"")</f>
        <v/>
      </c>
    </row>
    <row r="3" spans="1:22" ht="16.5" thickTop="1" thickBot="1" x14ac:dyDescent="0.3">
      <c r="A3" s="46"/>
      <c r="B3" s="54" t="s">
        <v>3801</v>
      </c>
      <c r="C3" s="47" t="s">
        <v>662</v>
      </c>
      <c r="D3" s="47" t="s">
        <v>662</v>
      </c>
      <c r="E3" s="47" t="s">
        <v>663</v>
      </c>
      <c r="F3" s="48">
        <v>1113</v>
      </c>
      <c r="G3" s="47"/>
      <c r="H3" s="47"/>
      <c r="I3" s="47" t="s">
        <v>664</v>
      </c>
      <c r="J3" s="49">
        <v>45913</v>
      </c>
      <c r="K3" s="47" t="str">
        <f>INDEX(_xlfn.TEXTSPLIT(mouvementmp[[#This Row],[QR MP]],"_"),1,1)</f>
        <v>C02</v>
      </c>
      <c r="L3" s="47" t="str">
        <f>INDEX(_xlfn.TEXTSPLIT(mouvementmp[[#This Row],[QR MP]],"_"),1,2)</f>
        <v>ECRU</v>
      </c>
      <c r="M3" s="47" t="str">
        <f>INDEX(_xlfn.TEXTSPLIT(mouvementmp[[#This Row],[QR MP]],"_"),1,3)</f>
        <v>NM05-02.00</v>
      </c>
      <c r="N3" s="47" t="str">
        <f>INDEX(_xlfn.TEXTSPLIT(mouvementmp[[#This Row],[QR MP]],"_"),1,4)</f>
        <v>58733</v>
      </c>
      <c r="O3" s="47">
        <f>-mouvementmp[[#This Row],[Poids]]</f>
        <v>-1113</v>
      </c>
      <c r="P3" s="47" t="str">
        <f>IF(
   COUNTIFS($A$2:A3,A3,
             $B$2:B3,B3,
             $C$2:C3,C3,
             $D$2:D3,D3,
             $E$2:E3,E3,
             $F$2:F3,F3,
              $J$2:J3,J3)&gt;1,
   "Doublon",
   "Correcte"
)</f>
        <v>Correcte</v>
      </c>
      <c r="Q3" s="106" t="str">
        <f>IF(mouvementmp[[#This Row],[QR Fabrication]]&lt;&gt;"",INDEX(_xlfn.TEXTSPLIT(mouvementmp[[#This Row],[QR Fabrication]],"_"),1,1),"")</f>
        <v/>
      </c>
      <c r="R3" s="109" t="str">
        <f>IF(mouvementmp[[#This Row],[QR Fabrication]]&lt;&gt;"",INDEX(_xlfn.TEXTSPLIT(mouvementmp[[#This Row],[QR Fabrication]],"_"),1,2),"")</f>
        <v/>
      </c>
      <c r="S3" s="47" t="str">
        <f>IF(mouvementmp[[#This Row],[QR Fabrication]]&lt;&gt;"",INDEX(_xlfn.TEXTSPLIT(mouvementmp[[#This Row],[QR Fabrication]],"_"),1,3),"")</f>
        <v/>
      </c>
      <c r="T3" s="47" t="str">
        <f>IF(mouvementmp[[#This Row],[QR Fabrication]]&lt;&gt;"",INDEX(_xlfn.TEXTSPLIT(mouvementmp[[#This Row],[QR Fabrication]],"_"),1,4),"")</f>
        <v/>
      </c>
      <c r="U3" s="47" t="str">
        <f>IF(mouvementmp[[#This Row],[QR Fabrication]]&lt;&gt;"",INDEX(_xlfn.TEXTSPLIT(mouvementmp[[#This Row],[QR Fabrication]],"_"),1,5),"")</f>
        <v/>
      </c>
      <c r="V3" s="47" t="str">
        <f>IF(mouvementmp[[#This Row],[QR Fabrication]]&lt;&gt;"",_xlfn.TEXTAFTER(mouvementmp[[#This Row],[QR Fabrication]],"_",5),"")</f>
        <v/>
      </c>
    </row>
    <row r="4" spans="1:22" ht="16.5" thickTop="1" thickBot="1" x14ac:dyDescent="0.3">
      <c r="A4" s="46"/>
      <c r="B4" s="54" t="s">
        <v>3802</v>
      </c>
      <c r="C4" s="47" t="s">
        <v>662</v>
      </c>
      <c r="D4" s="47" t="s">
        <v>662</v>
      </c>
      <c r="E4" s="47" t="s">
        <v>663</v>
      </c>
      <c r="F4" s="48">
        <v>10.5</v>
      </c>
      <c r="G4" s="47"/>
      <c r="H4" s="47"/>
      <c r="I4" s="47" t="s">
        <v>664</v>
      </c>
      <c r="J4" s="49">
        <v>45913</v>
      </c>
      <c r="K4" s="47" t="str">
        <f>INDEX(_xlfn.TEXTSPLIT(mouvementmp[[#This Row],[QR MP]],"_"),1,1)</f>
        <v>C02</v>
      </c>
      <c r="L4" s="47" t="str">
        <f>INDEX(_xlfn.TEXTSPLIT(mouvementmp[[#This Row],[QR MP]],"_"),1,2)</f>
        <v>ECRU</v>
      </c>
      <c r="M4" s="47" t="str">
        <f>INDEX(_xlfn.TEXTSPLIT(mouvementmp[[#This Row],[QR MP]],"_"),1,3)</f>
        <v>NM05-02.00</v>
      </c>
      <c r="N4" s="47" t="str">
        <f>INDEX(_xlfn.TEXTSPLIT(mouvementmp[[#This Row],[QR MP]],"_"),1,4)</f>
        <v>59839</v>
      </c>
      <c r="O4" s="47">
        <f>-mouvementmp[[#This Row],[Poids]]</f>
        <v>-10.5</v>
      </c>
      <c r="P4" s="47" t="str">
        <f>IF(
   COUNTIFS($A$2:A4,A4,
             $B$2:B4,B4,
             $C$2:C4,C4,
             $D$2:D4,D4,
             $E$2:E4,E4,
             $F$2:F4,F4,
              $J$2:J4,J4)&gt;1,
   "Doublon",
   "Correcte"
)</f>
        <v>Correcte</v>
      </c>
      <c r="Q4" s="106" t="str">
        <f>IF(mouvementmp[[#This Row],[QR Fabrication]]&lt;&gt;"",INDEX(_xlfn.TEXTSPLIT(mouvementmp[[#This Row],[QR Fabrication]],"_"),1,1),"")</f>
        <v/>
      </c>
      <c r="R4" s="109" t="str">
        <f>IF(mouvementmp[[#This Row],[QR Fabrication]]&lt;&gt;"",INDEX(_xlfn.TEXTSPLIT(mouvementmp[[#This Row],[QR Fabrication]],"_"),1,2),"")</f>
        <v/>
      </c>
      <c r="S4" s="47" t="str">
        <f>IF(mouvementmp[[#This Row],[QR Fabrication]]&lt;&gt;"",INDEX(_xlfn.TEXTSPLIT(mouvementmp[[#This Row],[QR Fabrication]],"_"),1,3),"")</f>
        <v/>
      </c>
      <c r="T4" s="47" t="str">
        <f>IF(mouvementmp[[#This Row],[QR Fabrication]]&lt;&gt;"",INDEX(_xlfn.TEXTSPLIT(mouvementmp[[#This Row],[QR Fabrication]],"_"),1,4),"")</f>
        <v/>
      </c>
      <c r="U4" s="47" t="str">
        <f>IF(mouvementmp[[#This Row],[QR Fabrication]]&lt;&gt;"",INDEX(_xlfn.TEXTSPLIT(mouvementmp[[#This Row],[QR Fabrication]],"_"),1,5),"")</f>
        <v/>
      </c>
      <c r="V4" s="47" t="str">
        <f>IF(mouvementmp[[#This Row],[QR Fabrication]]&lt;&gt;"",_xlfn.TEXTAFTER(mouvementmp[[#This Row],[QR Fabrication]],"_",5),"")</f>
        <v/>
      </c>
    </row>
    <row r="5" spans="1:22" ht="16.5" thickTop="1" thickBot="1" x14ac:dyDescent="0.3">
      <c r="A5" s="46"/>
      <c r="B5" s="54" t="s">
        <v>3803</v>
      </c>
      <c r="C5" s="47" t="s">
        <v>662</v>
      </c>
      <c r="D5" s="47" t="s">
        <v>662</v>
      </c>
      <c r="E5" s="47" t="s">
        <v>663</v>
      </c>
      <c r="F5" s="48">
        <v>1095.5</v>
      </c>
      <c r="G5" s="47"/>
      <c r="H5" s="47"/>
      <c r="I5" s="47" t="s">
        <v>664</v>
      </c>
      <c r="J5" s="49">
        <v>45913</v>
      </c>
      <c r="K5" s="47" t="str">
        <f>INDEX(_xlfn.TEXTSPLIT(mouvementmp[[#This Row],[QR MP]],"_"),1,1)</f>
        <v>C02</v>
      </c>
      <c r="L5" s="47" t="str">
        <f>INDEX(_xlfn.TEXTSPLIT(mouvementmp[[#This Row],[QR MP]],"_"),1,2)</f>
        <v>ECRU</v>
      </c>
      <c r="M5" s="47" t="str">
        <f>INDEX(_xlfn.TEXTSPLIT(mouvementmp[[#This Row],[QR MP]],"_"),1,3)</f>
        <v>NM05-02.00</v>
      </c>
      <c r="N5" s="47" t="str">
        <f>INDEX(_xlfn.TEXTSPLIT(mouvementmp[[#This Row],[QR MP]],"_"),1,4)</f>
        <v>60083</v>
      </c>
      <c r="O5" s="47">
        <f>-mouvementmp[[#This Row],[Poids]]</f>
        <v>-1095.5</v>
      </c>
      <c r="P5" s="47" t="str">
        <f>IF(
   COUNTIFS($A$2:A5,A5,
             $B$2:B5,B5,
             $C$2:C5,C5,
             $D$2:D5,D5,
             $E$2:E5,E5,
             $F$2:F5,F5,
              $J$2:J5,J5)&gt;1,
   "Doublon",
   "Correcte"
)</f>
        <v>Correcte</v>
      </c>
      <c r="Q5" s="106" t="str">
        <f>IF(mouvementmp[[#This Row],[QR Fabrication]]&lt;&gt;"",INDEX(_xlfn.TEXTSPLIT(mouvementmp[[#This Row],[QR Fabrication]],"_"),1,1),"")</f>
        <v/>
      </c>
      <c r="R5" s="109" t="str">
        <f>IF(mouvementmp[[#This Row],[QR Fabrication]]&lt;&gt;"",INDEX(_xlfn.TEXTSPLIT(mouvementmp[[#This Row],[QR Fabrication]],"_"),1,2),"")</f>
        <v/>
      </c>
      <c r="S5" s="47" t="str">
        <f>IF(mouvementmp[[#This Row],[QR Fabrication]]&lt;&gt;"",INDEX(_xlfn.TEXTSPLIT(mouvementmp[[#This Row],[QR Fabrication]],"_"),1,3),"")</f>
        <v/>
      </c>
      <c r="T5" s="47" t="str">
        <f>IF(mouvementmp[[#This Row],[QR Fabrication]]&lt;&gt;"",INDEX(_xlfn.TEXTSPLIT(mouvementmp[[#This Row],[QR Fabrication]],"_"),1,4),"")</f>
        <v/>
      </c>
      <c r="U5" s="47" t="str">
        <f>IF(mouvementmp[[#This Row],[QR Fabrication]]&lt;&gt;"",INDEX(_xlfn.TEXTSPLIT(mouvementmp[[#This Row],[QR Fabrication]],"_"),1,5),"")</f>
        <v/>
      </c>
      <c r="V5" s="47" t="str">
        <f>IF(mouvementmp[[#This Row],[QR Fabrication]]&lt;&gt;"",_xlfn.TEXTAFTER(mouvementmp[[#This Row],[QR Fabrication]],"_",5),"")</f>
        <v/>
      </c>
    </row>
    <row r="6" spans="1:22" ht="16.5" thickTop="1" thickBot="1" x14ac:dyDescent="0.3">
      <c r="A6" s="46"/>
      <c r="B6" s="54" t="s">
        <v>3803</v>
      </c>
      <c r="C6" s="47" t="s">
        <v>662</v>
      </c>
      <c r="D6" s="47" t="s">
        <v>662</v>
      </c>
      <c r="E6" s="47" t="s">
        <v>665</v>
      </c>
      <c r="F6" s="48">
        <v>14</v>
      </c>
      <c r="G6" s="47"/>
      <c r="H6" s="47"/>
      <c r="I6" s="47" t="s">
        <v>664</v>
      </c>
      <c r="J6" s="49">
        <v>45913</v>
      </c>
      <c r="K6" s="47" t="str">
        <f>INDEX(_xlfn.TEXTSPLIT(mouvementmp[[#This Row],[QR MP]],"_"),1,1)</f>
        <v>C02</v>
      </c>
      <c r="L6" s="47" t="str">
        <f>INDEX(_xlfn.TEXTSPLIT(mouvementmp[[#This Row],[QR MP]],"_"),1,2)</f>
        <v>ECRU</v>
      </c>
      <c r="M6" s="47" t="str">
        <f>INDEX(_xlfn.TEXTSPLIT(mouvementmp[[#This Row],[QR MP]],"_"),1,3)</f>
        <v>NM05-02.00</v>
      </c>
      <c r="N6" s="47" t="str">
        <f>INDEX(_xlfn.TEXTSPLIT(mouvementmp[[#This Row],[QR MP]],"_"),1,4)</f>
        <v>60083</v>
      </c>
      <c r="O6" s="47">
        <f>-mouvementmp[[#This Row],[Poids]]</f>
        <v>-14</v>
      </c>
      <c r="P6" s="47" t="str">
        <f>IF(
   COUNTIFS($A$2:A6,A6,
             $B$2:B6,B6,
             $C$2:C6,C6,
             $D$2:D6,D6,
             $E$2:E6,E6,
             $F$2:F6,F6,
              $J$2:J6,J6)&gt;1,
   "Doublon",
   "Correcte"
)</f>
        <v>Correcte</v>
      </c>
      <c r="Q6" s="106" t="str">
        <f>IF(mouvementmp[[#This Row],[QR Fabrication]]&lt;&gt;"",INDEX(_xlfn.TEXTSPLIT(mouvementmp[[#This Row],[QR Fabrication]],"_"),1,1),"")</f>
        <v/>
      </c>
      <c r="R6" s="109" t="str">
        <f>IF(mouvementmp[[#This Row],[QR Fabrication]]&lt;&gt;"",INDEX(_xlfn.TEXTSPLIT(mouvementmp[[#This Row],[QR Fabrication]],"_"),1,2),"")</f>
        <v/>
      </c>
      <c r="S6" s="47" t="str">
        <f>IF(mouvementmp[[#This Row],[QR Fabrication]]&lt;&gt;"",INDEX(_xlfn.TEXTSPLIT(mouvementmp[[#This Row],[QR Fabrication]],"_"),1,3),"")</f>
        <v/>
      </c>
      <c r="T6" s="47" t="str">
        <f>IF(mouvementmp[[#This Row],[QR Fabrication]]&lt;&gt;"",INDEX(_xlfn.TEXTSPLIT(mouvementmp[[#This Row],[QR Fabrication]],"_"),1,4),"")</f>
        <v/>
      </c>
      <c r="U6" s="47" t="str">
        <f>IF(mouvementmp[[#This Row],[QR Fabrication]]&lt;&gt;"",INDEX(_xlfn.TEXTSPLIT(mouvementmp[[#This Row],[QR Fabrication]],"_"),1,5),"")</f>
        <v/>
      </c>
      <c r="V6" s="47" t="str">
        <f>IF(mouvementmp[[#This Row],[QR Fabrication]]&lt;&gt;"",_xlfn.TEXTAFTER(mouvementmp[[#This Row],[QR Fabrication]],"_",5),"")</f>
        <v/>
      </c>
    </row>
    <row r="7" spans="1:22" ht="16.5" thickTop="1" thickBot="1" x14ac:dyDescent="0.3">
      <c r="A7" s="50"/>
      <c r="B7" s="55" t="s">
        <v>3804</v>
      </c>
      <c r="C7" s="47" t="s">
        <v>662</v>
      </c>
      <c r="D7" s="47" t="s">
        <v>662</v>
      </c>
      <c r="E7" s="51" t="s">
        <v>663</v>
      </c>
      <c r="F7" s="52">
        <v>1190</v>
      </c>
      <c r="G7" s="51"/>
      <c r="H7" s="51"/>
      <c r="I7" s="47" t="s">
        <v>664</v>
      </c>
      <c r="J7" s="49">
        <v>45913</v>
      </c>
      <c r="K7" s="47" t="str">
        <f>INDEX(_xlfn.TEXTSPLIT(mouvementmp[[#This Row],[QR MP]],"_"),1,1)</f>
        <v>C02</v>
      </c>
      <c r="L7" s="47" t="str">
        <f>INDEX(_xlfn.TEXTSPLIT(mouvementmp[[#This Row],[QR MP]],"_"),1,2)</f>
        <v>ECRU</v>
      </c>
      <c r="M7" s="47" t="str">
        <f>INDEX(_xlfn.TEXTSPLIT(mouvementmp[[#This Row],[QR MP]],"_"),1,3)</f>
        <v>NM05-02.00</v>
      </c>
      <c r="N7" s="47" t="str">
        <f>INDEX(_xlfn.TEXTSPLIT(mouvementmp[[#This Row],[QR MP]],"_"),1,4)</f>
        <v>60473</v>
      </c>
      <c r="O7" s="47">
        <f>-mouvementmp[[#This Row],[Poids]]</f>
        <v>-1190</v>
      </c>
      <c r="P7" s="47" t="str">
        <f>IF(
   COUNTIFS($A$2:A7,A7,
             $B$2:B7,B7,
             $C$2:C7,C7,
             $D$2:D7,D7,
             $E$2:E7,E7,
             $F$2:F7,F7,
              $J$2:J7,J7)&gt;1,
   "Doublon",
   "Correcte"
)</f>
        <v>Correcte</v>
      </c>
      <c r="Q7" s="106" t="str">
        <f>IF(mouvementmp[[#This Row],[QR Fabrication]]&lt;&gt;"",INDEX(_xlfn.TEXTSPLIT(mouvementmp[[#This Row],[QR Fabrication]],"_"),1,1),"")</f>
        <v/>
      </c>
      <c r="R7" s="109" t="str">
        <f>IF(mouvementmp[[#This Row],[QR Fabrication]]&lt;&gt;"",INDEX(_xlfn.TEXTSPLIT(mouvementmp[[#This Row],[QR Fabrication]],"_"),1,2),"")</f>
        <v/>
      </c>
      <c r="S7" s="47" t="str">
        <f>IF(mouvementmp[[#This Row],[QR Fabrication]]&lt;&gt;"",INDEX(_xlfn.TEXTSPLIT(mouvementmp[[#This Row],[QR Fabrication]],"_"),1,3),"")</f>
        <v/>
      </c>
      <c r="T7" s="47" t="str">
        <f>IF(mouvementmp[[#This Row],[QR Fabrication]]&lt;&gt;"",INDEX(_xlfn.TEXTSPLIT(mouvementmp[[#This Row],[QR Fabrication]],"_"),1,4),"")</f>
        <v/>
      </c>
      <c r="U7" s="47" t="str">
        <f>IF(mouvementmp[[#This Row],[QR Fabrication]]&lt;&gt;"",INDEX(_xlfn.TEXTSPLIT(mouvementmp[[#This Row],[QR Fabrication]],"_"),1,5),"")</f>
        <v/>
      </c>
      <c r="V7" s="47" t="str">
        <f>IF(mouvementmp[[#This Row],[QR Fabrication]]&lt;&gt;"",_xlfn.TEXTAFTER(mouvementmp[[#This Row],[QR Fabrication]],"_",5),"")</f>
        <v/>
      </c>
    </row>
    <row r="8" spans="1:22" ht="16.5" thickTop="1" thickBot="1" x14ac:dyDescent="0.3">
      <c r="A8" s="46"/>
      <c r="B8" s="54" t="s">
        <v>3804</v>
      </c>
      <c r="C8" s="47" t="s">
        <v>662</v>
      </c>
      <c r="D8" s="47" t="s">
        <v>662</v>
      </c>
      <c r="E8" s="47" t="s">
        <v>666</v>
      </c>
      <c r="F8" s="48">
        <v>2268</v>
      </c>
      <c r="G8" s="47"/>
      <c r="H8" s="47"/>
      <c r="I8" s="47" t="s">
        <v>664</v>
      </c>
      <c r="J8" s="49">
        <v>45913</v>
      </c>
      <c r="K8" s="47" t="str">
        <f>INDEX(_xlfn.TEXTSPLIT(mouvementmp[[#This Row],[QR MP]],"_"),1,1)</f>
        <v>C02</v>
      </c>
      <c r="L8" s="47" t="str">
        <f>INDEX(_xlfn.TEXTSPLIT(mouvementmp[[#This Row],[QR MP]],"_"),1,2)</f>
        <v>ECRU</v>
      </c>
      <c r="M8" s="47" t="str">
        <f>INDEX(_xlfn.TEXTSPLIT(mouvementmp[[#This Row],[QR MP]],"_"),1,3)</f>
        <v>NM05-02.00</v>
      </c>
      <c r="N8" s="47" t="str">
        <f>INDEX(_xlfn.TEXTSPLIT(mouvementmp[[#This Row],[QR MP]],"_"),1,4)</f>
        <v>60473</v>
      </c>
      <c r="O8" s="47">
        <f>-mouvementmp[[#This Row],[Poids]]</f>
        <v>-2268</v>
      </c>
      <c r="P8" s="47" t="str">
        <f>IF(
   COUNTIFS($A$2:A8,A8,
             $B$2:B8,B8,
             $C$2:C8,C8,
             $D$2:D8,D8,
             $E$2:E8,E8,
             $F$2:F8,F8,
              $J$2:J8,J8)&gt;1,
   "Doublon",
   "Correcte"
)</f>
        <v>Correcte</v>
      </c>
      <c r="Q8" s="106" t="str">
        <f>IF(mouvementmp[[#This Row],[QR Fabrication]]&lt;&gt;"",INDEX(_xlfn.TEXTSPLIT(mouvementmp[[#This Row],[QR Fabrication]],"_"),1,1),"")</f>
        <v/>
      </c>
      <c r="R8" s="109" t="str">
        <f>IF(mouvementmp[[#This Row],[QR Fabrication]]&lt;&gt;"",INDEX(_xlfn.TEXTSPLIT(mouvementmp[[#This Row],[QR Fabrication]],"_"),1,2),"")</f>
        <v/>
      </c>
      <c r="S8" s="47" t="str">
        <f>IF(mouvementmp[[#This Row],[QR Fabrication]]&lt;&gt;"",INDEX(_xlfn.TEXTSPLIT(mouvementmp[[#This Row],[QR Fabrication]],"_"),1,3),"")</f>
        <v/>
      </c>
      <c r="T8" s="47" t="str">
        <f>IF(mouvementmp[[#This Row],[QR Fabrication]]&lt;&gt;"",INDEX(_xlfn.TEXTSPLIT(mouvementmp[[#This Row],[QR Fabrication]],"_"),1,4),"")</f>
        <v/>
      </c>
      <c r="U8" s="47" t="str">
        <f>IF(mouvementmp[[#This Row],[QR Fabrication]]&lt;&gt;"",INDEX(_xlfn.TEXTSPLIT(mouvementmp[[#This Row],[QR Fabrication]],"_"),1,5),"")</f>
        <v/>
      </c>
      <c r="V8" s="47" t="str">
        <f>IF(mouvementmp[[#This Row],[QR Fabrication]]&lt;&gt;"",_xlfn.TEXTAFTER(mouvementmp[[#This Row],[QR Fabrication]],"_",5),"")</f>
        <v/>
      </c>
    </row>
    <row r="9" spans="1:22" ht="16.5" thickTop="1" thickBot="1" x14ac:dyDescent="0.3">
      <c r="A9" s="46"/>
      <c r="B9" s="54" t="s">
        <v>3805</v>
      </c>
      <c r="C9" s="47" t="s">
        <v>662</v>
      </c>
      <c r="D9" s="47" t="s">
        <v>662</v>
      </c>
      <c r="E9" s="47" t="s">
        <v>663</v>
      </c>
      <c r="F9" s="48">
        <v>262.5</v>
      </c>
      <c r="G9" s="47"/>
      <c r="H9" s="47"/>
      <c r="I9" s="47" t="s">
        <v>664</v>
      </c>
      <c r="J9" s="49">
        <v>45913</v>
      </c>
      <c r="K9" s="47" t="str">
        <f>INDEX(_xlfn.TEXTSPLIT(mouvementmp[[#This Row],[QR MP]],"_"),1,1)</f>
        <v>C02</v>
      </c>
      <c r="L9" s="47" t="str">
        <f>INDEX(_xlfn.TEXTSPLIT(mouvementmp[[#This Row],[QR MP]],"_"),1,2)</f>
        <v>ECRU</v>
      </c>
      <c r="M9" s="47" t="str">
        <f>INDEX(_xlfn.TEXTSPLIT(mouvementmp[[#This Row],[QR MP]],"_"),1,3)</f>
        <v>NM10-02.00</v>
      </c>
      <c r="N9" s="47" t="str">
        <f>INDEX(_xlfn.TEXTSPLIT(mouvementmp[[#This Row],[QR MP]],"_"),1,4)</f>
        <v>S2023</v>
      </c>
      <c r="O9" s="47">
        <f>-mouvementmp[[#This Row],[Poids]]</f>
        <v>-262.5</v>
      </c>
      <c r="P9" s="47" t="str">
        <f>IF(
   COUNTIFS($A$2:A9,A9,
             $B$2:B9,B9,
             $C$2:C9,C9,
             $D$2:D9,D9,
             $E$2:E9,E9,
             $F$2:F9,F9,
              $J$2:J9,J9)&gt;1,
   "Doublon",
   "Correcte"
)</f>
        <v>Correcte</v>
      </c>
      <c r="Q9" s="106" t="str">
        <f>IF(mouvementmp[[#This Row],[QR Fabrication]]&lt;&gt;"",INDEX(_xlfn.TEXTSPLIT(mouvementmp[[#This Row],[QR Fabrication]],"_"),1,1),"")</f>
        <v/>
      </c>
      <c r="R9" s="109" t="str">
        <f>IF(mouvementmp[[#This Row],[QR Fabrication]]&lt;&gt;"",INDEX(_xlfn.TEXTSPLIT(mouvementmp[[#This Row],[QR Fabrication]],"_"),1,2),"")</f>
        <v/>
      </c>
      <c r="S9" s="47" t="str">
        <f>IF(mouvementmp[[#This Row],[QR Fabrication]]&lt;&gt;"",INDEX(_xlfn.TEXTSPLIT(mouvementmp[[#This Row],[QR Fabrication]],"_"),1,3),"")</f>
        <v/>
      </c>
      <c r="T9" s="47" t="str">
        <f>IF(mouvementmp[[#This Row],[QR Fabrication]]&lt;&gt;"",INDEX(_xlfn.TEXTSPLIT(mouvementmp[[#This Row],[QR Fabrication]],"_"),1,4),"")</f>
        <v/>
      </c>
      <c r="U9" s="47" t="str">
        <f>IF(mouvementmp[[#This Row],[QR Fabrication]]&lt;&gt;"",INDEX(_xlfn.TEXTSPLIT(mouvementmp[[#This Row],[QR Fabrication]],"_"),1,5),"")</f>
        <v/>
      </c>
      <c r="V9" s="47" t="str">
        <f>IF(mouvementmp[[#This Row],[QR Fabrication]]&lt;&gt;"",_xlfn.TEXTAFTER(mouvementmp[[#This Row],[QR Fabrication]],"_",5),"")</f>
        <v/>
      </c>
    </row>
    <row r="10" spans="1:22" ht="16.5" thickTop="1" thickBot="1" x14ac:dyDescent="0.3">
      <c r="A10" s="46"/>
      <c r="B10" s="54" t="s">
        <v>3805</v>
      </c>
      <c r="C10" s="47" t="s">
        <v>662</v>
      </c>
      <c r="D10" s="47" t="s">
        <v>662</v>
      </c>
      <c r="E10" s="47" t="s">
        <v>666</v>
      </c>
      <c r="F10" s="48">
        <v>17.5</v>
      </c>
      <c r="G10" s="47"/>
      <c r="H10" s="47"/>
      <c r="I10" s="47" t="s">
        <v>664</v>
      </c>
      <c r="J10" s="49">
        <v>45913</v>
      </c>
      <c r="K10" s="47" t="str">
        <f>INDEX(_xlfn.TEXTSPLIT(mouvementmp[[#This Row],[QR MP]],"_"),1,1)</f>
        <v>C02</v>
      </c>
      <c r="L10" s="47" t="str">
        <f>INDEX(_xlfn.TEXTSPLIT(mouvementmp[[#This Row],[QR MP]],"_"),1,2)</f>
        <v>ECRU</v>
      </c>
      <c r="M10" s="47" t="str">
        <f>INDEX(_xlfn.TEXTSPLIT(mouvementmp[[#This Row],[QR MP]],"_"),1,3)</f>
        <v>NM10-02.00</v>
      </c>
      <c r="N10" s="47" t="str">
        <f>INDEX(_xlfn.TEXTSPLIT(mouvementmp[[#This Row],[QR MP]],"_"),1,4)</f>
        <v>S2023</v>
      </c>
      <c r="O10" s="47">
        <f>-mouvementmp[[#This Row],[Poids]]</f>
        <v>-17.5</v>
      </c>
      <c r="P10" s="47" t="str">
        <f>IF(
   COUNTIFS($A$2:A10,A10,
             $B$2:B10,B10,
             $C$2:C10,C10,
             $D$2:D10,D10,
             $E$2:E10,E10,
             $F$2:F10,F10,
              $J$2:J10,J10)&gt;1,
   "Doublon",
   "Correcte"
)</f>
        <v>Correcte</v>
      </c>
      <c r="Q10" s="106" t="str">
        <f>IF(mouvementmp[[#This Row],[QR Fabrication]]&lt;&gt;"",INDEX(_xlfn.TEXTSPLIT(mouvementmp[[#This Row],[QR Fabrication]],"_"),1,1),"")</f>
        <v/>
      </c>
      <c r="R10" s="109" t="str">
        <f>IF(mouvementmp[[#This Row],[QR Fabrication]]&lt;&gt;"",INDEX(_xlfn.TEXTSPLIT(mouvementmp[[#This Row],[QR Fabrication]],"_"),1,2),"")</f>
        <v/>
      </c>
      <c r="S10" s="47" t="str">
        <f>IF(mouvementmp[[#This Row],[QR Fabrication]]&lt;&gt;"",INDEX(_xlfn.TEXTSPLIT(mouvementmp[[#This Row],[QR Fabrication]],"_"),1,3),"")</f>
        <v/>
      </c>
      <c r="T10" s="47" t="str">
        <f>IF(mouvementmp[[#This Row],[QR Fabrication]]&lt;&gt;"",INDEX(_xlfn.TEXTSPLIT(mouvementmp[[#This Row],[QR Fabrication]],"_"),1,4),"")</f>
        <v/>
      </c>
      <c r="U10" s="47" t="str">
        <f>IF(mouvementmp[[#This Row],[QR Fabrication]]&lt;&gt;"",INDEX(_xlfn.TEXTSPLIT(mouvementmp[[#This Row],[QR Fabrication]],"_"),1,5),"")</f>
        <v/>
      </c>
      <c r="V10" s="47" t="str">
        <f>IF(mouvementmp[[#This Row],[QR Fabrication]]&lt;&gt;"",_xlfn.TEXTAFTER(mouvementmp[[#This Row],[QR Fabrication]],"_",5),"")</f>
        <v/>
      </c>
    </row>
    <row r="11" spans="1:22" ht="16.5" thickTop="1" thickBot="1" x14ac:dyDescent="0.3">
      <c r="A11" s="46"/>
      <c r="B11" s="54" t="s">
        <v>3806</v>
      </c>
      <c r="C11" s="47" t="s">
        <v>662</v>
      </c>
      <c r="D11" s="47" t="s">
        <v>662</v>
      </c>
      <c r="E11" s="47" t="s">
        <v>667</v>
      </c>
      <c r="F11" s="48">
        <v>77</v>
      </c>
      <c r="G11" s="47"/>
      <c r="H11" s="47"/>
      <c r="I11" s="47" t="s">
        <v>664</v>
      </c>
      <c r="J11" s="49">
        <v>45913</v>
      </c>
      <c r="K11" s="47" t="str">
        <f>INDEX(_xlfn.TEXTSPLIT(mouvementmp[[#This Row],[QR MP]],"_"),1,1)</f>
        <v>C02</v>
      </c>
      <c r="L11" s="47" t="str">
        <f>INDEX(_xlfn.TEXTSPLIT(mouvementmp[[#This Row],[QR MP]],"_"),1,2)</f>
        <v>ECRU</v>
      </c>
      <c r="M11" s="47" t="str">
        <f>INDEX(_xlfn.TEXTSPLIT(mouvementmp[[#This Row],[QR MP]],"_"),1,3)</f>
        <v>NM15-02.00</v>
      </c>
      <c r="N11" s="47" t="str">
        <f>INDEX(_xlfn.TEXTSPLIT(mouvementmp[[#This Row],[QR MP]],"_"),1,4)</f>
        <v>61424</v>
      </c>
      <c r="O11" s="47">
        <f>-mouvementmp[[#This Row],[Poids]]</f>
        <v>-77</v>
      </c>
      <c r="P11" s="47" t="str">
        <f>IF(
   COUNTIFS($A$2:A11,A11,
             $B$2:B11,B11,
             $C$2:C11,C11,
             $D$2:D11,D11,
             $E$2:E11,E11,
             $F$2:F11,F11,
              $J$2:J11,J11)&gt;1,
   "Doublon",
   "Correcte"
)</f>
        <v>Correcte</v>
      </c>
      <c r="Q11" s="106" t="str">
        <f>IF(mouvementmp[[#This Row],[QR Fabrication]]&lt;&gt;"",INDEX(_xlfn.TEXTSPLIT(mouvementmp[[#This Row],[QR Fabrication]],"_"),1,1),"")</f>
        <v/>
      </c>
      <c r="R11" s="109" t="str">
        <f>IF(mouvementmp[[#This Row],[QR Fabrication]]&lt;&gt;"",INDEX(_xlfn.TEXTSPLIT(mouvementmp[[#This Row],[QR Fabrication]],"_"),1,2),"")</f>
        <v/>
      </c>
      <c r="S11" s="47" t="str">
        <f>IF(mouvementmp[[#This Row],[QR Fabrication]]&lt;&gt;"",INDEX(_xlfn.TEXTSPLIT(mouvementmp[[#This Row],[QR Fabrication]],"_"),1,3),"")</f>
        <v/>
      </c>
      <c r="T11" s="47" t="str">
        <f>IF(mouvementmp[[#This Row],[QR Fabrication]]&lt;&gt;"",INDEX(_xlfn.TEXTSPLIT(mouvementmp[[#This Row],[QR Fabrication]],"_"),1,4),"")</f>
        <v/>
      </c>
      <c r="U11" s="47" t="str">
        <f>IF(mouvementmp[[#This Row],[QR Fabrication]]&lt;&gt;"",INDEX(_xlfn.TEXTSPLIT(mouvementmp[[#This Row],[QR Fabrication]],"_"),1,5),"")</f>
        <v/>
      </c>
      <c r="V11" s="47" t="str">
        <f>IF(mouvementmp[[#This Row],[QR Fabrication]]&lt;&gt;"",_xlfn.TEXTAFTER(mouvementmp[[#This Row],[QR Fabrication]],"_",5),"")</f>
        <v/>
      </c>
    </row>
    <row r="12" spans="1:22" ht="16.5" thickTop="1" thickBot="1" x14ac:dyDescent="0.3">
      <c r="A12" s="46"/>
      <c r="B12" s="54" t="s">
        <v>3806</v>
      </c>
      <c r="C12" s="47" t="s">
        <v>662</v>
      </c>
      <c r="D12" s="47" t="s">
        <v>662</v>
      </c>
      <c r="E12" s="47" t="s">
        <v>665</v>
      </c>
      <c r="F12" s="48">
        <v>1.7</v>
      </c>
      <c r="G12" s="47"/>
      <c r="H12" s="47"/>
      <c r="I12" s="47" t="s">
        <v>664</v>
      </c>
      <c r="J12" s="49">
        <v>45913</v>
      </c>
      <c r="K12" s="47" t="str">
        <f>INDEX(_xlfn.TEXTSPLIT(mouvementmp[[#This Row],[QR MP]],"_"),1,1)</f>
        <v>C02</v>
      </c>
      <c r="L12" s="47" t="str">
        <f>INDEX(_xlfn.TEXTSPLIT(mouvementmp[[#This Row],[QR MP]],"_"),1,2)</f>
        <v>ECRU</v>
      </c>
      <c r="M12" s="47" t="str">
        <f>INDEX(_xlfn.TEXTSPLIT(mouvementmp[[#This Row],[QR MP]],"_"),1,3)</f>
        <v>NM15-02.00</v>
      </c>
      <c r="N12" s="47" t="str">
        <f>INDEX(_xlfn.TEXTSPLIT(mouvementmp[[#This Row],[QR MP]],"_"),1,4)</f>
        <v>61424</v>
      </c>
      <c r="O12" s="47">
        <f>-mouvementmp[[#This Row],[Poids]]</f>
        <v>-1.7</v>
      </c>
      <c r="P12" s="47" t="str">
        <f>IF(
   COUNTIFS($A$2:A12,A12,
             $B$2:B12,B12,
             $C$2:C12,C12,
             $D$2:D12,D12,
             $E$2:E12,E12,
             $F$2:F12,F12,
              $J$2:J12,J12)&gt;1,
   "Doublon",
   "Correcte"
)</f>
        <v>Correcte</v>
      </c>
      <c r="Q12" s="106" t="str">
        <f>IF(mouvementmp[[#This Row],[QR Fabrication]]&lt;&gt;"",INDEX(_xlfn.TEXTSPLIT(mouvementmp[[#This Row],[QR Fabrication]],"_"),1,1),"")</f>
        <v/>
      </c>
      <c r="R12" s="109" t="str">
        <f>IF(mouvementmp[[#This Row],[QR Fabrication]]&lt;&gt;"",INDEX(_xlfn.TEXTSPLIT(mouvementmp[[#This Row],[QR Fabrication]],"_"),1,2),"")</f>
        <v/>
      </c>
      <c r="S12" s="47" t="str">
        <f>IF(mouvementmp[[#This Row],[QR Fabrication]]&lt;&gt;"",INDEX(_xlfn.TEXTSPLIT(mouvementmp[[#This Row],[QR Fabrication]],"_"),1,3),"")</f>
        <v/>
      </c>
      <c r="T12" s="47" t="str">
        <f>IF(mouvementmp[[#This Row],[QR Fabrication]]&lt;&gt;"",INDEX(_xlfn.TEXTSPLIT(mouvementmp[[#This Row],[QR Fabrication]],"_"),1,4),"")</f>
        <v/>
      </c>
      <c r="U12" s="47" t="str">
        <f>IF(mouvementmp[[#This Row],[QR Fabrication]]&lt;&gt;"",INDEX(_xlfn.TEXTSPLIT(mouvementmp[[#This Row],[QR Fabrication]],"_"),1,5),"")</f>
        <v/>
      </c>
      <c r="V12" s="47" t="str">
        <f>IF(mouvementmp[[#This Row],[QR Fabrication]]&lt;&gt;"",_xlfn.TEXTAFTER(mouvementmp[[#This Row],[QR Fabrication]],"_",5),"")</f>
        <v/>
      </c>
    </row>
    <row r="13" spans="1:22" ht="16.5" thickTop="1" thickBot="1" x14ac:dyDescent="0.3">
      <c r="A13" s="46"/>
      <c r="B13" s="54" t="s">
        <v>3807</v>
      </c>
      <c r="C13" s="47" t="s">
        <v>662</v>
      </c>
      <c r="D13" s="47" t="s">
        <v>662</v>
      </c>
      <c r="E13" s="47" t="s">
        <v>667</v>
      </c>
      <c r="F13" s="48">
        <v>50</v>
      </c>
      <c r="G13" s="47"/>
      <c r="H13" s="47"/>
      <c r="I13" s="47" t="s">
        <v>664</v>
      </c>
      <c r="J13" s="49">
        <v>45913</v>
      </c>
      <c r="K13" s="47" t="str">
        <f>INDEX(_xlfn.TEXTSPLIT(mouvementmp[[#This Row],[QR MP]],"_"),1,1)</f>
        <v>C02</v>
      </c>
      <c r="L13" s="47" t="str">
        <f>INDEX(_xlfn.TEXTSPLIT(mouvementmp[[#This Row],[QR MP]],"_"),1,2)</f>
        <v>ECRU</v>
      </c>
      <c r="M13" s="47" t="str">
        <f>INDEX(_xlfn.TEXTSPLIT(mouvementmp[[#This Row],[QR MP]],"_"),1,3)</f>
        <v>NM20-02.00</v>
      </c>
      <c r="N13" s="47" t="str">
        <f>INDEX(_xlfn.TEXTSPLIT(mouvementmp[[#This Row],[QR MP]],"_"),1,4)</f>
        <v>S2023</v>
      </c>
      <c r="O13" s="47">
        <f>-mouvementmp[[#This Row],[Poids]]</f>
        <v>-50</v>
      </c>
      <c r="P13" s="47" t="str">
        <f>IF(
   COUNTIFS($A$2:A13,A13,
             $B$2:B13,B13,
             $C$2:C13,C13,
             $D$2:D13,D13,
             $E$2:E13,E13,
             $F$2:F13,F13,
              $J$2:J13,J13)&gt;1,
   "Doublon",
   "Correcte"
)</f>
        <v>Correcte</v>
      </c>
      <c r="Q13" s="106" t="str">
        <f>IF(mouvementmp[[#This Row],[QR Fabrication]]&lt;&gt;"",INDEX(_xlfn.TEXTSPLIT(mouvementmp[[#This Row],[QR Fabrication]],"_"),1,1),"")</f>
        <v/>
      </c>
      <c r="R13" s="109" t="str">
        <f>IF(mouvementmp[[#This Row],[QR Fabrication]]&lt;&gt;"",INDEX(_xlfn.TEXTSPLIT(mouvementmp[[#This Row],[QR Fabrication]],"_"),1,2),"")</f>
        <v/>
      </c>
      <c r="S13" s="47" t="str">
        <f>IF(mouvementmp[[#This Row],[QR Fabrication]]&lt;&gt;"",INDEX(_xlfn.TEXTSPLIT(mouvementmp[[#This Row],[QR Fabrication]],"_"),1,3),"")</f>
        <v/>
      </c>
      <c r="T13" s="47" t="str">
        <f>IF(mouvementmp[[#This Row],[QR Fabrication]]&lt;&gt;"",INDEX(_xlfn.TEXTSPLIT(mouvementmp[[#This Row],[QR Fabrication]],"_"),1,4),"")</f>
        <v/>
      </c>
      <c r="U13" s="47" t="str">
        <f>IF(mouvementmp[[#This Row],[QR Fabrication]]&lt;&gt;"",INDEX(_xlfn.TEXTSPLIT(mouvementmp[[#This Row],[QR Fabrication]],"_"),1,5),"")</f>
        <v/>
      </c>
      <c r="V13" s="47" t="str">
        <f>IF(mouvementmp[[#This Row],[QR Fabrication]]&lt;&gt;"",_xlfn.TEXTAFTER(mouvementmp[[#This Row],[QR Fabrication]],"_",5),"")</f>
        <v/>
      </c>
    </row>
    <row r="14" spans="1:22" ht="16.5" thickTop="1" thickBot="1" x14ac:dyDescent="0.3">
      <c r="A14" s="46"/>
      <c r="B14" s="54" t="s">
        <v>3807</v>
      </c>
      <c r="C14" s="47" t="s">
        <v>662</v>
      </c>
      <c r="D14" s="47" t="s">
        <v>662</v>
      </c>
      <c r="E14" s="47" t="s">
        <v>665</v>
      </c>
      <c r="F14" s="48">
        <v>21</v>
      </c>
      <c r="G14" s="47"/>
      <c r="H14" s="47"/>
      <c r="I14" s="47" t="s">
        <v>664</v>
      </c>
      <c r="J14" s="49">
        <v>45913</v>
      </c>
      <c r="K14" s="47" t="str">
        <f>INDEX(_xlfn.TEXTSPLIT(mouvementmp[[#This Row],[QR MP]],"_"),1,1)</f>
        <v>C02</v>
      </c>
      <c r="L14" s="47" t="str">
        <f>INDEX(_xlfn.TEXTSPLIT(mouvementmp[[#This Row],[QR MP]],"_"),1,2)</f>
        <v>ECRU</v>
      </c>
      <c r="M14" s="47" t="str">
        <f>INDEX(_xlfn.TEXTSPLIT(mouvementmp[[#This Row],[QR MP]],"_"),1,3)</f>
        <v>NM20-02.00</v>
      </c>
      <c r="N14" s="47" t="str">
        <f>INDEX(_xlfn.TEXTSPLIT(mouvementmp[[#This Row],[QR MP]],"_"),1,4)</f>
        <v>S2023</v>
      </c>
      <c r="O14" s="47">
        <f>-mouvementmp[[#This Row],[Poids]]</f>
        <v>-21</v>
      </c>
      <c r="P14" s="47" t="str">
        <f>IF(
   COUNTIFS($A$2:A14,A14,
             $B$2:B14,B14,
             $C$2:C14,C14,
             $D$2:D14,D14,
             $E$2:E14,E14,
             $F$2:F14,F14,
              $J$2:J14,J14)&gt;1,
   "Doublon",
   "Correcte"
)</f>
        <v>Correcte</v>
      </c>
      <c r="Q14" s="106" t="str">
        <f>IF(mouvementmp[[#This Row],[QR Fabrication]]&lt;&gt;"",INDEX(_xlfn.TEXTSPLIT(mouvementmp[[#This Row],[QR Fabrication]],"_"),1,1),"")</f>
        <v/>
      </c>
      <c r="R14" s="109" t="str">
        <f>IF(mouvementmp[[#This Row],[QR Fabrication]]&lt;&gt;"",INDEX(_xlfn.TEXTSPLIT(mouvementmp[[#This Row],[QR Fabrication]],"_"),1,2),"")</f>
        <v/>
      </c>
      <c r="S14" s="47" t="str">
        <f>IF(mouvementmp[[#This Row],[QR Fabrication]]&lt;&gt;"",INDEX(_xlfn.TEXTSPLIT(mouvementmp[[#This Row],[QR Fabrication]],"_"),1,3),"")</f>
        <v/>
      </c>
      <c r="T14" s="47" t="str">
        <f>IF(mouvementmp[[#This Row],[QR Fabrication]]&lt;&gt;"",INDEX(_xlfn.TEXTSPLIT(mouvementmp[[#This Row],[QR Fabrication]],"_"),1,4),"")</f>
        <v/>
      </c>
      <c r="U14" s="47" t="str">
        <f>IF(mouvementmp[[#This Row],[QR Fabrication]]&lt;&gt;"",INDEX(_xlfn.TEXTSPLIT(mouvementmp[[#This Row],[QR Fabrication]],"_"),1,5),"")</f>
        <v/>
      </c>
      <c r="V14" s="47" t="str">
        <f>IF(mouvementmp[[#This Row],[QR Fabrication]]&lt;&gt;"",_xlfn.TEXTAFTER(mouvementmp[[#This Row],[QR Fabrication]],"_",5),"")</f>
        <v/>
      </c>
    </row>
    <row r="15" spans="1:22" ht="16.5" thickTop="1" thickBot="1" x14ac:dyDescent="0.3">
      <c r="A15" s="46"/>
      <c r="B15" s="54" t="s">
        <v>3808</v>
      </c>
      <c r="C15" s="47" t="s">
        <v>662</v>
      </c>
      <c r="D15" s="47" t="s">
        <v>662</v>
      </c>
      <c r="E15" s="47" t="s">
        <v>665</v>
      </c>
      <c r="F15" s="48">
        <v>267</v>
      </c>
      <c r="G15" s="47"/>
      <c r="H15" s="47"/>
      <c r="I15" s="47" t="s">
        <v>664</v>
      </c>
      <c r="J15" s="49">
        <v>45913</v>
      </c>
      <c r="K15" s="47" t="str">
        <f>INDEX(_xlfn.TEXTSPLIT(mouvementmp[[#This Row],[QR MP]],"_"),1,1)</f>
        <v>C02</v>
      </c>
      <c r="L15" s="47" t="str">
        <f>INDEX(_xlfn.TEXTSPLIT(mouvementmp[[#This Row],[QR MP]],"_"),1,2)</f>
        <v>ECRU</v>
      </c>
      <c r="M15" s="47" t="str">
        <f>INDEX(_xlfn.TEXTSPLIT(mouvementmp[[#This Row],[QR MP]],"_"),1,3)</f>
        <v>NM34-02.00</v>
      </c>
      <c r="N15" s="47" t="str">
        <f>INDEX(_xlfn.TEXTSPLIT(mouvementmp[[#This Row],[QR MP]],"_"),1,4)</f>
        <v>S2024</v>
      </c>
      <c r="O15" s="47">
        <f>-mouvementmp[[#This Row],[Poids]]</f>
        <v>-267</v>
      </c>
      <c r="P15" s="47" t="str">
        <f>IF(
   COUNTIFS($A$2:A15,A15,
             $B$2:B15,B15,
             $C$2:C15,C15,
             $D$2:D15,D15,
             $E$2:E15,E15,
             $F$2:F15,F15,
              $J$2:J15,J15)&gt;1,
   "Doublon",
   "Correcte"
)</f>
        <v>Correcte</v>
      </c>
      <c r="Q15" s="106" t="str">
        <f>IF(mouvementmp[[#This Row],[QR Fabrication]]&lt;&gt;"",INDEX(_xlfn.TEXTSPLIT(mouvementmp[[#This Row],[QR Fabrication]],"_"),1,1),"")</f>
        <v/>
      </c>
      <c r="R15" s="109" t="str">
        <f>IF(mouvementmp[[#This Row],[QR Fabrication]]&lt;&gt;"",INDEX(_xlfn.TEXTSPLIT(mouvementmp[[#This Row],[QR Fabrication]],"_"),1,2),"")</f>
        <v/>
      </c>
      <c r="S15" s="47" t="str">
        <f>IF(mouvementmp[[#This Row],[QR Fabrication]]&lt;&gt;"",INDEX(_xlfn.TEXTSPLIT(mouvementmp[[#This Row],[QR Fabrication]],"_"),1,3),"")</f>
        <v/>
      </c>
      <c r="T15" s="47" t="str">
        <f>IF(mouvementmp[[#This Row],[QR Fabrication]]&lt;&gt;"",INDEX(_xlfn.TEXTSPLIT(mouvementmp[[#This Row],[QR Fabrication]],"_"),1,4),"")</f>
        <v/>
      </c>
      <c r="U15" s="47" t="str">
        <f>IF(mouvementmp[[#This Row],[QR Fabrication]]&lt;&gt;"",INDEX(_xlfn.TEXTSPLIT(mouvementmp[[#This Row],[QR Fabrication]],"_"),1,5),"")</f>
        <v/>
      </c>
      <c r="V15" s="47" t="str">
        <f>IF(mouvementmp[[#This Row],[QR Fabrication]]&lt;&gt;"",_xlfn.TEXTAFTER(mouvementmp[[#This Row],[QR Fabrication]],"_",5),"")</f>
        <v/>
      </c>
    </row>
    <row r="16" spans="1:22" ht="16.5" thickTop="1" thickBot="1" x14ac:dyDescent="0.3">
      <c r="A16" s="46"/>
      <c r="B16" s="54" t="s">
        <v>3809</v>
      </c>
      <c r="C16" s="47" t="s">
        <v>662</v>
      </c>
      <c r="D16" s="47" t="s">
        <v>662</v>
      </c>
      <c r="E16" s="47" t="s">
        <v>663</v>
      </c>
      <c r="F16" s="48">
        <v>462</v>
      </c>
      <c r="G16" s="47"/>
      <c r="H16" s="47"/>
      <c r="I16" s="47" t="s">
        <v>664</v>
      </c>
      <c r="J16" s="49">
        <v>45913</v>
      </c>
      <c r="K16" s="47" t="str">
        <f>INDEX(_xlfn.TEXTSPLIT(mouvementmp[[#This Row],[QR MP]],"_"),1,1)</f>
        <v>C03</v>
      </c>
      <c r="L16" s="47" t="str">
        <f>INDEX(_xlfn.TEXTSPLIT(mouvementmp[[#This Row],[QR MP]],"_"),1,2)</f>
        <v xml:space="preserve">BEIGE </v>
      </c>
      <c r="M16" s="47" t="str">
        <f>INDEX(_xlfn.TEXTSPLIT(mouvementmp[[#This Row],[QR MP]],"_"),1,3)</f>
        <v>NM05-03.00</v>
      </c>
      <c r="N16" s="47" t="str">
        <f>INDEX(_xlfn.TEXTSPLIT(mouvementmp[[#This Row],[QR MP]],"_"),1,4)</f>
        <v>53005</v>
      </c>
      <c r="O16" s="47">
        <f>-mouvementmp[[#This Row],[Poids]]</f>
        <v>-462</v>
      </c>
      <c r="P16" s="47" t="str">
        <f>IF(
   COUNTIFS($A$2:A16,A16,
             $B$2:B16,B16,
             $C$2:C16,C16,
             $D$2:D16,D16,
             $E$2:E16,E16,
             $F$2:F16,F16,
              $J$2:J16,J16)&gt;1,
   "Doublon",
   "Correcte"
)</f>
        <v>Correcte</v>
      </c>
      <c r="Q16" s="106" t="str">
        <f>IF(mouvementmp[[#This Row],[QR Fabrication]]&lt;&gt;"",INDEX(_xlfn.TEXTSPLIT(mouvementmp[[#This Row],[QR Fabrication]],"_"),1,1),"")</f>
        <v/>
      </c>
      <c r="R16" s="109" t="str">
        <f>IF(mouvementmp[[#This Row],[QR Fabrication]]&lt;&gt;"",INDEX(_xlfn.TEXTSPLIT(mouvementmp[[#This Row],[QR Fabrication]],"_"),1,2),"")</f>
        <v/>
      </c>
      <c r="S16" s="47" t="str">
        <f>IF(mouvementmp[[#This Row],[QR Fabrication]]&lt;&gt;"",INDEX(_xlfn.TEXTSPLIT(mouvementmp[[#This Row],[QR Fabrication]],"_"),1,3),"")</f>
        <v/>
      </c>
      <c r="T16" s="47" t="str">
        <f>IF(mouvementmp[[#This Row],[QR Fabrication]]&lt;&gt;"",INDEX(_xlfn.TEXTSPLIT(mouvementmp[[#This Row],[QR Fabrication]],"_"),1,4),"")</f>
        <v/>
      </c>
      <c r="U16" s="47" t="str">
        <f>IF(mouvementmp[[#This Row],[QR Fabrication]]&lt;&gt;"",INDEX(_xlfn.TEXTSPLIT(mouvementmp[[#This Row],[QR Fabrication]],"_"),1,5),"")</f>
        <v/>
      </c>
      <c r="V16" s="47" t="str">
        <f>IF(mouvementmp[[#This Row],[QR Fabrication]]&lt;&gt;"",_xlfn.TEXTAFTER(mouvementmp[[#This Row],[QR Fabrication]],"_",5),"")</f>
        <v/>
      </c>
    </row>
    <row r="17" spans="1:22" ht="16.5" thickTop="1" thickBot="1" x14ac:dyDescent="0.3">
      <c r="A17" s="46"/>
      <c r="B17" s="54" t="s">
        <v>3810</v>
      </c>
      <c r="C17" s="47" t="s">
        <v>662</v>
      </c>
      <c r="D17" s="47" t="s">
        <v>662</v>
      </c>
      <c r="E17" s="47" t="s">
        <v>663</v>
      </c>
      <c r="F17" s="48">
        <v>945</v>
      </c>
      <c r="G17" s="47"/>
      <c r="H17" s="47"/>
      <c r="I17" s="47" t="s">
        <v>664</v>
      </c>
      <c r="J17" s="49">
        <v>45913</v>
      </c>
      <c r="K17" s="47" t="str">
        <f>INDEX(_xlfn.TEXTSPLIT(mouvementmp[[#This Row],[QR MP]],"_"),1,1)</f>
        <v>C03</v>
      </c>
      <c r="L17" s="47" t="str">
        <f>INDEX(_xlfn.TEXTSPLIT(mouvementmp[[#This Row],[QR MP]],"_"),1,2)</f>
        <v xml:space="preserve">BEIGE </v>
      </c>
      <c r="M17" s="47" t="str">
        <f>INDEX(_xlfn.TEXTSPLIT(mouvementmp[[#This Row],[QR MP]],"_"),1,3)</f>
        <v>NM05-03.00</v>
      </c>
      <c r="N17" s="47" t="str">
        <f>INDEX(_xlfn.TEXTSPLIT(mouvementmp[[#This Row],[QR MP]],"_"),1,4)</f>
        <v>59816</v>
      </c>
      <c r="O17" s="47">
        <f>-mouvementmp[[#This Row],[Poids]]</f>
        <v>-945</v>
      </c>
      <c r="P17" s="47" t="str">
        <f>IF(
   COUNTIFS($A$2:A17,A17,
             $B$2:B17,B17,
             $C$2:C17,C17,
             $D$2:D17,D17,
             $E$2:E17,E17,
             $F$2:F17,F17,
              $J$2:J17,J17)&gt;1,
   "Doublon",
   "Correcte"
)</f>
        <v>Correcte</v>
      </c>
      <c r="Q17" s="106" t="str">
        <f>IF(mouvementmp[[#This Row],[QR Fabrication]]&lt;&gt;"",INDEX(_xlfn.TEXTSPLIT(mouvementmp[[#This Row],[QR Fabrication]],"_"),1,1),"")</f>
        <v/>
      </c>
      <c r="R17" s="106" t="str">
        <f>IF(mouvementmp[[#This Row],[QR Fabrication]]&lt;&gt;"",INDEX(_xlfn.TEXTSPLIT(mouvementmp[[#This Row],[QR Fabrication]],"_"),1,2),"")</f>
        <v/>
      </c>
      <c r="S17" s="47" t="str">
        <f>IF(mouvementmp[[#This Row],[QR Fabrication]]&lt;&gt;"",INDEX(_xlfn.TEXTSPLIT(mouvementmp[[#This Row],[QR Fabrication]],"_"),1,3),"")</f>
        <v/>
      </c>
      <c r="T17" s="47" t="str">
        <f>IF(mouvementmp[[#This Row],[QR Fabrication]]&lt;&gt;"",INDEX(_xlfn.TEXTSPLIT(mouvementmp[[#This Row],[QR Fabrication]],"_"),1,4),"")</f>
        <v/>
      </c>
      <c r="U17" s="47" t="str">
        <f>IF(mouvementmp[[#This Row],[QR Fabrication]]&lt;&gt;"",INDEX(_xlfn.TEXTSPLIT(mouvementmp[[#This Row],[QR Fabrication]],"_"),1,5),"")</f>
        <v/>
      </c>
      <c r="V17" s="47" t="str">
        <f>IF(mouvementmp[[#This Row],[QR Fabrication]]&lt;&gt;"",_xlfn.TEXTAFTER(mouvementmp[[#This Row],[QR Fabrication]],"_",5),"")</f>
        <v/>
      </c>
    </row>
    <row r="18" spans="1:22" ht="16.5" thickTop="1" thickBot="1" x14ac:dyDescent="0.3">
      <c r="A18" s="46"/>
      <c r="B18" s="54" t="s">
        <v>3810</v>
      </c>
      <c r="C18" s="47" t="s">
        <v>662</v>
      </c>
      <c r="D18" s="47" t="s">
        <v>662</v>
      </c>
      <c r="E18" s="47" t="s">
        <v>666</v>
      </c>
      <c r="F18" s="48">
        <v>598.5</v>
      </c>
      <c r="G18" s="47"/>
      <c r="H18" s="47"/>
      <c r="I18" s="47" t="s">
        <v>664</v>
      </c>
      <c r="J18" s="49">
        <v>45913</v>
      </c>
      <c r="K18" s="47" t="str">
        <f>INDEX(_xlfn.TEXTSPLIT(mouvementmp[[#This Row],[QR MP]],"_"),1,1)</f>
        <v>C03</v>
      </c>
      <c r="L18" s="47" t="str">
        <f>INDEX(_xlfn.TEXTSPLIT(mouvementmp[[#This Row],[QR MP]],"_"),1,2)</f>
        <v xml:space="preserve">BEIGE </v>
      </c>
      <c r="M18" s="47" t="str">
        <f>INDEX(_xlfn.TEXTSPLIT(mouvementmp[[#This Row],[QR MP]],"_"),1,3)</f>
        <v>NM05-03.00</v>
      </c>
      <c r="N18" s="47" t="str">
        <f>INDEX(_xlfn.TEXTSPLIT(mouvementmp[[#This Row],[QR MP]],"_"),1,4)</f>
        <v>59816</v>
      </c>
      <c r="O18" s="47">
        <f>-mouvementmp[[#This Row],[Poids]]</f>
        <v>-598.5</v>
      </c>
      <c r="P18" s="47" t="str">
        <f>IF(
   COUNTIFS($A$2:A18,A18,
             $B$2:B18,B18,
             $C$2:C18,C18,
             $D$2:D18,D18,
             $E$2:E18,E18,
             $F$2:F18,F18,
              $J$2:J18,J18)&gt;1,
   "Doublon",
   "Correcte"
)</f>
        <v>Correcte</v>
      </c>
      <c r="Q18" s="106" t="str">
        <f>IF(mouvementmp[[#This Row],[QR Fabrication]]&lt;&gt;"",INDEX(_xlfn.TEXTSPLIT(mouvementmp[[#This Row],[QR Fabrication]],"_"),1,1),"")</f>
        <v/>
      </c>
      <c r="R18" s="106" t="str">
        <f>IF(mouvementmp[[#This Row],[QR Fabrication]]&lt;&gt;"",INDEX(_xlfn.TEXTSPLIT(mouvementmp[[#This Row],[QR Fabrication]],"_"),1,2),"")</f>
        <v/>
      </c>
      <c r="S18" s="47" t="str">
        <f>IF(mouvementmp[[#This Row],[QR Fabrication]]&lt;&gt;"",INDEX(_xlfn.TEXTSPLIT(mouvementmp[[#This Row],[QR Fabrication]],"_"),1,3),"")</f>
        <v/>
      </c>
      <c r="T18" s="47" t="str">
        <f>IF(mouvementmp[[#This Row],[QR Fabrication]]&lt;&gt;"",INDEX(_xlfn.TEXTSPLIT(mouvementmp[[#This Row],[QR Fabrication]],"_"),1,4),"")</f>
        <v/>
      </c>
      <c r="U18" s="47" t="str">
        <f>IF(mouvementmp[[#This Row],[QR Fabrication]]&lt;&gt;"",INDEX(_xlfn.TEXTSPLIT(mouvementmp[[#This Row],[QR Fabrication]],"_"),1,5),"")</f>
        <v/>
      </c>
      <c r="V18" s="47" t="str">
        <f>IF(mouvementmp[[#This Row],[QR Fabrication]]&lt;&gt;"",_xlfn.TEXTAFTER(mouvementmp[[#This Row],[QR Fabrication]],"_",5),"")</f>
        <v/>
      </c>
    </row>
    <row r="19" spans="1:22" ht="16.5" thickTop="1" thickBot="1" x14ac:dyDescent="0.3">
      <c r="A19" s="46"/>
      <c r="B19" s="54" t="s">
        <v>3811</v>
      </c>
      <c r="C19" s="47" t="s">
        <v>662</v>
      </c>
      <c r="D19" s="47" t="s">
        <v>662</v>
      </c>
      <c r="E19" s="47" t="s">
        <v>663</v>
      </c>
      <c r="F19" s="48">
        <v>808.5</v>
      </c>
      <c r="G19" s="47"/>
      <c r="H19" s="47"/>
      <c r="I19" s="47" t="s">
        <v>664</v>
      </c>
      <c r="J19" s="49">
        <v>45913</v>
      </c>
      <c r="K19" s="47" t="str">
        <f>INDEX(_xlfn.TEXTSPLIT(mouvementmp[[#This Row],[QR MP]],"_"),1,1)</f>
        <v>C03</v>
      </c>
      <c r="L19" s="47" t="str">
        <f>INDEX(_xlfn.TEXTSPLIT(mouvementmp[[#This Row],[QR MP]],"_"),1,2)</f>
        <v>BEIGE CLAIR</v>
      </c>
      <c r="M19" s="47" t="str">
        <f>INDEX(_xlfn.TEXTSPLIT(mouvementmp[[#This Row],[QR MP]],"_"),1,3)</f>
        <v>NM05-03.01</v>
      </c>
      <c r="N19" s="47" t="str">
        <f>INDEX(_xlfn.TEXTSPLIT(mouvementmp[[#This Row],[QR MP]],"_"),1,4)</f>
        <v>58783</v>
      </c>
      <c r="O19" s="47">
        <f>-mouvementmp[[#This Row],[Poids]]</f>
        <v>-808.5</v>
      </c>
      <c r="P19" s="47" t="str">
        <f>IF(
   COUNTIFS($A$2:A19,A19,
             $B$2:B19,B19,
             $C$2:C19,C19,
             $D$2:D19,D19,
             $E$2:E19,E19,
             $F$2:F19,F19,
              $J$2:J19,J19)&gt;1,
   "Doublon",
   "Correcte"
)</f>
        <v>Correcte</v>
      </c>
      <c r="Q19" s="106" t="str">
        <f>IF(mouvementmp[[#This Row],[QR Fabrication]]&lt;&gt;"",INDEX(_xlfn.TEXTSPLIT(mouvementmp[[#This Row],[QR Fabrication]],"_"),1,1),"")</f>
        <v/>
      </c>
      <c r="R19" s="106" t="str">
        <f>IF(mouvementmp[[#This Row],[QR Fabrication]]&lt;&gt;"",INDEX(_xlfn.TEXTSPLIT(mouvementmp[[#This Row],[QR Fabrication]],"_"),1,2),"")</f>
        <v/>
      </c>
      <c r="S19" s="47" t="str">
        <f>IF(mouvementmp[[#This Row],[QR Fabrication]]&lt;&gt;"",INDEX(_xlfn.TEXTSPLIT(mouvementmp[[#This Row],[QR Fabrication]],"_"),1,3),"")</f>
        <v/>
      </c>
      <c r="T19" s="47" t="str">
        <f>IF(mouvementmp[[#This Row],[QR Fabrication]]&lt;&gt;"",INDEX(_xlfn.TEXTSPLIT(mouvementmp[[#This Row],[QR Fabrication]],"_"),1,4),"")</f>
        <v/>
      </c>
      <c r="U19" s="47" t="str">
        <f>IF(mouvementmp[[#This Row],[QR Fabrication]]&lt;&gt;"",INDEX(_xlfn.TEXTSPLIT(mouvementmp[[#This Row],[QR Fabrication]],"_"),1,5),"")</f>
        <v/>
      </c>
      <c r="V19" s="47" t="str">
        <f>IF(mouvementmp[[#This Row],[QR Fabrication]]&lt;&gt;"",_xlfn.TEXTAFTER(mouvementmp[[#This Row],[QR Fabrication]],"_",5),"")</f>
        <v/>
      </c>
    </row>
    <row r="20" spans="1:22" ht="16.5" thickTop="1" thickBot="1" x14ac:dyDescent="0.3">
      <c r="A20" s="46"/>
      <c r="B20" s="54" t="s">
        <v>3811</v>
      </c>
      <c r="C20" s="47" t="s">
        <v>662</v>
      </c>
      <c r="D20" s="47" t="s">
        <v>662</v>
      </c>
      <c r="E20" s="47" t="s">
        <v>665</v>
      </c>
      <c r="F20" s="48">
        <v>147</v>
      </c>
      <c r="G20" s="47"/>
      <c r="H20" s="47"/>
      <c r="I20" s="47" t="s">
        <v>664</v>
      </c>
      <c r="J20" s="49">
        <v>45913</v>
      </c>
      <c r="K20" s="47" t="str">
        <f>INDEX(_xlfn.TEXTSPLIT(mouvementmp[[#This Row],[QR MP]],"_"),1,1)</f>
        <v>C03</v>
      </c>
      <c r="L20" s="47" t="str">
        <f>INDEX(_xlfn.TEXTSPLIT(mouvementmp[[#This Row],[QR MP]],"_"),1,2)</f>
        <v>BEIGE CLAIR</v>
      </c>
      <c r="M20" s="47" t="str">
        <f>INDEX(_xlfn.TEXTSPLIT(mouvementmp[[#This Row],[QR MP]],"_"),1,3)</f>
        <v>NM05-03.01</v>
      </c>
      <c r="N20" s="47" t="str">
        <f>INDEX(_xlfn.TEXTSPLIT(mouvementmp[[#This Row],[QR MP]],"_"),1,4)</f>
        <v>58783</v>
      </c>
      <c r="O20" s="47">
        <f>-mouvementmp[[#This Row],[Poids]]</f>
        <v>-147</v>
      </c>
      <c r="P20" s="47" t="str">
        <f>IF(
   COUNTIFS($A$2:A20,A20,
             $B$2:B20,B20,
             $C$2:C20,C20,
             $D$2:D20,D20,
             $E$2:E20,E20,
             $F$2:F20,F20,
              $J$2:J20,J20)&gt;1,
   "Doublon",
   "Correcte"
)</f>
        <v>Correcte</v>
      </c>
      <c r="Q20" s="106" t="str">
        <f>IF(mouvementmp[[#This Row],[QR Fabrication]]&lt;&gt;"",INDEX(_xlfn.TEXTSPLIT(mouvementmp[[#This Row],[QR Fabrication]],"_"),1,1),"")</f>
        <v/>
      </c>
      <c r="R20" s="106" t="str">
        <f>IF(mouvementmp[[#This Row],[QR Fabrication]]&lt;&gt;"",INDEX(_xlfn.TEXTSPLIT(mouvementmp[[#This Row],[QR Fabrication]],"_"),1,2),"")</f>
        <v/>
      </c>
      <c r="S20" s="47" t="str">
        <f>IF(mouvementmp[[#This Row],[QR Fabrication]]&lt;&gt;"",INDEX(_xlfn.TEXTSPLIT(mouvementmp[[#This Row],[QR Fabrication]],"_"),1,3),"")</f>
        <v/>
      </c>
      <c r="T20" s="47" t="str">
        <f>IF(mouvementmp[[#This Row],[QR Fabrication]]&lt;&gt;"",INDEX(_xlfn.TEXTSPLIT(mouvementmp[[#This Row],[QR Fabrication]],"_"),1,4),"")</f>
        <v/>
      </c>
      <c r="U20" s="47" t="str">
        <f>IF(mouvementmp[[#This Row],[QR Fabrication]]&lt;&gt;"",INDEX(_xlfn.TEXTSPLIT(mouvementmp[[#This Row],[QR Fabrication]],"_"),1,5),"")</f>
        <v/>
      </c>
      <c r="V20" s="47" t="str">
        <f>IF(mouvementmp[[#This Row],[QR Fabrication]]&lt;&gt;"",_xlfn.TEXTAFTER(mouvementmp[[#This Row],[QR Fabrication]],"_",5),"")</f>
        <v/>
      </c>
    </row>
    <row r="21" spans="1:22" ht="16.5" thickTop="1" thickBot="1" x14ac:dyDescent="0.3">
      <c r="A21" s="46"/>
      <c r="B21" s="54" t="s">
        <v>3812</v>
      </c>
      <c r="C21" s="47" t="s">
        <v>662</v>
      </c>
      <c r="D21" s="47" t="s">
        <v>662</v>
      </c>
      <c r="E21" s="47" t="s">
        <v>665</v>
      </c>
      <c r="F21" s="48">
        <v>147.05000000000001</v>
      </c>
      <c r="G21" s="47"/>
      <c r="H21" s="47"/>
      <c r="I21" s="47" t="s">
        <v>664</v>
      </c>
      <c r="J21" s="49">
        <v>45913</v>
      </c>
      <c r="K21" s="47" t="str">
        <f>INDEX(_xlfn.TEXTSPLIT(mouvementmp[[#This Row],[QR MP]],"_"),1,1)</f>
        <v>C03</v>
      </c>
      <c r="L21" s="47" t="str">
        <f>INDEX(_xlfn.TEXTSPLIT(mouvementmp[[#This Row],[QR MP]],"_"),1,2)</f>
        <v>BEIGE CLAIR</v>
      </c>
      <c r="M21" s="47" t="str">
        <f>INDEX(_xlfn.TEXTSPLIT(mouvementmp[[#This Row],[QR MP]],"_"),1,3)</f>
        <v>NM05-03.03</v>
      </c>
      <c r="N21" s="47" t="str">
        <f>INDEX(_xlfn.TEXTSPLIT(mouvementmp[[#This Row],[QR MP]],"_"),1,4)</f>
        <v>59648</v>
      </c>
      <c r="O21" s="47">
        <f>-mouvementmp[[#This Row],[Poids]]</f>
        <v>-147.05000000000001</v>
      </c>
      <c r="P21" s="47" t="str">
        <f>IF(
   COUNTIFS($A$2:A21,A21,
             $B$2:B21,B21,
             $C$2:C21,C21,
             $D$2:D21,D21,
             $E$2:E21,E21,
             $F$2:F21,F21,
              $J$2:J21,J21)&gt;1,
   "Doublon",
   "Correcte"
)</f>
        <v>Correcte</v>
      </c>
      <c r="Q21" s="106" t="str">
        <f>IF(mouvementmp[[#This Row],[QR Fabrication]]&lt;&gt;"",INDEX(_xlfn.TEXTSPLIT(mouvementmp[[#This Row],[QR Fabrication]],"_"),1,1),"")</f>
        <v/>
      </c>
      <c r="R21" s="106" t="str">
        <f>IF(mouvementmp[[#This Row],[QR Fabrication]]&lt;&gt;"",INDEX(_xlfn.TEXTSPLIT(mouvementmp[[#This Row],[QR Fabrication]],"_"),1,2),"")</f>
        <v/>
      </c>
      <c r="S21" s="47" t="str">
        <f>IF(mouvementmp[[#This Row],[QR Fabrication]]&lt;&gt;"",INDEX(_xlfn.TEXTSPLIT(mouvementmp[[#This Row],[QR Fabrication]],"_"),1,3),"")</f>
        <v/>
      </c>
      <c r="T21" s="47" t="str">
        <f>IF(mouvementmp[[#This Row],[QR Fabrication]]&lt;&gt;"",INDEX(_xlfn.TEXTSPLIT(mouvementmp[[#This Row],[QR Fabrication]],"_"),1,4),"")</f>
        <v/>
      </c>
      <c r="U21" s="47" t="str">
        <f>IF(mouvementmp[[#This Row],[QR Fabrication]]&lt;&gt;"",INDEX(_xlfn.TEXTSPLIT(mouvementmp[[#This Row],[QR Fabrication]],"_"),1,5),"")</f>
        <v/>
      </c>
      <c r="V21" s="47" t="str">
        <f>IF(mouvementmp[[#This Row],[QR Fabrication]]&lt;&gt;"",_xlfn.TEXTAFTER(mouvementmp[[#This Row],[QR Fabrication]],"_",5),"")</f>
        <v/>
      </c>
    </row>
    <row r="22" spans="1:22" ht="16.5" thickTop="1" thickBot="1" x14ac:dyDescent="0.3">
      <c r="A22" s="46"/>
      <c r="B22" s="54" t="s">
        <v>3813</v>
      </c>
      <c r="C22" s="47" t="s">
        <v>662</v>
      </c>
      <c r="D22" s="47" t="s">
        <v>662</v>
      </c>
      <c r="E22" s="47" t="s">
        <v>665</v>
      </c>
      <c r="F22" s="48">
        <v>84</v>
      </c>
      <c r="G22" s="47"/>
      <c r="H22" s="47"/>
      <c r="I22" s="47" t="s">
        <v>664</v>
      </c>
      <c r="J22" s="49">
        <v>45913</v>
      </c>
      <c r="K22" s="47" t="str">
        <f>INDEX(_xlfn.TEXTSPLIT(mouvementmp[[#This Row],[QR MP]],"_"),1,1)</f>
        <v>C03</v>
      </c>
      <c r="L22" s="47" t="str">
        <f>INDEX(_xlfn.TEXTSPLIT(mouvementmp[[#This Row],[QR MP]],"_"),1,2)</f>
        <v>BEIGE CLAIRE</v>
      </c>
      <c r="M22" s="47" t="str">
        <f>INDEX(_xlfn.TEXTSPLIT(mouvementmp[[#This Row],[QR MP]],"_"),1,3)</f>
        <v>NM15-03.00</v>
      </c>
      <c r="N22" s="47" t="str">
        <f>INDEX(_xlfn.TEXTSPLIT(mouvementmp[[#This Row],[QR MP]],"_"),1,4)</f>
        <v>61559</v>
      </c>
      <c r="O22" s="47">
        <f>-mouvementmp[[#This Row],[Poids]]</f>
        <v>-84</v>
      </c>
      <c r="P22" s="47" t="str">
        <f>IF(
   COUNTIFS($A$2:A22,A22,
             $B$2:B22,B22,
             $C$2:C22,C22,
             $D$2:D22,D22,
             $E$2:E22,E22,
             $F$2:F22,F22,
              $J$2:J22,J22)&gt;1,
   "Doublon",
   "Correcte"
)</f>
        <v>Correcte</v>
      </c>
      <c r="Q22" s="106" t="str">
        <f>IF(mouvementmp[[#This Row],[QR Fabrication]]&lt;&gt;"",INDEX(_xlfn.TEXTSPLIT(mouvementmp[[#This Row],[QR Fabrication]],"_"),1,1),"")</f>
        <v/>
      </c>
      <c r="R22" s="106" t="str">
        <f>IF(mouvementmp[[#This Row],[QR Fabrication]]&lt;&gt;"",INDEX(_xlfn.TEXTSPLIT(mouvementmp[[#This Row],[QR Fabrication]],"_"),1,2),"")</f>
        <v/>
      </c>
      <c r="S22" s="47" t="str">
        <f>IF(mouvementmp[[#This Row],[QR Fabrication]]&lt;&gt;"",INDEX(_xlfn.TEXTSPLIT(mouvementmp[[#This Row],[QR Fabrication]],"_"),1,3),"")</f>
        <v/>
      </c>
      <c r="T22" s="47" t="str">
        <f>IF(mouvementmp[[#This Row],[QR Fabrication]]&lt;&gt;"",INDEX(_xlfn.TEXTSPLIT(mouvementmp[[#This Row],[QR Fabrication]],"_"),1,4),"")</f>
        <v/>
      </c>
      <c r="U22" s="47" t="str">
        <f>IF(mouvementmp[[#This Row],[QR Fabrication]]&lt;&gt;"",INDEX(_xlfn.TEXTSPLIT(mouvementmp[[#This Row],[QR Fabrication]],"_"),1,5),"")</f>
        <v/>
      </c>
      <c r="V22" s="47" t="str">
        <f>IF(mouvementmp[[#This Row],[QR Fabrication]]&lt;&gt;"",_xlfn.TEXTAFTER(mouvementmp[[#This Row],[QR Fabrication]],"_",5),"")</f>
        <v/>
      </c>
    </row>
    <row r="23" spans="1:22" ht="16.5" thickTop="1" thickBot="1" x14ac:dyDescent="0.3">
      <c r="A23" s="46"/>
      <c r="B23" s="54" t="s">
        <v>3814</v>
      </c>
      <c r="C23" s="47" t="s">
        <v>662</v>
      </c>
      <c r="D23" s="47" t="s">
        <v>662</v>
      </c>
      <c r="E23" s="47" t="s">
        <v>665</v>
      </c>
      <c r="F23" s="48">
        <v>3.5</v>
      </c>
      <c r="G23" s="47"/>
      <c r="H23" s="47"/>
      <c r="I23" s="47" t="s">
        <v>664</v>
      </c>
      <c r="J23" s="49">
        <v>45913</v>
      </c>
      <c r="K23" s="47" t="str">
        <f>INDEX(_xlfn.TEXTSPLIT(mouvementmp[[#This Row],[QR MP]],"_"),1,1)</f>
        <v>C03</v>
      </c>
      <c r="L23" s="47" t="str">
        <f>INDEX(_xlfn.TEXTSPLIT(mouvementmp[[#This Row],[QR MP]],"_"),1,2)</f>
        <v xml:space="preserve">BEIGE </v>
      </c>
      <c r="M23" s="47" t="str">
        <f>INDEX(_xlfn.TEXTSPLIT(mouvementmp[[#This Row],[QR MP]],"_"),1,3)</f>
        <v>NM15-03.01</v>
      </c>
      <c r="N23" s="47" t="str">
        <f>INDEX(_xlfn.TEXTSPLIT(mouvementmp[[#This Row],[QR MP]],"_"),1,4)</f>
        <v>61559</v>
      </c>
      <c r="O23" s="47">
        <f>-mouvementmp[[#This Row],[Poids]]</f>
        <v>-3.5</v>
      </c>
      <c r="P23" s="47" t="str">
        <f>IF(
   COUNTIFS($A$2:A23,A23,
             $B$2:B23,B23,
             $C$2:C23,C23,
             $D$2:D23,D23,
             $E$2:E23,E23,
             $F$2:F23,F23,
              $J$2:J23,J23)&gt;1,
   "Doublon",
   "Correcte"
)</f>
        <v>Correcte</v>
      </c>
      <c r="Q23" s="106" t="str">
        <f>IF(mouvementmp[[#This Row],[QR Fabrication]]&lt;&gt;"",INDEX(_xlfn.TEXTSPLIT(mouvementmp[[#This Row],[QR Fabrication]],"_"),1,1),"")</f>
        <v/>
      </c>
      <c r="R23" s="106" t="str">
        <f>IF(mouvementmp[[#This Row],[QR Fabrication]]&lt;&gt;"",INDEX(_xlfn.TEXTSPLIT(mouvementmp[[#This Row],[QR Fabrication]],"_"),1,2),"")</f>
        <v/>
      </c>
      <c r="S23" s="47" t="str">
        <f>IF(mouvementmp[[#This Row],[QR Fabrication]]&lt;&gt;"",INDEX(_xlfn.TEXTSPLIT(mouvementmp[[#This Row],[QR Fabrication]],"_"),1,3),"")</f>
        <v/>
      </c>
      <c r="T23" s="47" t="str">
        <f>IF(mouvementmp[[#This Row],[QR Fabrication]]&lt;&gt;"",INDEX(_xlfn.TEXTSPLIT(mouvementmp[[#This Row],[QR Fabrication]],"_"),1,4),"")</f>
        <v/>
      </c>
      <c r="U23" s="47" t="str">
        <f>IF(mouvementmp[[#This Row],[QR Fabrication]]&lt;&gt;"",INDEX(_xlfn.TEXTSPLIT(mouvementmp[[#This Row],[QR Fabrication]],"_"),1,5),"")</f>
        <v/>
      </c>
      <c r="V23" s="47" t="str">
        <f>IF(mouvementmp[[#This Row],[QR Fabrication]]&lt;&gt;"",_xlfn.TEXTAFTER(mouvementmp[[#This Row],[QR Fabrication]],"_",5),"")</f>
        <v/>
      </c>
    </row>
    <row r="24" spans="1:22" ht="16.5" thickTop="1" thickBot="1" x14ac:dyDescent="0.3">
      <c r="A24" s="46"/>
      <c r="B24" s="54" t="s">
        <v>3815</v>
      </c>
      <c r="C24" s="47" t="s">
        <v>662</v>
      </c>
      <c r="D24" s="47" t="s">
        <v>662</v>
      </c>
      <c r="E24" s="47" t="s">
        <v>665</v>
      </c>
      <c r="F24" s="48">
        <v>71</v>
      </c>
      <c r="G24" s="47"/>
      <c r="H24" s="47"/>
      <c r="I24" s="47" t="s">
        <v>664</v>
      </c>
      <c r="J24" s="49">
        <v>45913</v>
      </c>
      <c r="K24" s="47" t="str">
        <f>INDEX(_xlfn.TEXTSPLIT(mouvementmp[[#This Row],[QR MP]],"_"),1,1)</f>
        <v>C03</v>
      </c>
      <c r="L24" s="47" t="str">
        <f>INDEX(_xlfn.TEXTSPLIT(mouvementmp[[#This Row],[QR MP]],"_"),1,2)</f>
        <v>BEIGE CLAIRE</v>
      </c>
      <c r="M24" s="47" t="str">
        <f>INDEX(_xlfn.TEXTSPLIT(mouvementmp[[#This Row],[QR MP]],"_"),1,3)</f>
        <v>NM34-03.00</v>
      </c>
      <c r="N24" s="47" t="str">
        <f>INDEX(_xlfn.TEXTSPLIT(mouvementmp[[#This Row],[QR MP]],"_"),1,4)</f>
        <v>S2024</v>
      </c>
      <c r="O24" s="47">
        <f>-mouvementmp[[#This Row],[Poids]]</f>
        <v>-71</v>
      </c>
      <c r="P24" s="47" t="str">
        <f>IF(
   COUNTIFS($A$2:A24,A24,
             $B$2:B24,B24,
             $C$2:C24,C24,
             $D$2:D24,D24,
             $E$2:E24,E24,
             $F$2:F24,F24,
              $J$2:J24,J24)&gt;1,
   "Doublon",
   "Correcte"
)</f>
        <v>Correcte</v>
      </c>
      <c r="Q24" s="106" t="str">
        <f>IF(mouvementmp[[#This Row],[QR Fabrication]]&lt;&gt;"",INDEX(_xlfn.TEXTSPLIT(mouvementmp[[#This Row],[QR Fabrication]],"_"),1,1),"")</f>
        <v/>
      </c>
      <c r="R24" s="106" t="str">
        <f>IF(mouvementmp[[#This Row],[QR Fabrication]]&lt;&gt;"",INDEX(_xlfn.TEXTSPLIT(mouvementmp[[#This Row],[QR Fabrication]],"_"),1,2),"")</f>
        <v/>
      </c>
      <c r="S24" s="47" t="str">
        <f>IF(mouvementmp[[#This Row],[QR Fabrication]]&lt;&gt;"",INDEX(_xlfn.TEXTSPLIT(mouvementmp[[#This Row],[QR Fabrication]],"_"),1,3),"")</f>
        <v/>
      </c>
      <c r="T24" s="47" t="str">
        <f>IF(mouvementmp[[#This Row],[QR Fabrication]]&lt;&gt;"",INDEX(_xlfn.TEXTSPLIT(mouvementmp[[#This Row],[QR Fabrication]],"_"),1,4),"")</f>
        <v/>
      </c>
      <c r="U24" s="47" t="str">
        <f>IF(mouvementmp[[#This Row],[QR Fabrication]]&lt;&gt;"",INDEX(_xlfn.TEXTSPLIT(mouvementmp[[#This Row],[QR Fabrication]],"_"),1,5),"")</f>
        <v/>
      </c>
      <c r="V24" s="47" t="str">
        <f>IF(mouvementmp[[#This Row],[QR Fabrication]]&lt;&gt;"",_xlfn.TEXTAFTER(mouvementmp[[#This Row],[QR Fabrication]],"_",5),"")</f>
        <v/>
      </c>
    </row>
    <row r="25" spans="1:22" ht="16.5" thickTop="1" thickBot="1" x14ac:dyDescent="0.3">
      <c r="A25" s="46"/>
      <c r="B25" s="54" t="s">
        <v>3816</v>
      </c>
      <c r="C25" s="47" t="s">
        <v>662</v>
      </c>
      <c r="D25" s="47" t="s">
        <v>662</v>
      </c>
      <c r="E25" s="47" t="s">
        <v>663</v>
      </c>
      <c r="F25" s="48">
        <v>273</v>
      </c>
      <c r="G25" s="47"/>
      <c r="H25" s="47"/>
      <c r="I25" s="47" t="s">
        <v>664</v>
      </c>
      <c r="J25" s="49">
        <v>45913</v>
      </c>
      <c r="K25" s="47" t="str">
        <f>INDEX(_xlfn.TEXTSPLIT(mouvementmp[[#This Row],[QR MP]],"_"),1,1)</f>
        <v>C04</v>
      </c>
      <c r="L25" s="47" t="str">
        <f>INDEX(_xlfn.TEXTSPLIT(mouvementmp[[#This Row],[QR MP]],"_"),1,2)</f>
        <v>TAUPE</v>
      </c>
      <c r="M25" s="47" t="str">
        <f>INDEX(_xlfn.TEXTSPLIT(mouvementmp[[#This Row],[QR MP]],"_"),1,3)</f>
        <v>NM05-04.00</v>
      </c>
      <c r="N25" s="47" t="str">
        <f>INDEX(_xlfn.TEXTSPLIT(mouvementmp[[#This Row],[QR MP]],"_"),1,4)</f>
        <v>S2023</v>
      </c>
      <c r="O25" s="47">
        <f>-mouvementmp[[#This Row],[Poids]]</f>
        <v>-273</v>
      </c>
      <c r="P25" s="47" t="str">
        <f>IF(
   COUNTIFS($A$2:A25,A25,
             $B$2:B25,B25,
             $C$2:C25,C25,
             $D$2:D25,D25,
             $E$2:E25,E25,
             $F$2:F25,F25,
              $J$2:J25,J25)&gt;1,
   "Doublon",
   "Correcte"
)</f>
        <v>Correcte</v>
      </c>
      <c r="Q25" s="106" t="str">
        <f>IF(mouvementmp[[#This Row],[QR Fabrication]]&lt;&gt;"",INDEX(_xlfn.TEXTSPLIT(mouvementmp[[#This Row],[QR Fabrication]],"_"),1,1),"")</f>
        <v/>
      </c>
      <c r="R25" s="106" t="str">
        <f>IF(mouvementmp[[#This Row],[QR Fabrication]]&lt;&gt;"",INDEX(_xlfn.TEXTSPLIT(mouvementmp[[#This Row],[QR Fabrication]],"_"),1,2),"")</f>
        <v/>
      </c>
      <c r="S25" s="47" t="str">
        <f>IF(mouvementmp[[#This Row],[QR Fabrication]]&lt;&gt;"",INDEX(_xlfn.TEXTSPLIT(mouvementmp[[#This Row],[QR Fabrication]],"_"),1,3),"")</f>
        <v/>
      </c>
      <c r="T25" s="47" t="str">
        <f>IF(mouvementmp[[#This Row],[QR Fabrication]]&lt;&gt;"",INDEX(_xlfn.TEXTSPLIT(mouvementmp[[#This Row],[QR Fabrication]],"_"),1,4),"")</f>
        <v/>
      </c>
      <c r="U25" s="47" t="str">
        <f>IF(mouvementmp[[#This Row],[QR Fabrication]]&lt;&gt;"",INDEX(_xlfn.TEXTSPLIT(mouvementmp[[#This Row],[QR Fabrication]],"_"),1,5),"")</f>
        <v/>
      </c>
      <c r="V25" s="47" t="str">
        <f>IF(mouvementmp[[#This Row],[QR Fabrication]]&lt;&gt;"",_xlfn.TEXTAFTER(mouvementmp[[#This Row],[QR Fabrication]],"_",5),"")</f>
        <v/>
      </c>
    </row>
    <row r="26" spans="1:22" ht="16.5" thickTop="1" thickBot="1" x14ac:dyDescent="0.3">
      <c r="A26" s="46"/>
      <c r="B26" s="54" t="s">
        <v>3816</v>
      </c>
      <c r="C26" s="47" t="s">
        <v>662</v>
      </c>
      <c r="D26" s="47" t="s">
        <v>662</v>
      </c>
      <c r="E26" s="47" t="s">
        <v>666</v>
      </c>
      <c r="F26" s="48">
        <v>266</v>
      </c>
      <c r="G26" s="47"/>
      <c r="H26" s="47"/>
      <c r="I26" s="47" t="s">
        <v>664</v>
      </c>
      <c r="J26" s="49">
        <v>45913</v>
      </c>
      <c r="K26" s="47" t="str">
        <f>INDEX(_xlfn.TEXTSPLIT(mouvementmp[[#This Row],[QR MP]],"_"),1,1)</f>
        <v>C04</v>
      </c>
      <c r="L26" s="47" t="str">
        <f>INDEX(_xlfn.TEXTSPLIT(mouvementmp[[#This Row],[QR MP]],"_"),1,2)</f>
        <v>TAUPE</v>
      </c>
      <c r="M26" s="47" t="str">
        <f>INDEX(_xlfn.TEXTSPLIT(mouvementmp[[#This Row],[QR MP]],"_"),1,3)</f>
        <v>NM05-04.00</v>
      </c>
      <c r="N26" s="47" t="str">
        <f>INDEX(_xlfn.TEXTSPLIT(mouvementmp[[#This Row],[QR MP]],"_"),1,4)</f>
        <v>S2023</v>
      </c>
      <c r="O26" s="47">
        <f>-mouvementmp[[#This Row],[Poids]]</f>
        <v>-266</v>
      </c>
      <c r="P26" s="47" t="str">
        <f>IF(
   COUNTIFS($A$2:A26,A26,
             $B$2:B26,B26,
             $C$2:C26,C26,
             $D$2:D26,D26,
             $E$2:E26,E26,
             $F$2:F26,F26,
              $J$2:J26,J26)&gt;1,
   "Doublon",
   "Correcte"
)</f>
        <v>Correcte</v>
      </c>
      <c r="Q26" s="106" t="str">
        <f>IF(mouvementmp[[#This Row],[QR Fabrication]]&lt;&gt;"",INDEX(_xlfn.TEXTSPLIT(mouvementmp[[#This Row],[QR Fabrication]],"_"),1,1),"")</f>
        <v/>
      </c>
      <c r="R26" s="106" t="str">
        <f>IF(mouvementmp[[#This Row],[QR Fabrication]]&lt;&gt;"",INDEX(_xlfn.TEXTSPLIT(mouvementmp[[#This Row],[QR Fabrication]],"_"),1,2),"")</f>
        <v/>
      </c>
      <c r="S26" s="47" t="str">
        <f>IF(mouvementmp[[#This Row],[QR Fabrication]]&lt;&gt;"",INDEX(_xlfn.TEXTSPLIT(mouvementmp[[#This Row],[QR Fabrication]],"_"),1,3),"")</f>
        <v/>
      </c>
      <c r="T26" s="47" t="str">
        <f>IF(mouvementmp[[#This Row],[QR Fabrication]]&lt;&gt;"",INDEX(_xlfn.TEXTSPLIT(mouvementmp[[#This Row],[QR Fabrication]],"_"),1,4),"")</f>
        <v/>
      </c>
      <c r="U26" s="47" t="str">
        <f>IF(mouvementmp[[#This Row],[QR Fabrication]]&lt;&gt;"",INDEX(_xlfn.TEXTSPLIT(mouvementmp[[#This Row],[QR Fabrication]],"_"),1,5),"")</f>
        <v/>
      </c>
      <c r="V26" s="47" t="str">
        <f>IF(mouvementmp[[#This Row],[QR Fabrication]]&lt;&gt;"",_xlfn.TEXTAFTER(mouvementmp[[#This Row],[QR Fabrication]],"_",5),"")</f>
        <v/>
      </c>
    </row>
    <row r="27" spans="1:22" ht="16.5" thickTop="1" thickBot="1" x14ac:dyDescent="0.3">
      <c r="A27" s="46"/>
      <c r="B27" s="54" t="s">
        <v>3817</v>
      </c>
      <c r="C27" s="47" t="s">
        <v>662</v>
      </c>
      <c r="D27" s="47" t="s">
        <v>662</v>
      </c>
      <c r="E27" s="47" t="s">
        <v>663</v>
      </c>
      <c r="F27" s="48">
        <v>154</v>
      </c>
      <c r="G27" s="47"/>
      <c r="H27" s="47"/>
      <c r="I27" s="47" t="s">
        <v>664</v>
      </c>
      <c r="J27" s="49">
        <v>45913</v>
      </c>
      <c r="K27" s="47" t="str">
        <f>INDEX(_xlfn.TEXTSPLIT(mouvementmp[[#This Row],[QR MP]],"_"),1,1)</f>
        <v>C04</v>
      </c>
      <c r="L27" s="47" t="str">
        <f>INDEX(_xlfn.TEXTSPLIT(mouvementmp[[#This Row],[QR MP]],"_"),1,2)</f>
        <v>BRUN</v>
      </c>
      <c r="M27" s="47" t="str">
        <f>INDEX(_xlfn.TEXTSPLIT(mouvementmp[[#This Row],[QR MP]],"_"),1,3)</f>
        <v>NM05-04.02</v>
      </c>
      <c r="N27" s="47" t="str">
        <f>INDEX(_xlfn.TEXTSPLIT(mouvementmp[[#This Row],[QR MP]],"_"),1,4)</f>
        <v>60623</v>
      </c>
      <c r="O27" s="47">
        <f>-mouvementmp[[#This Row],[Poids]]</f>
        <v>-154</v>
      </c>
      <c r="P27" s="47" t="str">
        <f>IF(
   COUNTIFS($A$2:A27,A27,
             $B$2:B27,B27,
             $C$2:C27,C27,
             $D$2:D27,D27,
             $E$2:E27,E27,
             $F$2:F27,F27,
              $J$2:J27,J27)&gt;1,
   "Doublon",
   "Correcte"
)</f>
        <v>Correcte</v>
      </c>
      <c r="Q27" s="106" t="str">
        <f>IF(mouvementmp[[#This Row],[QR Fabrication]]&lt;&gt;"",INDEX(_xlfn.TEXTSPLIT(mouvementmp[[#This Row],[QR Fabrication]],"_"),1,1),"")</f>
        <v/>
      </c>
      <c r="R27" s="106" t="str">
        <f>IF(mouvementmp[[#This Row],[QR Fabrication]]&lt;&gt;"",INDEX(_xlfn.TEXTSPLIT(mouvementmp[[#This Row],[QR Fabrication]],"_"),1,2),"")</f>
        <v/>
      </c>
      <c r="S27" s="47" t="str">
        <f>IF(mouvementmp[[#This Row],[QR Fabrication]]&lt;&gt;"",INDEX(_xlfn.TEXTSPLIT(mouvementmp[[#This Row],[QR Fabrication]],"_"),1,3),"")</f>
        <v/>
      </c>
      <c r="T27" s="47" t="str">
        <f>IF(mouvementmp[[#This Row],[QR Fabrication]]&lt;&gt;"",INDEX(_xlfn.TEXTSPLIT(mouvementmp[[#This Row],[QR Fabrication]],"_"),1,4),"")</f>
        <v/>
      </c>
      <c r="U27" s="47" t="str">
        <f>IF(mouvementmp[[#This Row],[QR Fabrication]]&lt;&gt;"",INDEX(_xlfn.TEXTSPLIT(mouvementmp[[#This Row],[QR Fabrication]],"_"),1,5),"")</f>
        <v/>
      </c>
      <c r="V27" s="47" t="str">
        <f>IF(mouvementmp[[#This Row],[QR Fabrication]]&lt;&gt;"",_xlfn.TEXTAFTER(mouvementmp[[#This Row],[QR Fabrication]],"_",5),"")</f>
        <v/>
      </c>
    </row>
    <row r="28" spans="1:22" ht="16.5" thickTop="1" thickBot="1" x14ac:dyDescent="0.3">
      <c r="A28" s="46"/>
      <c r="B28" s="54" t="s">
        <v>3817</v>
      </c>
      <c r="C28" s="47" t="s">
        <v>662</v>
      </c>
      <c r="D28" s="47" t="s">
        <v>662</v>
      </c>
      <c r="E28" s="47" t="s">
        <v>666</v>
      </c>
      <c r="F28" s="48">
        <v>199.5</v>
      </c>
      <c r="G28" s="47"/>
      <c r="H28" s="47"/>
      <c r="I28" s="47" t="s">
        <v>664</v>
      </c>
      <c r="J28" s="49">
        <v>45913</v>
      </c>
      <c r="K28" s="47" t="str">
        <f>INDEX(_xlfn.TEXTSPLIT(mouvementmp[[#This Row],[QR MP]],"_"),1,1)</f>
        <v>C04</v>
      </c>
      <c r="L28" s="47" t="str">
        <f>INDEX(_xlfn.TEXTSPLIT(mouvementmp[[#This Row],[QR MP]],"_"),1,2)</f>
        <v>BRUN</v>
      </c>
      <c r="M28" s="47" t="str">
        <f>INDEX(_xlfn.TEXTSPLIT(mouvementmp[[#This Row],[QR MP]],"_"),1,3)</f>
        <v>NM05-04.02</v>
      </c>
      <c r="N28" s="47" t="str">
        <f>INDEX(_xlfn.TEXTSPLIT(mouvementmp[[#This Row],[QR MP]],"_"),1,4)</f>
        <v>60623</v>
      </c>
      <c r="O28" s="47">
        <f>-mouvementmp[[#This Row],[Poids]]</f>
        <v>-199.5</v>
      </c>
      <c r="P28" s="47" t="str">
        <f>IF(
   COUNTIFS($A$2:A28,A28,
             $B$2:B28,B28,
             $C$2:C28,C28,
             $D$2:D28,D28,
             $E$2:E28,E28,
             $F$2:F28,F28,
              $J$2:J28,J28)&gt;1,
   "Doublon",
   "Correcte"
)</f>
        <v>Correcte</v>
      </c>
      <c r="Q28" s="106" t="str">
        <f>IF(mouvementmp[[#This Row],[QR Fabrication]]&lt;&gt;"",INDEX(_xlfn.TEXTSPLIT(mouvementmp[[#This Row],[QR Fabrication]],"_"),1,1),"")</f>
        <v/>
      </c>
      <c r="R28" s="106" t="str">
        <f>IF(mouvementmp[[#This Row],[QR Fabrication]]&lt;&gt;"",INDEX(_xlfn.TEXTSPLIT(mouvementmp[[#This Row],[QR Fabrication]],"_"),1,2),"")</f>
        <v/>
      </c>
      <c r="S28" s="47" t="str">
        <f>IF(mouvementmp[[#This Row],[QR Fabrication]]&lt;&gt;"",INDEX(_xlfn.TEXTSPLIT(mouvementmp[[#This Row],[QR Fabrication]],"_"),1,3),"")</f>
        <v/>
      </c>
      <c r="T28" s="47" t="str">
        <f>IF(mouvementmp[[#This Row],[QR Fabrication]]&lt;&gt;"",INDEX(_xlfn.TEXTSPLIT(mouvementmp[[#This Row],[QR Fabrication]],"_"),1,4),"")</f>
        <v/>
      </c>
      <c r="U28" s="47" t="str">
        <f>IF(mouvementmp[[#This Row],[QR Fabrication]]&lt;&gt;"",INDEX(_xlfn.TEXTSPLIT(mouvementmp[[#This Row],[QR Fabrication]],"_"),1,5),"")</f>
        <v/>
      </c>
      <c r="V28" s="47" t="str">
        <f>IF(mouvementmp[[#This Row],[QR Fabrication]]&lt;&gt;"",_xlfn.TEXTAFTER(mouvementmp[[#This Row],[QR Fabrication]],"_",5),"")</f>
        <v/>
      </c>
    </row>
    <row r="29" spans="1:22" ht="16.5" thickTop="1" thickBot="1" x14ac:dyDescent="0.3">
      <c r="A29" s="46"/>
      <c r="B29" s="54" t="s">
        <v>3818</v>
      </c>
      <c r="C29" s="47" t="s">
        <v>662</v>
      </c>
      <c r="D29" s="47" t="s">
        <v>662</v>
      </c>
      <c r="E29" s="47" t="s">
        <v>666</v>
      </c>
      <c r="F29" s="48">
        <v>311.5</v>
      </c>
      <c r="G29" s="47"/>
      <c r="H29" s="47"/>
      <c r="I29" s="47" t="s">
        <v>664</v>
      </c>
      <c r="J29" s="49">
        <v>45913</v>
      </c>
      <c r="K29" s="47" t="str">
        <f>INDEX(_xlfn.TEXTSPLIT(mouvementmp[[#This Row],[QR MP]],"_"),1,1)</f>
        <v>C04</v>
      </c>
      <c r="L29" s="47" t="str">
        <f>INDEX(_xlfn.TEXTSPLIT(mouvementmp[[#This Row],[QR MP]],"_"),1,2)</f>
        <v>NATUREL</v>
      </c>
      <c r="M29" s="47" t="str">
        <f>INDEX(_xlfn.TEXTSPLIT(mouvementmp[[#This Row],[QR MP]],"_"),1,3)</f>
        <v>NM10-04.01</v>
      </c>
      <c r="N29" s="47" t="str">
        <f>INDEX(_xlfn.TEXTSPLIT(mouvementmp[[#This Row],[QR MP]],"_"),1,4)</f>
        <v>59630</v>
      </c>
      <c r="O29" s="47">
        <f>-mouvementmp[[#This Row],[Poids]]</f>
        <v>-311.5</v>
      </c>
      <c r="P29" s="47" t="str">
        <f>IF(
   COUNTIFS($A$2:A29,A29,
             $B$2:B29,B29,
             $C$2:C29,C29,
             $D$2:D29,D29,
             $E$2:E29,E29,
             $F$2:F29,F29,
              $J$2:J29,J29)&gt;1,
   "Doublon",
   "Correcte"
)</f>
        <v>Correcte</v>
      </c>
      <c r="Q29" s="106" t="str">
        <f>IF(mouvementmp[[#This Row],[QR Fabrication]]&lt;&gt;"",INDEX(_xlfn.TEXTSPLIT(mouvementmp[[#This Row],[QR Fabrication]],"_"),1,1),"")</f>
        <v/>
      </c>
      <c r="R29" s="106" t="str">
        <f>IF(mouvementmp[[#This Row],[QR Fabrication]]&lt;&gt;"",INDEX(_xlfn.TEXTSPLIT(mouvementmp[[#This Row],[QR Fabrication]],"_"),1,2),"")</f>
        <v/>
      </c>
      <c r="S29" s="47" t="str">
        <f>IF(mouvementmp[[#This Row],[QR Fabrication]]&lt;&gt;"",INDEX(_xlfn.TEXTSPLIT(mouvementmp[[#This Row],[QR Fabrication]],"_"),1,3),"")</f>
        <v/>
      </c>
      <c r="T29" s="47" t="str">
        <f>IF(mouvementmp[[#This Row],[QR Fabrication]]&lt;&gt;"",INDEX(_xlfn.TEXTSPLIT(mouvementmp[[#This Row],[QR Fabrication]],"_"),1,4),"")</f>
        <v/>
      </c>
      <c r="U29" s="47" t="str">
        <f>IF(mouvementmp[[#This Row],[QR Fabrication]]&lt;&gt;"",INDEX(_xlfn.TEXTSPLIT(mouvementmp[[#This Row],[QR Fabrication]],"_"),1,5),"")</f>
        <v/>
      </c>
      <c r="V29" s="47" t="str">
        <f>IF(mouvementmp[[#This Row],[QR Fabrication]]&lt;&gt;"",_xlfn.TEXTAFTER(mouvementmp[[#This Row],[QR Fabrication]],"_",5),"")</f>
        <v/>
      </c>
    </row>
    <row r="30" spans="1:22" ht="16.5" thickTop="1" thickBot="1" x14ac:dyDescent="0.3">
      <c r="A30" s="46"/>
      <c r="B30" s="54" t="s">
        <v>3819</v>
      </c>
      <c r="C30" s="47" t="s">
        <v>662</v>
      </c>
      <c r="D30" s="47" t="s">
        <v>662</v>
      </c>
      <c r="E30" s="47" t="s">
        <v>667</v>
      </c>
      <c r="F30" s="48">
        <v>60</v>
      </c>
      <c r="G30" s="47"/>
      <c r="H30" s="47"/>
      <c r="I30" s="47" t="s">
        <v>664</v>
      </c>
      <c r="J30" s="49">
        <v>45913</v>
      </c>
      <c r="K30" s="47" t="str">
        <f>INDEX(_xlfn.TEXTSPLIT(mouvementmp[[#This Row],[QR MP]],"_"),1,1)</f>
        <v>C04</v>
      </c>
      <c r="L30" s="47" t="str">
        <f>INDEX(_xlfn.TEXTSPLIT(mouvementmp[[#This Row],[QR MP]],"_"),1,2)</f>
        <v>TAUPE</v>
      </c>
      <c r="M30" s="47" t="str">
        <f>INDEX(_xlfn.TEXTSPLIT(mouvementmp[[#This Row],[QR MP]],"_"),1,3)</f>
        <v>NM15-04.00</v>
      </c>
      <c r="N30" s="47" t="str">
        <f>INDEX(_xlfn.TEXTSPLIT(mouvementmp[[#This Row],[QR MP]],"_"),1,4)</f>
        <v>S2023</v>
      </c>
      <c r="O30" s="47">
        <f>-mouvementmp[[#This Row],[Poids]]</f>
        <v>-60</v>
      </c>
      <c r="P30" s="47" t="str">
        <f>IF(
   COUNTIFS($A$2:A30,A30,
             $B$2:B30,B30,
             $C$2:C30,C30,
             $D$2:D30,D30,
             $E$2:E30,E30,
             $F$2:F30,F30,
              $J$2:J30,J30)&gt;1,
   "Doublon",
   "Correcte"
)</f>
        <v>Correcte</v>
      </c>
      <c r="Q30" s="106" t="str">
        <f>IF(mouvementmp[[#This Row],[QR Fabrication]]&lt;&gt;"",INDEX(_xlfn.TEXTSPLIT(mouvementmp[[#This Row],[QR Fabrication]],"_"),1,1),"")</f>
        <v/>
      </c>
      <c r="R30" s="106" t="str">
        <f>IF(mouvementmp[[#This Row],[QR Fabrication]]&lt;&gt;"",INDEX(_xlfn.TEXTSPLIT(mouvementmp[[#This Row],[QR Fabrication]],"_"),1,2),"")</f>
        <v/>
      </c>
      <c r="S30" s="47" t="str">
        <f>IF(mouvementmp[[#This Row],[QR Fabrication]]&lt;&gt;"",INDEX(_xlfn.TEXTSPLIT(mouvementmp[[#This Row],[QR Fabrication]],"_"),1,3),"")</f>
        <v/>
      </c>
      <c r="T30" s="47" t="str">
        <f>IF(mouvementmp[[#This Row],[QR Fabrication]]&lt;&gt;"",INDEX(_xlfn.TEXTSPLIT(mouvementmp[[#This Row],[QR Fabrication]],"_"),1,4),"")</f>
        <v/>
      </c>
      <c r="U30" s="47" t="str">
        <f>IF(mouvementmp[[#This Row],[QR Fabrication]]&lt;&gt;"",INDEX(_xlfn.TEXTSPLIT(mouvementmp[[#This Row],[QR Fabrication]],"_"),1,5),"")</f>
        <v/>
      </c>
      <c r="V30" s="47" t="str">
        <f>IF(mouvementmp[[#This Row],[QR Fabrication]]&lt;&gt;"",_xlfn.TEXTAFTER(mouvementmp[[#This Row],[QR Fabrication]],"_",5),"")</f>
        <v/>
      </c>
    </row>
    <row r="31" spans="1:22" ht="16.5" thickTop="1" thickBot="1" x14ac:dyDescent="0.3">
      <c r="A31" s="46"/>
      <c r="B31" s="54" t="s">
        <v>3819</v>
      </c>
      <c r="C31" s="47" t="s">
        <v>662</v>
      </c>
      <c r="D31" s="47" t="s">
        <v>662</v>
      </c>
      <c r="E31" s="47" t="s">
        <v>665</v>
      </c>
      <c r="F31" s="48">
        <v>211</v>
      </c>
      <c r="G31" s="47"/>
      <c r="H31" s="47"/>
      <c r="I31" s="47" t="s">
        <v>664</v>
      </c>
      <c r="J31" s="49">
        <v>45913</v>
      </c>
      <c r="K31" s="47" t="str">
        <f>INDEX(_xlfn.TEXTSPLIT(mouvementmp[[#This Row],[QR MP]],"_"),1,1)</f>
        <v>C04</v>
      </c>
      <c r="L31" s="47" t="str">
        <f>INDEX(_xlfn.TEXTSPLIT(mouvementmp[[#This Row],[QR MP]],"_"),1,2)</f>
        <v>TAUPE</v>
      </c>
      <c r="M31" s="47" t="str">
        <f>INDEX(_xlfn.TEXTSPLIT(mouvementmp[[#This Row],[QR MP]],"_"),1,3)</f>
        <v>NM15-04.00</v>
      </c>
      <c r="N31" s="47" t="str">
        <f>INDEX(_xlfn.TEXTSPLIT(mouvementmp[[#This Row],[QR MP]],"_"),1,4)</f>
        <v>S2023</v>
      </c>
      <c r="O31" s="47">
        <f>-mouvementmp[[#This Row],[Poids]]</f>
        <v>-211</v>
      </c>
      <c r="P31" s="47" t="str">
        <f>IF(
   COUNTIFS($A$2:A31,A31,
             $B$2:B31,B31,
             $C$2:C31,C31,
             $D$2:D31,D31,
             $E$2:E31,E31,
             $F$2:F31,F31,
              $J$2:J31,J31)&gt;1,
   "Doublon",
   "Correcte"
)</f>
        <v>Correcte</v>
      </c>
      <c r="Q31" s="106" t="str">
        <f>IF(mouvementmp[[#This Row],[QR Fabrication]]&lt;&gt;"",INDEX(_xlfn.TEXTSPLIT(mouvementmp[[#This Row],[QR Fabrication]],"_"),1,1),"")</f>
        <v/>
      </c>
      <c r="R31" s="106" t="str">
        <f>IF(mouvementmp[[#This Row],[QR Fabrication]]&lt;&gt;"",INDEX(_xlfn.TEXTSPLIT(mouvementmp[[#This Row],[QR Fabrication]],"_"),1,2),"")</f>
        <v/>
      </c>
      <c r="S31" s="47" t="str">
        <f>IF(mouvementmp[[#This Row],[QR Fabrication]]&lt;&gt;"",INDEX(_xlfn.TEXTSPLIT(mouvementmp[[#This Row],[QR Fabrication]],"_"),1,3),"")</f>
        <v/>
      </c>
      <c r="T31" s="47" t="str">
        <f>IF(mouvementmp[[#This Row],[QR Fabrication]]&lt;&gt;"",INDEX(_xlfn.TEXTSPLIT(mouvementmp[[#This Row],[QR Fabrication]],"_"),1,4),"")</f>
        <v/>
      </c>
      <c r="U31" s="47" t="str">
        <f>IF(mouvementmp[[#This Row],[QR Fabrication]]&lt;&gt;"",INDEX(_xlfn.TEXTSPLIT(mouvementmp[[#This Row],[QR Fabrication]],"_"),1,5),"")</f>
        <v/>
      </c>
      <c r="V31" s="47" t="str">
        <f>IF(mouvementmp[[#This Row],[QR Fabrication]]&lt;&gt;"",_xlfn.TEXTAFTER(mouvementmp[[#This Row],[QR Fabrication]],"_",5),"")</f>
        <v/>
      </c>
    </row>
    <row r="32" spans="1:22" ht="16.5" thickTop="1" thickBot="1" x14ac:dyDescent="0.3">
      <c r="A32" s="46"/>
      <c r="B32" s="54" t="s">
        <v>3820</v>
      </c>
      <c r="C32" s="47" t="s">
        <v>662</v>
      </c>
      <c r="D32" s="47" t="s">
        <v>662</v>
      </c>
      <c r="E32" s="47" t="s">
        <v>667</v>
      </c>
      <c r="F32" s="48">
        <v>634.94000000000005</v>
      </c>
      <c r="G32" s="47"/>
      <c r="H32" s="47"/>
      <c r="I32" s="47" t="s">
        <v>664</v>
      </c>
      <c r="J32" s="49">
        <v>45913</v>
      </c>
      <c r="K32" s="47" t="str">
        <f>INDEX(_xlfn.TEXTSPLIT(mouvementmp[[#This Row],[QR MP]],"_"),1,1)</f>
        <v>C04</v>
      </c>
      <c r="L32" s="47" t="str">
        <f>INDEX(_xlfn.TEXTSPLIT(mouvementmp[[#This Row],[QR MP]],"_"),1,2)</f>
        <v>NATUREL</v>
      </c>
      <c r="M32" s="47" t="str">
        <f>INDEX(_xlfn.TEXTSPLIT(mouvementmp[[#This Row],[QR MP]],"_"),1,3)</f>
        <v>NM15-04.01</v>
      </c>
      <c r="N32" s="47" t="str">
        <f>INDEX(_xlfn.TEXTSPLIT(mouvementmp[[#This Row],[QR MP]],"_"),1,4)</f>
        <v>65437</v>
      </c>
      <c r="O32" s="47">
        <f>-mouvementmp[[#This Row],[Poids]]</f>
        <v>-634.94000000000005</v>
      </c>
      <c r="P32" s="47" t="str">
        <f>IF(
   COUNTIFS($A$2:A32,A32,
             $B$2:B32,B32,
             $C$2:C32,C32,
             $D$2:D32,D32,
             $E$2:E32,E32,
             $F$2:F32,F32,
              $J$2:J32,J32)&gt;1,
   "Doublon",
   "Correcte"
)</f>
        <v>Correcte</v>
      </c>
      <c r="Q32" s="106" t="str">
        <f>IF(mouvementmp[[#This Row],[QR Fabrication]]&lt;&gt;"",INDEX(_xlfn.TEXTSPLIT(mouvementmp[[#This Row],[QR Fabrication]],"_"),1,1),"")</f>
        <v/>
      </c>
      <c r="R32" s="106" t="str">
        <f>IF(mouvementmp[[#This Row],[QR Fabrication]]&lt;&gt;"",INDEX(_xlfn.TEXTSPLIT(mouvementmp[[#This Row],[QR Fabrication]],"_"),1,2),"")</f>
        <v/>
      </c>
      <c r="S32" s="47" t="str">
        <f>IF(mouvementmp[[#This Row],[QR Fabrication]]&lt;&gt;"",INDEX(_xlfn.TEXTSPLIT(mouvementmp[[#This Row],[QR Fabrication]],"_"),1,3),"")</f>
        <v/>
      </c>
      <c r="T32" s="47" t="str">
        <f>IF(mouvementmp[[#This Row],[QR Fabrication]]&lt;&gt;"",INDEX(_xlfn.TEXTSPLIT(mouvementmp[[#This Row],[QR Fabrication]],"_"),1,4),"")</f>
        <v/>
      </c>
      <c r="U32" s="47" t="str">
        <f>IF(mouvementmp[[#This Row],[QR Fabrication]]&lt;&gt;"",INDEX(_xlfn.TEXTSPLIT(mouvementmp[[#This Row],[QR Fabrication]],"_"),1,5),"")</f>
        <v/>
      </c>
      <c r="V32" s="47" t="str">
        <f>IF(mouvementmp[[#This Row],[QR Fabrication]]&lt;&gt;"",_xlfn.TEXTAFTER(mouvementmp[[#This Row],[QR Fabrication]],"_",5),"")</f>
        <v/>
      </c>
    </row>
    <row r="33" spans="1:22" ht="16.5" thickTop="1" thickBot="1" x14ac:dyDescent="0.3">
      <c r="A33" s="46"/>
      <c r="B33" s="54" t="s">
        <v>3821</v>
      </c>
      <c r="C33" s="47" t="s">
        <v>662</v>
      </c>
      <c r="D33" s="47" t="s">
        <v>662</v>
      </c>
      <c r="E33" s="47" t="s">
        <v>667</v>
      </c>
      <c r="F33" s="48">
        <v>924</v>
      </c>
      <c r="G33" s="47"/>
      <c r="H33" s="47"/>
      <c r="I33" s="47" t="s">
        <v>664</v>
      </c>
      <c r="J33" s="49">
        <v>45913</v>
      </c>
      <c r="K33" s="47" t="str">
        <f>INDEX(_xlfn.TEXTSPLIT(mouvementmp[[#This Row],[QR MP]],"_"),1,1)</f>
        <v>C04</v>
      </c>
      <c r="L33" s="47" t="str">
        <f>INDEX(_xlfn.TEXTSPLIT(mouvementmp[[#This Row],[QR MP]],"_"),1,2)</f>
        <v>BRUN</v>
      </c>
      <c r="M33" s="47" t="str">
        <f>INDEX(_xlfn.TEXTSPLIT(mouvementmp[[#This Row],[QR MP]],"_"),1,3)</f>
        <v>NM15-04.02</v>
      </c>
      <c r="N33" s="47" t="str">
        <f>INDEX(_xlfn.TEXTSPLIT(mouvementmp[[#This Row],[QR MP]],"_"),1,4)</f>
        <v>61439</v>
      </c>
      <c r="O33" s="47">
        <f>-mouvementmp[[#This Row],[Poids]]</f>
        <v>-924</v>
      </c>
      <c r="P33" s="47" t="str">
        <f>IF(
   COUNTIFS($A$2:A33,A33,
             $B$2:B33,B33,
             $C$2:C33,C33,
             $D$2:D33,D33,
             $E$2:E33,E33,
             $F$2:F33,F33,
              $J$2:J33,J33)&gt;1,
   "Doublon",
   "Correcte"
)</f>
        <v>Correcte</v>
      </c>
      <c r="Q33" s="106" t="str">
        <f>IF(mouvementmp[[#This Row],[QR Fabrication]]&lt;&gt;"",INDEX(_xlfn.TEXTSPLIT(mouvementmp[[#This Row],[QR Fabrication]],"_"),1,1),"")</f>
        <v/>
      </c>
      <c r="R33" s="106" t="str">
        <f>IF(mouvementmp[[#This Row],[QR Fabrication]]&lt;&gt;"",INDEX(_xlfn.TEXTSPLIT(mouvementmp[[#This Row],[QR Fabrication]],"_"),1,2),"")</f>
        <v/>
      </c>
      <c r="S33" s="47" t="str">
        <f>IF(mouvementmp[[#This Row],[QR Fabrication]]&lt;&gt;"",INDEX(_xlfn.TEXTSPLIT(mouvementmp[[#This Row],[QR Fabrication]],"_"),1,3),"")</f>
        <v/>
      </c>
      <c r="T33" s="47" t="str">
        <f>IF(mouvementmp[[#This Row],[QR Fabrication]]&lt;&gt;"",INDEX(_xlfn.TEXTSPLIT(mouvementmp[[#This Row],[QR Fabrication]],"_"),1,4),"")</f>
        <v/>
      </c>
      <c r="U33" s="47" t="str">
        <f>IF(mouvementmp[[#This Row],[QR Fabrication]]&lt;&gt;"",INDEX(_xlfn.TEXTSPLIT(mouvementmp[[#This Row],[QR Fabrication]],"_"),1,5),"")</f>
        <v/>
      </c>
      <c r="V33" s="47" t="str">
        <f>IF(mouvementmp[[#This Row],[QR Fabrication]]&lt;&gt;"",_xlfn.TEXTAFTER(mouvementmp[[#This Row],[QR Fabrication]],"_",5),"")</f>
        <v/>
      </c>
    </row>
    <row r="34" spans="1:22" ht="16.5" thickTop="1" thickBot="1" x14ac:dyDescent="0.3">
      <c r="A34" s="46"/>
      <c r="B34" s="54" t="s">
        <v>3821</v>
      </c>
      <c r="C34" s="47" t="s">
        <v>662</v>
      </c>
      <c r="D34" s="47" t="s">
        <v>662</v>
      </c>
      <c r="E34" s="47" t="s">
        <v>665</v>
      </c>
      <c r="F34" s="48">
        <v>396.5</v>
      </c>
      <c r="G34" s="47"/>
      <c r="H34" s="47"/>
      <c r="I34" s="47" t="s">
        <v>664</v>
      </c>
      <c r="J34" s="49">
        <v>45913</v>
      </c>
      <c r="K34" s="47" t="str">
        <f>INDEX(_xlfn.TEXTSPLIT(mouvementmp[[#This Row],[QR MP]],"_"),1,1)</f>
        <v>C04</v>
      </c>
      <c r="L34" s="47" t="str">
        <f>INDEX(_xlfn.TEXTSPLIT(mouvementmp[[#This Row],[QR MP]],"_"),1,2)</f>
        <v>BRUN</v>
      </c>
      <c r="M34" s="47" t="str">
        <f>INDEX(_xlfn.TEXTSPLIT(mouvementmp[[#This Row],[QR MP]],"_"),1,3)</f>
        <v>NM15-04.02</v>
      </c>
      <c r="N34" s="47" t="str">
        <f>INDEX(_xlfn.TEXTSPLIT(mouvementmp[[#This Row],[QR MP]],"_"),1,4)</f>
        <v>61439</v>
      </c>
      <c r="O34" s="47">
        <f>-mouvementmp[[#This Row],[Poids]]</f>
        <v>-396.5</v>
      </c>
      <c r="P34" s="47" t="str">
        <f>IF(
   COUNTIFS($A$2:A34,A34,
             $B$2:B34,B34,
             $C$2:C34,C34,
             $D$2:D34,D34,
             $E$2:E34,E34,
             $F$2:F34,F34,
              $J$2:J34,J34)&gt;1,
   "Doublon",
   "Correcte"
)</f>
        <v>Correcte</v>
      </c>
      <c r="Q34" s="106" t="str">
        <f>IF(mouvementmp[[#This Row],[QR Fabrication]]&lt;&gt;"",INDEX(_xlfn.TEXTSPLIT(mouvementmp[[#This Row],[QR Fabrication]],"_"),1,1),"")</f>
        <v/>
      </c>
      <c r="R34" s="106" t="str">
        <f>IF(mouvementmp[[#This Row],[QR Fabrication]]&lt;&gt;"",INDEX(_xlfn.TEXTSPLIT(mouvementmp[[#This Row],[QR Fabrication]],"_"),1,2),"")</f>
        <v/>
      </c>
      <c r="S34" s="47" t="str">
        <f>IF(mouvementmp[[#This Row],[QR Fabrication]]&lt;&gt;"",INDEX(_xlfn.TEXTSPLIT(mouvementmp[[#This Row],[QR Fabrication]],"_"),1,3),"")</f>
        <v/>
      </c>
      <c r="T34" s="47" t="str">
        <f>IF(mouvementmp[[#This Row],[QR Fabrication]]&lt;&gt;"",INDEX(_xlfn.TEXTSPLIT(mouvementmp[[#This Row],[QR Fabrication]],"_"),1,4),"")</f>
        <v/>
      </c>
      <c r="U34" s="47" t="str">
        <f>IF(mouvementmp[[#This Row],[QR Fabrication]]&lt;&gt;"",INDEX(_xlfn.TEXTSPLIT(mouvementmp[[#This Row],[QR Fabrication]],"_"),1,5),"")</f>
        <v/>
      </c>
      <c r="V34" s="47" t="str">
        <f>IF(mouvementmp[[#This Row],[QR Fabrication]]&lt;&gt;"",_xlfn.TEXTAFTER(mouvementmp[[#This Row],[QR Fabrication]],"_",5),"")</f>
        <v/>
      </c>
    </row>
    <row r="35" spans="1:22" ht="16.5" thickTop="1" thickBot="1" x14ac:dyDescent="0.3">
      <c r="A35" s="46"/>
      <c r="B35" s="54" t="s">
        <v>3822</v>
      </c>
      <c r="C35" s="47" t="s">
        <v>662</v>
      </c>
      <c r="D35" s="47" t="s">
        <v>662</v>
      </c>
      <c r="E35" s="47" t="s">
        <v>665</v>
      </c>
      <c r="F35" s="48">
        <v>34</v>
      </c>
      <c r="G35" s="47"/>
      <c r="H35" s="47"/>
      <c r="I35" s="47" t="s">
        <v>664</v>
      </c>
      <c r="J35" s="49">
        <v>45913</v>
      </c>
      <c r="K35" s="47" t="str">
        <f>INDEX(_xlfn.TEXTSPLIT(mouvementmp[[#This Row],[QR MP]],"_"),1,1)</f>
        <v>C04</v>
      </c>
      <c r="L35" s="47" t="str">
        <f>INDEX(_xlfn.TEXTSPLIT(mouvementmp[[#This Row],[QR MP]],"_"),1,2)</f>
        <v>TAUPE</v>
      </c>
      <c r="M35" s="47" t="str">
        <f>INDEX(_xlfn.TEXTSPLIT(mouvementmp[[#This Row],[QR MP]],"_"),1,3)</f>
        <v>NM34-04.00</v>
      </c>
      <c r="N35" s="47" t="str">
        <f>INDEX(_xlfn.TEXTSPLIT(mouvementmp[[#This Row],[QR MP]],"_"),1,4)</f>
        <v>S2024</v>
      </c>
      <c r="O35" s="47">
        <f>-mouvementmp[[#This Row],[Poids]]</f>
        <v>-34</v>
      </c>
      <c r="P35" s="47" t="str">
        <f>IF(
   COUNTIFS($A$2:A35,A35,
             $B$2:B35,B35,
             $C$2:C35,C35,
             $D$2:D35,D35,
             $E$2:E35,E35,
             $F$2:F35,F35,
              $J$2:J35,J35)&gt;1,
   "Doublon",
   "Correcte"
)</f>
        <v>Correcte</v>
      </c>
      <c r="Q35" s="106" t="str">
        <f>IF(mouvementmp[[#This Row],[QR Fabrication]]&lt;&gt;"",INDEX(_xlfn.TEXTSPLIT(mouvementmp[[#This Row],[QR Fabrication]],"_"),1,1),"")</f>
        <v/>
      </c>
      <c r="R35" s="106" t="str">
        <f>IF(mouvementmp[[#This Row],[QR Fabrication]]&lt;&gt;"",INDEX(_xlfn.TEXTSPLIT(mouvementmp[[#This Row],[QR Fabrication]],"_"),1,2),"")</f>
        <v/>
      </c>
      <c r="S35" s="47" t="str">
        <f>IF(mouvementmp[[#This Row],[QR Fabrication]]&lt;&gt;"",INDEX(_xlfn.TEXTSPLIT(mouvementmp[[#This Row],[QR Fabrication]],"_"),1,3),"")</f>
        <v/>
      </c>
      <c r="T35" s="47" t="str">
        <f>IF(mouvementmp[[#This Row],[QR Fabrication]]&lt;&gt;"",INDEX(_xlfn.TEXTSPLIT(mouvementmp[[#This Row],[QR Fabrication]],"_"),1,4),"")</f>
        <v/>
      </c>
      <c r="U35" s="47" t="str">
        <f>IF(mouvementmp[[#This Row],[QR Fabrication]]&lt;&gt;"",INDEX(_xlfn.TEXTSPLIT(mouvementmp[[#This Row],[QR Fabrication]],"_"),1,5),"")</f>
        <v/>
      </c>
      <c r="V35" s="47" t="str">
        <f>IF(mouvementmp[[#This Row],[QR Fabrication]]&lt;&gt;"",_xlfn.TEXTAFTER(mouvementmp[[#This Row],[QR Fabrication]],"_",5),"")</f>
        <v/>
      </c>
    </row>
    <row r="36" spans="1:22" ht="16.5" thickTop="1" thickBot="1" x14ac:dyDescent="0.3">
      <c r="A36" s="46"/>
      <c r="B36" s="54" t="s">
        <v>3823</v>
      </c>
      <c r="C36" s="47" t="s">
        <v>662</v>
      </c>
      <c r="D36" s="47" t="s">
        <v>662</v>
      </c>
      <c r="E36" s="47" t="s">
        <v>663</v>
      </c>
      <c r="F36" s="48">
        <v>1109.5</v>
      </c>
      <c r="G36" s="47"/>
      <c r="H36" s="47"/>
      <c r="I36" s="47" t="s">
        <v>664</v>
      </c>
      <c r="J36" s="49">
        <v>45913</v>
      </c>
      <c r="K36" s="47" t="str">
        <f>INDEX(_xlfn.TEXTSPLIT(mouvementmp[[#This Row],[QR MP]],"_"),1,1)</f>
        <v>C05</v>
      </c>
      <c r="L36" s="47" t="str">
        <f>INDEX(_xlfn.TEXTSPLIT(mouvementmp[[#This Row],[QR MP]],"_"),1,2)</f>
        <v>MARRON</v>
      </c>
      <c r="M36" s="47" t="str">
        <f>INDEX(_xlfn.TEXTSPLIT(mouvementmp[[#This Row],[QR MP]],"_"),1,3)</f>
        <v>NM05-05.00</v>
      </c>
      <c r="N36" s="47" t="str">
        <f>INDEX(_xlfn.TEXTSPLIT(mouvementmp[[#This Row],[QR MP]],"_"),1,4)</f>
        <v>59949</v>
      </c>
      <c r="O36" s="47">
        <f>-mouvementmp[[#This Row],[Poids]]</f>
        <v>-1109.5</v>
      </c>
      <c r="P36" s="47" t="str">
        <f>IF(
   COUNTIFS($A$2:A36,A36,
             $B$2:B36,B36,
             $C$2:C36,C36,
             $D$2:D36,D36,
             $E$2:E36,E36,
             $F$2:F36,F36,
              $J$2:J36,J36)&gt;1,
   "Doublon",
   "Correcte"
)</f>
        <v>Correcte</v>
      </c>
      <c r="Q36" s="106" t="str">
        <f>IF(mouvementmp[[#This Row],[QR Fabrication]]&lt;&gt;"",INDEX(_xlfn.TEXTSPLIT(mouvementmp[[#This Row],[QR Fabrication]],"_"),1,1),"")</f>
        <v/>
      </c>
      <c r="R36" s="106" t="str">
        <f>IF(mouvementmp[[#This Row],[QR Fabrication]]&lt;&gt;"",INDEX(_xlfn.TEXTSPLIT(mouvementmp[[#This Row],[QR Fabrication]],"_"),1,2),"")</f>
        <v/>
      </c>
      <c r="S36" s="47" t="str">
        <f>IF(mouvementmp[[#This Row],[QR Fabrication]]&lt;&gt;"",INDEX(_xlfn.TEXTSPLIT(mouvementmp[[#This Row],[QR Fabrication]],"_"),1,3),"")</f>
        <v/>
      </c>
      <c r="T36" s="47" t="str">
        <f>IF(mouvementmp[[#This Row],[QR Fabrication]]&lt;&gt;"",INDEX(_xlfn.TEXTSPLIT(mouvementmp[[#This Row],[QR Fabrication]],"_"),1,4),"")</f>
        <v/>
      </c>
      <c r="U36" s="47" t="str">
        <f>IF(mouvementmp[[#This Row],[QR Fabrication]]&lt;&gt;"",INDEX(_xlfn.TEXTSPLIT(mouvementmp[[#This Row],[QR Fabrication]],"_"),1,5),"")</f>
        <v/>
      </c>
      <c r="V36" s="47" t="str">
        <f>IF(mouvementmp[[#This Row],[QR Fabrication]]&lt;&gt;"",_xlfn.TEXTAFTER(mouvementmp[[#This Row],[QR Fabrication]],"_",5),"")</f>
        <v/>
      </c>
    </row>
    <row r="37" spans="1:22" ht="16.5" thickTop="1" thickBot="1" x14ac:dyDescent="0.3">
      <c r="A37" s="46"/>
      <c r="B37" s="54" t="s">
        <v>3823</v>
      </c>
      <c r="C37" s="47" t="s">
        <v>662</v>
      </c>
      <c r="D37" s="47" t="s">
        <v>662</v>
      </c>
      <c r="E37" s="47" t="s">
        <v>665</v>
      </c>
      <c r="F37" s="48">
        <v>37.5</v>
      </c>
      <c r="G37" s="47"/>
      <c r="H37" s="47"/>
      <c r="I37" s="47" t="s">
        <v>664</v>
      </c>
      <c r="J37" s="49">
        <v>45913</v>
      </c>
      <c r="K37" s="47" t="str">
        <f>INDEX(_xlfn.TEXTSPLIT(mouvementmp[[#This Row],[QR MP]],"_"),1,1)</f>
        <v>C05</v>
      </c>
      <c r="L37" s="47" t="str">
        <f>INDEX(_xlfn.TEXTSPLIT(mouvementmp[[#This Row],[QR MP]],"_"),1,2)</f>
        <v>MARRON</v>
      </c>
      <c r="M37" s="47" t="str">
        <f>INDEX(_xlfn.TEXTSPLIT(mouvementmp[[#This Row],[QR MP]],"_"),1,3)</f>
        <v>NM05-05.00</v>
      </c>
      <c r="N37" s="47" t="str">
        <f>INDEX(_xlfn.TEXTSPLIT(mouvementmp[[#This Row],[QR MP]],"_"),1,4)</f>
        <v>59949</v>
      </c>
      <c r="O37" s="47">
        <f>-mouvementmp[[#This Row],[Poids]]</f>
        <v>-37.5</v>
      </c>
      <c r="P37" s="47" t="str">
        <f>IF(
   COUNTIFS($A$2:A37,A37,
             $B$2:B37,B37,
             $C$2:C37,C37,
             $D$2:D37,D37,
             $E$2:E37,E37,
             $F$2:F37,F37,
              $J$2:J37,J37)&gt;1,
   "Doublon",
   "Correcte"
)</f>
        <v>Correcte</v>
      </c>
      <c r="Q37" s="106" t="str">
        <f>IF(mouvementmp[[#This Row],[QR Fabrication]]&lt;&gt;"",INDEX(_xlfn.TEXTSPLIT(mouvementmp[[#This Row],[QR Fabrication]],"_"),1,1),"")</f>
        <v/>
      </c>
      <c r="R37" s="106" t="str">
        <f>IF(mouvementmp[[#This Row],[QR Fabrication]]&lt;&gt;"",INDEX(_xlfn.TEXTSPLIT(mouvementmp[[#This Row],[QR Fabrication]],"_"),1,2),"")</f>
        <v/>
      </c>
      <c r="S37" s="47" t="str">
        <f>IF(mouvementmp[[#This Row],[QR Fabrication]]&lt;&gt;"",INDEX(_xlfn.TEXTSPLIT(mouvementmp[[#This Row],[QR Fabrication]],"_"),1,3),"")</f>
        <v/>
      </c>
      <c r="T37" s="47" t="str">
        <f>IF(mouvementmp[[#This Row],[QR Fabrication]]&lt;&gt;"",INDEX(_xlfn.TEXTSPLIT(mouvementmp[[#This Row],[QR Fabrication]],"_"),1,4),"")</f>
        <v/>
      </c>
      <c r="U37" s="47" t="str">
        <f>IF(mouvementmp[[#This Row],[QR Fabrication]]&lt;&gt;"",INDEX(_xlfn.TEXTSPLIT(mouvementmp[[#This Row],[QR Fabrication]],"_"),1,5),"")</f>
        <v/>
      </c>
      <c r="V37" s="47" t="str">
        <f>IF(mouvementmp[[#This Row],[QR Fabrication]]&lt;&gt;"",_xlfn.TEXTAFTER(mouvementmp[[#This Row],[QR Fabrication]],"_",5),"")</f>
        <v/>
      </c>
    </row>
    <row r="38" spans="1:22" ht="16.5" thickTop="1" thickBot="1" x14ac:dyDescent="0.3">
      <c r="A38" s="46"/>
      <c r="B38" s="54" t="s">
        <v>3824</v>
      </c>
      <c r="C38" s="47" t="s">
        <v>662</v>
      </c>
      <c r="D38" s="47" t="s">
        <v>662</v>
      </c>
      <c r="E38" s="47" t="s">
        <v>663</v>
      </c>
      <c r="F38" s="48">
        <v>147</v>
      </c>
      <c r="G38" s="47"/>
      <c r="H38" s="47"/>
      <c r="I38" s="47" t="s">
        <v>664</v>
      </c>
      <c r="J38" s="49">
        <v>45913</v>
      </c>
      <c r="K38" s="47" t="str">
        <f>INDEX(_xlfn.TEXTSPLIT(mouvementmp[[#This Row],[QR MP]],"_"),1,1)</f>
        <v>C05</v>
      </c>
      <c r="L38" s="47" t="str">
        <f>INDEX(_xlfn.TEXTSPLIT(mouvementmp[[#This Row],[QR MP]],"_"),1,2)</f>
        <v>MARRON</v>
      </c>
      <c r="M38" s="47" t="str">
        <f>INDEX(_xlfn.TEXTSPLIT(mouvementmp[[#This Row],[QR MP]],"_"),1,3)</f>
        <v>NM05-05.00</v>
      </c>
      <c r="N38" s="47" t="str">
        <f>INDEX(_xlfn.TEXTSPLIT(mouvementmp[[#This Row],[QR MP]],"_"),1,4)</f>
        <v>61660</v>
      </c>
      <c r="O38" s="47">
        <f>-mouvementmp[[#This Row],[Poids]]</f>
        <v>-147</v>
      </c>
      <c r="P38" s="47" t="str">
        <f>IF(
   COUNTIFS($A$2:A38,A38,
             $B$2:B38,B38,
             $C$2:C38,C38,
             $D$2:D38,D38,
             $E$2:E38,E38,
             $F$2:F38,F38,
              $J$2:J38,J38)&gt;1,
   "Doublon",
   "Correcte"
)</f>
        <v>Correcte</v>
      </c>
      <c r="Q38" s="106" t="str">
        <f>IF(mouvementmp[[#This Row],[QR Fabrication]]&lt;&gt;"",INDEX(_xlfn.TEXTSPLIT(mouvementmp[[#This Row],[QR Fabrication]],"_"),1,1),"")</f>
        <v/>
      </c>
      <c r="R38" s="106" t="str">
        <f>IF(mouvementmp[[#This Row],[QR Fabrication]]&lt;&gt;"",INDEX(_xlfn.TEXTSPLIT(mouvementmp[[#This Row],[QR Fabrication]],"_"),1,2),"")</f>
        <v/>
      </c>
      <c r="S38" s="47" t="str">
        <f>IF(mouvementmp[[#This Row],[QR Fabrication]]&lt;&gt;"",INDEX(_xlfn.TEXTSPLIT(mouvementmp[[#This Row],[QR Fabrication]],"_"),1,3),"")</f>
        <v/>
      </c>
      <c r="T38" s="47" t="str">
        <f>IF(mouvementmp[[#This Row],[QR Fabrication]]&lt;&gt;"",INDEX(_xlfn.TEXTSPLIT(mouvementmp[[#This Row],[QR Fabrication]],"_"),1,4),"")</f>
        <v/>
      </c>
      <c r="U38" s="47" t="str">
        <f>IF(mouvementmp[[#This Row],[QR Fabrication]]&lt;&gt;"",INDEX(_xlfn.TEXTSPLIT(mouvementmp[[#This Row],[QR Fabrication]],"_"),1,5),"")</f>
        <v/>
      </c>
      <c r="V38" s="47" t="str">
        <f>IF(mouvementmp[[#This Row],[QR Fabrication]]&lt;&gt;"",_xlfn.TEXTAFTER(mouvementmp[[#This Row],[QR Fabrication]],"_",5),"")</f>
        <v/>
      </c>
    </row>
    <row r="39" spans="1:22" ht="16.5" thickTop="1" thickBot="1" x14ac:dyDescent="0.3">
      <c r="A39" s="46"/>
      <c r="B39" s="54" t="s">
        <v>3825</v>
      </c>
      <c r="C39" s="47" t="s">
        <v>662</v>
      </c>
      <c r="D39" s="47" t="s">
        <v>662</v>
      </c>
      <c r="E39" s="47" t="s">
        <v>666</v>
      </c>
      <c r="F39" s="48">
        <v>385</v>
      </c>
      <c r="G39" s="47"/>
      <c r="H39" s="47"/>
      <c r="I39" s="47" t="s">
        <v>664</v>
      </c>
      <c r="J39" s="49">
        <v>45913</v>
      </c>
      <c r="K39" s="47" t="str">
        <f>INDEX(_xlfn.TEXTSPLIT(mouvementmp[[#This Row],[QR MP]],"_"),1,1)</f>
        <v>C05</v>
      </c>
      <c r="L39" s="47" t="str">
        <f>INDEX(_xlfn.TEXTSPLIT(mouvementmp[[#This Row],[QR MP]],"_"),1,2)</f>
        <v>MARRON</v>
      </c>
      <c r="M39" s="47" t="str">
        <f>INDEX(_xlfn.TEXTSPLIT(mouvementmp[[#This Row],[QR MP]],"_"),1,3)</f>
        <v>NM10-05.00</v>
      </c>
      <c r="N39" s="47" t="str">
        <f>INDEX(_xlfn.TEXTSPLIT(mouvementmp[[#This Row],[QR MP]],"_"),1,4)</f>
        <v>59629</v>
      </c>
      <c r="O39" s="47">
        <f>-mouvementmp[[#This Row],[Poids]]</f>
        <v>-385</v>
      </c>
      <c r="P39" s="47" t="str">
        <f>IF(
   COUNTIFS($A$2:A39,A39,
             $B$2:B39,B39,
             $C$2:C39,C39,
             $D$2:D39,D39,
             $E$2:E39,E39,
             $F$2:F39,F39,
              $J$2:J39,J39)&gt;1,
   "Doublon",
   "Correcte"
)</f>
        <v>Correcte</v>
      </c>
      <c r="Q39" s="106" t="str">
        <f>IF(mouvementmp[[#This Row],[QR Fabrication]]&lt;&gt;"",INDEX(_xlfn.TEXTSPLIT(mouvementmp[[#This Row],[QR Fabrication]],"_"),1,1),"")</f>
        <v/>
      </c>
      <c r="R39" s="106" t="str">
        <f>IF(mouvementmp[[#This Row],[QR Fabrication]]&lt;&gt;"",INDEX(_xlfn.TEXTSPLIT(mouvementmp[[#This Row],[QR Fabrication]],"_"),1,2),"")</f>
        <v/>
      </c>
      <c r="S39" s="47" t="str">
        <f>IF(mouvementmp[[#This Row],[QR Fabrication]]&lt;&gt;"",INDEX(_xlfn.TEXTSPLIT(mouvementmp[[#This Row],[QR Fabrication]],"_"),1,3),"")</f>
        <v/>
      </c>
      <c r="T39" s="47" t="str">
        <f>IF(mouvementmp[[#This Row],[QR Fabrication]]&lt;&gt;"",INDEX(_xlfn.TEXTSPLIT(mouvementmp[[#This Row],[QR Fabrication]],"_"),1,4),"")</f>
        <v/>
      </c>
      <c r="U39" s="47" t="str">
        <f>IF(mouvementmp[[#This Row],[QR Fabrication]]&lt;&gt;"",INDEX(_xlfn.TEXTSPLIT(mouvementmp[[#This Row],[QR Fabrication]],"_"),1,5),"")</f>
        <v/>
      </c>
      <c r="V39" s="47" t="str">
        <f>IF(mouvementmp[[#This Row],[QR Fabrication]]&lt;&gt;"",_xlfn.TEXTAFTER(mouvementmp[[#This Row],[QR Fabrication]],"_",5),"")</f>
        <v/>
      </c>
    </row>
    <row r="40" spans="1:22" ht="16.5" thickTop="1" thickBot="1" x14ac:dyDescent="0.3">
      <c r="A40" s="46"/>
      <c r="B40" s="54" t="s">
        <v>3826</v>
      </c>
      <c r="C40" s="47" t="s">
        <v>662</v>
      </c>
      <c r="D40" s="47" t="s">
        <v>662</v>
      </c>
      <c r="E40" s="47" t="s">
        <v>665</v>
      </c>
      <c r="F40" s="48">
        <v>211.5</v>
      </c>
      <c r="G40" s="47"/>
      <c r="H40" s="47"/>
      <c r="I40" s="47" t="s">
        <v>664</v>
      </c>
      <c r="J40" s="49">
        <v>45913</v>
      </c>
      <c r="K40" s="47" t="str">
        <f>INDEX(_xlfn.TEXTSPLIT(mouvementmp[[#This Row],[QR MP]],"_"),1,1)</f>
        <v>C05</v>
      </c>
      <c r="L40" s="47" t="str">
        <f>INDEX(_xlfn.TEXTSPLIT(mouvementmp[[#This Row],[QR MP]],"_"),1,2)</f>
        <v>MARRON</v>
      </c>
      <c r="M40" s="47" t="str">
        <f>INDEX(_xlfn.TEXTSPLIT(mouvementmp[[#This Row],[QR MP]],"_"),1,3)</f>
        <v>NM15-05.00</v>
      </c>
      <c r="N40" s="47" t="str">
        <f>INDEX(_xlfn.TEXTSPLIT(mouvementmp[[#This Row],[QR MP]],"_"),1,4)</f>
        <v>61440</v>
      </c>
      <c r="O40" s="47">
        <f>-mouvementmp[[#This Row],[Poids]]</f>
        <v>-211.5</v>
      </c>
      <c r="P40" s="47" t="str">
        <f>IF(
   COUNTIFS($A$2:A40,A40,
             $B$2:B40,B40,
             $C$2:C40,C40,
             $D$2:D40,D40,
             $E$2:E40,E40,
             $F$2:F40,F40,
              $J$2:J40,J40)&gt;1,
   "Doublon",
   "Correcte"
)</f>
        <v>Correcte</v>
      </c>
      <c r="Q40" s="106" t="str">
        <f>IF(mouvementmp[[#This Row],[QR Fabrication]]&lt;&gt;"",INDEX(_xlfn.TEXTSPLIT(mouvementmp[[#This Row],[QR Fabrication]],"_"),1,1),"")</f>
        <v/>
      </c>
      <c r="R40" s="106" t="str">
        <f>IF(mouvementmp[[#This Row],[QR Fabrication]]&lt;&gt;"",INDEX(_xlfn.TEXTSPLIT(mouvementmp[[#This Row],[QR Fabrication]],"_"),1,2),"")</f>
        <v/>
      </c>
      <c r="S40" s="47" t="str">
        <f>IF(mouvementmp[[#This Row],[QR Fabrication]]&lt;&gt;"",INDEX(_xlfn.TEXTSPLIT(mouvementmp[[#This Row],[QR Fabrication]],"_"),1,3),"")</f>
        <v/>
      </c>
      <c r="T40" s="47" t="str">
        <f>IF(mouvementmp[[#This Row],[QR Fabrication]]&lt;&gt;"",INDEX(_xlfn.TEXTSPLIT(mouvementmp[[#This Row],[QR Fabrication]],"_"),1,4),"")</f>
        <v/>
      </c>
      <c r="U40" s="47" t="str">
        <f>IF(mouvementmp[[#This Row],[QR Fabrication]]&lt;&gt;"",INDEX(_xlfn.TEXTSPLIT(mouvementmp[[#This Row],[QR Fabrication]],"_"),1,5),"")</f>
        <v/>
      </c>
      <c r="V40" s="47" t="str">
        <f>IF(mouvementmp[[#This Row],[QR Fabrication]]&lt;&gt;"",_xlfn.TEXTAFTER(mouvementmp[[#This Row],[QR Fabrication]],"_",5),"")</f>
        <v/>
      </c>
    </row>
    <row r="41" spans="1:22" ht="16.5" thickTop="1" thickBot="1" x14ac:dyDescent="0.3">
      <c r="A41" s="46"/>
      <c r="B41" s="54" t="s">
        <v>3827</v>
      </c>
      <c r="C41" s="47" t="s">
        <v>662</v>
      </c>
      <c r="D41" s="47" t="s">
        <v>662</v>
      </c>
      <c r="E41" s="47" t="s">
        <v>667</v>
      </c>
      <c r="F41" s="48">
        <v>346.5</v>
      </c>
      <c r="G41" s="47"/>
      <c r="H41" s="47"/>
      <c r="I41" s="47" t="s">
        <v>664</v>
      </c>
      <c r="J41" s="49">
        <v>45913</v>
      </c>
      <c r="K41" s="47" t="str">
        <f>INDEX(_xlfn.TEXTSPLIT(mouvementmp[[#This Row],[QR MP]],"_"),1,1)</f>
        <v>C05</v>
      </c>
      <c r="L41" s="47" t="str">
        <f>INDEX(_xlfn.TEXTSPLIT(mouvementmp[[#This Row],[QR MP]],"_"),1,2)</f>
        <v>TERRA</v>
      </c>
      <c r="M41" s="47" t="str">
        <f>INDEX(_xlfn.TEXTSPLIT(mouvementmp[[#This Row],[QR MP]],"_"),1,3)</f>
        <v>NM15-05.01</v>
      </c>
      <c r="N41" s="47" t="str">
        <f>INDEX(_xlfn.TEXTSPLIT(mouvementmp[[#This Row],[QR MP]],"_"),1,4)</f>
        <v>61561</v>
      </c>
      <c r="O41" s="47">
        <f>-mouvementmp[[#This Row],[Poids]]</f>
        <v>-346.5</v>
      </c>
      <c r="P41" s="47" t="str">
        <f>IF(
   COUNTIFS($A$2:A41,A41,
             $B$2:B41,B41,
             $C$2:C41,C41,
             $D$2:D41,D41,
             $E$2:E41,E41,
             $F$2:F41,F41,
              $J$2:J41,J41)&gt;1,
   "Doublon",
   "Correcte"
)</f>
        <v>Correcte</v>
      </c>
      <c r="Q41" s="106" t="str">
        <f>IF(mouvementmp[[#This Row],[QR Fabrication]]&lt;&gt;"",INDEX(_xlfn.TEXTSPLIT(mouvementmp[[#This Row],[QR Fabrication]],"_"),1,1),"")</f>
        <v/>
      </c>
      <c r="R41" s="106" t="str">
        <f>IF(mouvementmp[[#This Row],[QR Fabrication]]&lt;&gt;"",INDEX(_xlfn.TEXTSPLIT(mouvementmp[[#This Row],[QR Fabrication]],"_"),1,2),"")</f>
        <v/>
      </c>
      <c r="S41" s="47" t="str">
        <f>IF(mouvementmp[[#This Row],[QR Fabrication]]&lt;&gt;"",INDEX(_xlfn.TEXTSPLIT(mouvementmp[[#This Row],[QR Fabrication]],"_"),1,3),"")</f>
        <v/>
      </c>
      <c r="T41" s="47" t="str">
        <f>IF(mouvementmp[[#This Row],[QR Fabrication]]&lt;&gt;"",INDEX(_xlfn.TEXTSPLIT(mouvementmp[[#This Row],[QR Fabrication]],"_"),1,4),"")</f>
        <v/>
      </c>
      <c r="U41" s="47" t="str">
        <f>IF(mouvementmp[[#This Row],[QR Fabrication]]&lt;&gt;"",INDEX(_xlfn.TEXTSPLIT(mouvementmp[[#This Row],[QR Fabrication]],"_"),1,5),"")</f>
        <v/>
      </c>
      <c r="V41" s="47" t="str">
        <f>IF(mouvementmp[[#This Row],[QR Fabrication]]&lt;&gt;"",_xlfn.TEXTAFTER(mouvementmp[[#This Row],[QR Fabrication]],"_",5),"")</f>
        <v/>
      </c>
    </row>
    <row r="42" spans="1:22" ht="16.5" thickTop="1" thickBot="1" x14ac:dyDescent="0.3">
      <c r="A42" s="46"/>
      <c r="B42" s="54" t="s">
        <v>3827</v>
      </c>
      <c r="C42" s="47" t="s">
        <v>662</v>
      </c>
      <c r="D42" s="47" t="s">
        <v>662</v>
      </c>
      <c r="E42" s="47" t="s">
        <v>665</v>
      </c>
      <c r="F42" s="48">
        <v>253.5</v>
      </c>
      <c r="G42" s="47"/>
      <c r="H42" s="47"/>
      <c r="I42" s="47" t="s">
        <v>664</v>
      </c>
      <c r="J42" s="49">
        <v>45913</v>
      </c>
      <c r="K42" s="47" t="str">
        <f>INDEX(_xlfn.TEXTSPLIT(mouvementmp[[#This Row],[QR MP]],"_"),1,1)</f>
        <v>C05</v>
      </c>
      <c r="L42" s="47" t="str">
        <f>INDEX(_xlfn.TEXTSPLIT(mouvementmp[[#This Row],[QR MP]],"_"),1,2)</f>
        <v>TERRA</v>
      </c>
      <c r="M42" s="47" t="str">
        <f>INDEX(_xlfn.TEXTSPLIT(mouvementmp[[#This Row],[QR MP]],"_"),1,3)</f>
        <v>NM15-05.01</v>
      </c>
      <c r="N42" s="47" t="str">
        <f>INDEX(_xlfn.TEXTSPLIT(mouvementmp[[#This Row],[QR MP]],"_"),1,4)</f>
        <v>61561</v>
      </c>
      <c r="O42" s="47">
        <f>-mouvementmp[[#This Row],[Poids]]</f>
        <v>-253.5</v>
      </c>
      <c r="P42" s="47" t="str">
        <f>IF(
   COUNTIFS($A$2:A42,A42,
             $B$2:B42,B42,
             $C$2:C42,C42,
             $D$2:D42,D42,
             $E$2:E42,E42,
             $F$2:F42,F42,
              $J$2:J42,J42)&gt;1,
   "Doublon",
   "Correcte"
)</f>
        <v>Correcte</v>
      </c>
      <c r="Q42" s="106" t="str">
        <f>IF(mouvementmp[[#This Row],[QR Fabrication]]&lt;&gt;"",INDEX(_xlfn.TEXTSPLIT(mouvementmp[[#This Row],[QR Fabrication]],"_"),1,1),"")</f>
        <v/>
      </c>
      <c r="R42" s="106" t="str">
        <f>IF(mouvementmp[[#This Row],[QR Fabrication]]&lt;&gt;"",INDEX(_xlfn.TEXTSPLIT(mouvementmp[[#This Row],[QR Fabrication]],"_"),1,2),"")</f>
        <v/>
      </c>
      <c r="S42" s="47" t="str">
        <f>IF(mouvementmp[[#This Row],[QR Fabrication]]&lt;&gt;"",INDEX(_xlfn.TEXTSPLIT(mouvementmp[[#This Row],[QR Fabrication]],"_"),1,3),"")</f>
        <v/>
      </c>
      <c r="T42" s="47" t="str">
        <f>IF(mouvementmp[[#This Row],[QR Fabrication]]&lt;&gt;"",INDEX(_xlfn.TEXTSPLIT(mouvementmp[[#This Row],[QR Fabrication]],"_"),1,4),"")</f>
        <v/>
      </c>
      <c r="U42" s="47" t="str">
        <f>IF(mouvementmp[[#This Row],[QR Fabrication]]&lt;&gt;"",INDEX(_xlfn.TEXTSPLIT(mouvementmp[[#This Row],[QR Fabrication]],"_"),1,5),"")</f>
        <v/>
      </c>
      <c r="V42" s="47" t="str">
        <f>IF(mouvementmp[[#This Row],[QR Fabrication]]&lt;&gt;"",_xlfn.TEXTAFTER(mouvementmp[[#This Row],[QR Fabrication]],"_",5),"")</f>
        <v/>
      </c>
    </row>
    <row r="43" spans="1:22" ht="16.5" thickTop="1" thickBot="1" x14ac:dyDescent="0.3">
      <c r="A43" s="46"/>
      <c r="B43" s="54" t="s">
        <v>3828</v>
      </c>
      <c r="C43" s="47" t="s">
        <v>662</v>
      </c>
      <c r="D43" s="47" t="s">
        <v>662</v>
      </c>
      <c r="E43" s="47" t="s">
        <v>667</v>
      </c>
      <c r="F43" s="48">
        <v>56</v>
      </c>
      <c r="G43" s="47"/>
      <c r="H43" s="47"/>
      <c r="I43" s="47" t="s">
        <v>664</v>
      </c>
      <c r="J43" s="49">
        <v>45913</v>
      </c>
      <c r="K43" s="47" t="str">
        <f>INDEX(_xlfn.TEXTSPLIT(mouvementmp[[#This Row],[QR MP]],"_"),1,1)</f>
        <v>C05</v>
      </c>
      <c r="L43" s="47" t="str">
        <f>INDEX(_xlfn.TEXTSPLIT(mouvementmp[[#This Row],[QR MP]],"_"),1,2)</f>
        <v>MARRON</v>
      </c>
      <c r="M43" s="47" t="str">
        <f>INDEX(_xlfn.TEXTSPLIT(mouvementmp[[#This Row],[QR MP]],"_"),1,3)</f>
        <v>NM15-05.02</v>
      </c>
      <c r="N43" s="47" t="str">
        <f>INDEX(_xlfn.TEXTSPLIT(mouvementmp[[#This Row],[QR MP]],"_"),1,4)</f>
        <v>S2023</v>
      </c>
      <c r="O43" s="47">
        <f>-mouvementmp[[#This Row],[Poids]]</f>
        <v>-56</v>
      </c>
      <c r="P43" s="47" t="str">
        <f>IF(
   COUNTIFS($A$2:A43,A43,
             $B$2:B43,B43,
             $C$2:C43,C43,
             $D$2:D43,D43,
             $E$2:E43,E43,
             $F$2:F43,F43,
              $J$2:J43,J43)&gt;1,
   "Doublon",
   "Correcte"
)</f>
        <v>Correcte</v>
      </c>
      <c r="Q43" s="106" t="str">
        <f>IF(mouvementmp[[#This Row],[QR Fabrication]]&lt;&gt;"",INDEX(_xlfn.TEXTSPLIT(mouvementmp[[#This Row],[QR Fabrication]],"_"),1,1),"")</f>
        <v/>
      </c>
      <c r="R43" s="106" t="str">
        <f>IF(mouvementmp[[#This Row],[QR Fabrication]]&lt;&gt;"",INDEX(_xlfn.TEXTSPLIT(mouvementmp[[#This Row],[QR Fabrication]],"_"),1,2),"")</f>
        <v/>
      </c>
      <c r="S43" s="47" t="str">
        <f>IF(mouvementmp[[#This Row],[QR Fabrication]]&lt;&gt;"",INDEX(_xlfn.TEXTSPLIT(mouvementmp[[#This Row],[QR Fabrication]],"_"),1,3),"")</f>
        <v/>
      </c>
      <c r="T43" s="47" t="str">
        <f>IF(mouvementmp[[#This Row],[QR Fabrication]]&lt;&gt;"",INDEX(_xlfn.TEXTSPLIT(mouvementmp[[#This Row],[QR Fabrication]],"_"),1,4),"")</f>
        <v/>
      </c>
      <c r="U43" s="47" t="str">
        <f>IF(mouvementmp[[#This Row],[QR Fabrication]]&lt;&gt;"",INDEX(_xlfn.TEXTSPLIT(mouvementmp[[#This Row],[QR Fabrication]],"_"),1,5),"")</f>
        <v/>
      </c>
      <c r="V43" s="47" t="str">
        <f>IF(mouvementmp[[#This Row],[QR Fabrication]]&lt;&gt;"",_xlfn.TEXTAFTER(mouvementmp[[#This Row],[QR Fabrication]],"_",5),"")</f>
        <v/>
      </c>
    </row>
    <row r="44" spans="1:22" ht="16.5" thickTop="1" thickBot="1" x14ac:dyDescent="0.3">
      <c r="A44" s="46"/>
      <c r="B44" s="54" t="s">
        <v>3829</v>
      </c>
      <c r="C44" s="47" t="s">
        <v>662</v>
      </c>
      <c r="D44" s="47" t="s">
        <v>662</v>
      </c>
      <c r="E44" s="47" t="s">
        <v>665</v>
      </c>
      <c r="F44" s="48">
        <v>51</v>
      </c>
      <c r="G44" s="47"/>
      <c r="H44" s="47"/>
      <c r="I44" s="47" t="s">
        <v>664</v>
      </c>
      <c r="J44" s="49">
        <v>45913</v>
      </c>
      <c r="K44" s="47" t="str">
        <f>INDEX(_xlfn.TEXTSPLIT(mouvementmp[[#This Row],[QR MP]],"_"),1,1)</f>
        <v>C05</v>
      </c>
      <c r="L44" s="47" t="str">
        <f>INDEX(_xlfn.TEXTSPLIT(mouvementmp[[#This Row],[QR MP]],"_"),1,2)</f>
        <v>MARRON</v>
      </c>
      <c r="M44" s="47" t="str">
        <f>INDEX(_xlfn.TEXTSPLIT(mouvementmp[[#This Row],[QR MP]],"_"),1,3)</f>
        <v>NM34-05.00</v>
      </c>
      <c r="N44" s="47" t="str">
        <f>INDEX(_xlfn.TEXTSPLIT(mouvementmp[[#This Row],[QR MP]],"_"),1,4)</f>
        <v>S2024</v>
      </c>
      <c r="O44" s="47">
        <f>-mouvementmp[[#This Row],[Poids]]</f>
        <v>-51</v>
      </c>
      <c r="P44" s="47" t="str">
        <f>IF(
   COUNTIFS($A$2:A44,A44,
             $B$2:B44,B44,
             $C$2:C44,C44,
             $D$2:D44,D44,
             $E$2:E44,E44,
             $F$2:F44,F44,
              $J$2:J44,J44)&gt;1,
   "Doublon",
   "Correcte"
)</f>
        <v>Correcte</v>
      </c>
      <c r="Q44" s="106" t="str">
        <f>IF(mouvementmp[[#This Row],[QR Fabrication]]&lt;&gt;"",INDEX(_xlfn.TEXTSPLIT(mouvementmp[[#This Row],[QR Fabrication]],"_"),1,1),"")</f>
        <v/>
      </c>
      <c r="R44" s="106" t="str">
        <f>IF(mouvementmp[[#This Row],[QR Fabrication]]&lt;&gt;"",INDEX(_xlfn.TEXTSPLIT(mouvementmp[[#This Row],[QR Fabrication]],"_"),1,2),"")</f>
        <v/>
      </c>
      <c r="S44" s="47" t="str">
        <f>IF(mouvementmp[[#This Row],[QR Fabrication]]&lt;&gt;"",INDEX(_xlfn.TEXTSPLIT(mouvementmp[[#This Row],[QR Fabrication]],"_"),1,3),"")</f>
        <v/>
      </c>
      <c r="T44" s="47" t="str">
        <f>IF(mouvementmp[[#This Row],[QR Fabrication]]&lt;&gt;"",INDEX(_xlfn.TEXTSPLIT(mouvementmp[[#This Row],[QR Fabrication]],"_"),1,4),"")</f>
        <v/>
      </c>
      <c r="U44" s="47" t="str">
        <f>IF(mouvementmp[[#This Row],[QR Fabrication]]&lt;&gt;"",INDEX(_xlfn.TEXTSPLIT(mouvementmp[[#This Row],[QR Fabrication]],"_"),1,5),"")</f>
        <v/>
      </c>
      <c r="V44" s="47" t="str">
        <f>IF(mouvementmp[[#This Row],[QR Fabrication]]&lt;&gt;"",_xlfn.TEXTAFTER(mouvementmp[[#This Row],[QR Fabrication]],"_",5),"")</f>
        <v/>
      </c>
    </row>
    <row r="45" spans="1:22" ht="16.5" thickTop="1" thickBot="1" x14ac:dyDescent="0.3">
      <c r="A45" s="46"/>
      <c r="B45" s="54" t="s">
        <v>3830</v>
      </c>
      <c r="C45" s="47" t="s">
        <v>662</v>
      </c>
      <c r="D45" s="47" t="s">
        <v>662</v>
      </c>
      <c r="E45" s="47" t="s">
        <v>667</v>
      </c>
      <c r="F45" s="48">
        <v>689.5</v>
      </c>
      <c r="G45" s="47"/>
      <c r="H45" s="47"/>
      <c r="I45" s="47" t="s">
        <v>664</v>
      </c>
      <c r="J45" s="49">
        <v>45913</v>
      </c>
      <c r="K45" s="47" t="str">
        <f>INDEX(_xlfn.TEXTSPLIT(mouvementmp[[#This Row],[QR MP]],"_"),1,1)</f>
        <v>C06</v>
      </c>
      <c r="L45" s="47" t="str">
        <f>INDEX(_xlfn.TEXTSPLIT(mouvementmp[[#This Row],[QR MP]],"_"),1,2)</f>
        <v>GRIS CLAIR</v>
      </c>
      <c r="M45" s="47" t="str">
        <f>INDEX(_xlfn.TEXTSPLIT(mouvementmp[[#This Row],[QR MP]],"_"),1,3)</f>
        <v>NM05-06.00</v>
      </c>
      <c r="N45" s="47" t="str">
        <f>INDEX(_xlfn.TEXTSPLIT(mouvementmp[[#This Row],[QR MP]],"_"),1,4)</f>
        <v>S2023</v>
      </c>
      <c r="O45" s="47">
        <f>-mouvementmp[[#This Row],[Poids]]</f>
        <v>-689.5</v>
      </c>
      <c r="P45" s="47" t="str">
        <f>IF(
   COUNTIFS($A$2:A45,A45,
             $B$2:B45,B45,
             $C$2:C45,C45,
             $D$2:D45,D45,
             $E$2:E45,E45,
             $F$2:F45,F45,
              $J$2:J45,J45)&gt;1,
   "Doublon",
   "Correcte"
)</f>
        <v>Correcte</v>
      </c>
      <c r="Q45" s="106" t="str">
        <f>IF(mouvementmp[[#This Row],[QR Fabrication]]&lt;&gt;"",INDEX(_xlfn.TEXTSPLIT(mouvementmp[[#This Row],[QR Fabrication]],"_"),1,1),"")</f>
        <v/>
      </c>
      <c r="R45" s="106" t="str">
        <f>IF(mouvementmp[[#This Row],[QR Fabrication]]&lt;&gt;"",INDEX(_xlfn.TEXTSPLIT(mouvementmp[[#This Row],[QR Fabrication]],"_"),1,2),"")</f>
        <v/>
      </c>
      <c r="S45" s="47" t="str">
        <f>IF(mouvementmp[[#This Row],[QR Fabrication]]&lt;&gt;"",INDEX(_xlfn.TEXTSPLIT(mouvementmp[[#This Row],[QR Fabrication]],"_"),1,3),"")</f>
        <v/>
      </c>
      <c r="T45" s="47" t="str">
        <f>IF(mouvementmp[[#This Row],[QR Fabrication]]&lt;&gt;"",INDEX(_xlfn.TEXTSPLIT(mouvementmp[[#This Row],[QR Fabrication]],"_"),1,4),"")</f>
        <v/>
      </c>
      <c r="U45" s="47" t="str">
        <f>IF(mouvementmp[[#This Row],[QR Fabrication]]&lt;&gt;"",INDEX(_xlfn.TEXTSPLIT(mouvementmp[[#This Row],[QR Fabrication]],"_"),1,5),"")</f>
        <v/>
      </c>
      <c r="V45" s="47" t="str">
        <f>IF(mouvementmp[[#This Row],[QR Fabrication]]&lt;&gt;"",_xlfn.TEXTAFTER(mouvementmp[[#This Row],[QR Fabrication]],"_",5),"")</f>
        <v/>
      </c>
    </row>
    <row r="46" spans="1:22" ht="16.5" thickTop="1" thickBot="1" x14ac:dyDescent="0.3">
      <c r="A46" s="46"/>
      <c r="B46" s="54" t="s">
        <v>3831</v>
      </c>
      <c r="C46" s="47" t="s">
        <v>662</v>
      </c>
      <c r="D46" s="47" t="s">
        <v>662</v>
      </c>
      <c r="E46" s="47" t="s">
        <v>666</v>
      </c>
      <c r="F46" s="48">
        <v>1018.5</v>
      </c>
      <c r="G46" s="47"/>
      <c r="H46" s="47"/>
      <c r="I46" s="47" t="s">
        <v>664</v>
      </c>
      <c r="J46" s="49">
        <v>45913</v>
      </c>
      <c r="K46" s="47" t="str">
        <f>INDEX(_xlfn.TEXTSPLIT(mouvementmp[[#This Row],[QR MP]],"_"),1,1)</f>
        <v>C06</v>
      </c>
      <c r="L46" s="47" t="str">
        <f>INDEX(_xlfn.TEXTSPLIT(mouvementmp[[#This Row],[QR MP]],"_"),1,2)</f>
        <v>GRIS CLAIR</v>
      </c>
      <c r="M46" s="47" t="str">
        <f>INDEX(_xlfn.TEXTSPLIT(mouvementmp[[#This Row],[QR MP]],"_"),1,3)</f>
        <v>NM05-06.00</v>
      </c>
      <c r="N46" s="47" t="str">
        <f>INDEX(_xlfn.TEXTSPLIT(mouvementmp[[#This Row],[QR MP]],"_"),1,4)</f>
        <v>59935</v>
      </c>
      <c r="O46" s="47">
        <f>-mouvementmp[[#This Row],[Poids]]</f>
        <v>-1018.5</v>
      </c>
      <c r="P46" s="47" t="str">
        <f>IF(
   COUNTIFS($A$2:A46,A46,
             $B$2:B46,B46,
             $C$2:C46,C46,
             $D$2:D46,D46,
             $E$2:E46,E46,
             $F$2:F46,F46,
              $J$2:J46,J46)&gt;1,
   "Doublon",
   "Correcte"
)</f>
        <v>Correcte</v>
      </c>
      <c r="Q46" s="106" t="str">
        <f>IF(mouvementmp[[#This Row],[QR Fabrication]]&lt;&gt;"",INDEX(_xlfn.TEXTSPLIT(mouvementmp[[#This Row],[QR Fabrication]],"_"),1,1),"")</f>
        <v/>
      </c>
      <c r="R46" s="106" t="str">
        <f>IF(mouvementmp[[#This Row],[QR Fabrication]]&lt;&gt;"",INDEX(_xlfn.TEXTSPLIT(mouvementmp[[#This Row],[QR Fabrication]],"_"),1,2),"")</f>
        <v/>
      </c>
      <c r="S46" s="47" t="str">
        <f>IF(mouvementmp[[#This Row],[QR Fabrication]]&lt;&gt;"",INDEX(_xlfn.TEXTSPLIT(mouvementmp[[#This Row],[QR Fabrication]],"_"),1,3),"")</f>
        <v/>
      </c>
      <c r="T46" s="47" t="str">
        <f>IF(mouvementmp[[#This Row],[QR Fabrication]]&lt;&gt;"",INDEX(_xlfn.TEXTSPLIT(mouvementmp[[#This Row],[QR Fabrication]],"_"),1,4),"")</f>
        <v/>
      </c>
      <c r="U46" s="47" t="str">
        <f>IF(mouvementmp[[#This Row],[QR Fabrication]]&lt;&gt;"",INDEX(_xlfn.TEXTSPLIT(mouvementmp[[#This Row],[QR Fabrication]],"_"),1,5),"")</f>
        <v/>
      </c>
      <c r="V46" s="47" t="str">
        <f>IF(mouvementmp[[#This Row],[QR Fabrication]]&lt;&gt;"",_xlfn.TEXTAFTER(mouvementmp[[#This Row],[QR Fabrication]],"_",5),"")</f>
        <v/>
      </c>
    </row>
    <row r="47" spans="1:22" ht="16.5" thickTop="1" thickBot="1" x14ac:dyDescent="0.3">
      <c r="A47" s="46"/>
      <c r="B47" s="54" t="s">
        <v>3832</v>
      </c>
      <c r="C47" s="47" t="s">
        <v>662</v>
      </c>
      <c r="D47" s="47" t="s">
        <v>662</v>
      </c>
      <c r="E47" s="47" t="s">
        <v>663</v>
      </c>
      <c r="F47" s="48">
        <v>714</v>
      </c>
      <c r="G47" s="47"/>
      <c r="H47" s="47"/>
      <c r="I47" s="47" t="s">
        <v>664</v>
      </c>
      <c r="J47" s="49">
        <v>45913</v>
      </c>
      <c r="K47" s="47" t="str">
        <f>INDEX(_xlfn.TEXTSPLIT(mouvementmp[[#This Row],[QR MP]],"_"),1,1)</f>
        <v>C06</v>
      </c>
      <c r="L47" s="47" t="str">
        <f>INDEX(_xlfn.TEXTSPLIT(mouvementmp[[#This Row],[QR MP]],"_"),1,2)</f>
        <v>GRIS CLAIR</v>
      </c>
      <c r="M47" s="47" t="str">
        <f>INDEX(_xlfn.TEXTSPLIT(mouvementmp[[#This Row],[QR MP]],"_"),1,3)</f>
        <v>NM12.02-06.00</v>
      </c>
      <c r="N47" s="47" t="str">
        <f>INDEX(_xlfn.TEXTSPLIT(mouvementmp[[#This Row],[QR MP]],"_"),1,4)</f>
        <v>S2023</v>
      </c>
      <c r="O47" s="47">
        <f>-mouvementmp[[#This Row],[Poids]]</f>
        <v>-714</v>
      </c>
      <c r="P47" s="47" t="str">
        <f>IF(
   COUNTIFS($A$2:A47,A47,
             $B$2:B47,B47,
             $C$2:C47,C47,
             $D$2:D47,D47,
             $E$2:E47,E47,
             $F$2:F47,F47,
              $J$2:J47,J47)&gt;1,
   "Doublon",
   "Correcte"
)</f>
        <v>Correcte</v>
      </c>
      <c r="Q47" s="106" t="str">
        <f>IF(mouvementmp[[#This Row],[QR Fabrication]]&lt;&gt;"",INDEX(_xlfn.TEXTSPLIT(mouvementmp[[#This Row],[QR Fabrication]],"_"),1,1),"")</f>
        <v/>
      </c>
      <c r="R47" s="106" t="str">
        <f>IF(mouvementmp[[#This Row],[QR Fabrication]]&lt;&gt;"",INDEX(_xlfn.TEXTSPLIT(mouvementmp[[#This Row],[QR Fabrication]],"_"),1,2),"")</f>
        <v/>
      </c>
      <c r="S47" s="47" t="str">
        <f>IF(mouvementmp[[#This Row],[QR Fabrication]]&lt;&gt;"",INDEX(_xlfn.TEXTSPLIT(mouvementmp[[#This Row],[QR Fabrication]],"_"),1,3),"")</f>
        <v/>
      </c>
      <c r="T47" s="47" t="str">
        <f>IF(mouvementmp[[#This Row],[QR Fabrication]]&lt;&gt;"",INDEX(_xlfn.TEXTSPLIT(mouvementmp[[#This Row],[QR Fabrication]],"_"),1,4),"")</f>
        <v/>
      </c>
      <c r="U47" s="47" t="str">
        <f>IF(mouvementmp[[#This Row],[QR Fabrication]]&lt;&gt;"",INDEX(_xlfn.TEXTSPLIT(mouvementmp[[#This Row],[QR Fabrication]],"_"),1,5),"")</f>
        <v/>
      </c>
      <c r="V47" s="47" t="str">
        <f>IF(mouvementmp[[#This Row],[QR Fabrication]]&lt;&gt;"",_xlfn.TEXTAFTER(mouvementmp[[#This Row],[QR Fabrication]],"_",5),"")</f>
        <v/>
      </c>
    </row>
    <row r="48" spans="1:22" ht="16.5" thickTop="1" thickBot="1" x14ac:dyDescent="0.3">
      <c r="A48" s="46"/>
      <c r="B48" s="54" t="s">
        <v>3832</v>
      </c>
      <c r="C48" s="47" t="s">
        <v>662</v>
      </c>
      <c r="D48" s="47" t="s">
        <v>662</v>
      </c>
      <c r="E48" s="47" t="s">
        <v>665</v>
      </c>
      <c r="F48" s="48">
        <v>7.5</v>
      </c>
      <c r="G48" s="47"/>
      <c r="H48" s="47"/>
      <c r="I48" s="47" t="s">
        <v>664</v>
      </c>
      <c r="J48" s="49">
        <v>45913</v>
      </c>
      <c r="K48" s="47" t="str">
        <f>INDEX(_xlfn.TEXTSPLIT(mouvementmp[[#This Row],[QR MP]],"_"),1,1)</f>
        <v>C06</v>
      </c>
      <c r="L48" s="47" t="str">
        <f>INDEX(_xlfn.TEXTSPLIT(mouvementmp[[#This Row],[QR MP]],"_"),1,2)</f>
        <v>GRIS CLAIR</v>
      </c>
      <c r="M48" s="47" t="str">
        <f>INDEX(_xlfn.TEXTSPLIT(mouvementmp[[#This Row],[QR MP]],"_"),1,3)</f>
        <v>NM12.02-06.00</v>
      </c>
      <c r="N48" s="47" t="str">
        <f>INDEX(_xlfn.TEXTSPLIT(mouvementmp[[#This Row],[QR MP]],"_"),1,4)</f>
        <v>S2023</v>
      </c>
      <c r="O48" s="47">
        <f>-mouvementmp[[#This Row],[Poids]]</f>
        <v>-7.5</v>
      </c>
      <c r="P48" s="47" t="str">
        <f>IF(
   COUNTIFS($A$2:A48,A48,
             $B$2:B48,B48,
             $C$2:C48,C48,
             $D$2:D48,D48,
             $E$2:E48,E48,
             $F$2:F48,F48,
              $J$2:J48,J48)&gt;1,
   "Doublon",
   "Correcte"
)</f>
        <v>Correcte</v>
      </c>
      <c r="Q48" s="106" t="str">
        <f>IF(mouvementmp[[#This Row],[QR Fabrication]]&lt;&gt;"",INDEX(_xlfn.TEXTSPLIT(mouvementmp[[#This Row],[QR Fabrication]],"_"),1,1),"")</f>
        <v/>
      </c>
      <c r="R48" s="106" t="str">
        <f>IF(mouvementmp[[#This Row],[QR Fabrication]]&lt;&gt;"",INDEX(_xlfn.TEXTSPLIT(mouvementmp[[#This Row],[QR Fabrication]],"_"),1,2),"")</f>
        <v/>
      </c>
      <c r="S48" s="47" t="str">
        <f>IF(mouvementmp[[#This Row],[QR Fabrication]]&lt;&gt;"",INDEX(_xlfn.TEXTSPLIT(mouvementmp[[#This Row],[QR Fabrication]],"_"),1,3),"")</f>
        <v/>
      </c>
      <c r="T48" s="47" t="str">
        <f>IF(mouvementmp[[#This Row],[QR Fabrication]]&lt;&gt;"",INDEX(_xlfn.TEXTSPLIT(mouvementmp[[#This Row],[QR Fabrication]],"_"),1,4),"")</f>
        <v/>
      </c>
      <c r="U48" s="47" t="str">
        <f>IF(mouvementmp[[#This Row],[QR Fabrication]]&lt;&gt;"",INDEX(_xlfn.TEXTSPLIT(mouvementmp[[#This Row],[QR Fabrication]],"_"),1,5),"")</f>
        <v/>
      </c>
      <c r="V48" s="47" t="str">
        <f>IF(mouvementmp[[#This Row],[QR Fabrication]]&lt;&gt;"",_xlfn.TEXTAFTER(mouvementmp[[#This Row],[QR Fabrication]],"_",5),"")</f>
        <v/>
      </c>
    </row>
    <row r="49" spans="1:22" ht="16.5" thickTop="1" thickBot="1" x14ac:dyDescent="0.3">
      <c r="A49" s="46"/>
      <c r="B49" s="54" t="s">
        <v>3833</v>
      </c>
      <c r="C49" s="47" t="s">
        <v>662</v>
      </c>
      <c r="D49" s="47" t="s">
        <v>662</v>
      </c>
      <c r="E49" s="47" t="s">
        <v>666</v>
      </c>
      <c r="F49" s="48">
        <v>959</v>
      </c>
      <c r="G49" s="47"/>
      <c r="H49" s="47"/>
      <c r="I49" s="47" t="s">
        <v>664</v>
      </c>
      <c r="J49" s="49">
        <v>45913</v>
      </c>
      <c r="K49" s="47" t="str">
        <f>INDEX(_xlfn.TEXTSPLIT(mouvementmp[[#This Row],[QR MP]],"_"),1,1)</f>
        <v>C06</v>
      </c>
      <c r="L49" s="47" t="str">
        <f>INDEX(_xlfn.TEXTSPLIT(mouvementmp[[#This Row],[QR MP]],"_"),1,2)</f>
        <v>GRIS CLAIR</v>
      </c>
      <c r="M49" s="47" t="str">
        <f>INDEX(_xlfn.TEXTSPLIT(mouvementmp[[#This Row],[QR MP]],"_"),1,3)</f>
        <v>NM14-06.00</v>
      </c>
      <c r="N49" s="47" t="str">
        <f>INDEX(_xlfn.TEXTSPLIT(mouvementmp[[#This Row],[QR MP]],"_"),1,4)</f>
        <v>60195</v>
      </c>
      <c r="O49" s="47">
        <f>-mouvementmp[[#This Row],[Poids]]</f>
        <v>-959</v>
      </c>
      <c r="P49" s="47" t="str">
        <f>IF(
   COUNTIFS($A$2:A49,A49,
             $B$2:B49,B49,
             $C$2:C49,C49,
             $D$2:D49,D49,
             $E$2:E49,E49,
             $F$2:F49,F49,
              $J$2:J49,J49)&gt;1,
   "Doublon",
   "Correcte"
)</f>
        <v>Correcte</v>
      </c>
      <c r="Q49" s="106" t="str">
        <f>IF(mouvementmp[[#This Row],[QR Fabrication]]&lt;&gt;"",INDEX(_xlfn.TEXTSPLIT(mouvementmp[[#This Row],[QR Fabrication]],"_"),1,1),"")</f>
        <v/>
      </c>
      <c r="R49" s="106" t="str">
        <f>IF(mouvementmp[[#This Row],[QR Fabrication]]&lt;&gt;"",INDEX(_xlfn.TEXTSPLIT(mouvementmp[[#This Row],[QR Fabrication]],"_"),1,2),"")</f>
        <v/>
      </c>
      <c r="S49" s="47" t="str">
        <f>IF(mouvementmp[[#This Row],[QR Fabrication]]&lt;&gt;"",INDEX(_xlfn.TEXTSPLIT(mouvementmp[[#This Row],[QR Fabrication]],"_"),1,3),"")</f>
        <v/>
      </c>
      <c r="T49" s="47" t="str">
        <f>IF(mouvementmp[[#This Row],[QR Fabrication]]&lt;&gt;"",INDEX(_xlfn.TEXTSPLIT(mouvementmp[[#This Row],[QR Fabrication]],"_"),1,4),"")</f>
        <v/>
      </c>
      <c r="U49" s="47" t="str">
        <f>IF(mouvementmp[[#This Row],[QR Fabrication]]&lt;&gt;"",INDEX(_xlfn.TEXTSPLIT(mouvementmp[[#This Row],[QR Fabrication]],"_"),1,5),"")</f>
        <v/>
      </c>
      <c r="V49" s="47" t="str">
        <f>IF(mouvementmp[[#This Row],[QR Fabrication]]&lt;&gt;"",_xlfn.TEXTAFTER(mouvementmp[[#This Row],[QR Fabrication]],"_",5),"")</f>
        <v/>
      </c>
    </row>
    <row r="50" spans="1:22" ht="16.5" thickTop="1" thickBot="1" x14ac:dyDescent="0.3">
      <c r="A50" s="46"/>
      <c r="B50" s="54" t="s">
        <v>3834</v>
      </c>
      <c r="C50" s="47" t="s">
        <v>662</v>
      </c>
      <c r="D50" s="47" t="s">
        <v>662</v>
      </c>
      <c r="E50" s="47" t="s">
        <v>667</v>
      </c>
      <c r="F50" s="48">
        <v>126</v>
      </c>
      <c r="G50" s="47"/>
      <c r="H50" s="47"/>
      <c r="I50" s="47" t="s">
        <v>664</v>
      </c>
      <c r="J50" s="49">
        <v>45913</v>
      </c>
      <c r="K50" s="47" t="str">
        <f>INDEX(_xlfn.TEXTSPLIT(mouvementmp[[#This Row],[QR MP]],"_"),1,1)</f>
        <v>C06</v>
      </c>
      <c r="L50" s="47" t="str">
        <f>INDEX(_xlfn.TEXTSPLIT(mouvementmp[[#This Row],[QR MP]],"_"),1,2)</f>
        <v>GRIS CLAIR</v>
      </c>
      <c r="M50" s="47" t="str">
        <f>INDEX(_xlfn.TEXTSPLIT(mouvementmp[[#This Row],[QR MP]],"_"),1,3)</f>
        <v>NM15-06.00</v>
      </c>
      <c r="N50" s="47" t="str">
        <f>INDEX(_xlfn.TEXTSPLIT(mouvementmp[[#This Row],[QR MP]],"_"),1,4)</f>
        <v>61428</v>
      </c>
      <c r="O50" s="47">
        <f>-mouvementmp[[#This Row],[Poids]]</f>
        <v>-126</v>
      </c>
      <c r="P50" s="47" t="str">
        <f>IF(
   COUNTIFS($A$2:A50,A50,
             $B$2:B50,B50,
             $C$2:C50,C50,
             $D$2:D50,D50,
             $E$2:E50,E50,
             $F$2:F50,F50,
              $J$2:J50,J50)&gt;1,
   "Doublon",
   "Correcte"
)</f>
        <v>Correcte</v>
      </c>
      <c r="Q50" s="106" t="str">
        <f>IF(mouvementmp[[#This Row],[QR Fabrication]]&lt;&gt;"",INDEX(_xlfn.TEXTSPLIT(mouvementmp[[#This Row],[QR Fabrication]],"_"),1,1),"")</f>
        <v/>
      </c>
      <c r="R50" s="106" t="str">
        <f>IF(mouvementmp[[#This Row],[QR Fabrication]]&lt;&gt;"",INDEX(_xlfn.TEXTSPLIT(mouvementmp[[#This Row],[QR Fabrication]],"_"),1,2),"")</f>
        <v/>
      </c>
      <c r="S50" s="47" t="str">
        <f>IF(mouvementmp[[#This Row],[QR Fabrication]]&lt;&gt;"",INDEX(_xlfn.TEXTSPLIT(mouvementmp[[#This Row],[QR Fabrication]],"_"),1,3),"")</f>
        <v/>
      </c>
      <c r="T50" s="47" t="str">
        <f>IF(mouvementmp[[#This Row],[QR Fabrication]]&lt;&gt;"",INDEX(_xlfn.TEXTSPLIT(mouvementmp[[#This Row],[QR Fabrication]],"_"),1,4),"")</f>
        <v/>
      </c>
      <c r="U50" s="47" t="str">
        <f>IF(mouvementmp[[#This Row],[QR Fabrication]]&lt;&gt;"",INDEX(_xlfn.TEXTSPLIT(mouvementmp[[#This Row],[QR Fabrication]],"_"),1,5),"")</f>
        <v/>
      </c>
      <c r="V50" s="47" t="str">
        <f>IF(mouvementmp[[#This Row],[QR Fabrication]]&lt;&gt;"",_xlfn.TEXTAFTER(mouvementmp[[#This Row],[QR Fabrication]],"_",5),"")</f>
        <v/>
      </c>
    </row>
    <row r="51" spans="1:22" ht="16.5" thickTop="1" thickBot="1" x14ac:dyDescent="0.3">
      <c r="A51" s="46"/>
      <c r="B51" s="54" t="s">
        <v>3834</v>
      </c>
      <c r="C51" s="47" t="s">
        <v>662</v>
      </c>
      <c r="D51" s="47" t="s">
        <v>662</v>
      </c>
      <c r="E51" s="47" t="s">
        <v>665</v>
      </c>
      <c r="F51" s="48">
        <v>26.5</v>
      </c>
      <c r="G51" s="47"/>
      <c r="H51" s="47"/>
      <c r="I51" s="47" t="s">
        <v>664</v>
      </c>
      <c r="J51" s="49">
        <v>45913</v>
      </c>
      <c r="K51" s="47" t="str">
        <f>INDEX(_xlfn.TEXTSPLIT(mouvementmp[[#This Row],[QR MP]],"_"),1,1)</f>
        <v>C06</v>
      </c>
      <c r="L51" s="47" t="str">
        <f>INDEX(_xlfn.TEXTSPLIT(mouvementmp[[#This Row],[QR MP]],"_"),1,2)</f>
        <v>GRIS CLAIR</v>
      </c>
      <c r="M51" s="47" t="str">
        <f>INDEX(_xlfn.TEXTSPLIT(mouvementmp[[#This Row],[QR MP]],"_"),1,3)</f>
        <v>NM15-06.00</v>
      </c>
      <c r="N51" s="47" t="str">
        <f>INDEX(_xlfn.TEXTSPLIT(mouvementmp[[#This Row],[QR MP]],"_"),1,4)</f>
        <v>61428</v>
      </c>
      <c r="O51" s="47">
        <f>-mouvementmp[[#This Row],[Poids]]</f>
        <v>-26.5</v>
      </c>
      <c r="P51" s="47" t="str">
        <f>IF(
   COUNTIFS($A$2:A51,A51,
             $B$2:B51,B51,
             $C$2:C51,C51,
             $D$2:D51,D51,
             $E$2:E51,E51,
             $F$2:F51,F51,
              $J$2:J51,J51)&gt;1,
   "Doublon",
   "Correcte"
)</f>
        <v>Correcte</v>
      </c>
      <c r="Q51" s="106" t="str">
        <f>IF(mouvementmp[[#This Row],[QR Fabrication]]&lt;&gt;"",INDEX(_xlfn.TEXTSPLIT(mouvementmp[[#This Row],[QR Fabrication]],"_"),1,1),"")</f>
        <v/>
      </c>
      <c r="R51" s="106" t="str">
        <f>IF(mouvementmp[[#This Row],[QR Fabrication]]&lt;&gt;"",INDEX(_xlfn.TEXTSPLIT(mouvementmp[[#This Row],[QR Fabrication]],"_"),1,2),"")</f>
        <v/>
      </c>
      <c r="S51" s="47" t="str">
        <f>IF(mouvementmp[[#This Row],[QR Fabrication]]&lt;&gt;"",INDEX(_xlfn.TEXTSPLIT(mouvementmp[[#This Row],[QR Fabrication]],"_"),1,3),"")</f>
        <v/>
      </c>
      <c r="T51" s="47" t="str">
        <f>IF(mouvementmp[[#This Row],[QR Fabrication]]&lt;&gt;"",INDEX(_xlfn.TEXTSPLIT(mouvementmp[[#This Row],[QR Fabrication]],"_"),1,4),"")</f>
        <v/>
      </c>
      <c r="U51" s="47" t="str">
        <f>IF(mouvementmp[[#This Row],[QR Fabrication]]&lt;&gt;"",INDEX(_xlfn.TEXTSPLIT(mouvementmp[[#This Row],[QR Fabrication]],"_"),1,5),"")</f>
        <v/>
      </c>
      <c r="V51" s="47" t="str">
        <f>IF(mouvementmp[[#This Row],[QR Fabrication]]&lt;&gt;"",_xlfn.TEXTAFTER(mouvementmp[[#This Row],[QR Fabrication]],"_",5),"")</f>
        <v/>
      </c>
    </row>
    <row r="52" spans="1:22" ht="16.5" thickTop="1" thickBot="1" x14ac:dyDescent="0.3">
      <c r="A52" s="46"/>
      <c r="B52" s="54" t="s">
        <v>3835</v>
      </c>
      <c r="C52" s="47" t="s">
        <v>662</v>
      </c>
      <c r="D52" s="47" t="s">
        <v>662</v>
      </c>
      <c r="E52" s="47" t="s">
        <v>663</v>
      </c>
      <c r="F52" s="48">
        <v>252</v>
      </c>
      <c r="G52" s="47"/>
      <c r="H52" s="47"/>
      <c r="I52" s="47" t="s">
        <v>664</v>
      </c>
      <c r="J52" s="49">
        <v>45913</v>
      </c>
      <c r="K52" s="47" t="str">
        <f>INDEX(_xlfn.TEXTSPLIT(mouvementmp[[#This Row],[QR MP]],"_"),1,1)</f>
        <v>C07</v>
      </c>
      <c r="L52" s="47" t="str">
        <f>INDEX(_xlfn.TEXTSPLIT(mouvementmp[[#This Row],[QR MP]],"_"),1,2)</f>
        <v>GRIS MOYEN</v>
      </c>
      <c r="M52" s="47" t="str">
        <f>INDEX(_xlfn.TEXTSPLIT(mouvementmp[[#This Row],[QR MP]],"_"),1,3)</f>
        <v>NM05-07.00</v>
      </c>
      <c r="N52" s="47" t="str">
        <f>INDEX(_xlfn.TEXTSPLIT(mouvementmp[[#This Row],[QR MP]],"_"),1,4)</f>
        <v>60292</v>
      </c>
      <c r="O52" s="47">
        <f>-mouvementmp[[#This Row],[Poids]]</f>
        <v>-252</v>
      </c>
      <c r="P52" s="47" t="str">
        <f>IF(
   COUNTIFS($A$2:A52,A52,
             $B$2:B52,B52,
             $C$2:C52,C52,
             $D$2:D52,D52,
             $E$2:E52,E52,
             $F$2:F52,F52,
              $J$2:J52,J52)&gt;1,
   "Doublon",
   "Correcte"
)</f>
        <v>Correcte</v>
      </c>
      <c r="Q52" s="106" t="str">
        <f>IF(mouvementmp[[#This Row],[QR Fabrication]]&lt;&gt;"",INDEX(_xlfn.TEXTSPLIT(mouvementmp[[#This Row],[QR Fabrication]],"_"),1,1),"")</f>
        <v/>
      </c>
      <c r="R52" s="106" t="str">
        <f>IF(mouvementmp[[#This Row],[QR Fabrication]]&lt;&gt;"",INDEX(_xlfn.TEXTSPLIT(mouvementmp[[#This Row],[QR Fabrication]],"_"),1,2),"")</f>
        <v/>
      </c>
      <c r="S52" s="47" t="str">
        <f>IF(mouvementmp[[#This Row],[QR Fabrication]]&lt;&gt;"",INDEX(_xlfn.TEXTSPLIT(mouvementmp[[#This Row],[QR Fabrication]],"_"),1,3),"")</f>
        <v/>
      </c>
      <c r="T52" s="47" t="str">
        <f>IF(mouvementmp[[#This Row],[QR Fabrication]]&lt;&gt;"",INDEX(_xlfn.TEXTSPLIT(mouvementmp[[#This Row],[QR Fabrication]],"_"),1,4),"")</f>
        <v/>
      </c>
      <c r="U52" s="47" t="str">
        <f>IF(mouvementmp[[#This Row],[QR Fabrication]]&lt;&gt;"",INDEX(_xlfn.TEXTSPLIT(mouvementmp[[#This Row],[QR Fabrication]],"_"),1,5),"")</f>
        <v/>
      </c>
      <c r="V52" s="47" t="str">
        <f>IF(mouvementmp[[#This Row],[QR Fabrication]]&lt;&gt;"",_xlfn.TEXTAFTER(mouvementmp[[#This Row],[QR Fabrication]],"_",5),"")</f>
        <v/>
      </c>
    </row>
    <row r="53" spans="1:22" ht="16.5" thickTop="1" thickBot="1" x14ac:dyDescent="0.3">
      <c r="A53" s="46"/>
      <c r="B53" s="54" t="s">
        <v>3836</v>
      </c>
      <c r="C53" s="47" t="s">
        <v>662</v>
      </c>
      <c r="D53" s="47" t="s">
        <v>662</v>
      </c>
      <c r="E53" s="47" t="s">
        <v>663</v>
      </c>
      <c r="F53" s="48">
        <v>73.5</v>
      </c>
      <c r="G53" s="47"/>
      <c r="H53" s="47"/>
      <c r="I53" s="47" t="s">
        <v>664</v>
      </c>
      <c r="J53" s="49">
        <v>45913</v>
      </c>
      <c r="K53" s="47" t="str">
        <f>INDEX(_xlfn.TEXTSPLIT(mouvementmp[[#This Row],[QR MP]],"_"),1,1)</f>
        <v>C07</v>
      </c>
      <c r="L53" s="47" t="str">
        <f>INDEX(_xlfn.TEXTSPLIT(mouvementmp[[#This Row],[QR MP]],"_"),1,2)</f>
        <v>GRIS MOYEN</v>
      </c>
      <c r="M53" s="47" t="str">
        <f>INDEX(_xlfn.TEXTSPLIT(mouvementmp[[#This Row],[QR MP]],"_"),1,3)</f>
        <v>NM05-07.00</v>
      </c>
      <c r="N53" s="47" t="str">
        <f>INDEX(_xlfn.TEXTSPLIT(mouvementmp[[#This Row],[QR MP]],"_"),1,4)</f>
        <v>60448</v>
      </c>
      <c r="O53" s="47">
        <f>-mouvementmp[[#This Row],[Poids]]</f>
        <v>-73.5</v>
      </c>
      <c r="P53" s="47" t="str">
        <f>IF(
   COUNTIFS($A$2:A53,A53,
             $B$2:B53,B53,
             $C$2:C53,C53,
             $D$2:D53,D53,
             $E$2:E53,E53,
             $F$2:F53,F53,
              $J$2:J53,J53)&gt;1,
   "Doublon",
   "Correcte"
)</f>
        <v>Correcte</v>
      </c>
      <c r="Q53" s="106" t="str">
        <f>IF(mouvementmp[[#This Row],[QR Fabrication]]&lt;&gt;"",INDEX(_xlfn.TEXTSPLIT(mouvementmp[[#This Row],[QR Fabrication]],"_"),1,1),"")</f>
        <v/>
      </c>
      <c r="R53" s="106" t="str">
        <f>IF(mouvementmp[[#This Row],[QR Fabrication]]&lt;&gt;"",INDEX(_xlfn.TEXTSPLIT(mouvementmp[[#This Row],[QR Fabrication]],"_"),1,2),"")</f>
        <v/>
      </c>
      <c r="S53" s="47" t="str">
        <f>IF(mouvementmp[[#This Row],[QR Fabrication]]&lt;&gt;"",INDEX(_xlfn.TEXTSPLIT(mouvementmp[[#This Row],[QR Fabrication]],"_"),1,3),"")</f>
        <v/>
      </c>
      <c r="T53" s="47" t="str">
        <f>IF(mouvementmp[[#This Row],[QR Fabrication]]&lt;&gt;"",INDEX(_xlfn.TEXTSPLIT(mouvementmp[[#This Row],[QR Fabrication]],"_"),1,4),"")</f>
        <v/>
      </c>
      <c r="U53" s="47" t="str">
        <f>IF(mouvementmp[[#This Row],[QR Fabrication]]&lt;&gt;"",INDEX(_xlfn.TEXTSPLIT(mouvementmp[[#This Row],[QR Fabrication]],"_"),1,5),"")</f>
        <v/>
      </c>
      <c r="V53" s="47" t="str">
        <f>IF(mouvementmp[[#This Row],[QR Fabrication]]&lt;&gt;"",_xlfn.TEXTAFTER(mouvementmp[[#This Row],[QR Fabrication]],"_",5),"")</f>
        <v/>
      </c>
    </row>
    <row r="54" spans="1:22" ht="16.5" thickTop="1" thickBot="1" x14ac:dyDescent="0.3">
      <c r="A54" s="46"/>
      <c r="B54" s="54" t="s">
        <v>3837</v>
      </c>
      <c r="C54" s="47" t="s">
        <v>662</v>
      </c>
      <c r="D54" s="47" t="s">
        <v>662</v>
      </c>
      <c r="E54" s="47" t="s">
        <v>666</v>
      </c>
      <c r="F54" s="48">
        <v>105</v>
      </c>
      <c r="G54" s="47"/>
      <c r="H54" s="47"/>
      <c r="I54" s="47" t="s">
        <v>664</v>
      </c>
      <c r="J54" s="49">
        <v>45913</v>
      </c>
      <c r="K54" s="47" t="str">
        <f>INDEX(_xlfn.TEXTSPLIT(mouvementmp[[#This Row],[QR MP]],"_"),1,1)</f>
        <v>C07</v>
      </c>
      <c r="L54" s="47" t="str">
        <f>INDEX(_xlfn.TEXTSPLIT(mouvementmp[[#This Row],[QR MP]],"_"),1,2)</f>
        <v>GRIS MOYEN</v>
      </c>
      <c r="M54" s="47" t="str">
        <f>INDEX(_xlfn.TEXTSPLIT(mouvementmp[[#This Row],[QR MP]],"_"),1,3)</f>
        <v>NM12-07.00</v>
      </c>
      <c r="N54" s="47" t="str">
        <f>INDEX(_xlfn.TEXTSPLIT(mouvementmp[[#This Row],[QR MP]],"_"),1,4)</f>
        <v>51595</v>
      </c>
      <c r="O54" s="47">
        <f>-mouvementmp[[#This Row],[Poids]]</f>
        <v>-105</v>
      </c>
      <c r="P54" s="47" t="str">
        <f>IF(
   COUNTIFS($A$2:A54,A54,
             $B$2:B54,B54,
             $C$2:C54,C54,
             $D$2:D54,D54,
             $E$2:E54,E54,
             $F$2:F54,F54,
              $J$2:J54,J54)&gt;1,
   "Doublon",
   "Correcte"
)</f>
        <v>Correcte</v>
      </c>
      <c r="Q54" s="106" t="str">
        <f>IF(mouvementmp[[#This Row],[QR Fabrication]]&lt;&gt;"",INDEX(_xlfn.TEXTSPLIT(mouvementmp[[#This Row],[QR Fabrication]],"_"),1,1),"")</f>
        <v/>
      </c>
      <c r="R54" s="106" t="str">
        <f>IF(mouvementmp[[#This Row],[QR Fabrication]]&lt;&gt;"",INDEX(_xlfn.TEXTSPLIT(mouvementmp[[#This Row],[QR Fabrication]],"_"),1,2),"")</f>
        <v/>
      </c>
      <c r="S54" s="47" t="str">
        <f>IF(mouvementmp[[#This Row],[QR Fabrication]]&lt;&gt;"",INDEX(_xlfn.TEXTSPLIT(mouvementmp[[#This Row],[QR Fabrication]],"_"),1,3),"")</f>
        <v/>
      </c>
      <c r="T54" s="47" t="str">
        <f>IF(mouvementmp[[#This Row],[QR Fabrication]]&lt;&gt;"",INDEX(_xlfn.TEXTSPLIT(mouvementmp[[#This Row],[QR Fabrication]],"_"),1,4),"")</f>
        <v/>
      </c>
      <c r="U54" s="47" t="str">
        <f>IF(mouvementmp[[#This Row],[QR Fabrication]]&lt;&gt;"",INDEX(_xlfn.TEXTSPLIT(mouvementmp[[#This Row],[QR Fabrication]],"_"),1,5),"")</f>
        <v/>
      </c>
      <c r="V54" s="47" t="str">
        <f>IF(mouvementmp[[#This Row],[QR Fabrication]]&lt;&gt;"",_xlfn.TEXTAFTER(mouvementmp[[#This Row],[QR Fabrication]],"_",5),"")</f>
        <v/>
      </c>
    </row>
    <row r="55" spans="1:22" ht="16.5" thickTop="1" thickBot="1" x14ac:dyDescent="0.3">
      <c r="A55" s="46"/>
      <c r="B55" s="54" t="s">
        <v>3838</v>
      </c>
      <c r="C55" s="47" t="s">
        <v>662</v>
      </c>
      <c r="D55" s="47" t="s">
        <v>662</v>
      </c>
      <c r="E55" s="47" t="s">
        <v>667</v>
      </c>
      <c r="F55" s="48">
        <v>1319.5</v>
      </c>
      <c r="G55" s="47"/>
      <c r="H55" s="47"/>
      <c r="I55" s="47" t="s">
        <v>664</v>
      </c>
      <c r="J55" s="49">
        <v>45913</v>
      </c>
      <c r="K55" s="47" t="str">
        <f>INDEX(_xlfn.TEXTSPLIT(mouvementmp[[#This Row],[QR MP]],"_"),1,1)</f>
        <v>C07</v>
      </c>
      <c r="L55" s="47" t="str">
        <f>INDEX(_xlfn.TEXTSPLIT(mouvementmp[[#This Row],[QR MP]],"_"),1,2)</f>
        <v>GRIS MOYEN</v>
      </c>
      <c r="M55" s="47" t="str">
        <f>INDEX(_xlfn.TEXTSPLIT(mouvementmp[[#This Row],[QR MP]],"_"),1,3)</f>
        <v>NM15-07.00</v>
      </c>
      <c r="N55" s="47" t="str">
        <f>INDEX(_xlfn.TEXTSPLIT(mouvementmp[[#This Row],[QR MP]],"_"),1,4)</f>
        <v>61445</v>
      </c>
      <c r="O55" s="47">
        <f>-mouvementmp[[#This Row],[Poids]]</f>
        <v>-1319.5</v>
      </c>
      <c r="P55" s="47" t="str">
        <f>IF(
   COUNTIFS($A$2:A55,A55,
             $B$2:B55,B55,
             $C$2:C55,C55,
             $D$2:D55,D55,
             $E$2:E55,E55,
             $F$2:F55,F55,
              $J$2:J55,J55)&gt;1,
   "Doublon",
   "Correcte"
)</f>
        <v>Correcte</v>
      </c>
      <c r="Q55" s="106" t="str">
        <f>IF(mouvementmp[[#This Row],[QR Fabrication]]&lt;&gt;"",INDEX(_xlfn.TEXTSPLIT(mouvementmp[[#This Row],[QR Fabrication]],"_"),1,1),"")</f>
        <v/>
      </c>
      <c r="R55" s="106" t="str">
        <f>IF(mouvementmp[[#This Row],[QR Fabrication]]&lt;&gt;"",INDEX(_xlfn.TEXTSPLIT(mouvementmp[[#This Row],[QR Fabrication]],"_"),1,2),"")</f>
        <v/>
      </c>
      <c r="S55" s="47" t="str">
        <f>IF(mouvementmp[[#This Row],[QR Fabrication]]&lt;&gt;"",INDEX(_xlfn.TEXTSPLIT(mouvementmp[[#This Row],[QR Fabrication]],"_"),1,3),"")</f>
        <v/>
      </c>
      <c r="T55" s="47" t="str">
        <f>IF(mouvementmp[[#This Row],[QR Fabrication]]&lt;&gt;"",INDEX(_xlfn.TEXTSPLIT(mouvementmp[[#This Row],[QR Fabrication]],"_"),1,4),"")</f>
        <v/>
      </c>
      <c r="U55" s="47" t="str">
        <f>IF(mouvementmp[[#This Row],[QR Fabrication]]&lt;&gt;"",INDEX(_xlfn.TEXTSPLIT(mouvementmp[[#This Row],[QR Fabrication]],"_"),1,5),"")</f>
        <v/>
      </c>
      <c r="V55" s="47" t="str">
        <f>IF(mouvementmp[[#This Row],[QR Fabrication]]&lt;&gt;"",_xlfn.TEXTAFTER(mouvementmp[[#This Row],[QR Fabrication]],"_",5),"")</f>
        <v/>
      </c>
    </row>
    <row r="56" spans="1:22" ht="16.5" thickTop="1" thickBot="1" x14ac:dyDescent="0.3">
      <c r="A56" s="46"/>
      <c r="B56" s="54" t="s">
        <v>3838</v>
      </c>
      <c r="C56" s="47" t="s">
        <v>662</v>
      </c>
      <c r="D56" s="47" t="s">
        <v>662</v>
      </c>
      <c r="E56" s="47" t="s">
        <v>665</v>
      </c>
      <c r="F56" s="48">
        <v>170.2</v>
      </c>
      <c r="G56" s="47"/>
      <c r="H56" s="47"/>
      <c r="I56" s="47" t="s">
        <v>664</v>
      </c>
      <c r="J56" s="49">
        <v>45913</v>
      </c>
      <c r="K56" s="47" t="str">
        <f>INDEX(_xlfn.TEXTSPLIT(mouvementmp[[#This Row],[QR MP]],"_"),1,1)</f>
        <v>C07</v>
      </c>
      <c r="L56" s="47" t="str">
        <f>INDEX(_xlfn.TEXTSPLIT(mouvementmp[[#This Row],[QR MP]],"_"),1,2)</f>
        <v>GRIS MOYEN</v>
      </c>
      <c r="M56" s="47" t="str">
        <f>INDEX(_xlfn.TEXTSPLIT(mouvementmp[[#This Row],[QR MP]],"_"),1,3)</f>
        <v>NM15-07.00</v>
      </c>
      <c r="N56" s="47" t="str">
        <f>INDEX(_xlfn.TEXTSPLIT(mouvementmp[[#This Row],[QR MP]],"_"),1,4)</f>
        <v>61445</v>
      </c>
      <c r="O56" s="47">
        <f>-mouvementmp[[#This Row],[Poids]]</f>
        <v>-170.2</v>
      </c>
      <c r="P56" s="47" t="str">
        <f>IF(
   COUNTIFS($A$2:A56,A56,
             $B$2:B56,B56,
             $C$2:C56,C56,
             $D$2:D56,D56,
             $E$2:E56,E56,
             $F$2:F56,F56,
              $J$2:J56,J56)&gt;1,
   "Doublon",
   "Correcte"
)</f>
        <v>Correcte</v>
      </c>
      <c r="Q56" s="106" t="str">
        <f>IF(mouvementmp[[#This Row],[QR Fabrication]]&lt;&gt;"",INDEX(_xlfn.TEXTSPLIT(mouvementmp[[#This Row],[QR Fabrication]],"_"),1,1),"")</f>
        <v/>
      </c>
      <c r="R56" s="106" t="str">
        <f>IF(mouvementmp[[#This Row],[QR Fabrication]]&lt;&gt;"",INDEX(_xlfn.TEXTSPLIT(mouvementmp[[#This Row],[QR Fabrication]],"_"),1,2),"")</f>
        <v/>
      </c>
      <c r="S56" s="47" t="str">
        <f>IF(mouvementmp[[#This Row],[QR Fabrication]]&lt;&gt;"",INDEX(_xlfn.TEXTSPLIT(mouvementmp[[#This Row],[QR Fabrication]],"_"),1,3),"")</f>
        <v/>
      </c>
      <c r="T56" s="47" t="str">
        <f>IF(mouvementmp[[#This Row],[QR Fabrication]]&lt;&gt;"",INDEX(_xlfn.TEXTSPLIT(mouvementmp[[#This Row],[QR Fabrication]],"_"),1,4),"")</f>
        <v/>
      </c>
      <c r="U56" s="47" t="str">
        <f>IF(mouvementmp[[#This Row],[QR Fabrication]]&lt;&gt;"",INDEX(_xlfn.TEXTSPLIT(mouvementmp[[#This Row],[QR Fabrication]],"_"),1,5),"")</f>
        <v/>
      </c>
      <c r="V56" s="47" t="str">
        <f>IF(mouvementmp[[#This Row],[QR Fabrication]]&lt;&gt;"",_xlfn.TEXTAFTER(mouvementmp[[#This Row],[QR Fabrication]],"_",5),"")</f>
        <v/>
      </c>
    </row>
    <row r="57" spans="1:22" ht="16.5" thickTop="1" thickBot="1" x14ac:dyDescent="0.3">
      <c r="A57" s="46"/>
      <c r="B57" s="54" t="s">
        <v>3839</v>
      </c>
      <c r="C57" s="47" t="s">
        <v>662</v>
      </c>
      <c r="D57" s="47" t="s">
        <v>662</v>
      </c>
      <c r="E57" s="47" t="s">
        <v>667</v>
      </c>
      <c r="F57" s="48">
        <v>1386</v>
      </c>
      <c r="G57" s="47"/>
      <c r="H57" s="47"/>
      <c r="I57" s="47" t="s">
        <v>664</v>
      </c>
      <c r="J57" s="49">
        <v>45913</v>
      </c>
      <c r="K57" s="47" t="str">
        <f>INDEX(_xlfn.TEXTSPLIT(mouvementmp[[#This Row],[QR MP]],"_"),1,1)</f>
        <v>C07</v>
      </c>
      <c r="L57" s="47" t="str">
        <f>INDEX(_xlfn.TEXTSPLIT(mouvementmp[[#This Row],[QR MP]],"_"),1,2)</f>
        <v>GRIS MOYEN</v>
      </c>
      <c r="M57" s="47" t="str">
        <f>INDEX(_xlfn.TEXTSPLIT(mouvementmp[[#This Row],[QR MP]],"_"),1,3)</f>
        <v>NM15-07.01</v>
      </c>
      <c r="N57" s="47" t="str">
        <f>INDEX(_xlfn.TEXTSPLIT(mouvementmp[[#This Row],[QR MP]],"_"),1,4)</f>
        <v>S2023</v>
      </c>
      <c r="O57" s="47">
        <f>-mouvementmp[[#This Row],[Poids]]</f>
        <v>-1386</v>
      </c>
      <c r="P57" s="47" t="str">
        <f>IF(
   COUNTIFS($A$2:A57,A57,
             $B$2:B57,B57,
             $C$2:C57,C57,
             $D$2:D57,D57,
             $E$2:E57,E57,
             $F$2:F57,F57,
              $J$2:J57,J57)&gt;1,
   "Doublon",
   "Correcte"
)</f>
        <v>Correcte</v>
      </c>
      <c r="Q57" s="106" t="str">
        <f>IF(mouvementmp[[#This Row],[QR Fabrication]]&lt;&gt;"",INDEX(_xlfn.TEXTSPLIT(mouvementmp[[#This Row],[QR Fabrication]],"_"),1,1),"")</f>
        <v/>
      </c>
      <c r="R57" s="106" t="str">
        <f>IF(mouvementmp[[#This Row],[QR Fabrication]]&lt;&gt;"",INDEX(_xlfn.TEXTSPLIT(mouvementmp[[#This Row],[QR Fabrication]],"_"),1,2),"")</f>
        <v/>
      </c>
      <c r="S57" s="47" t="str">
        <f>IF(mouvementmp[[#This Row],[QR Fabrication]]&lt;&gt;"",INDEX(_xlfn.TEXTSPLIT(mouvementmp[[#This Row],[QR Fabrication]],"_"),1,3),"")</f>
        <v/>
      </c>
      <c r="T57" s="47" t="str">
        <f>IF(mouvementmp[[#This Row],[QR Fabrication]]&lt;&gt;"",INDEX(_xlfn.TEXTSPLIT(mouvementmp[[#This Row],[QR Fabrication]],"_"),1,4),"")</f>
        <v/>
      </c>
      <c r="U57" s="47" t="str">
        <f>IF(mouvementmp[[#This Row],[QR Fabrication]]&lt;&gt;"",INDEX(_xlfn.TEXTSPLIT(mouvementmp[[#This Row],[QR Fabrication]],"_"),1,5),"")</f>
        <v/>
      </c>
      <c r="V57" s="47" t="str">
        <f>IF(mouvementmp[[#This Row],[QR Fabrication]]&lt;&gt;"",_xlfn.TEXTAFTER(mouvementmp[[#This Row],[QR Fabrication]],"_",5),"")</f>
        <v/>
      </c>
    </row>
    <row r="58" spans="1:22" ht="16.5" thickTop="1" thickBot="1" x14ac:dyDescent="0.3">
      <c r="A58" s="46"/>
      <c r="B58" s="54" t="s">
        <v>3839</v>
      </c>
      <c r="C58" s="47" t="s">
        <v>662</v>
      </c>
      <c r="D58" s="47" t="s">
        <v>662</v>
      </c>
      <c r="E58" s="47" t="s">
        <v>665</v>
      </c>
      <c r="F58" s="48">
        <v>108.5</v>
      </c>
      <c r="G58" s="47"/>
      <c r="H58" s="47"/>
      <c r="I58" s="47" t="s">
        <v>664</v>
      </c>
      <c r="J58" s="49">
        <v>45913</v>
      </c>
      <c r="K58" s="47" t="str">
        <f>INDEX(_xlfn.TEXTSPLIT(mouvementmp[[#This Row],[QR MP]],"_"),1,1)</f>
        <v>C07</v>
      </c>
      <c r="L58" s="47" t="str">
        <f>INDEX(_xlfn.TEXTSPLIT(mouvementmp[[#This Row],[QR MP]],"_"),1,2)</f>
        <v>GRIS MOYEN</v>
      </c>
      <c r="M58" s="47" t="str">
        <f>INDEX(_xlfn.TEXTSPLIT(mouvementmp[[#This Row],[QR MP]],"_"),1,3)</f>
        <v>NM15-07.01</v>
      </c>
      <c r="N58" s="47" t="str">
        <f>INDEX(_xlfn.TEXTSPLIT(mouvementmp[[#This Row],[QR MP]],"_"),1,4)</f>
        <v>S2023</v>
      </c>
      <c r="O58" s="47">
        <f>-mouvementmp[[#This Row],[Poids]]</f>
        <v>-108.5</v>
      </c>
      <c r="P58" s="47" t="str">
        <f>IF(
   COUNTIFS($A$2:A58,A58,
             $B$2:B58,B58,
             $C$2:C58,C58,
             $D$2:D58,D58,
             $E$2:E58,E58,
             $F$2:F58,F58,
              $J$2:J58,J58)&gt;1,
   "Doublon",
   "Correcte"
)</f>
        <v>Correcte</v>
      </c>
      <c r="Q58" s="106" t="str">
        <f>IF(mouvementmp[[#This Row],[QR Fabrication]]&lt;&gt;"",INDEX(_xlfn.TEXTSPLIT(mouvementmp[[#This Row],[QR Fabrication]],"_"),1,1),"")</f>
        <v/>
      </c>
      <c r="R58" s="106" t="str">
        <f>IF(mouvementmp[[#This Row],[QR Fabrication]]&lt;&gt;"",INDEX(_xlfn.TEXTSPLIT(mouvementmp[[#This Row],[QR Fabrication]],"_"),1,2),"")</f>
        <v/>
      </c>
      <c r="S58" s="47" t="str">
        <f>IF(mouvementmp[[#This Row],[QR Fabrication]]&lt;&gt;"",INDEX(_xlfn.TEXTSPLIT(mouvementmp[[#This Row],[QR Fabrication]],"_"),1,3),"")</f>
        <v/>
      </c>
      <c r="T58" s="47" t="str">
        <f>IF(mouvementmp[[#This Row],[QR Fabrication]]&lt;&gt;"",INDEX(_xlfn.TEXTSPLIT(mouvementmp[[#This Row],[QR Fabrication]],"_"),1,4),"")</f>
        <v/>
      </c>
      <c r="U58" s="47" t="str">
        <f>IF(mouvementmp[[#This Row],[QR Fabrication]]&lt;&gt;"",INDEX(_xlfn.TEXTSPLIT(mouvementmp[[#This Row],[QR Fabrication]],"_"),1,5),"")</f>
        <v/>
      </c>
      <c r="V58" s="47" t="str">
        <f>IF(mouvementmp[[#This Row],[QR Fabrication]]&lt;&gt;"",_xlfn.TEXTAFTER(mouvementmp[[#This Row],[QR Fabrication]],"_",5),"")</f>
        <v/>
      </c>
    </row>
    <row r="59" spans="1:22" ht="16.5" thickTop="1" thickBot="1" x14ac:dyDescent="0.3">
      <c r="A59" s="46"/>
      <c r="B59" s="54" t="s">
        <v>3840</v>
      </c>
      <c r="C59" s="47" t="s">
        <v>662</v>
      </c>
      <c r="D59" s="47" t="s">
        <v>662</v>
      </c>
      <c r="E59" s="47" t="s">
        <v>666</v>
      </c>
      <c r="F59" s="48">
        <v>497</v>
      </c>
      <c r="G59" s="47"/>
      <c r="H59" s="47"/>
      <c r="I59" s="47" t="s">
        <v>664</v>
      </c>
      <c r="J59" s="49">
        <v>45913</v>
      </c>
      <c r="K59" s="47" t="str">
        <f>INDEX(_xlfn.TEXTSPLIT(mouvementmp[[#This Row],[QR MP]],"_"),1,1)</f>
        <v>C08</v>
      </c>
      <c r="L59" s="47" t="str">
        <f>INDEX(_xlfn.TEXTSPLIT(mouvementmp[[#This Row],[QR MP]],"_"),1,2)</f>
        <v>GRIS ANTHRACITE</v>
      </c>
      <c r="M59" s="47" t="str">
        <f>INDEX(_xlfn.TEXTSPLIT(mouvementmp[[#This Row],[QR MP]],"_"),1,3)</f>
        <v>NM10-08.00</v>
      </c>
      <c r="N59" s="47" t="str">
        <f>INDEX(_xlfn.TEXTSPLIT(mouvementmp[[#This Row],[QR MP]],"_"),1,4)</f>
        <v>61463</v>
      </c>
      <c r="O59" s="47">
        <f>-mouvementmp[[#This Row],[Poids]]</f>
        <v>-497</v>
      </c>
      <c r="P59" s="47" t="str">
        <f>IF(
   COUNTIFS($A$2:A59,A59,
             $B$2:B59,B59,
             $C$2:C59,C59,
             $D$2:D59,D59,
             $E$2:E59,E59,
             $F$2:F59,F59,
              $J$2:J59,J59)&gt;1,
   "Doublon",
   "Correcte"
)</f>
        <v>Correcte</v>
      </c>
      <c r="Q59" s="106" t="str">
        <f>IF(mouvementmp[[#This Row],[QR Fabrication]]&lt;&gt;"",INDEX(_xlfn.TEXTSPLIT(mouvementmp[[#This Row],[QR Fabrication]],"_"),1,1),"")</f>
        <v/>
      </c>
      <c r="R59" s="106" t="str">
        <f>IF(mouvementmp[[#This Row],[QR Fabrication]]&lt;&gt;"",INDEX(_xlfn.TEXTSPLIT(mouvementmp[[#This Row],[QR Fabrication]],"_"),1,2),"")</f>
        <v/>
      </c>
      <c r="S59" s="47" t="str">
        <f>IF(mouvementmp[[#This Row],[QR Fabrication]]&lt;&gt;"",INDEX(_xlfn.TEXTSPLIT(mouvementmp[[#This Row],[QR Fabrication]],"_"),1,3),"")</f>
        <v/>
      </c>
      <c r="T59" s="47" t="str">
        <f>IF(mouvementmp[[#This Row],[QR Fabrication]]&lt;&gt;"",INDEX(_xlfn.TEXTSPLIT(mouvementmp[[#This Row],[QR Fabrication]],"_"),1,4),"")</f>
        <v/>
      </c>
      <c r="U59" s="47" t="str">
        <f>IF(mouvementmp[[#This Row],[QR Fabrication]]&lt;&gt;"",INDEX(_xlfn.TEXTSPLIT(mouvementmp[[#This Row],[QR Fabrication]],"_"),1,5),"")</f>
        <v/>
      </c>
      <c r="V59" s="47" t="str">
        <f>IF(mouvementmp[[#This Row],[QR Fabrication]]&lt;&gt;"",_xlfn.TEXTAFTER(mouvementmp[[#This Row],[QR Fabrication]],"_",5),"")</f>
        <v/>
      </c>
    </row>
    <row r="60" spans="1:22" ht="16.5" thickTop="1" thickBot="1" x14ac:dyDescent="0.3">
      <c r="A60" s="46"/>
      <c r="B60" s="54" t="s">
        <v>3841</v>
      </c>
      <c r="C60" s="47" t="s">
        <v>662</v>
      </c>
      <c r="D60" s="47" t="s">
        <v>662</v>
      </c>
      <c r="E60" s="47" t="s">
        <v>667</v>
      </c>
      <c r="F60" s="48">
        <v>1876</v>
      </c>
      <c r="G60" s="47"/>
      <c r="H60" s="47"/>
      <c r="I60" s="47" t="s">
        <v>664</v>
      </c>
      <c r="J60" s="49">
        <v>45913</v>
      </c>
      <c r="K60" s="47" t="str">
        <f>INDEX(_xlfn.TEXTSPLIT(mouvementmp[[#This Row],[QR MP]],"_"),1,1)</f>
        <v>C08</v>
      </c>
      <c r="L60" s="47" t="str">
        <f>INDEX(_xlfn.TEXTSPLIT(mouvementmp[[#This Row],[QR MP]],"_"),1,2)</f>
        <v>GRIS ANTHRACITE</v>
      </c>
      <c r="M60" s="47" t="str">
        <f>INDEX(_xlfn.TEXTSPLIT(mouvementmp[[#This Row],[QR MP]],"_"),1,3)</f>
        <v>NM15-08.00</v>
      </c>
      <c r="N60" s="47" t="str">
        <f>INDEX(_xlfn.TEXTSPLIT(mouvementmp[[#This Row],[QR MP]],"_"),1,4)</f>
        <v>59358</v>
      </c>
      <c r="O60" s="47">
        <f>-mouvementmp[[#This Row],[Poids]]</f>
        <v>-1876</v>
      </c>
      <c r="P60" s="47" t="str">
        <f>IF(
   COUNTIFS($A$2:A60,A60,
             $B$2:B60,B60,
             $C$2:C60,C60,
             $D$2:D60,D60,
             $E$2:E60,E60,
             $F$2:F60,F60,
              $J$2:J60,J60)&gt;1,
   "Doublon",
   "Correcte"
)</f>
        <v>Correcte</v>
      </c>
      <c r="Q60" s="106" t="str">
        <f>IF(mouvementmp[[#This Row],[QR Fabrication]]&lt;&gt;"",INDEX(_xlfn.TEXTSPLIT(mouvementmp[[#This Row],[QR Fabrication]],"_"),1,1),"")</f>
        <v/>
      </c>
      <c r="R60" s="106" t="str">
        <f>IF(mouvementmp[[#This Row],[QR Fabrication]]&lt;&gt;"",INDEX(_xlfn.TEXTSPLIT(mouvementmp[[#This Row],[QR Fabrication]],"_"),1,2),"")</f>
        <v/>
      </c>
      <c r="S60" s="47" t="str">
        <f>IF(mouvementmp[[#This Row],[QR Fabrication]]&lt;&gt;"",INDEX(_xlfn.TEXTSPLIT(mouvementmp[[#This Row],[QR Fabrication]],"_"),1,3),"")</f>
        <v/>
      </c>
      <c r="T60" s="47" t="str">
        <f>IF(mouvementmp[[#This Row],[QR Fabrication]]&lt;&gt;"",INDEX(_xlfn.TEXTSPLIT(mouvementmp[[#This Row],[QR Fabrication]],"_"),1,4),"")</f>
        <v/>
      </c>
      <c r="U60" s="47" t="str">
        <f>IF(mouvementmp[[#This Row],[QR Fabrication]]&lt;&gt;"",INDEX(_xlfn.TEXTSPLIT(mouvementmp[[#This Row],[QR Fabrication]],"_"),1,5),"")</f>
        <v/>
      </c>
      <c r="V60" s="47" t="str">
        <f>IF(mouvementmp[[#This Row],[QR Fabrication]]&lt;&gt;"",_xlfn.TEXTAFTER(mouvementmp[[#This Row],[QR Fabrication]],"_",5),"")</f>
        <v/>
      </c>
    </row>
    <row r="61" spans="1:22" ht="16.5" thickTop="1" thickBot="1" x14ac:dyDescent="0.3">
      <c r="A61" s="46"/>
      <c r="B61" s="54" t="s">
        <v>3841</v>
      </c>
      <c r="C61" s="47" t="s">
        <v>662</v>
      </c>
      <c r="D61" s="47" t="s">
        <v>662</v>
      </c>
      <c r="E61" s="47" t="s">
        <v>665</v>
      </c>
      <c r="F61" s="48">
        <v>163.19999999999999</v>
      </c>
      <c r="G61" s="47"/>
      <c r="H61" s="47"/>
      <c r="I61" s="47" t="s">
        <v>664</v>
      </c>
      <c r="J61" s="49">
        <v>45913</v>
      </c>
      <c r="K61" s="47" t="str">
        <f>INDEX(_xlfn.TEXTSPLIT(mouvementmp[[#This Row],[QR MP]],"_"),1,1)</f>
        <v>C08</v>
      </c>
      <c r="L61" s="47" t="str">
        <f>INDEX(_xlfn.TEXTSPLIT(mouvementmp[[#This Row],[QR MP]],"_"),1,2)</f>
        <v>GRIS ANTHRACITE</v>
      </c>
      <c r="M61" s="47" t="str">
        <f>INDEX(_xlfn.TEXTSPLIT(mouvementmp[[#This Row],[QR MP]],"_"),1,3)</f>
        <v>NM15-08.00</v>
      </c>
      <c r="N61" s="47" t="str">
        <f>INDEX(_xlfn.TEXTSPLIT(mouvementmp[[#This Row],[QR MP]],"_"),1,4)</f>
        <v>59358</v>
      </c>
      <c r="O61" s="47">
        <f>-mouvementmp[[#This Row],[Poids]]</f>
        <v>-163.19999999999999</v>
      </c>
      <c r="P61" s="47" t="str">
        <f>IF(
   COUNTIFS($A$2:A61,A61,
             $B$2:B61,B61,
             $C$2:C61,C61,
             $D$2:D61,D61,
             $E$2:E61,E61,
             $F$2:F61,F61,
              $J$2:J61,J61)&gt;1,
   "Doublon",
   "Correcte"
)</f>
        <v>Correcte</v>
      </c>
      <c r="Q61" s="106" t="str">
        <f>IF(mouvementmp[[#This Row],[QR Fabrication]]&lt;&gt;"",INDEX(_xlfn.TEXTSPLIT(mouvementmp[[#This Row],[QR Fabrication]],"_"),1,1),"")</f>
        <v/>
      </c>
      <c r="R61" s="106" t="str">
        <f>IF(mouvementmp[[#This Row],[QR Fabrication]]&lt;&gt;"",INDEX(_xlfn.TEXTSPLIT(mouvementmp[[#This Row],[QR Fabrication]],"_"),1,2),"")</f>
        <v/>
      </c>
      <c r="S61" s="47" t="str">
        <f>IF(mouvementmp[[#This Row],[QR Fabrication]]&lt;&gt;"",INDEX(_xlfn.TEXTSPLIT(mouvementmp[[#This Row],[QR Fabrication]],"_"),1,3),"")</f>
        <v/>
      </c>
      <c r="T61" s="47" t="str">
        <f>IF(mouvementmp[[#This Row],[QR Fabrication]]&lt;&gt;"",INDEX(_xlfn.TEXTSPLIT(mouvementmp[[#This Row],[QR Fabrication]],"_"),1,4),"")</f>
        <v/>
      </c>
      <c r="U61" s="47" t="str">
        <f>IF(mouvementmp[[#This Row],[QR Fabrication]]&lt;&gt;"",INDEX(_xlfn.TEXTSPLIT(mouvementmp[[#This Row],[QR Fabrication]],"_"),1,5),"")</f>
        <v/>
      </c>
      <c r="V61" s="47" t="str">
        <f>IF(mouvementmp[[#This Row],[QR Fabrication]]&lt;&gt;"",_xlfn.TEXTAFTER(mouvementmp[[#This Row],[QR Fabrication]],"_",5),"")</f>
        <v/>
      </c>
    </row>
    <row r="62" spans="1:22" ht="16.5" thickTop="1" thickBot="1" x14ac:dyDescent="0.3">
      <c r="A62" s="46"/>
      <c r="B62" s="54" t="s">
        <v>3842</v>
      </c>
      <c r="C62" s="47" t="s">
        <v>662</v>
      </c>
      <c r="D62" s="47" t="s">
        <v>662</v>
      </c>
      <c r="E62" s="47" t="s">
        <v>667</v>
      </c>
      <c r="F62" s="48">
        <v>55</v>
      </c>
      <c r="G62" s="47"/>
      <c r="H62" s="47"/>
      <c r="I62" s="47" t="s">
        <v>664</v>
      </c>
      <c r="J62" s="49">
        <v>45913</v>
      </c>
      <c r="K62" s="47" t="str">
        <f>INDEX(_xlfn.TEXTSPLIT(mouvementmp[[#This Row],[QR MP]],"_"),1,1)</f>
        <v>C08</v>
      </c>
      <c r="L62" s="47" t="str">
        <f>INDEX(_xlfn.TEXTSPLIT(mouvementmp[[#This Row],[QR MP]],"_"),1,2)</f>
        <v>GRIS ANTHRACITE</v>
      </c>
      <c r="M62" s="47" t="str">
        <f>INDEX(_xlfn.TEXTSPLIT(mouvementmp[[#This Row],[QR MP]],"_"),1,3)</f>
        <v>NM20-08.00</v>
      </c>
      <c r="N62" s="47" t="str">
        <f>INDEX(_xlfn.TEXTSPLIT(mouvementmp[[#This Row],[QR MP]],"_"),1,4)</f>
        <v>S2022</v>
      </c>
      <c r="O62" s="47">
        <f>-mouvementmp[[#This Row],[Poids]]</f>
        <v>-55</v>
      </c>
      <c r="P62" s="47" t="str">
        <f>IF(
   COUNTIFS($A$2:A62,A62,
             $B$2:B62,B62,
             $C$2:C62,C62,
             $D$2:D62,D62,
             $E$2:E62,E62,
             $F$2:F62,F62,
              $J$2:J62,J62)&gt;1,
   "Doublon",
   "Correcte"
)</f>
        <v>Correcte</v>
      </c>
      <c r="Q62" s="106" t="str">
        <f>IF(mouvementmp[[#This Row],[QR Fabrication]]&lt;&gt;"",INDEX(_xlfn.TEXTSPLIT(mouvementmp[[#This Row],[QR Fabrication]],"_"),1,1),"")</f>
        <v/>
      </c>
      <c r="R62" s="106" t="str">
        <f>IF(mouvementmp[[#This Row],[QR Fabrication]]&lt;&gt;"",INDEX(_xlfn.TEXTSPLIT(mouvementmp[[#This Row],[QR Fabrication]],"_"),1,2),"")</f>
        <v/>
      </c>
      <c r="S62" s="47" t="str">
        <f>IF(mouvementmp[[#This Row],[QR Fabrication]]&lt;&gt;"",INDEX(_xlfn.TEXTSPLIT(mouvementmp[[#This Row],[QR Fabrication]],"_"),1,3),"")</f>
        <v/>
      </c>
      <c r="T62" s="47" t="str">
        <f>IF(mouvementmp[[#This Row],[QR Fabrication]]&lt;&gt;"",INDEX(_xlfn.TEXTSPLIT(mouvementmp[[#This Row],[QR Fabrication]],"_"),1,4),"")</f>
        <v/>
      </c>
      <c r="U62" s="47" t="str">
        <f>IF(mouvementmp[[#This Row],[QR Fabrication]]&lt;&gt;"",INDEX(_xlfn.TEXTSPLIT(mouvementmp[[#This Row],[QR Fabrication]],"_"),1,5),"")</f>
        <v/>
      </c>
      <c r="V62" s="47" t="str">
        <f>IF(mouvementmp[[#This Row],[QR Fabrication]]&lt;&gt;"",_xlfn.TEXTAFTER(mouvementmp[[#This Row],[QR Fabrication]],"_",5),"")</f>
        <v/>
      </c>
    </row>
    <row r="63" spans="1:22" ht="16.5" thickTop="1" thickBot="1" x14ac:dyDescent="0.3">
      <c r="A63" s="46"/>
      <c r="B63" s="54" t="s">
        <v>3843</v>
      </c>
      <c r="C63" s="47" t="s">
        <v>662</v>
      </c>
      <c r="D63" s="47" t="s">
        <v>662</v>
      </c>
      <c r="E63" s="47" t="s">
        <v>663</v>
      </c>
      <c r="F63" s="48">
        <v>2947</v>
      </c>
      <c r="G63" s="47"/>
      <c r="H63" s="47"/>
      <c r="I63" s="47" t="s">
        <v>664</v>
      </c>
      <c r="J63" s="49">
        <v>45913</v>
      </c>
      <c r="K63" s="47" t="str">
        <f>INDEX(_xlfn.TEXTSPLIT(mouvementmp[[#This Row],[QR MP]],"_"),1,1)</f>
        <v>C09</v>
      </c>
      <c r="L63" s="47" t="str">
        <f>INDEX(_xlfn.TEXTSPLIT(mouvementmp[[#This Row],[QR MP]],"_"),1,2)</f>
        <v>NOIR</v>
      </c>
      <c r="M63" s="47" t="str">
        <f>INDEX(_xlfn.TEXTSPLIT(mouvementmp[[#This Row],[QR MP]],"_"),1,3)</f>
        <v>NM05-09.00</v>
      </c>
      <c r="N63" s="47" t="str">
        <f>INDEX(_xlfn.TEXTSPLIT(mouvementmp[[#This Row],[QR MP]],"_"),1,4)</f>
        <v>59713</v>
      </c>
      <c r="O63" s="47">
        <f>-mouvementmp[[#This Row],[Poids]]</f>
        <v>-2947</v>
      </c>
      <c r="P63" s="47" t="str">
        <f>IF(
   COUNTIFS($A$2:A63,A63,
             $B$2:B63,B63,
             $C$2:C63,C63,
             $D$2:D63,D63,
             $E$2:E63,E63,
             $F$2:F63,F63,
              $J$2:J63,J63)&gt;1,
   "Doublon",
   "Correcte"
)</f>
        <v>Correcte</v>
      </c>
      <c r="Q63" s="106" t="str">
        <f>IF(mouvementmp[[#This Row],[QR Fabrication]]&lt;&gt;"",INDEX(_xlfn.TEXTSPLIT(mouvementmp[[#This Row],[QR Fabrication]],"_"),1,1),"")</f>
        <v/>
      </c>
      <c r="R63" s="106" t="str">
        <f>IF(mouvementmp[[#This Row],[QR Fabrication]]&lt;&gt;"",INDEX(_xlfn.TEXTSPLIT(mouvementmp[[#This Row],[QR Fabrication]],"_"),1,2),"")</f>
        <v/>
      </c>
      <c r="S63" s="47" t="str">
        <f>IF(mouvementmp[[#This Row],[QR Fabrication]]&lt;&gt;"",INDEX(_xlfn.TEXTSPLIT(mouvementmp[[#This Row],[QR Fabrication]],"_"),1,3),"")</f>
        <v/>
      </c>
      <c r="T63" s="47" t="str">
        <f>IF(mouvementmp[[#This Row],[QR Fabrication]]&lt;&gt;"",INDEX(_xlfn.TEXTSPLIT(mouvementmp[[#This Row],[QR Fabrication]],"_"),1,4),"")</f>
        <v/>
      </c>
      <c r="U63" s="47" t="str">
        <f>IF(mouvementmp[[#This Row],[QR Fabrication]]&lt;&gt;"",INDEX(_xlfn.TEXTSPLIT(mouvementmp[[#This Row],[QR Fabrication]],"_"),1,5),"")</f>
        <v/>
      </c>
      <c r="V63" s="47" t="str">
        <f>IF(mouvementmp[[#This Row],[QR Fabrication]]&lt;&gt;"",_xlfn.TEXTAFTER(mouvementmp[[#This Row],[QR Fabrication]],"_",5),"")</f>
        <v/>
      </c>
    </row>
    <row r="64" spans="1:22" ht="16.5" thickTop="1" thickBot="1" x14ac:dyDescent="0.3">
      <c r="A64" s="46"/>
      <c r="B64" s="54" t="s">
        <v>3843</v>
      </c>
      <c r="C64" s="47" t="s">
        <v>662</v>
      </c>
      <c r="D64" s="47" t="s">
        <v>662</v>
      </c>
      <c r="E64" s="47" t="s">
        <v>666</v>
      </c>
      <c r="F64" s="48">
        <v>2642.5</v>
      </c>
      <c r="G64" s="47"/>
      <c r="H64" s="47"/>
      <c r="I64" s="47" t="s">
        <v>664</v>
      </c>
      <c r="J64" s="49">
        <v>45913</v>
      </c>
      <c r="K64" s="47" t="str">
        <f>INDEX(_xlfn.TEXTSPLIT(mouvementmp[[#This Row],[QR MP]],"_"),1,1)</f>
        <v>C09</v>
      </c>
      <c r="L64" s="47" t="str">
        <f>INDEX(_xlfn.TEXTSPLIT(mouvementmp[[#This Row],[QR MP]],"_"),1,2)</f>
        <v>NOIR</v>
      </c>
      <c r="M64" s="47" t="str">
        <f>INDEX(_xlfn.TEXTSPLIT(mouvementmp[[#This Row],[QR MP]],"_"),1,3)</f>
        <v>NM05-09.00</v>
      </c>
      <c r="N64" s="47" t="str">
        <f>INDEX(_xlfn.TEXTSPLIT(mouvementmp[[#This Row],[QR MP]],"_"),1,4)</f>
        <v>59713</v>
      </c>
      <c r="O64" s="47">
        <f>-mouvementmp[[#This Row],[Poids]]</f>
        <v>-2642.5</v>
      </c>
      <c r="P64" s="47" t="str">
        <f>IF(
   COUNTIFS($A$2:A64,A64,
             $B$2:B64,B64,
             $C$2:C64,C64,
             $D$2:D64,D64,
             $E$2:E64,E64,
             $F$2:F64,F64,
              $J$2:J64,J64)&gt;1,
   "Doublon",
   "Correcte"
)</f>
        <v>Correcte</v>
      </c>
      <c r="Q64" s="106" t="str">
        <f>IF(mouvementmp[[#This Row],[QR Fabrication]]&lt;&gt;"",INDEX(_xlfn.TEXTSPLIT(mouvementmp[[#This Row],[QR Fabrication]],"_"),1,1),"")</f>
        <v/>
      </c>
      <c r="R64" s="106" t="str">
        <f>IF(mouvementmp[[#This Row],[QR Fabrication]]&lt;&gt;"",INDEX(_xlfn.TEXTSPLIT(mouvementmp[[#This Row],[QR Fabrication]],"_"),1,2),"")</f>
        <v/>
      </c>
      <c r="S64" s="47" t="str">
        <f>IF(mouvementmp[[#This Row],[QR Fabrication]]&lt;&gt;"",INDEX(_xlfn.TEXTSPLIT(mouvementmp[[#This Row],[QR Fabrication]],"_"),1,3),"")</f>
        <v/>
      </c>
      <c r="T64" s="47" t="str">
        <f>IF(mouvementmp[[#This Row],[QR Fabrication]]&lt;&gt;"",INDEX(_xlfn.TEXTSPLIT(mouvementmp[[#This Row],[QR Fabrication]],"_"),1,4),"")</f>
        <v/>
      </c>
      <c r="U64" s="47" t="str">
        <f>IF(mouvementmp[[#This Row],[QR Fabrication]]&lt;&gt;"",INDEX(_xlfn.TEXTSPLIT(mouvementmp[[#This Row],[QR Fabrication]],"_"),1,5),"")</f>
        <v/>
      </c>
      <c r="V64" s="47" t="str">
        <f>IF(mouvementmp[[#This Row],[QR Fabrication]]&lt;&gt;"",_xlfn.TEXTAFTER(mouvementmp[[#This Row],[QR Fabrication]],"_",5),"")</f>
        <v/>
      </c>
    </row>
    <row r="65" spans="1:22" ht="16.5" thickTop="1" thickBot="1" x14ac:dyDescent="0.3">
      <c r="A65" s="46"/>
      <c r="B65" s="54" t="s">
        <v>3843</v>
      </c>
      <c r="C65" s="47" t="s">
        <v>662</v>
      </c>
      <c r="D65" s="47" t="s">
        <v>662</v>
      </c>
      <c r="E65" s="47" t="s">
        <v>665</v>
      </c>
      <c r="F65" s="48">
        <v>465</v>
      </c>
      <c r="G65" s="47"/>
      <c r="H65" s="47"/>
      <c r="I65" s="47" t="s">
        <v>664</v>
      </c>
      <c r="J65" s="49">
        <v>45913</v>
      </c>
      <c r="K65" s="47" t="str">
        <f>INDEX(_xlfn.TEXTSPLIT(mouvementmp[[#This Row],[QR MP]],"_"),1,1)</f>
        <v>C09</v>
      </c>
      <c r="L65" s="47" t="str">
        <f>INDEX(_xlfn.TEXTSPLIT(mouvementmp[[#This Row],[QR MP]],"_"),1,2)</f>
        <v>NOIR</v>
      </c>
      <c r="M65" s="47" t="str">
        <f>INDEX(_xlfn.TEXTSPLIT(mouvementmp[[#This Row],[QR MP]],"_"),1,3)</f>
        <v>NM05-09.00</v>
      </c>
      <c r="N65" s="47" t="str">
        <f>INDEX(_xlfn.TEXTSPLIT(mouvementmp[[#This Row],[QR MP]],"_"),1,4)</f>
        <v>59713</v>
      </c>
      <c r="O65" s="47">
        <f>-mouvementmp[[#This Row],[Poids]]</f>
        <v>-465</v>
      </c>
      <c r="P65" s="47" t="str">
        <f>IF(
   COUNTIFS($A$2:A65,A65,
             $B$2:B65,B65,
             $C$2:C65,C65,
             $D$2:D65,D65,
             $E$2:E65,E65,
             $F$2:F65,F65,
              $J$2:J65,J65)&gt;1,
   "Doublon",
   "Correcte"
)</f>
        <v>Correcte</v>
      </c>
      <c r="Q65" s="106" t="str">
        <f>IF(mouvementmp[[#This Row],[QR Fabrication]]&lt;&gt;"",INDEX(_xlfn.TEXTSPLIT(mouvementmp[[#This Row],[QR Fabrication]],"_"),1,1),"")</f>
        <v/>
      </c>
      <c r="R65" s="106" t="str">
        <f>IF(mouvementmp[[#This Row],[QR Fabrication]]&lt;&gt;"",INDEX(_xlfn.TEXTSPLIT(mouvementmp[[#This Row],[QR Fabrication]],"_"),1,2),"")</f>
        <v/>
      </c>
      <c r="S65" s="47" t="str">
        <f>IF(mouvementmp[[#This Row],[QR Fabrication]]&lt;&gt;"",INDEX(_xlfn.TEXTSPLIT(mouvementmp[[#This Row],[QR Fabrication]],"_"),1,3),"")</f>
        <v/>
      </c>
      <c r="T65" s="47" t="str">
        <f>IF(mouvementmp[[#This Row],[QR Fabrication]]&lt;&gt;"",INDEX(_xlfn.TEXTSPLIT(mouvementmp[[#This Row],[QR Fabrication]],"_"),1,4),"")</f>
        <v/>
      </c>
      <c r="U65" s="47" t="str">
        <f>IF(mouvementmp[[#This Row],[QR Fabrication]]&lt;&gt;"",INDEX(_xlfn.TEXTSPLIT(mouvementmp[[#This Row],[QR Fabrication]],"_"),1,5),"")</f>
        <v/>
      </c>
      <c r="V65" s="47" t="str">
        <f>IF(mouvementmp[[#This Row],[QR Fabrication]]&lt;&gt;"",_xlfn.TEXTAFTER(mouvementmp[[#This Row],[QR Fabrication]],"_",5),"")</f>
        <v/>
      </c>
    </row>
    <row r="66" spans="1:22" ht="16.5" thickTop="1" thickBot="1" x14ac:dyDescent="0.3">
      <c r="A66" s="46"/>
      <c r="B66" s="54" t="s">
        <v>3844</v>
      </c>
      <c r="C66" s="47" t="s">
        <v>662</v>
      </c>
      <c r="D66" s="47" t="s">
        <v>662</v>
      </c>
      <c r="E66" s="47" t="s">
        <v>666</v>
      </c>
      <c r="F66" s="48">
        <v>507.5</v>
      </c>
      <c r="G66" s="47"/>
      <c r="H66" s="47"/>
      <c r="I66" s="47" t="s">
        <v>664</v>
      </c>
      <c r="J66" s="49">
        <v>45913</v>
      </c>
      <c r="K66" s="47" t="str">
        <f>INDEX(_xlfn.TEXTSPLIT(mouvementmp[[#This Row],[QR MP]],"_"),1,1)</f>
        <v>C09</v>
      </c>
      <c r="L66" s="47" t="str">
        <f>INDEX(_xlfn.TEXTSPLIT(mouvementmp[[#This Row],[QR MP]],"_"),1,2)</f>
        <v>BLEU NUIT</v>
      </c>
      <c r="M66" s="47" t="str">
        <f>INDEX(_xlfn.TEXTSPLIT(mouvementmp[[#This Row],[QR MP]],"_"),1,3)</f>
        <v>NM10-09.00</v>
      </c>
      <c r="N66" s="47" t="str">
        <f>INDEX(_xlfn.TEXTSPLIT(mouvementmp[[#This Row],[QR MP]],"_"),1,4)</f>
        <v>59176</v>
      </c>
      <c r="O66" s="47">
        <f>-mouvementmp[[#This Row],[Poids]]</f>
        <v>-507.5</v>
      </c>
      <c r="P66" s="47" t="str">
        <f>IF(
   COUNTIFS($A$2:A66,A66,
             $B$2:B66,B66,
             $C$2:C66,C66,
             $D$2:D66,D66,
             $E$2:E66,E66,
             $F$2:F66,F66,
              $J$2:J66,J66)&gt;1,
   "Doublon",
   "Correcte"
)</f>
        <v>Correcte</v>
      </c>
      <c r="Q66" s="106" t="str">
        <f>IF(mouvementmp[[#This Row],[QR Fabrication]]&lt;&gt;"",INDEX(_xlfn.TEXTSPLIT(mouvementmp[[#This Row],[QR Fabrication]],"_"),1,1),"")</f>
        <v/>
      </c>
      <c r="R66" s="106" t="str">
        <f>IF(mouvementmp[[#This Row],[QR Fabrication]]&lt;&gt;"",INDEX(_xlfn.TEXTSPLIT(mouvementmp[[#This Row],[QR Fabrication]],"_"),1,2),"")</f>
        <v/>
      </c>
      <c r="S66" s="47" t="str">
        <f>IF(mouvementmp[[#This Row],[QR Fabrication]]&lt;&gt;"",INDEX(_xlfn.TEXTSPLIT(mouvementmp[[#This Row],[QR Fabrication]],"_"),1,3),"")</f>
        <v/>
      </c>
      <c r="T66" s="47" t="str">
        <f>IF(mouvementmp[[#This Row],[QR Fabrication]]&lt;&gt;"",INDEX(_xlfn.TEXTSPLIT(mouvementmp[[#This Row],[QR Fabrication]],"_"),1,4),"")</f>
        <v/>
      </c>
      <c r="U66" s="47" t="str">
        <f>IF(mouvementmp[[#This Row],[QR Fabrication]]&lt;&gt;"",INDEX(_xlfn.TEXTSPLIT(mouvementmp[[#This Row],[QR Fabrication]],"_"),1,5),"")</f>
        <v/>
      </c>
      <c r="V66" s="47" t="str">
        <f>IF(mouvementmp[[#This Row],[QR Fabrication]]&lt;&gt;"",_xlfn.TEXTAFTER(mouvementmp[[#This Row],[QR Fabrication]],"_",5),"")</f>
        <v/>
      </c>
    </row>
    <row r="67" spans="1:22" ht="16.5" thickTop="1" thickBot="1" x14ac:dyDescent="0.3">
      <c r="A67" s="46"/>
      <c r="B67" s="54" t="s">
        <v>3844</v>
      </c>
      <c r="C67" s="47" t="s">
        <v>662</v>
      </c>
      <c r="D67" s="47" t="s">
        <v>662</v>
      </c>
      <c r="E67" s="47" t="s">
        <v>665</v>
      </c>
      <c r="F67" s="48">
        <v>199</v>
      </c>
      <c r="G67" s="47"/>
      <c r="H67" s="47"/>
      <c r="I67" s="47" t="s">
        <v>664</v>
      </c>
      <c r="J67" s="49">
        <v>45913</v>
      </c>
      <c r="K67" s="47" t="str">
        <f>INDEX(_xlfn.TEXTSPLIT(mouvementmp[[#This Row],[QR MP]],"_"),1,1)</f>
        <v>C09</v>
      </c>
      <c r="L67" s="47" t="str">
        <f>INDEX(_xlfn.TEXTSPLIT(mouvementmp[[#This Row],[QR MP]],"_"),1,2)</f>
        <v>BLEU NUIT</v>
      </c>
      <c r="M67" s="47" t="str">
        <f>INDEX(_xlfn.TEXTSPLIT(mouvementmp[[#This Row],[QR MP]],"_"),1,3)</f>
        <v>NM10-09.00</v>
      </c>
      <c r="N67" s="47" t="str">
        <f>INDEX(_xlfn.TEXTSPLIT(mouvementmp[[#This Row],[QR MP]],"_"),1,4)</f>
        <v>59176</v>
      </c>
      <c r="O67" s="47">
        <f>-mouvementmp[[#This Row],[Poids]]</f>
        <v>-199</v>
      </c>
      <c r="P67" s="47" t="str">
        <f>IF(
   COUNTIFS($A$2:A67,A67,
             $B$2:B67,B67,
             $C$2:C67,C67,
             $D$2:D67,D67,
             $E$2:E67,E67,
             $F$2:F67,F67,
              $J$2:J67,J67)&gt;1,
   "Doublon",
   "Correcte"
)</f>
        <v>Correcte</v>
      </c>
      <c r="Q67" s="106" t="str">
        <f>IF(mouvementmp[[#This Row],[QR Fabrication]]&lt;&gt;"",INDEX(_xlfn.TEXTSPLIT(mouvementmp[[#This Row],[QR Fabrication]],"_"),1,1),"")</f>
        <v/>
      </c>
      <c r="R67" s="106" t="str">
        <f>IF(mouvementmp[[#This Row],[QR Fabrication]]&lt;&gt;"",INDEX(_xlfn.TEXTSPLIT(mouvementmp[[#This Row],[QR Fabrication]],"_"),1,2),"")</f>
        <v/>
      </c>
      <c r="S67" s="47" t="str">
        <f>IF(mouvementmp[[#This Row],[QR Fabrication]]&lt;&gt;"",INDEX(_xlfn.TEXTSPLIT(mouvementmp[[#This Row],[QR Fabrication]],"_"),1,3),"")</f>
        <v/>
      </c>
      <c r="T67" s="47" t="str">
        <f>IF(mouvementmp[[#This Row],[QR Fabrication]]&lt;&gt;"",INDEX(_xlfn.TEXTSPLIT(mouvementmp[[#This Row],[QR Fabrication]],"_"),1,4),"")</f>
        <v/>
      </c>
      <c r="U67" s="47" t="str">
        <f>IF(mouvementmp[[#This Row],[QR Fabrication]]&lt;&gt;"",INDEX(_xlfn.TEXTSPLIT(mouvementmp[[#This Row],[QR Fabrication]],"_"),1,5),"")</f>
        <v/>
      </c>
      <c r="V67" s="47" t="str">
        <f>IF(mouvementmp[[#This Row],[QR Fabrication]]&lt;&gt;"",_xlfn.TEXTAFTER(mouvementmp[[#This Row],[QR Fabrication]],"_",5),"")</f>
        <v/>
      </c>
    </row>
    <row r="68" spans="1:22" ht="16.5" thickTop="1" thickBot="1" x14ac:dyDescent="0.3">
      <c r="A68" s="46"/>
      <c r="B68" s="54" t="s">
        <v>3845</v>
      </c>
      <c r="C68" s="47" t="s">
        <v>662</v>
      </c>
      <c r="D68" s="47" t="s">
        <v>662</v>
      </c>
      <c r="E68" s="47" t="s">
        <v>666</v>
      </c>
      <c r="F68" s="48">
        <v>927.5</v>
      </c>
      <c r="G68" s="47"/>
      <c r="H68" s="47"/>
      <c r="I68" s="47" t="s">
        <v>664</v>
      </c>
      <c r="J68" s="49">
        <v>45913</v>
      </c>
      <c r="K68" s="47" t="str">
        <f>INDEX(_xlfn.TEXTSPLIT(mouvementmp[[#This Row],[QR MP]],"_"),1,1)</f>
        <v>C09</v>
      </c>
      <c r="L68" s="47" t="str">
        <f>INDEX(_xlfn.TEXTSPLIT(mouvementmp[[#This Row],[QR MP]],"_"),1,2)</f>
        <v>NOIR</v>
      </c>
      <c r="M68" s="47" t="str">
        <f>INDEX(_xlfn.TEXTSPLIT(mouvementmp[[#This Row],[QR MP]],"_"),1,3)</f>
        <v>NM14-09.00</v>
      </c>
      <c r="N68" s="47" t="str">
        <f>INDEX(_xlfn.TEXTSPLIT(mouvementmp[[#This Row],[QR MP]],"_"),1,4)</f>
        <v>59635</v>
      </c>
      <c r="O68" s="47">
        <f>-mouvementmp[[#This Row],[Poids]]</f>
        <v>-927.5</v>
      </c>
      <c r="P68" s="47" t="str">
        <f>IF(
   COUNTIFS($A$2:A68,A68,
             $B$2:B68,B68,
             $C$2:C68,C68,
             $D$2:D68,D68,
             $E$2:E68,E68,
             $F$2:F68,F68,
              $J$2:J68,J68)&gt;1,
   "Doublon",
   "Correcte"
)</f>
        <v>Correcte</v>
      </c>
      <c r="Q68" s="106" t="str">
        <f>IF(mouvementmp[[#This Row],[QR Fabrication]]&lt;&gt;"",INDEX(_xlfn.TEXTSPLIT(mouvementmp[[#This Row],[QR Fabrication]],"_"),1,1),"")</f>
        <v/>
      </c>
      <c r="R68" s="106" t="str">
        <f>IF(mouvementmp[[#This Row],[QR Fabrication]]&lt;&gt;"",INDEX(_xlfn.TEXTSPLIT(mouvementmp[[#This Row],[QR Fabrication]],"_"),1,2),"")</f>
        <v/>
      </c>
      <c r="S68" s="47" t="str">
        <f>IF(mouvementmp[[#This Row],[QR Fabrication]]&lt;&gt;"",INDEX(_xlfn.TEXTSPLIT(mouvementmp[[#This Row],[QR Fabrication]],"_"),1,3),"")</f>
        <v/>
      </c>
      <c r="T68" s="47" t="str">
        <f>IF(mouvementmp[[#This Row],[QR Fabrication]]&lt;&gt;"",INDEX(_xlfn.TEXTSPLIT(mouvementmp[[#This Row],[QR Fabrication]],"_"),1,4),"")</f>
        <v/>
      </c>
      <c r="U68" s="47" t="str">
        <f>IF(mouvementmp[[#This Row],[QR Fabrication]]&lt;&gt;"",INDEX(_xlfn.TEXTSPLIT(mouvementmp[[#This Row],[QR Fabrication]],"_"),1,5),"")</f>
        <v/>
      </c>
      <c r="V68" s="47" t="str">
        <f>IF(mouvementmp[[#This Row],[QR Fabrication]]&lt;&gt;"",_xlfn.TEXTAFTER(mouvementmp[[#This Row],[QR Fabrication]],"_",5),"")</f>
        <v/>
      </c>
    </row>
    <row r="69" spans="1:22" ht="16.5" thickTop="1" thickBot="1" x14ac:dyDescent="0.3">
      <c r="A69" s="46"/>
      <c r="B69" s="54" t="s">
        <v>3845</v>
      </c>
      <c r="C69" s="47" t="s">
        <v>662</v>
      </c>
      <c r="D69" s="47" t="s">
        <v>662</v>
      </c>
      <c r="E69" s="47" t="s">
        <v>665</v>
      </c>
      <c r="F69" s="48">
        <v>259</v>
      </c>
      <c r="G69" s="47"/>
      <c r="H69" s="47"/>
      <c r="I69" s="47" t="s">
        <v>664</v>
      </c>
      <c r="J69" s="49">
        <v>45913</v>
      </c>
      <c r="K69" s="47" t="str">
        <f>INDEX(_xlfn.TEXTSPLIT(mouvementmp[[#This Row],[QR MP]],"_"),1,1)</f>
        <v>C09</v>
      </c>
      <c r="L69" s="47" t="str">
        <f>INDEX(_xlfn.TEXTSPLIT(mouvementmp[[#This Row],[QR MP]],"_"),1,2)</f>
        <v>NOIR</v>
      </c>
      <c r="M69" s="47" t="str">
        <f>INDEX(_xlfn.TEXTSPLIT(mouvementmp[[#This Row],[QR MP]],"_"),1,3)</f>
        <v>NM14-09.00</v>
      </c>
      <c r="N69" s="47" t="str">
        <f>INDEX(_xlfn.TEXTSPLIT(mouvementmp[[#This Row],[QR MP]],"_"),1,4)</f>
        <v>59635</v>
      </c>
      <c r="O69" s="47">
        <f>-mouvementmp[[#This Row],[Poids]]</f>
        <v>-259</v>
      </c>
      <c r="P69" s="47" t="str">
        <f>IF(
   COUNTIFS($A$2:A69,A69,
             $B$2:B69,B69,
             $C$2:C69,C69,
             $D$2:D69,D69,
             $E$2:E69,E69,
             $F$2:F69,F69,
              $J$2:J69,J69)&gt;1,
   "Doublon",
   "Correcte"
)</f>
        <v>Correcte</v>
      </c>
      <c r="Q69" s="106" t="str">
        <f>IF(mouvementmp[[#This Row],[QR Fabrication]]&lt;&gt;"",INDEX(_xlfn.TEXTSPLIT(mouvementmp[[#This Row],[QR Fabrication]],"_"),1,1),"")</f>
        <v/>
      </c>
      <c r="R69" s="106" t="str">
        <f>IF(mouvementmp[[#This Row],[QR Fabrication]]&lt;&gt;"",INDEX(_xlfn.TEXTSPLIT(mouvementmp[[#This Row],[QR Fabrication]],"_"),1,2),"")</f>
        <v/>
      </c>
      <c r="S69" s="47" t="str">
        <f>IF(mouvementmp[[#This Row],[QR Fabrication]]&lt;&gt;"",INDEX(_xlfn.TEXTSPLIT(mouvementmp[[#This Row],[QR Fabrication]],"_"),1,3),"")</f>
        <v/>
      </c>
      <c r="T69" s="47" t="str">
        <f>IF(mouvementmp[[#This Row],[QR Fabrication]]&lt;&gt;"",INDEX(_xlfn.TEXTSPLIT(mouvementmp[[#This Row],[QR Fabrication]],"_"),1,4),"")</f>
        <v/>
      </c>
      <c r="U69" s="47" t="str">
        <f>IF(mouvementmp[[#This Row],[QR Fabrication]]&lt;&gt;"",INDEX(_xlfn.TEXTSPLIT(mouvementmp[[#This Row],[QR Fabrication]],"_"),1,5),"")</f>
        <v/>
      </c>
      <c r="V69" s="47" t="str">
        <f>IF(mouvementmp[[#This Row],[QR Fabrication]]&lt;&gt;"",_xlfn.TEXTAFTER(mouvementmp[[#This Row],[QR Fabrication]],"_",5),"")</f>
        <v/>
      </c>
    </row>
    <row r="70" spans="1:22" ht="16.5" thickTop="1" thickBot="1" x14ac:dyDescent="0.3">
      <c r="A70" s="46"/>
      <c r="B70" s="54" t="s">
        <v>3846</v>
      </c>
      <c r="C70" s="47" t="s">
        <v>662</v>
      </c>
      <c r="D70" s="47" t="s">
        <v>662</v>
      </c>
      <c r="E70" s="47" t="s">
        <v>667</v>
      </c>
      <c r="F70" s="48">
        <v>17.5</v>
      </c>
      <c r="G70" s="47"/>
      <c r="H70" s="47"/>
      <c r="I70" s="47" t="s">
        <v>664</v>
      </c>
      <c r="J70" s="49">
        <v>45913</v>
      </c>
      <c r="K70" s="47" t="str">
        <f>INDEX(_xlfn.TEXTSPLIT(mouvementmp[[#This Row],[QR MP]],"_"),1,1)</f>
        <v>C10</v>
      </c>
      <c r="L70" s="47" t="str">
        <f>INDEX(_xlfn.TEXTSPLIT(mouvementmp[[#This Row],[QR MP]],"_"),1,2)</f>
        <v>BLEU MARINE</v>
      </c>
      <c r="M70" s="47" t="str">
        <f>INDEX(_xlfn.TEXTSPLIT(mouvementmp[[#This Row],[QR MP]],"_"),1,3)</f>
        <v>NM15-10.00</v>
      </c>
      <c r="N70" s="47" t="str">
        <f>INDEX(_xlfn.TEXTSPLIT(mouvementmp[[#This Row],[QR MP]],"_"),1,4)</f>
        <v>61462</v>
      </c>
      <c r="O70" s="47">
        <f>-mouvementmp[[#This Row],[Poids]]</f>
        <v>-17.5</v>
      </c>
      <c r="P70" s="47" t="str">
        <f>IF(
   COUNTIFS($A$2:A70,A70,
             $B$2:B70,B70,
             $C$2:C70,C70,
             $D$2:D70,D70,
             $E$2:E70,E70,
             $F$2:F70,F70,
              $J$2:J70,J70)&gt;1,
   "Doublon",
   "Correcte"
)</f>
        <v>Correcte</v>
      </c>
      <c r="Q70" s="106" t="str">
        <f>IF(mouvementmp[[#This Row],[QR Fabrication]]&lt;&gt;"",INDEX(_xlfn.TEXTSPLIT(mouvementmp[[#This Row],[QR Fabrication]],"_"),1,1),"")</f>
        <v/>
      </c>
      <c r="R70" s="106" t="str">
        <f>IF(mouvementmp[[#This Row],[QR Fabrication]]&lt;&gt;"",INDEX(_xlfn.TEXTSPLIT(mouvementmp[[#This Row],[QR Fabrication]],"_"),1,2),"")</f>
        <v/>
      </c>
      <c r="S70" s="47" t="str">
        <f>IF(mouvementmp[[#This Row],[QR Fabrication]]&lt;&gt;"",INDEX(_xlfn.TEXTSPLIT(mouvementmp[[#This Row],[QR Fabrication]],"_"),1,3),"")</f>
        <v/>
      </c>
      <c r="T70" s="47" t="str">
        <f>IF(mouvementmp[[#This Row],[QR Fabrication]]&lt;&gt;"",INDEX(_xlfn.TEXTSPLIT(mouvementmp[[#This Row],[QR Fabrication]],"_"),1,4),"")</f>
        <v/>
      </c>
      <c r="U70" s="47" t="str">
        <f>IF(mouvementmp[[#This Row],[QR Fabrication]]&lt;&gt;"",INDEX(_xlfn.TEXTSPLIT(mouvementmp[[#This Row],[QR Fabrication]],"_"),1,5),"")</f>
        <v/>
      </c>
      <c r="V70" s="47" t="str">
        <f>IF(mouvementmp[[#This Row],[QR Fabrication]]&lt;&gt;"",_xlfn.TEXTAFTER(mouvementmp[[#This Row],[QR Fabrication]],"_",5),"")</f>
        <v/>
      </c>
    </row>
    <row r="71" spans="1:22" ht="16.5" thickTop="1" thickBot="1" x14ac:dyDescent="0.3">
      <c r="A71" s="46"/>
      <c r="B71" s="54" t="s">
        <v>3846</v>
      </c>
      <c r="C71" s="47" t="s">
        <v>662</v>
      </c>
      <c r="D71" s="47" t="s">
        <v>662</v>
      </c>
      <c r="E71" s="47" t="s">
        <v>665</v>
      </c>
      <c r="F71" s="48">
        <v>68.099999999999994</v>
      </c>
      <c r="G71" s="47"/>
      <c r="H71" s="47"/>
      <c r="I71" s="47" t="s">
        <v>664</v>
      </c>
      <c r="J71" s="49">
        <v>45913</v>
      </c>
      <c r="K71" s="47" t="str">
        <f>INDEX(_xlfn.TEXTSPLIT(mouvementmp[[#This Row],[QR MP]],"_"),1,1)</f>
        <v>C10</v>
      </c>
      <c r="L71" s="47" t="str">
        <f>INDEX(_xlfn.TEXTSPLIT(mouvementmp[[#This Row],[QR MP]],"_"),1,2)</f>
        <v>BLEU MARINE</v>
      </c>
      <c r="M71" s="47" t="str">
        <f>INDEX(_xlfn.TEXTSPLIT(mouvementmp[[#This Row],[QR MP]],"_"),1,3)</f>
        <v>NM15-10.00</v>
      </c>
      <c r="N71" s="47" t="str">
        <f>INDEX(_xlfn.TEXTSPLIT(mouvementmp[[#This Row],[QR MP]],"_"),1,4)</f>
        <v>61462</v>
      </c>
      <c r="O71" s="47">
        <f>-mouvementmp[[#This Row],[Poids]]</f>
        <v>-68.099999999999994</v>
      </c>
      <c r="P71" s="47" t="str">
        <f>IF(
   COUNTIFS($A$2:A71,A71,
             $B$2:B71,B71,
             $C$2:C71,C71,
             $D$2:D71,D71,
             $E$2:E71,E71,
             $F$2:F71,F71,
              $J$2:J71,J71)&gt;1,
   "Doublon",
   "Correcte"
)</f>
        <v>Correcte</v>
      </c>
      <c r="Q71" s="106" t="str">
        <f>IF(mouvementmp[[#This Row],[QR Fabrication]]&lt;&gt;"",INDEX(_xlfn.TEXTSPLIT(mouvementmp[[#This Row],[QR Fabrication]],"_"),1,1),"")</f>
        <v/>
      </c>
      <c r="R71" s="106" t="str">
        <f>IF(mouvementmp[[#This Row],[QR Fabrication]]&lt;&gt;"",INDEX(_xlfn.TEXTSPLIT(mouvementmp[[#This Row],[QR Fabrication]],"_"),1,2),"")</f>
        <v/>
      </c>
      <c r="S71" s="47" t="str">
        <f>IF(mouvementmp[[#This Row],[QR Fabrication]]&lt;&gt;"",INDEX(_xlfn.TEXTSPLIT(mouvementmp[[#This Row],[QR Fabrication]],"_"),1,3),"")</f>
        <v/>
      </c>
      <c r="T71" s="47" t="str">
        <f>IF(mouvementmp[[#This Row],[QR Fabrication]]&lt;&gt;"",INDEX(_xlfn.TEXTSPLIT(mouvementmp[[#This Row],[QR Fabrication]],"_"),1,4),"")</f>
        <v/>
      </c>
      <c r="U71" s="47" t="str">
        <f>IF(mouvementmp[[#This Row],[QR Fabrication]]&lt;&gt;"",INDEX(_xlfn.TEXTSPLIT(mouvementmp[[#This Row],[QR Fabrication]],"_"),1,5),"")</f>
        <v/>
      </c>
      <c r="V71" s="47" t="str">
        <f>IF(mouvementmp[[#This Row],[QR Fabrication]]&lt;&gt;"",_xlfn.TEXTAFTER(mouvementmp[[#This Row],[QR Fabrication]],"_",5),"")</f>
        <v/>
      </c>
    </row>
    <row r="72" spans="1:22" ht="16.5" thickTop="1" thickBot="1" x14ac:dyDescent="0.3">
      <c r="A72" s="46"/>
      <c r="B72" s="54" t="s">
        <v>3847</v>
      </c>
      <c r="C72" s="47" t="s">
        <v>662</v>
      </c>
      <c r="D72" s="47" t="s">
        <v>662</v>
      </c>
      <c r="E72" s="47" t="s">
        <v>667</v>
      </c>
      <c r="F72" s="48">
        <v>431</v>
      </c>
      <c r="G72" s="47"/>
      <c r="H72" s="47"/>
      <c r="I72" s="47" t="s">
        <v>664</v>
      </c>
      <c r="J72" s="49">
        <v>45913</v>
      </c>
      <c r="K72" s="47" t="str">
        <f>INDEX(_xlfn.TEXTSPLIT(mouvementmp[[#This Row],[QR MP]],"_"),1,1)</f>
        <v>C11</v>
      </c>
      <c r="L72" s="47" t="str">
        <f>INDEX(_xlfn.TEXTSPLIT(mouvementmp[[#This Row],[QR MP]],"_"),1,2)</f>
        <v>BLEU GITANE</v>
      </c>
      <c r="M72" s="47" t="str">
        <f>INDEX(_xlfn.TEXTSPLIT(mouvementmp[[#This Row],[QR MP]],"_"),1,3)</f>
        <v>NM15-11.00</v>
      </c>
      <c r="N72" s="47" t="str">
        <f>INDEX(_xlfn.TEXTSPLIT(mouvementmp[[#This Row],[QR MP]],"_"),1,4)</f>
        <v>61659</v>
      </c>
      <c r="O72" s="47">
        <f>-mouvementmp[[#This Row],[Poids]]</f>
        <v>-431</v>
      </c>
      <c r="P72" s="47" t="str">
        <f>IF(
   COUNTIFS($A$2:A72,A72,
             $B$2:B72,B72,
             $C$2:C72,C72,
             $D$2:D72,D72,
             $E$2:E72,E72,
             $F$2:F72,F72,
              $J$2:J72,J72)&gt;1,
   "Doublon",
   "Correcte"
)</f>
        <v>Correcte</v>
      </c>
      <c r="Q72" s="106" t="str">
        <f>IF(mouvementmp[[#This Row],[QR Fabrication]]&lt;&gt;"",INDEX(_xlfn.TEXTSPLIT(mouvementmp[[#This Row],[QR Fabrication]],"_"),1,1),"")</f>
        <v/>
      </c>
      <c r="R72" s="106" t="str">
        <f>IF(mouvementmp[[#This Row],[QR Fabrication]]&lt;&gt;"",INDEX(_xlfn.TEXTSPLIT(mouvementmp[[#This Row],[QR Fabrication]],"_"),1,2),"")</f>
        <v/>
      </c>
      <c r="S72" s="47" t="str">
        <f>IF(mouvementmp[[#This Row],[QR Fabrication]]&lt;&gt;"",INDEX(_xlfn.TEXTSPLIT(mouvementmp[[#This Row],[QR Fabrication]],"_"),1,3),"")</f>
        <v/>
      </c>
      <c r="T72" s="47" t="str">
        <f>IF(mouvementmp[[#This Row],[QR Fabrication]]&lt;&gt;"",INDEX(_xlfn.TEXTSPLIT(mouvementmp[[#This Row],[QR Fabrication]],"_"),1,4),"")</f>
        <v/>
      </c>
      <c r="U72" s="47" t="str">
        <f>IF(mouvementmp[[#This Row],[QR Fabrication]]&lt;&gt;"",INDEX(_xlfn.TEXTSPLIT(mouvementmp[[#This Row],[QR Fabrication]],"_"),1,5),"")</f>
        <v/>
      </c>
      <c r="V72" s="47" t="str">
        <f>IF(mouvementmp[[#This Row],[QR Fabrication]]&lt;&gt;"",_xlfn.TEXTAFTER(mouvementmp[[#This Row],[QR Fabrication]],"_",5),"")</f>
        <v/>
      </c>
    </row>
    <row r="73" spans="1:22" ht="16.5" thickTop="1" thickBot="1" x14ac:dyDescent="0.3">
      <c r="A73" s="46"/>
      <c r="B73" s="54" t="s">
        <v>3847</v>
      </c>
      <c r="C73" s="47" t="s">
        <v>662</v>
      </c>
      <c r="D73" s="47" t="s">
        <v>662</v>
      </c>
      <c r="E73" s="47" t="s">
        <v>665</v>
      </c>
      <c r="F73" s="48">
        <v>319</v>
      </c>
      <c r="G73" s="47"/>
      <c r="H73" s="47"/>
      <c r="I73" s="47" t="s">
        <v>664</v>
      </c>
      <c r="J73" s="49">
        <v>45913</v>
      </c>
      <c r="K73" s="47" t="str">
        <f>INDEX(_xlfn.TEXTSPLIT(mouvementmp[[#This Row],[QR MP]],"_"),1,1)</f>
        <v>C11</v>
      </c>
      <c r="L73" s="47" t="str">
        <f>INDEX(_xlfn.TEXTSPLIT(mouvementmp[[#This Row],[QR MP]],"_"),1,2)</f>
        <v>BLEU GITANE</v>
      </c>
      <c r="M73" s="47" t="str">
        <f>INDEX(_xlfn.TEXTSPLIT(mouvementmp[[#This Row],[QR MP]],"_"),1,3)</f>
        <v>NM15-11.00</v>
      </c>
      <c r="N73" s="47" t="str">
        <f>INDEX(_xlfn.TEXTSPLIT(mouvementmp[[#This Row],[QR MP]],"_"),1,4)</f>
        <v>61659</v>
      </c>
      <c r="O73" s="47">
        <f>-mouvementmp[[#This Row],[Poids]]</f>
        <v>-319</v>
      </c>
      <c r="P73" s="47" t="str">
        <f>IF(
   COUNTIFS($A$2:A73,A73,
             $B$2:B73,B73,
             $C$2:C73,C73,
             $D$2:D73,D73,
             $E$2:E73,E73,
             $F$2:F73,F73,
              $J$2:J73,J73)&gt;1,
   "Doublon",
   "Correcte"
)</f>
        <v>Correcte</v>
      </c>
      <c r="Q73" s="106" t="str">
        <f>IF(mouvementmp[[#This Row],[QR Fabrication]]&lt;&gt;"",INDEX(_xlfn.TEXTSPLIT(mouvementmp[[#This Row],[QR Fabrication]],"_"),1,1),"")</f>
        <v/>
      </c>
      <c r="R73" s="106" t="str">
        <f>IF(mouvementmp[[#This Row],[QR Fabrication]]&lt;&gt;"",INDEX(_xlfn.TEXTSPLIT(mouvementmp[[#This Row],[QR Fabrication]],"_"),1,2),"")</f>
        <v/>
      </c>
      <c r="S73" s="47" t="str">
        <f>IF(mouvementmp[[#This Row],[QR Fabrication]]&lt;&gt;"",INDEX(_xlfn.TEXTSPLIT(mouvementmp[[#This Row],[QR Fabrication]],"_"),1,3),"")</f>
        <v/>
      </c>
      <c r="T73" s="47" t="str">
        <f>IF(mouvementmp[[#This Row],[QR Fabrication]]&lt;&gt;"",INDEX(_xlfn.TEXTSPLIT(mouvementmp[[#This Row],[QR Fabrication]],"_"),1,4),"")</f>
        <v/>
      </c>
      <c r="U73" s="47" t="str">
        <f>IF(mouvementmp[[#This Row],[QR Fabrication]]&lt;&gt;"",INDEX(_xlfn.TEXTSPLIT(mouvementmp[[#This Row],[QR Fabrication]],"_"),1,5),"")</f>
        <v/>
      </c>
      <c r="V73" s="47" t="str">
        <f>IF(mouvementmp[[#This Row],[QR Fabrication]]&lt;&gt;"",_xlfn.TEXTAFTER(mouvementmp[[#This Row],[QR Fabrication]],"_",5),"")</f>
        <v/>
      </c>
    </row>
    <row r="74" spans="1:22" ht="16.5" thickTop="1" thickBot="1" x14ac:dyDescent="0.3">
      <c r="A74" s="46"/>
      <c r="B74" s="54" t="s">
        <v>3848</v>
      </c>
      <c r="C74" s="47" t="s">
        <v>662</v>
      </c>
      <c r="D74" s="47" t="s">
        <v>662</v>
      </c>
      <c r="E74" s="47" t="s">
        <v>666</v>
      </c>
      <c r="F74" s="48">
        <v>206.5</v>
      </c>
      <c r="G74" s="47"/>
      <c r="H74" s="47"/>
      <c r="I74" s="47" t="s">
        <v>664</v>
      </c>
      <c r="J74" s="49">
        <v>45913</v>
      </c>
      <c r="K74" s="47" t="str">
        <f>INDEX(_xlfn.TEXTSPLIT(mouvementmp[[#This Row],[QR MP]],"_"),1,1)</f>
        <v>C11</v>
      </c>
      <c r="L74" s="47" t="str">
        <f>INDEX(_xlfn.TEXTSPLIT(mouvementmp[[#This Row],[QR MP]],"_"),1,2)</f>
        <v>BLEU GITANE</v>
      </c>
      <c r="M74" s="47" t="str">
        <f>INDEX(_xlfn.TEXTSPLIT(mouvementmp[[#This Row],[QR MP]],"_"),1,3)</f>
        <v>NM15-11.01</v>
      </c>
      <c r="N74" s="47" t="str">
        <f>INDEX(_xlfn.TEXTSPLIT(mouvementmp[[#This Row],[QR MP]],"_"),1,4)</f>
        <v>54771</v>
      </c>
      <c r="O74" s="47">
        <f>-mouvementmp[[#This Row],[Poids]]</f>
        <v>-206.5</v>
      </c>
      <c r="P74" s="47" t="str">
        <f>IF(
   COUNTIFS($A$2:A74,A74,
             $B$2:B74,B74,
             $C$2:C74,C74,
             $D$2:D74,D74,
             $E$2:E74,E74,
             $F$2:F74,F74,
              $J$2:J74,J74)&gt;1,
   "Doublon",
   "Correcte"
)</f>
        <v>Correcte</v>
      </c>
      <c r="Q74" s="106" t="str">
        <f>IF(mouvementmp[[#This Row],[QR Fabrication]]&lt;&gt;"",INDEX(_xlfn.TEXTSPLIT(mouvementmp[[#This Row],[QR Fabrication]],"_"),1,1),"")</f>
        <v/>
      </c>
      <c r="R74" s="106" t="str">
        <f>IF(mouvementmp[[#This Row],[QR Fabrication]]&lt;&gt;"",INDEX(_xlfn.TEXTSPLIT(mouvementmp[[#This Row],[QR Fabrication]],"_"),1,2),"")</f>
        <v/>
      </c>
      <c r="S74" s="47" t="str">
        <f>IF(mouvementmp[[#This Row],[QR Fabrication]]&lt;&gt;"",INDEX(_xlfn.TEXTSPLIT(mouvementmp[[#This Row],[QR Fabrication]],"_"),1,3),"")</f>
        <v/>
      </c>
      <c r="T74" s="47" t="str">
        <f>IF(mouvementmp[[#This Row],[QR Fabrication]]&lt;&gt;"",INDEX(_xlfn.TEXTSPLIT(mouvementmp[[#This Row],[QR Fabrication]],"_"),1,4),"")</f>
        <v/>
      </c>
      <c r="U74" s="47" t="str">
        <f>IF(mouvementmp[[#This Row],[QR Fabrication]]&lt;&gt;"",INDEX(_xlfn.TEXTSPLIT(mouvementmp[[#This Row],[QR Fabrication]],"_"),1,5),"")</f>
        <v/>
      </c>
      <c r="V74" s="47" t="str">
        <f>IF(mouvementmp[[#This Row],[QR Fabrication]]&lt;&gt;"",_xlfn.TEXTAFTER(mouvementmp[[#This Row],[QR Fabrication]],"_",5),"")</f>
        <v/>
      </c>
    </row>
    <row r="75" spans="1:22" ht="16.5" thickTop="1" thickBot="1" x14ac:dyDescent="0.3">
      <c r="A75" s="46"/>
      <c r="B75" s="54" t="s">
        <v>3849</v>
      </c>
      <c r="C75" s="47" t="s">
        <v>662</v>
      </c>
      <c r="D75" s="47" t="s">
        <v>662</v>
      </c>
      <c r="E75" s="47" t="s">
        <v>665</v>
      </c>
      <c r="F75" s="48">
        <v>3.4</v>
      </c>
      <c r="G75" s="47"/>
      <c r="H75" s="47"/>
      <c r="I75" s="47" t="s">
        <v>664</v>
      </c>
      <c r="J75" s="49">
        <v>45913</v>
      </c>
      <c r="K75" s="47" t="str">
        <f>INDEX(_xlfn.TEXTSPLIT(mouvementmp[[#This Row],[QR MP]],"_"),1,1)</f>
        <v>C12</v>
      </c>
      <c r="L75" s="47" t="str">
        <f>INDEX(_xlfn.TEXTSPLIT(mouvementmp[[#This Row],[QR MP]],"_"),1,2)</f>
        <v>BLEU JEANS</v>
      </c>
      <c r="M75" s="47" t="str">
        <f>INDEX(_xlfn.TEXTSPLIT(mouvementmp[[#This Row],[QR MP]],"_"),1,3)</f>
        <v>NM05-12.00</v>
      </c>
      <c r="N75" s="47" t="str">
        <f>INDEX(_xlfn.TEXTSPLIT(mouvementmp[[#This Row],[QR MP]],"_"),1,4)</f>
        <v>S2023</v>
      </c>
      <c r="O75" s="47">
        <f>-mouvementmp[[#This Row],[Poids]]</f>
        <v>-3.4</v>
      </c>
      <c r="P75" s="47" t="str">
        <f>IF(
   COUNTIFS($A$2:A75,A75,
             $B$2:B75,B75,
             $C$2:C75,C75,
             $D$2:D75,D75,
             $E$2:E75,E75,
             $F$2:F75,F75,
              $J$2:J75,J75)&gt;1,
   "Doublon",
   "Correcte"
)</f>
        <v>Correcte</v>
      </c>
      <c r="Q75" s="106" t="str">
        <f>IF(mouvementmp[[#This Row],[QR Fabrication]]&lt;&gt;"",INDEX(_xlfn.TEXTSPLIT(mouvementmp[[#This Row],[QR Fabrication]],"_"),1,1),"")</f>
        <v/>
      </c>
      <c r="R75" s="106" t="str">
        <f>IF(mouvementmp[[#This Row],[QR Fabrication]]&lt;&gt;"",INDEX(_xlfn.TEXTSPLIT(mouvementmp[[#This Row],[QR Fabrication]],"_"),1,2),"")</f>
        <v/>
      </c>
      <c r="S75" s="47" t="str">
        <f>IF(mouvementmp[[#This Row],[QR Fabrication]]&lt;&gt;"",INDEX(_xlfn.TEXTSPLIT(mouvementmp[[#This Row],[QR Fabrication]],"_"),1,3),"")</f>
        <v/>
      </c>
      <c r="T75" s="47" t="str">
        <f>IF(mouvementmp[[#This Row],[QR Fabrication]]&lt;&gt;"",INDEX(_xlfn.TEXTSPLIT(mouvementmp[[#This Row],[QR Fabrication]],"_"),1,4),"")</f>
        <v/>
      </c>
      <c r="U75" s="47" t="str">
        <f>IF(mouvementmp[[#This Row],[QR Fabrication]]&lt;&gt;"",INDEX(_xlfn.TEXTSPLIT(mouvementmp[[#This Row],[QR Fabrication]],"_"),1,5),"")</f>
        <v/>
      </c>
      <c r="V75" s="47" t="str">
        <f>IF(mouvementmp[[#This Row],[QR Fabrication]]&lt;&gt;"",_xlfn.TEXTAFTER(mouvementmp[[#This Row],[QR Fabrication]],"_",5),"")</f>
        <v/>
      </c>
    </row>
    <row r="76" spans="1:22" ht="16.5" thickTop="1" thickBot="1" x14ac:dyDescent="0.3">
      <c r="A76" s="46"/>
      <c r="B76" s="54" t="s">
        <v>3850</v>
      </c>
      <c r="C76" s="47" t="s">
        <v>662</v>
      </c>
      <c r="D76" s="47" t="s">
        <v>662</v>
      </c>
      <c r="E76" s="47" t="s">
        <v>666</v>
      </c>
      <c r="F76" s="48">
        <v>7</v>
      </c>
      <c r="G76" s="47"/>
      <c r="H76" s="47"/>
      <c r="I76" s="47" t="s">
        <v>664</v>
      </c>
      <c r="J76" s="49">
        <v>45913</v>
      </c>
      <c r="K76" s="47" t="str">
        <f>INDEX(_xlfn.TEXTSPLIT(mouvementmp[[#This Row],[QR MP]],"_"),1,1)</f>
        <v>C12</v>
      </c>
      <c r="L76" s="47" t="str">
        <f>INDEX(_xlfn.TEXTSPLIT(mouvementmp[[#This Row],[QR MP]],"_"),1,2)</f>
        <v>BLEU JEANS</v>
      </c>
      <c r="M76" s="47" t="str">
        <f>INDEX(_xlfn.TEXTSPLIT(mouvementmp[[#This Row],[QR MP]],"_"),1,3)</f>
        <v>NM12.2-12.00</v>
      </c>
      <c r="N76" s="47" t="str">
        <f>INDEX(_xlfn.TEXTSPLIT(mouvementmp[[#This Row],[QR MP]],"_"),1,4)</f>
        <v>S2023</v>
      </c>
      <c r="O76" s="47">
        <f>-mouvementmp[[#This Row],[Poids]]</f>
        <v>-7</v>
      </c>
      <c r="P76" s="47" t="str">
        <f>IF(
   COUNTIFS($A$2:A76,A76,
             $B$2:B76,B76,
             $C$2:C76,C76,
             $D$2:D76,D76,
             $E$2:E76,E76,
             $F$2:F76,F76,
              $J$2:J76,J76)&gt;1,
   "Doublon",
   "Correcte"
)</f>
        <v>Correcte</v>
      </c>
      <c r="Q76" s="106" t="str">
        <f>IF(mouvementmp[[#This Row],[QR Fabrication]]&lt;&gt;"",INDEX(_xlfn.TEXTSPLIT(mouvementmp[[#This Row],[QR Fabrication]],"_"),1,1),"")</f>
        <v/>
      </c>
      <c r="R76" s="106" t="str">
        <f>IF(mouvementmp[[#This Row],[QR Fabrication]]&lt;&gt;"",INDEX(_xlfn.TEXTSPLIT(mouvementmp[[#This Row],[QR Fabrication]],"_"),1,2),"")</f>
        <v/>
      </c>
      <c r="S76" s="47" t="str">
        <f>IF(mouvementmp[[#This Row],[QR Fabrication]]&lt;&gt;"",INDEX(_xlfn.TEXTSPLIT(mouvementmp[[#This Row],[QR Fabrication]],"_"),1,3),"")</f>
        <v/>
      </c>
      <c r="T76" s="47" t="str">
        <f>IF(mouvementmp[[#This Row],[QR Fabrication]]&lt;&gt;"",INDEX(_xlfn.TEXTSPLIT(mouvementmp[[#This Row],[QR Fabrication]],"_"),1,4),"")</f>
        <v/>
      </c>
      <c r="U76" s="47" t="str">
        <f>IF(mouvementmp[[#This Row],[QR Fabrication]]&lt;&gt;"",INDEX(_xlfn.TEXTSPLIT(mouvementmp[[#This Row],[QR Fabrication]],"_"),1,5),"")</f>
        <v/>
      </c>
      <c r="V76" s="47" t="str">
        <f>IF(mouvementmp[[#This Row],[QR Fabrication]]&lt;&gt;"",_xlfn.TEXTAFTER(mouvementmp[[#This Row],[QR Fabrication]],"_",5),"")</f>
        <v/>
      </c>
    </row>
    <row r="77" spans="1:22" ht="16.5" thickTop="1" thickBot="1" x14ac:dyDescent="0.3">
      <c r="A77" s="46"/>
      <c r="B77" s="54" t="s">
        <v>3851</v>
      </c>
      <c r="C77" s="47" t="s">
        <v>662</v>
      </c>
      <c r="D77" s="47" t="s">
        <v>662</v>
      </c>
      <c r="E77" s="47" t="s">
        <v>665</v>
      </c>
      <c r="F77" s="48">
        <v>226.5</v>
      </c>
      <c r="G77" s="47"/>
      <c r="H77" s="47"/>
      <c r="I77" s="47" t="s">
        <v>664</v>
      </c>
      <c r="J77" s="49">
        <v>45913</v>
      </c>
      <c r="K77" s="47" t="str">
        <f>INDEX(_xlfn.TEXTSPLIT(mouvementmp[[#This Row],[QR MP]],"_"),1,1)</f>
        <v>C12</v>
      </c>
      <c r="L77" s="47" t="str">
        <f>INDEX(_xlfn.TEXTSPLIT(mouvementmp[[#This Row],[QR MP]],"_"),1,2)</f>
        <v>BLEU DJEAN</v>
      </c>
      <c r="M77" s="47" t="str">
        <f>INDEX(_xlfn.TEXTSPLIT(mouvementmp[[#This Row],[QR MP]],"_"),1,3)</f>
        <v>NM15-12.00</v>
      </c>
      <c r="N77" s="47" t="str">
        <f>INDEX(_xlfn.TEXTSPLIT(mouvementmp[[#This Row],[QR MP]],"_"),1,4)</f>
        <v>S2023</v>
      </c>
      <c r="O77" s="47">
        <f>-mouvementmp[[#This Row],[Poids]]</f>
        <v>-226.5</v>
      </c>
      <c r="P77" s="47" t="str">
        <f>IF(
   COUNTIFS($A$2:A77,A77,
             $B$2:B77,B77,
             $C$2:C77,C77,
             $D$2:D77,D77,
             $E$2:E77,E77,
             $F$2:F77,F77,
              $J$2:J77,J77)&gt;1,
   "Doublon",
   "Correcte"
)</f>
        <v>Correcte</v>
      </c>
      <c r="Q77" s="106" t="str">
        <f>IF(mouvementmp[[#This Row],[QR Fabrication]]&lt;&gt;"",INDEX(_xlfn.TEXTSPLIT(mouvementmp[[#This Row],[QR Fabrication]],"_"),1,1),"")</f>
        <v/>
      </c>
      <c r="R77" s="106" t="str">
        <f>IF(mouvementmp[[#This Row],[QR Fabrication]]&lt;&gt;"",INDEX(_xlfn.TEXTSPLIT(mouvementmp[[#This Row],[QR Fabrication]],"_"),1,2),"")</f>
        <v/>
      </c>
      <c r="S77" s="47" t="str">
        <f>IF(mouvementmp[[#This Row],[QR Fabrication]]&lt;&gt;"",INDEX(_xlfn.TEXTSPLIT(mouvementmp[[#This Row],[QR Fabrication]],"_"),1,3),"")</f>
        <v/>
      </c>
      <c r="T77" s="47" t="str">
        <f>IF(mouvementmp[[#This Row],[QR Fabrication]]&lt;&gt;"",INDEX(_xlfn.TEXTSPLIT(mouvementmp[[#This Row],[QR Fabrication]],"_"),1,4),"")</f>
        <v/>
      </c>
      <c r="U77" s="47" t="str">
        <f>IF(mouvementmp[[#This Row],[QR Fabrication]]&lt;&gt;"",INDEX(_xlfn.TEXTSPLIT(mouvementmp[[#This Row],[QR Fabrication]],"_"),1,5),"")</f>
        <v/>
      </c>
      <c r="V77" s="47" t="str">
        <f>IF(mouvementmp[[#This Row],[QR Fabrication]]&lt;&gt;"",_xlfn.TEXTAFTER(mouvementmp[[#This Row],[QR Fabrication]],"_",5),"")</f>
        <v/>
      </c>
    </row>
    <row r="78" spans="1:22" ht="16.5" thickTop="1" thickBot="1" x14ac:dyDescent="0.3">
      <c r="A78" s="46"/>
      <c r="B78" s="54" t="s">
        <v>3852</v>
      </c>
      <c r="C78" s="47" t="s">
        <v>662</v>
      </c>
      <c r="D78" s="47" t="s">
        <v>662</v>
      </c>
      <c r="E78" s="47" t="s">
        <v>665</v>
      </c>
      <c r="F78" s="48">
        <v>58</v>
      </c>
      <c r="G78" s="47"/>
      <c r="H78" s="47"/>
      <c r="I78" s="47" t="s">
        <v>664</v>
      </c>
      <c r="J78" s="49">
        <v>45913</v>
      </c>
      <c r="K78" s="47" t="str">
        <f>INDEX(_xlfn.TEXTSPLIT(mouvementmp[[#This Row],[QR MP]],"_"),1,1)</f>
        <v>C12</v>
      </c>
      <c r="L78" s="47" t="str">
        <f>INDEX(_xlfn.TEXTSPLIT(mouvementmp[[#This Row],[QR MP]],"_"),1,2)</f>
        <v>BLEU DELAVE</v>
      </c>
      <c r="M78" s="47" t="str">
        <f>INDEX(_xlfn.TEXTSPLIT(mouvementmp[[#This Row],[QR MP]],"_"),1,3)</f>
        <v>NM20-12.00</v>
      </c>
      <c r="N78" s="47" t="str">
        <f>INDEX(_xlfn.TEXTSPLIT(mouvementmp[[#This Row],[QR MP]],"_"),1,4)</f>
        <v>S2023</v>
      </c>
      <c r="O78" s="47">
        <f>-mouvementmp[[#This Row],[Poids]]</f>
        <v>-58</v>
      </c>
      <c r="P78" s="47" t="str">
        <f>IF(
   COUNTIFS($A$2:A78,A78,
             $B$2:B78,B78,
             $C$2:C78,C78,
             $D$2:D78,D78,
             $E$2:E78,E78,
             $F$2:F78,F78,
              $J$2:J78,J78)&gt;1,
   "Doublon",
   "Correcte"
)</f>
        <v>Correcte</v>
      </c>
      <c r="Q78" s="106" t="str">
        <f>IF(mouvementmp[[#This Row],[QR Fabrication]]&lt;&gt;"",INDEX(_xlfn.TEXTSPLIT(mouvementmp[[#This Row],[QR Fabrication]],"_"),1,1),"")</f>
        <v/>
      </c>
      <c r="R78" s="106" t="str">
        <f>IF(mouvementmp[[#This Row],[QR Fabrication]]&lt;&gt;"",INDEX(_xlfn.TEXTSPLIT(mouvementmp[[#This Row],[QR Fabrication]],"_"),1,2),"")</f>
        <v/>
      </c>
      <c r="S78" s="47" t="str">
        <f>IF(mouvementmp[[#This Row],[QR Fabrication]]&lt;&gt;"",INDEX(_xlfn.TEXTSPLIT(mouvementmp[[#This Row],[QR Fabrication]],"_"),1,3),"")</f>
        <v/>
      </c>
      <c r="T78" s="47" t="str">
        <f>IF(mouvementmp[[#This Row],[QR Fabrication]]&lt;&gt;"",INDEX(_xlfn.TEXTSPLIT(mouvementmp[[#This Row],[QR Fabrication]],"_"),1,4),"")</f>
        <v/>
      </c>
      <c r="U78" s="47" t="str">
        <f>IF(mouvementmp[[#This Row],[QR Fabrication]]&lt;&gt;"",INDEX(_xlfn.TEXTSPLIT(mouvementmp[[#This Row],[QR Fabrication]],"_"),1,5),"")</f>
        <v/>
      </c>
      <c r="V78" s="47" t="str">
        <f>IF(mouvementmp[[#This Row],[QR Fabrication]]&lt;&gt;"",_xlfn.TEXTAFTER(mouvementmp[[#This Row],[QR Fabrication]],"_",5),"")</f>
        <v/>
      </c>
    </row>
    <row r="79" spans="1:22" ht="16.5" thickTop="1" thickBot="1" x14ac:dyDescent="0.3">
      <c r="A79" s="46"/>
      <c r="B79" s="54" t="s">
        <v>3853</v>
      </c>
      <c r="C79" s="47" t="s">
        <v>662</v>
      </c>
      <c r="D79" s="47" t="s">
        <v>662</v>
      </c>
      <c r="E79" s="47" t="s">
        <v>665</v>
      </c>
      <c r="F79" s="48">
        <v>35.25</v>
      </c>
      <c r="G79" s="47"/>
      <c r="H79" s="47"/>
      <c r="I79" s="47" t="s">
        <v>664</v>
      </c>
      <c r="J79" s="49">
        <v>45913</v>
      </c>
      <c r="K79" s="47" t="str">
        <f>INDEX(_xlfn.TEXTSPLIT(mouvementmp[[#This Row],[QR MP]],"_"),1,1)</f>
        <v>C12</v>
      </c>
      <c r="L79" s="47" t="str">
        <f>INDEX(_xlfn.TEXTSPLIT(mouvementmp[[#This Row],[QR MP]],"_"),1,2)</f>
        <v>BLEU JEANS</v>
      </c>
      <c r="M79" s="47" t="str">
        <f>INDEX(_xlfn.TEXTSPLIT(mouvementmp[[#This Row],[QR MP]],"_"),1,3)</f>
        <v>NM20-12.01</v>
      </c>
      <c r="N79" s="47" t="str">
        <f>INDEX(_xlfn.TEXTSPLIT(mouvementmp[[#This Row],[QR MP]],"_"),1,4)</f>
        <v>S2023</v>
      </c>
      <c r="O79" s="47">
        <f>-mouvementmp[[#This Row],[Poids]]</f>
        <v>-35.25</v>
      </c>
      <c r="P79" s="47" t="str">
        <f>IF(
   COUNTIFS($A$2:A79,A79,
             $B$2:B79,B79,
             $C$2:C79,C79,
             $D$2:D79,D79,
             $E$2:E79,E79,
             $F$2:F79,F79,
              $J$2:J79,J79)&gt;1,
   "Doublon",
   "Correcte"
)</f>
        <v>Correcte</v>
      </c>
      <c r="Q79" s="106" t="str">
        <f>IF(mouvementmp[[#This Row],[QR Fabrication]]&lt;&gt;"",INDEX(_xlfn.TEXTSPLIT(mouvementmp[[#This Row],[QR Fabrication]],"_"),1,1),"")</f>
        <v/>
      </c>
      <c r="R79" s="106" t="str">
        <f>IF(mouvementmp[[#This Row],[QR Fabrication]]&lt;&gt;"",INDEX(_xlfn.TEXTSPLIT(mouvementmp[[#This Row],[QR Fabrication]],"_"),1,2),"")</f>
        <v/>
      </c>
      <c r="S79" s="47" t="str">
        <f>IF(mouvementmp[[#This Row],[QR Fabrication]]&lt;&gt;"",INDEX(_xlfn.TEXTSPLIT(mouvementmp[[#This Row],[QR Fabrication]],"_"),1,3),"")</f>
        <v/>
      </c>
      <c r="T79" s="47" t="str">
        <f>IF(mouvementmp[[#This Row],[QR Fabrication]]&lt;&gt;"",INDEX(_xlfn.TEXTSPLIT(mouvementmp[[#This Row],[QR Fabrication]],"_"),1,4),"")</f>
        <v/>
      </c>
      <c r="U79" s="47" t="str">
        <f>IF(mouvementmp[[#This Row],[QR Fabrication]]&lt;&gt;"",INDEX(_xlfn.TEXTSPLIT(mouvementmp[[#This Row],[QR Fabrication]],"_"),1,5),"")</f>
        <v/>
      </c>
      <c r="V79" s="47" t="str">
        <f>IF(mouvementmp[[#This Row],[QR Fabrication]]&lt;&gt;"",_xlfn.TEXTAFTER(mouvementmp[[#This Row],[QR Fabrication]],"_",5),"")</f>
        <v/>
      </c>
    </row>
    <row r="80" spans="1:22" ht="16.5" thickTop="1" thickBot="1" x14ac:dyDescent="0.3">
      <c r="A80" s="46"/>
      <c r="B80" s="54" t="s">
        <v>3854</v>
      </c>
      <c r="C80" s="47" t="s">
        <v>662</v>
      </c>
      <c r="D80" s="47" t="s">
        <v>662</v>
      </c>
      <c r="E80" s="47" t="s">
        <v>665</v>
      </c>
      <c r="F80" s="48">
        <v>48</v>
      </c>
      <c r="G80" s="47"/>
      <c r="H80" s="47"/>
      <c r="I80" s="47" t="s">
        <v>664</v>
      </c>
      <c r="J80" s="49">
        <v>45913</v>
      </c>
      <c r="K80" s="47" t="str">
        <f>INDEX(_xlfn.TEXTSPLIT(mouvementmp[[#This Row],[QR MP]],"_"),1,1)</f>
        <v>C12</v>
      </c>
      <c r="L80" s="47" t="str">
        <f>INDEX(_xlfn.TEXTSPLIT(mouvementmp[[#This Row],[QR MP]],"_"),1,2)</f>
        <v>BLEU DELAVE</v>
      </c>
      <c r="M80" s="47" t="str">
        <f>INDEX(_xlfn.TEXTSPLIT(mouvementmp[[#This Row],[QR MP]],"_"),1,3)</f>
        <v>NM34-12.00</v>
      </c>
      <c r="N80" s="47" t="str">
        <f>INDEX(_xlfn.TEXTSPLIT(mouvementmp[[#This Row],[QR MP]],"_"),1,4)</f>
        <v>S2024</v>
      </c>
      <c r="O80" s="47">
        <f>-mouvementmp[[#This Row],[Poids]]</f>
        <v>-48</v>
      </c>
      <c r="P80" s="47" t="str">
        <f>IF(
   COUNTIFS($A$2:A80,A80,
             $B$2:B80,B80,
             $C$2:C80,C80,
             $D$2:D80,D80,
             $E$2:E80,E80,
             $F$2:F80,F80,
              $J$2:J80,J80)&gt;1,
   "Doublon",
   "Correcte"
)</f>
        <v>Correcte</v>
      </c>
      <c r="Q80" s="106" t="str">
        <f>IF(mouvementmp[[#This Row],[QR Fabrication]]&lt;&gt;"",INDEX(_xlfn.TEXTSPLIT(mouvementmp[[#This Row],[QR Fabrication]],"_"),1,1),"")</f>
        <v/>
      </c>
      <c r="R80" s="106" t="str">
        <f>IF(mouvementmp[[#This Row],[QR Fabrication]]&lt;&gt;"",INDEX(_xlfn.TEXTSPLIT(mouvementmp[[#This Row],[QR Fabrication]],"_"),1,2),"")</f>
        <v/>
      </c>
      <c r="S80" s="47" t="str">
        <f>IF(mouvementmp[[#This Row],[QR Fabrication]]&lt;&gt;"",INDEX(_xlfn.TEXTSPLIT(mouvementmp[[#This Row],[QR Fabrication]],"_"),1,3),"")</f>
        <v/>
      </c>
      <c r="T80" s="47" t="str">
        <f>IF(mouvementmp[[#This Row],[QR Fabrication]]&lt;&gt;"",INDEX(_xlfn.TEXTSPLIT(mouvementmp[[#This Row],[QR Fabrication]],"_"),1,4),"")</f>
        <v/>
      </c>
      <c r="U80" s="47" t="str">
        <f>IF(mouvementmp[[#This Row],[QR Fabrication]]&lt;&gt;"",INDEX(_xlfn.TEXTSPLIT(mouvementmp[[#This Row],[QR Fabrication]],"_"),1,5),"")</f>
        <v/>
      </c>
      <c r="V80" s="47" t="str">
        <f>IF(mouvementmp[[#This Row],[QR Fabrication]]&lt;&gt;"",_xlfn.TEXTAFTER(mouvementmp[[#This Row],[QR Fabrication]],"_",5),"")</f>
        <v/>
      </c>
    </row>
    <row r="81" spans="1:22" ht="16.5" thickTop="1" thickBot="1" x14ac:dyDescent="0.3">
      <c r="A81" s="46"/>
      <c r="B81" s="54" t="s">
        <v>3855</v>
      </c>
      <c r="C81" s="47" t="s">
        <v>662</v>
      </c>
      <c r="D81" s="47" t="s">
        <v>662</v>
      </c>
      <c r="E81" s="47" t="s">
        <v>665</v>
      </c>
      <c r="F81" s="48">
        <v>4</v>
      </c>
      <c r="G81" s="47"/>
      <c r="H81" s="47"/>
      <c r="I81" s="47" t="s">
        <v>664</v>
      </c>
      <c r="J81" s="49">
        <v>45913</v>
      </c>
      <c r="K81" s="47" t="str">
        <f>INDEX(_xlfn.TEXTSPLIT(mouvementmp[[#This Row],[QR MP]],"_"),1,1)</f>
        <v>C13</v>
      </c>
      <c r="L81" s="47" t="str">
        <f>INDEX(_xlfn.TEXTSPLIT(mouvementmp[[#This Row],[QR MP]],"_"),1,2)</f>
        <v>BLEU ROI</v>
      </c>
      <c r="M81" s="47" t="str">
        <f>INDEX(_xlfn.TEXTSPLIT(mouvementmp[[#This Row],[QR MP]],"_"),1,3)</f>
        <v>NM15-13.00</v>
      </c>
      <c r="N81" s="47" t="str">
        <f>INDEX(_xlfn.TEXTSPLIT(mouvementmp[[#This Row],[QR MP]],"_"),1,4)</f>
        <v>61519</v>
      </c>
      <c r="O81" s="47">
        <f>-mouvementmp[[#This Row],[Poids]]</f>
        <v>-4</v>
      </c>
      <c r="P81" s="47" t="str">
        <f>IF(
   COUNTIFS($A$2:A81,A81,
             $B$2:B81,B81,
             $C$2:C81,C81,
             $D$2:D81,D81,
             $E$2:E81,E81,
             $F$2:F81,F81,
              $J$2:J81,J81)&gt;1,
   "Doublon",
   "Correcte"
)</f>
        <v>Correcte</v>
      </c>
      <c r="Q81" s="106" t="str">
        <f>IF(mouvementmp[[#This Row],[QR Fabrication]]&lt;&gt;"",INDEX(_xlfn.TEXTSPLIT(mouvementmp[[#This Row],[QR Fabrication]],"_"),1,1),"")</f>
        <v/>
      </c>
      <c r="R81" s="106" t="str">
        <f>IF(mouvementmp[[#This Row],[QR Fabrication]]&lt;&gt;"",INDEX(_xlfn.TEXTSPLIT(mouvementmp[[#This Row],[QR Fabrication]],"_"),1,2),"")</f>
        <v/>
      </c>
      <c r="S81" s="47" t="str">
        <f>IF(mouvementmp[[#This Row],[QR Fabrication]]&lt;&gt;"",INDEX(_xlfn.TEXTSPLIT(mouvementmp[[#This Row],[QR Fabrication]],"_"),1,3),"")</f>
        <v/>
      </c>
      <c r="T81" s="47" t="str">
        <f>IF(mouvementmp[[#This Row],[QR Fabrication]]&lt;&gt;"",INDEX(_xlfn.TEXTSPLIT(mouvementmp[[#This Row],[QR Fabrication]],"_"),1,4),"")</f>
        <v/>
      </c>
      <c r="U81" s="47" t="str">
        <f>IF(mouvementmp[[#This Row],[QR Fabrication]]&lt;&gt;"",INDEX(_xlfn.TEXTSPLIT(mouvementmp[[#This Row],[QR Fabrication]],"_"),1,5),"")</f>
        <v/>
      </c>
      <c r="V81" s="47" t="str">
        <f>IF(mouvementmp[[#This Row],[QR Fabrication]]&lt;&gt;"",_xlfn.TEXTAFTER(mouvementmp[[#This Row],[QR Fabrication]],"_",5),"")</f>
        <v/>
      </c>
    </row>
    <row r="82" spans="1:22" ht="16.5" thickTop="1" thickBot="1" x14ac:dyDescent="0.3">
      <c r="A82" s="46"/>
      <c r="B82" s="54" t="s">
        <v>3856</v>
      </c>
      <c r="C82" s="47" t="s">
        <v>662</v>
      </c>
      <c r="D82" s="47" t="s">
        <v>662</v>
      </c>
      <c r="E82" s="47" t="s">
        <v>665</v>
      </c>
      <c r="F82" s="48">
        <v>141</v>
      </c>
      <c r="G82" s="47"/>
      <c r="H82" s="47"/>
      <c r="I82" s="47" t="s">
        <v>664</v>
      </c>
      <c r="J82" s="49">
        <v>45913</v>
      </c>
      <c r="K82" s="47" t="str">
        <f>INDEX(_xlfn.TEXTSPLIT(mouvementmp[[#This Row],[QR MP]],"_"),1,1)</f>
        <v>C13</v>
      </c>
      <c r="L82" s="47" t="str">
        <f>INDEX(_xlfn.TEXTSPLIT(mouvementmp[[#This Row],[QR MP]],"_"),1,2)</f>
        <v>BLEU ROI</v>
      </c>
      <c r="M82" s="47" t="str">
        <f>INDEX(_xlfn.TEXTSPLIT(mouvementmp[[#This Row],[QR MP]],"_"),1,3)</f>
        <v>NM20-13.00</v>
      </c>
      <c r="N82" s="47" t="str">
        <f>INDEX(_xlfn.TEXTSPLIT(mouvementmp[[#This Row],[QR MP]],"_"),1,4)</f>
        <v>S2023</v>
      </c>
      <c r="O82" s="47">
        <f>-mouvementmp[[#This Row],[Poids]]</f>
        <v>-141</v>
      </c>
      <c r="P82" s="47" t="str">
        <f>IF(
   COUNTIFS($A$2:A82,A82,
             $B$2:B82,B82,
             $C$2:C82,C82,
             $D$2:D82,D82,
             $E$2:E82,E82,
             $F$2:F82,F82,
              $J$2:J82,J82)&gt;1,
   "Doublon",
   "Correcte"
)</f>
        <v>Correcte</v>
      </c>
      <c r="Q82" s="106" t="str">
        <f>IF(mouvementmp[[#This Row],[QR Fabrication]]&lt;&gt;"",INDEX(_xlfn.TEXTSPLIT(mouvementmp[[#This Row],[QR Fabrication]],"_"),1,1),"")</f>
        <v/>
      </c>
      <c r="R82" s="106" t="str">
        <f>IF(mouvementmp[[#This Row],[QR Fabrication]]&lt;&gt;"",INDEX(_xlfn.TEXTSPLIT(mouvementmp[[#This Row],[QR Fabrication]],"_"),1,2),"")</f>
        <v/>
      </c>
      <c r="S82" s="47" t="str">
        <f>IF(mouvementmp[[#This Row],[QR Fabrication]]&lt;&gt;"",INDEX(_xlfn.TEXTSPLIT(mouvementmp[[#This Row],[QR Fabrication]],"_"),1,3),"")</f>
        <v/>
      </c>
      <c r="T82" s="47" t="str">
        <f>IF(mouvementmp[[#This Row],[QR Fabrication]]&lt;&gt;"",INDEX(_xlfn.TEXTSPLIT(mouvementmp[[#This Row],[QR Fabrication]],"_"),1,4),"")</f>
        <v/>
      </c>
      <c r="U82" s="47" t="str">
        <f>IF(mouvementmp[[#This Row],[QR Fabrication]]&lt;&gt;"",INDEX(_xlfn.TEXTSPLIT(mouvementmp[[#This Row],[QR Fabrication]],"_"),1,5),"")</f>
        <v/>
      </c>
      <c r="V82" s="47" t="str">
        <f>IF(mouvementmp[[#This Row],[QR Fabrication]]&lt;&gt;"",_xlfn.TEXTAFTER(mouvementmp[[#This Row],[QR Fabrication]],"_",5),"")</f>
        <v/>
      </c>
    </row>
    <row r="83" spans="1:22" ht="16.5" thickTop="1" thickBot="1" x14ac:dyDescent="0.3">
      <c r="A83" s="46"/>
      <c r="B83" s="54" t="s">
        <v>3857</v>
      </c>
      <c r="C83" s="47" t="s">
        <v>662</v>
      </c>
      <c r="D83" s="47" t="s">
        <v>662</v>
      </c>
      <c r="E83" s="47" t="s">
        <v>663</v>
      </c>
      <c r="F83" s="48">
        <v>269.5</v>
      </c>
      <c r="G83" s="47"/>
      <c r="H83" s="47"/>
      <c r="I83" s="47" t="s">
        <v>664</v>
      </c>
      <c r="J83" s="49">
        <v>45913</v>
      </c>
      <c r="K83" s="47" t="str">
        <f>INDEX(_xlfn.TEXTSPLIT(mouvementmp[[#This Row],[QR MP]],"_"),1,1)</f>
        <v>C14</v>
      </c>
      <c r="L83" s="47" t="str">
        <f>INDEX(_xlfn.TEXTSPLIT(mouvementmp[[#This Row],[QR MP]],"_"),1,2)</f>
        <v>TURQUOISE</v>
      </c>
      <c r="M83" s="47" t="str">
        <f>INDEX(_xlfn.TEXTSPLIT(mouvementmp[[#This Row],[QR MP]],"_"),1,3)</f>
        <v>NM05-14.00</v>
      </c>
      <c r="N83" s="47" t="str">
        <f>INDEX(_xlfn.TEXTSPLIT(mouvementmp[[#This Row],[QR MP]],"_"),1,4)</f>
        <v>60654</v>
      </c>
      <c r="O83" s="47">
        <f>-mouvementmp[[#This Row],[Poids]]</f>
        <v>-269.5</v>
      </c>
      <c r="P83" s="47" t="str">
        <f>IF(
   COUNTIFS($A$2:A83,A83,
             $B$2:B83,B83,
             $C$2:C83,C83,
             $D$2:D83,D83,
             $E$2:E83,E83,
             $F$2:F83,F83,
              $J$2:J83,J83)&gt;1,
   "Doublon",
   "Correcte"
)</f>
        <v>Correcte</v>
      </c>
      <c r="Q83" s="106" t="str">
        <f>IF(mouvementmp[[#This Row],[QR Fabrication]]&lt;&gt;"",INDEX(_xlfn.TEXTSPLIT(mouvementmp[[#This Row],[QR Fabrication]],"_"),1,1),"")</f>
        <v/>
      </c>
      <c r="R83" s="106" t="str">
        <f>IF(mouvementmp[[#This Row],[QR Fabrication]]&lt;&gt;"",INDEX(_xlfn.TEXTSPLIT(mouvementmp[[#This Row],[QR Fabrication]],"_"),1,2),"")</f>
        <v/>
      </c>
      <c r="S83" s="47" t="str">
        <f>IF(mouvementmp[[#This Row],[QR Fabrication]]&lt;&gt;"",INDEX(_xlfn.TEXTSPLIT(mouvementmp[[#This Row],[QR Fabrication]],"_"),1,3),"")</f>
        <v/>
      </c>
      <c r="T83" s="47" t="str">
        <f>IF(mouvementmp[[#This Row],[QR Fabrication]]&lt;&gt;"",INDEX(_xlfn.TEXTSPLIT(mouvementmp[[#This Row],[QR Fabrication]],"_"),1,4),"")</f>
        <v/>
      </c>
      <c r="U83" s="47" t="str">
        <f>IF(mouvementmp[[#This Row],[QR Fabrication]]&lt;&gt;"",INDEX(_xlfn.TEXTSPLIT(mouvementmp[[#This Row],[QR Fabrication]],"_"),1,5),"")</f>
        <v/>
      </c>
      <c r="V83" s="47" t="str">
        <f>IF(mouvementmp[[#This Row],[QR Fabrication]]&lt;&gt;"",_xlfn.TEXTAFTER(mouvementmp[[#This Row],[QR Fabrication]],"_",5),"")</f>
        <v/>
      </c>
    </row>
    <row r="84" spans="1:22" ht="16.5" thickTop="1" thickBot="1" x14ac:dyDescent="0.3">
      <c r="A84" s="46"/>
      <c r="B84" s="54" t="s">
        <v>3857</v>
      </c>
      <c r="C84" s="47" t="s">
        <v>662</v>
      </c>
      <c r="D84" s="47" t="s">
        <v>662</v>
      </c>
      <c r="E84" s="47" t="s">
        <v>666</v>
      </c>
      <c r="F84" s="48">
        <v>269.5</v>
      </c>
      <c r="G84" s="47"/>
      <c r="H84" s="47"/>
      <c r="I84" s="47" t="s">
        <v>664</v>
      </c>
      <c r="J84" s="49">
        <v>45913</v>
      </c>
      <c r="K84" s="47" t="str">
        <f>INDEX(_xlfn.TEXTSPLIT(mouvementmp[[#This Row],[QR MP]],"_"),1,1)</f>
        <v>C14</v>
      </c>
      <c r="L84" s="47" t="str">
        <f>INDEX(_xlfn.TEXTSPLIT(mouvementmp[[#This Row],[QR MP]],"_"),1,2)</f>
        <v>TURQUOISE</v>
      </c>
      <c r="M84" s="47" t="str">
        <f>INDEX(_xlfn.TEXTSPLIT(mouvementmp[[#This Row],[QR MP]],"_"),1,3)</f>
        <v>NM05-14.00</v>
      </c>
      <c r="N84" s="47" t="str">
        <f>INDEX(_xlfn.TEXTSPLIT(mouvementmp[[#This Row],[QR MP]],"_"),1,4)</f>
        <v>60654</v>
      </c>
      <c r="O84" s="47">
        <f>-mouvementmp[[#This Row],[Poids]]</f>
        <v>-269.5</v>
      </c>
      <c r="P84" s="47" t="str">
        <f>IF(
   COUNTIFS($A$2:A84,A84,
             $B$2:B84,B84,
             $C$2:C84,C84,
             $D$2:D84,D84,
             $E$2:E84,E84,
             $F$2:F84,F84,
              $J$2:J84,J84)&gt;1,
   "Doublon",
   "Correcte"
)</f>
        <v>Correcte</v>
      </c>
      <c r="Q84" s="106" t="str">
        <f>IF(mouvementmp[[#This Row],[QR Fabrication]]&lt;&gt;"",INDEX(_xlfn.TEXTSPLIT(mouvementmp[[#This Row],[QR Fabrication]],"_"),1,1),"")</f>
        <v/>
      </c>
      <c r="R84" s="106" t="str">
        <f>IF(mouvementmp[[#This Row],[QR Fabrication]]&lt;&gt;"",INDEX(_xlfn.TEXTSPLIT(mouvementmp[[#This Row],[QR Fabrication]],"_"),1,2),"")</f>
        <v/>
      </c>
      <c r="S84" s="47" t="str">
        <f>IF(mouvementmp[[#This Row],[QR Fabrication]]&lt;&gt;"",INDEX(_xlfn.TEXTSPLIT(mouvementmp[[#This Row],[QR Fabrication]],"_"),1,3),"")</f>
        <v/>
      </c>
      <c r="T84" s="47" t="str">
        <f>IF(mouvementmp[[#This Row],[QR Fabrication]]&lt;&gt;"",INDEX(_xlfn.TEXTSPLIT(mouvementmp[[#This Row],[QR Fabrication]],"_"),1,4),"")</f>
        <v/>
      </c>
      <c r="U84" s="47" t="str">
        <f>IF(mouvementmp[[#This Row],[QR Fabrication]]&lt;&gt;"",INDEX(_xlfn.TEXTSPLIT(mouvementmp[[#This Row],[QR Fabrication]],"_"),1,5),"")</f>
        <v/>
      </c>
      <c r="V84" s="47" t="str">
        <f>IF(mouvementmp[[#This Row],[QR Fabrication]]&lt;&gt;"",_xlfn.TEXTAFTER(mouvementmp[[#This Row],[QR Fabrication]],"_",5),"")</f>
        <v/>
      </c>
    </row>
    <row r="85" spans="1:22" ht="16.5" thickTop="1" thickBot="1" x14ac:dyDescent="0.3">
      <c r="A85" s="46"/>
      <c r="B85" s="54" t="s">
        <v>3858</v>
      </c>
      <c r="C85" s="47" t="s">
        <v>662</v>
      </c>
      <c r="D85" s="47" t="s">
        <v>662</v>
      </c>
      <c r="E85" s="47" t="s">
        <v>665</v>
      </c>
      <c r="F85" s="48">
        <v>59</v>
      </c>
      <c r="G85" s="47"/>
      <c r="H85" s="47"/>
      <c r="I85" s="47" t="s">
        <v>664</v>
      </c>
      <c r="J85" s="49">
        <v>45913</v>
      </c>
      <c r="K85" s="47" t="str">
        <f>INDEX(_xlfn.TEXTSPLIT(mouvementmp[[#This Row],[QR MP]],"_"),1,1)</f>
        <v>C14</v>
      </c>
      <c r="L85" s="47" t="str">
        <f>INDEX(_xlfn.TEXTSPLIT(mouvementmp[[#This Row],[QR MP]],"_"),1,2)</f>
        <v>BLEU TURQUOISE</v>
      </c>
      <c r="M85" s="47" t="str">
        <f>INDEX(_xlfn.TEXTSPLIT(mouvementmp[[#This Row],[QR MP]],"_"),1,3)</f>
        <v>NM15-14.00</v>
      </c>
      <c r="N85" s="47" t="str">
        <f>INDEX(_xlfn.TEXTSPLIT(mouvementmp[[#This Row],[QR MP]],"_"),1,4)</f>
        <v>61597</v>
      </c>
      <c r="O85" s="47">
        <f>-mouvementmp[[#This Row],[Poids]]</f>
        <v>-59</v>
      </c>
      <c r="P85" s="47" t="str">
        <f>IF(
   COUNTIFS($A$2:A85,A85,
             $B$2:B85,B85,
             $C$2:C85,C85,
             $D$2:D85,D85,
             $E$2:E85,E85,
             $F$2:F85,F85,
              $J$2:J85,J85)&gt;1,
   "Doublon",
   "Correcte"
)</f>
        <v>Correcte</v>
      </c>
      <c r="Q85" s="106" t="str">
        <f>IF(mouvementmp[[#This Row],[QR Fabrication]]&lt;&gt;"",INDEX(_xlfn.TEXTSPLIT(mouvementmp[[#This Row],[QR Fabrication]],"_"),1,1),"")</f>
        <v/>
      </c>
      <c r="R85" s="106" t="str">
        <f>IF(mouvementmp[[#This Row],[QR Fabrication]]&lt;&gt;"",INDEX(_xlfn.TEXTSPLIT(mouvementmp[[#This Row],[QR Fabrication]],"_"),1,2),"")</f>
        <v/>
      </c>
      <c r="S85" s="47" t="str">
        <f>IF(mouvementmp[[#This Row],[QR Fabrication]]&lt;&gt;"",INDEX(_xlfn.TEXTSPLIT(mouvementmp[[#This Row],[QR Fabrication]],"_"),1,3),"")</f>
        <v/>
      </c>
      <c r="T85" s="47" t="str">
        <f>IF(mouvementmp[[#This Row],[QR Fabrication]]&lt;&gt;"",INDEX(_xlfn.TEXTSPLIT(mouvementmp[[#This Row],[QR Fabrication]],"_"),1,4),"")</f>
        <v/>
      </c>
      <c r="U85" s="47" t="str">
        <f>IF(mouvementmp[[#This Row],[QR Fabrication]]&lt;&gt;"",INDEX(_xlfn.TEXTSPLIT(mouvementmp[[#This Row],[QR Fabrication]],"_"),1,5),"")</f>
        <v/>
      </c>
      <c r="V85" s="47" t="str">
        <f>IF(mouvementmp[[#This Row],[QR Fabrication]]&lt;&gt;"",_xlfn.TEXTAFTER(mouvementmp[[#This Row],[QR Fabrication]],"_",5),"")</f>
        <v/>
      </c>
    </row>
    <row r="86" spans="1:22" ht="16.5" thickTop="1" thickBot="1" x14ac:dyDescent="0.3">
      <c r="A86" s="46"/>
      <c r="B86" s="54" t="s">
        <v>3859</v>
      </c>
      <c r="C86" s="47" t="s">
        <v>662</v>
      </c>
      <c r="D86" s="47" t="s">
        <v>662</v>
      </c>
      <c r="E86" s="47" t="s">
        <v>667</v>
      </c>
      <c r="F86" s="48">
        <v>27.5</v>
      </c>
      <c r="G86" s="47"/>
      <c r="H86" s="47"/>
      <c r="I86" s="47" t="s">
        <v>664</v>
      </c>
      <c r="J86" s="49">
        <v>45913</v>
      </c>
      <c r="K86" s="47" t="str">
        <f>INDEX(_xlfn.TEXTSPLIT(mouvementmp[[#This Row],[QR MP]],"_"),1,1)</f>
        <v>C14</v>
      </c>
      <c r="L86" s="47" t="str">
        <f>INDEX(_xlfn.TEXTSPLIT(mouvementmp[[#This Row],[QR MP]],"_"),1,2)</f>
        <v>BLEU TURQUOISE</v>
      </c>
      <c r="M86" s="47" t="str">
        <f>INDEX(_xlfn.TEXTSPLIT(mouvementmp[[#This Row],[QR MP]],"_"),1,3)</f>
        <v>NM20-14.01</v>
      </c>
      <c r="N86" s="47" t="str">
        <f>INDEX(_xlfn.TEXTSPLIT(mouvementmp[[#This Row],[QR MP]],"_"),1,4)</f>
        <v>S2023</v>
      </c>
      <c r="O86" s="47">
        <f>-mouvementmp[[#This Row],[Poids]]</f>
        <v>-27.5</v>
      </c>
      <c r="P86" s="47" t="str">
        <f>IF(
   COUNTIFS($A$2:A86,A86,
             $B$2:B86,B86,
             $C$2:C86,C86,
             $D$2:D86,D86,
             $E$2:E86,E86,
             $F$2:F86,F86,
              $J$2:J86,J86)&gt;1,
   "Doublon",
   "Correcte"
)</f>
        <v>Correcte</v>
      </c>
      <c r="Q86" s="106" t="str">
        <f>IF(mouvementmp[[#This Row],[QR Fabrication]]&lt;&gt;"",INDEX(_xlfn.TEXTSPLIT(mouvementmp[[#This Row],[QR Fabrication]],"_"),1,1),"")</f>
        <v/>
      </c>
      <c r="R86" s="106" t="str">
        <f>IF(mouvementmp[[#This Row],[QR Fabrication]]&lt;&gt;"",INDEX(_xlfn.TEXTSPLIT(mouvementmp[[#This Row],[QR Fabrication]],"_"),1,2),"")</f>
        <v/>
      </c>
      <c r="S86" s="47" t="str">
        <f>IF(mouvementmp[[#This Row],[QR Fabrication]]&lt;&gt;"",INDEX(_xlfn.TEXTSPLIT(mouvementmp[[#This Row],[QR Fabrication]],"_"),1,3),"")</f>
        <v/>
      </c>
      <c r="T86" s="47" t="str">
        <f>IF(mouvementmp[[#This Row],[QR Fabrication]]&lt;&gt;"",INDEX(_xlfn.TEXTSPLIT(mouvementmp[[#This Row],[QR Fabrication]],"_"),1,4),"")</f>
        <v/>
      </c>
      <c r="U86" s="47" t="str">
        <f>IF(mouvementmp[[#This Row],[QR Fabrication]]&lt;&gt;"",INDEX(_xlfn.TEXTSPLIT(mouvementmp[[#This Row],[QR Fabrication]],"_"),1,5),"")</f>
        <v/>
      </c>
      <c r="V86" s="47" t="str">
        <f>IF(mouvementmp[[#This Row],[QR Fabrication]]&lt;&gt;"",_xlfn.TEXTAFTER(mouvementmp[[#This Row],[QR Fabrication]],"_",5),"")</f>
        <v/>
      </c>
    </row>
    <row r="87" spans="1:22" ht="16.5" thickTop="1" thickBot="1" x14ac:dyDescent="0.3">
      <c r="A87" s="46"/>
      <c r="B87" s="54" t="s">
        <v>3860</v>
      </c>
      <c r="C87" s="47" t="s">
        <v>662</v>
      </c>
      <c r="D87" s="47" t="s">
        <v>662</v>
      </c>
      <c r="E87" s="47" t="s">
        <v>665</v>
      </c>
      <c r="F87" s="48">
        <v>157</v>
      </c>
      <c r="G87" s="47"/>
      <c r="H87" s="47"/>
      <c r="I87" s="47" t="s">
        <v>664</v>
      </c>
      <c r="J87" s="49">
        <v>45913</v>
      </c>
      <c r="K87" s="47" t="str">
        <f>INDEX(_xlfn.TEXTSPLIT(mouvementmp[[#This Row],[QR MP]],"_"),1,1)</f>
        <v>C15</v>
      </c>
      <c r="L87" s="47" t="str">
        <f>INDEX(_xlfn.TEXTSPLIT(mouvementmp[[#This Row],[QR MP]],"_"),1,2)</f>
        <v>LAGON</v>
      </c>
      <c r="M87" s="47" t="str">
        <f>INDEX(_xlfn.TEXTSPLIT(mouvementmp[[#This Row],[QR MP]],"_"),1,3)</f>
        <v>NM15-15.00</v>
      </c>
      <c r="N87" s="47" t="str">
        <f>INDEX(_xlfn.TEXTSPLIT(mouvementmp[[#This Row],[QR MP]],"_"),1,4)</f>
        <v>61645</v>
      </c>
      <c r="O87" s="47">
        <f>-mouvementmp[[#This Row],[Poids]]</f>
        <v>-157</v>
      </c>
      <c r="P87" s="47" t="str">
        <f>IF(
   COUNTIFS($A$2:A87,A87,
             $B$2:B87,B87,
             $C$2:C87,C87,
             $D$2:D87,D87,
             $E$2:E87,E87,
             $F$2:F87,F87,
              $J$2:J87,J87)&gt;1,
   "Doublon",
   "Correcte"
)</f>
        <v>Correcte</v>
      </c>
      <c r="Q87" s="106" t="str">
        <f>IF(mouvementmp[[#This Row],[QR Fabrication]]&lt;&gt;"",INDEX(_xlfn.TEXTSPLIT(mouvementmp[[#This Row],[QR Fabrication]],"_"),1,1),"")</f>
        <v/>
      </c>
      <c r="R87" s="106" t="str">
        <f>IF(mouvementmp[[#This Row],[QR Fabrication]]&lt;&gt;"",INDEX(_xlfn.TEXTSPLIT(mouvementmp[[#This Row],[QR Fabrication]],"_"),1,2),"")</f>
        <v/>
      </c>
      <c r="S87" s="47" t="str">
        <f>IF(mouvementmp[[#This Row],[QR Fabrication]]&lt;&gt;"",INDEX(_xlfn.TEXTSPLIT(mouvementmp[[#This Row],[QR Fabrication]],"_"),1,3),"")</f>
        <v/>
      </c>
      <c r="T87" s="47" t="str">
        <f>IF(mouvementmp[[#This Row],[QR Fabrication]]&lt;&gt;"",INDEX(_xlfn.TEXTSPLIT(mouvementmp[[#This Row],[QR Fabrication]],"_"),1,4),"")</f>
        <v/>
      </c>
      <c r="U87" s="47" t="str">
        <f>IF(mouvementmp[[#This Row],[QR Fabrication]]&lt;&gt;"",INDEX(_xlfn.TEXTSPLIT(mouvementmp[[#This Row],[QR Fabrication]],"_"),1,5),"")</f>
        <v/>
      </c>
      <c r="V87" s="47" t="str">
        <f>IF(mouvementmp[[#This Row],[QR Fabrication]]&lt;&gt;"",_xlfn.TEXTAFTER(mouvementmp[[#This Row],[QR Fabrication]],"_",5),"")</f>
        <v/>
      </c>
    </row>
    <row r="88" spans="1:22" ht="16.5" thickTop="1" thickBot="1" x14ac:dyDescent="0.3">
      <c r="A88" s="46"/>
      <c r="B88" s="54" t="s">
        <v>3861</v>
      </c>
      <c r="C88" s="47" t="s">
        <v>662</v>
      </c>
      <c r="D88" s="47" t="s">
        <v>662</v>
      </c>
      <c r="E88" s="47" t="s">
        <v>665</v>
      </c>
      <c r="F88" s="48">
        <v>38</v>
      </c>
      <c r="G88" s="47"/>
      <c r="H88" s="47"/>
      <c r="I88" s="47" t="s">
        <v>664</v>
      </c>
      <c r="J88" s="49">
        <v>45913</v>
      </c>
      <c r="K88" s="47" t="str">
        <f>INDEX(_xlfn.TEXTSPLIT(mouvementmp[[#This Row],[QR MP]],"_"),1,1)</f>
        <v>C15</v>
      </c>
      <c r="L88" s="47" t="str">
        <f>INDEX(_xlfn.TEXTSPLIT(mouvementmp[[#This Row],[QR MP]],"_"),1,2)</f>
        <v>LAGON</v>
      </c>
      <c r="M88" s="47" t="str">
        <f>INDEX(_xlfn.TEXTSPLIT(mouvementmp[[#This Row],[QR MP]],"_"),1,3)</f>
        <v>NM20-15.00</v>
      </c>
      <c r="N88" s="47" t="str">
        <f>INDEX(_xlfn.TEXTSPLIT(mouvementmp[[#This Row],[QR MP]],"_"),1,4)</f>
        <v>S2023</v>
      </c>
      <c r="O88" s="47">
        <f>-mouvementmp[[#This Row],[Poids]]</f>
        <v>-38</v>
      </c>
      <c r="P88" s="47" t="str">
        <f>IF(
   COUNTIFS($A$2:A88,A88,
             $B$2:B88,B88,
             $C$2:C88,C88,
             $D$2:D88,D88,
             $E$2:E88,E88,
             $F$2:F88,F88,
              $J$2:J88,J88)&gt;1,
   "Doublon",
   "Correcte"
)</f>
        <v>Correcte</v>
      </c>
      <c r="Q88" s="106" t="str">
        <f>IF(mouvementmp[[#This Row],[QR Fabrication]]&lt;&gt;"",INDEX(_xlfn.TEXTSPLIT(mouvementmp[[#This Row],[QR Fabrication]],"_"),1,1),"")</f>
        <v/>
      </c>
      <c r="R88" s="106" t="str">
        <f>IF(mouvementmp[[#This Row],[QR Fabrication]]&lt;&gt;"",INDEX(_xlfn.TEXTSPLIT(mouvementmp[[#This Row],[QR Fabrication]],"_"),1,2),"")</f>
        <v/>
      </c>
      <c r="S88" s="47" t="str">
        <f>IF(mouvementmp[[#This Row],[QR Fabrication]]&lt;&gt;"",INDEX(_xlfn.TEXTSPLIT(mouvementmp[[#This Row],[QR Fabrication]],"_"),1,3),"")</f>
        <v/>
      </c>
      <c r="T88" s="47" t="str">
        <f>IF(mouvementmp[[#This Row],[QR Fabrication]]&lt;&gt;"",INDEX(_xlfn.TEXTSPLIT(mouvementmp[[#This Row],[QR Fabrication]],"_"),1,4),"")</f>
        <v/>
      </c>
      <c r="U88" s="47" t="str">
        <f>IF(mouvementmp[[#This Row],[QR Fabrication]]&lt;&gt;"",INDEX(_xlfn.TEXTSPLIT(mouvementmp[[#This Row],[QR Fabrication]],"_"),1,5),"")</f>
        <v/>
      </c>
      <c r="V88" s="47" t="str">
        <f>IF(mouvementmp[[#This Row],[QR Fabrication]]&lt;&gt;"",_xlfn.TEXTAFTER(mouvementmp[[#This Row],[QR Fabrication]],"_",5),"")</f>
        <v/>
      </c>
    </row>
    <row r="89" spans="1:22" ht="16.5" thickTop="1" thickBot="1" x14ac:dyDescent="0.3">
      <c r="A89" s="46"/>
      <c r="B89" s="54" t="s">
        <v>3862</v>
      </c>
      <c r="C89" s="47" t="s">
        <v>662</v>
      </c>
      <c r="D89" s="47" t="s">
        <v>662</v>
      </c>
      <c r="E89" s="47" t="s">
        <v>665</v>
      </c>
      <c r="F89" s="48">
        <v>62</v>
      </c>
      <c r="G89" s="47"/>
      <c r="H89" s="47"/>
      <c r="I89" s="47" t="s">
        <v>664</v>
      </c>
      <c r="J89" s="49">
        <v>45913</v>
      </c>
      <c r="K89" s="47" t="str">
        <f>INDEX(_xlfn.TEXTSPLIT(mouvementmp[[#This Row],[QR MP]],"_"),1,1)</f>
        <v>C16</v>
      </c>
      <c r="L89" s="47" t="str">
        <f>INDEX(_xlfn.TEXTSPLIT(mouvementmp[[#This Row],[QR MP]],"_"),1,2)</f>
        <v>BLEU CIEL</v>
      </c>
      <c r="M89" s="47" t="str">
        <f>INDEX(_xlfn.TEXTSPLIT(mouvementmp[[#This Row],[QR MP]],"_"),1,3)</f>
        <v>NM15-16.00</v>
      </c>
      <c r="N89" s="47" t="str">
        <f>INDEX(_xlfn.TEXTSPLIT(mouvementmp[[#This Row],[QR MP]],"_"),1,4)</f>
        <v>61533</v>
      </c>
      <c r="O89" s="47">
        <f>-mouvementmp[[#This Row],[Poids]]</f>
        <v>-62</v>
      </c>
      <c r="P89" s="47" t="str">
        <f>IF(
   COUNTIFS($A$2:A89,A89,
             $B$2:B89,B89,
             $C$2:C89,C89,
             $D$2:D89,D89,
             $E$2:E89,E89,
             $F$2:F89,F89,
              $J$2:J89,J89)&gt;1,
   "Doublon",
   "Correcte"
)</f>
        <v>Correcte</v>
      </c>
      <c r="Q89" s="106" t="str">
        <f>IF(mouvementmp[[#This Row],[QR Fabrication]]&lt;&gt;"",INDEX(_xlfn.TEXTSPLIT(mouvementmp[[#This Row],[QR Fabrication]],"_"),1,1),"")</f>
        <v/>
      </c>
      <c r="R89" s="106" t="str">
        <f>IF(mouvementmp[[#This Row],[QR Fabrication]]&lt;&gt;"",INDEX(_xlfn.TEXTSPLIT(mouvementmp[[#This Row],[QR Fabrication]],"_"),1,2),"")</f>
        <v/>
      </c>
      <c r="S89" s="47" t="str">
        <f>IF(mouvementmp[[#This Row],[QR Fabrication]]&lt;&gt;"",INDEX(_xlfn.TEXTSPLIT(mouvementmp[[#This Row],[QR Fabrication]],"_"),1,3),"")</f>
        <v/>
      </c>
      <c r="T89" s="47" t="str">
        <f>IF(mouvementmp[[#This Row],[QR Fabrication]]&lt;&gt;"",INDEX(_xlfn.TEXTSPLIT(mouvementmp[[#This Row],[QR Fabrication]],"_"),1,4),"")</f>
        <v/>
      </c>
      <c r="U89" s="47" t="str">
        <f>IF(mouvementmp[[#This Row],[QR Fabrication]]&lt;&gt;"",INDEX(_xlfn.TEXTSPLIT(mouvementmp[[#This Row],[QR Fabrication]],"_"),1,5),"")</f>
        <v/>
      </c>
      <c r="V89" s="47" t="str">
        <f>IF(mouvementmp[[#This Row],[QR Fabrication]]&lt;&gt;"",_xlfn.TEXTAFTER(mouvementmp[[#This Row],[QR Fabrication]],"_",5),"")</f>
        <v/>
      </c>
    </row>
    <row r="90" spans="1:22" ht="16.5" thickTop="1" thickBot="1" x14ac:dyDescent="0.3">
      <c r="A90" s="46"/>
      <c r="B90" s="54" t="s">
        <v>3863</v>
      </c>
      <c r="C90" s="47" t="s">
        <v>662</v>
      </c>
      <c r="D90" s="47" t="s">
        <v>662</v>
      </c>
      <c r="E90" s="47" t="s">
        <v>665</v>
      </c>
      <c r="F90" s="48">
        <v>11</v>
      </c>
      <c r="G90" s="47"/>
      <c r="H90" s="47"/>
      <c r="I90" s="47" t="s">
        <v>664</v>
      </c>
      <c r="J90" s="49">
        <v>45913</v>
      </c>
      <c r="K90" s="47" t="str">
        <f>INDEX(_xlfn.TEXTSPLIT(mouvementmp[[#This Row],[QR MP]],"_"),1,1)</f>
        <v>C16</v>
      </c>
      <c r="L90" s="47" t="str">
        <f>INDEX(_xlfn.TEXTSPLIT(mouvementmp[[#This Row],[QR MP]],"_"),1,2)</f>
        <v>GLACIER</v>
      </c>
      <c r="M90" s="47" t="str">
        <f>INDEX(_xlfn.TEXTSPLIT(mouvementmp[[#This Row],[QR MP]],"_"),1,3)</f>
        <v>NM15-16.01</v>
      </c>
      <c r="N90" s="47" t="str">
        <f>INDEX(_xlfn.TEXTSPLIT(mouvementmp[[#This Row],[QR MP]],"_"),1,4)</f>
        <v>61628</v>
      </c>
      <c r="O90" s="47">
        <f>-mouvementmp[[#This Row],[Poids]]</f>
        <v>-11</v>
      </c>
      <c r="P90" s="47" t="str">
        <f>IF(
   COUNTIFS($A$2:A90,A90,
             $B$2:B90,B90,
             $C$2:C90,C90,
             $D$2:D90,D90,
             $E$2:E90,E90,
             $F$2:F90,F90,
              $J$2:J90,J90)&gt;1,
   "Doublon",
   "Correcte"
)</f>
        <v>Correcte</v>
      </c>
      <c r="Q90" s="106" t="str">
        <f>IF(mouvementmp[[#This Row],[QR Fabrication]]&lt;&gt;"",INDEX(_xlfn.TEXTSPLIT(mouvementmp[[#This Row],[QR Fabrication]],"_"),1,1),"")</f>
        <v/>
      </c>
      <c r="R90" s="106" t="str">
        <f>IF(mouvementmp[[#This Row],[QR Fabrication]]&lt;&gt;"",INDEX(_xlfn.TEXTSPLIT(mouvementmp[[#This Row],[QR Fabrication]],"_"),1,2),"")</f>
        <v/>
      </c>
      <c r="S90" s="47" t="str">
        <f>IF(mouvementmp[[#This Row],[QR Fabrication]]&lt;&gt;"",INDEX(_xlfn.TEXTSPLIT(mouvementmp[[#This Row],[QR Fabrication]],"_"),1,3),"")</f>
        <v/>
      </c>
      <c r="T90" s="47" t="str">
        <f>IF(mouvementmp[[#This Row],[QR Fabrication]]&lt;&gt;"",INDEX(_xlfn.TEXTSPLIT(mouvementmp[[#This Row],[QR Fabrication]],"_"),1,4),"")</f>
        <v/>
      </c>
      <c r="U90" s="47" t="str">
        <f>IF(mouvementmp[[#This Row],[QR Fabrication]]&lt;&gt;"",INDEX(_xlfn.TEXTSPLIT(mouvementmp[[#This Row],[QR Fabrication]],"_"),1,5),"")</f>
        <v/>
      </c>
      <c r="V90" s="47" t="str">
        <f>IF(mouvementmp[[#This Row],[QR Fabrication]]&lt;&gt;"",_xlfn.TEXTAFTER(mouvementmp[[#This Row],[QR Fabrication]],"_",5),"")</f>
        <v/>
      </c>
    </row>
    <row r="91" spans="1:22" ht="16.5" thickTop="1" thickBot="1" x14ac:dyDescent="0.3">
      <c r="A91" s="46"/>
      <c r="B91" s="54" t="s">
        <v>3864</v>
      </c>
      <c r="C91" s="47" t="s">
        <v>662</v>
      </c>
      <c r="D91" s="47" t="s">
        <v>662</v>
      </c>
      <c r="E91" s="47" t="s">
        <v>665</v>
      </c>
      <c r="F91" s="48">
        <v>805</v>
      </c>
      <c r="G91" s="47"/>
      <c r="H91" s="47"/>
      <c r="I91" s="47" t="s">
        <v>664</v>
      </c>
      <c r="J91" s="49">
        <v>45913</v>
      </c>
      <c r="K91" s="47" t="str">
        <f>INDEX(_xlfn.TEXTSPLIT(mouvementmp[[#This Row],[QR MP]],"_"),1,1)</f>
        <v>C16</v>
      </c>
      <c r="L91" s="47" t="str">
        <f>INDEX(_xlfn.TEXTSPLIT(mouvementmp[[#This Row],[QR MP]],"_"),1,2)</f>
        <v>BLEU CIEL</v>
      </c>
      <c r="M91" s="47" t="str">
        <f>INDEX(_xlfn.TEXTSPLIT(mouvementmp[[#This Row],[QR MP]],"_"),1,3)</f>
        <v>NM20-16.00</v>
      </c>
      <c r="N91" s="47" t="str">
        <f>INDEX(_xlfn.TEXTSPLIT(mouvementmp[[#This Row],[QR MP]],"_"),1,4)</f>
        <v>S2023</v>
      </c>
      <c r="O91" s="47">
        <f>-mouvementmp[[#This Row],[Poids]]</f>
        <v>-805</v>
      </c>
      <c r="P91" s="47" t="str">
        <f>IF(
   COUNTIFS($A$2:A91,A91,
             $B$2:B91,B91,
             $C$2:C91,C91,
             $D$2:D91,D91,
             $E$2:E91,E91,
             $F$2:F91,F91,
              $J$2:J91,J91)&gt;1,
   "Doublon",
   "Correcte"
)</f>
        <v>Correcte</v>
      </c>
      <c r="Q91" s="106" t="str">
        <f>IF(mouvementmp[[#This Row],[QR Fabrication]]&lt;&gt;"",INDEX(_xlfn.TEXTSPLIT(mouvementmp[[#This Row],[QR Fabrication]],"_"),1,1),"")</f>
        <v/>
      </c>
      <c r="R91" s="106" t="str">
        <f>IF(mouvementmp[[#This Row],[QR Fabrication]]&lt;&gt;"",INDEX(_xlfn.TEXTSPLIT(mouvementmp[[#This Row],[QR Fabrication]],"_"),1,2),"")</f>
        <v/>
      </c>
      <c r="S91" s="47" t="str">
        <f>IF(mouvementmp[[#This Row],[QR Fabrication]]&lt;&gt;"",INDEX(_xlfn.TEXTSPLIT(mouvementmp[[#This Row],[QR Fabrication]],"_"),1,3),"")</f>
        <v/>
      </c>
      <c r="T91" s="47" t="str">
        <f>IF(mouvementmp[[#This Row],[QR Fabrication]]&lt;&gt;"",INDEX(_xlfn.TEXTSPLIT(mouvementmp[[#This Row],[QR Fabrication]],"_"),1,4),"")</f>
        <v/>
      </c>
      <c r="U91" s="47" t="str">
        <f>IF(mouvementmp[[#This Row],[QR Fabrication]]&lt;&gt;"",INDEX(_xlfn.TEXTSPLIT(mouvementmp[[#This Row],[QR Fabrication]],"_"),1,5),"")</f>
        <v/>
      </c>
      <c r="V91" s="47" t="str">
        <f>IF(mouvementmp[[#This Row],[QR Fabrication]]&lt;&gt;"",_xlfn.TEXTAFTER(mouvementmp[[#This Row],[QR Fabrication]],"_",5),"")</f>
        <v/>
      </c>
    </row>
    <row r="92" spans="1:22" ht="16.5" thickTop="1" thickBot="1" x14ac:dyDescent="0.3">
      <c r="A92" s="46"/>
      <c r="B92" s="54" t="s">
        <v>3865</v>
      </c>
      <c r="C92" s="47" t="s">
        <v>662</v>
      </c>
      <c r="D92" s="47" t="s">
        <v>662</v>
      </c>
      <c r="E92" s="47" t="s">
        <v>667</v>
      </c>
      <c r="F92" s="48">
        <v>486.5</v>
      </c>
      <c r="G92" s="47"/>
      <c r="H92" s="47"/>
      <c r="I92" s="47" t="s">
        <v>664</v>
      </c>
      <c r="J92" s="49">
        <v>45913</v>
      </c>
      <c r="K92" s="47" t="str">
        <f>INDEX(_xlfn.TEXTSPLIT(mouvementmp[[#This Row],[QR MP]],"_"),1,1)</f>
        <v>C17</v>
      </c>
      <c r="L92" s="47" t="str">
        <f>INDEX(_xlfn.TEXTSPLIT(mouvementmp[[#This Row],[QR MP]],"_"),1,2)</f>
        <v>EMAURAUDE</v>
      </c>
      <c r="M92" s="47" t="str">
        <f>INDEX(_xlfn.TEXTSPLIT(mouvementmp[[#This Row],[QR MP]],"_"),1,3)</f>
        <v>NM15-17.00</v>
      </c>
      <c r="N92" s="47" t="str">
        <f>INDEX(_xlfn.TEXTSPLIT(mouvementmp[[#This Row],[QR MP]],"_"),1,4)</f>
        <v>61571</v>
      </c>
      <c r="O92" s="47">
        <f>-mouvementmp[[#This Row],[Poids]]</f>
        <v>-486.5</v>
      </c>
      <c r="P92" s="47" t="str">
        <f>IF(
   COUNTIFS($A$2:A92,A92,
             $B$2:B92,B92,
             $C$2:C92,C92,
             $D$2:D92,D92,
             $E$2:E92,E92,
             $F$2:F92,F92,
              $J$2:J92,J92)&gt;1,
   "Doublon",
   "Correcte"
)</f>
        <v>Correcte</v>
      </c>
      <c r="Q92" s="106" t="str">
        <f>IF(mouvementmp[[#This Row],[QR Fabrication]]&lt;&gt;"",INDEX(_xlfn.TEXTSPLIT(mouvementmp[[#This Row],[QR Fabrication]],"_"),1,1),"")</f>
        <v/>
      </c>
      <c r="R92" s="106" t="str">
        <f>IF(mouvementmp[[#This Row],[QR Fabrication]]&lt;&gt;"",INDEX(_xlfn.TEXTSPLIT(mouvementmp[[#This Row],[QR Fabrication]],"_"),1,2),"")</f>
        <v/>
      </c>
      <c r="S92" s="47" t="str">
        <f>IF(mouvementmp[[#This Row],[QR Fabrication]]&lt;&gt;"",INDEX(_xlfn.TEXTSPLIT(mouvementmp[[#This Row],[QR Fabrication]],"_"),1,3),"")</f>
        <v/>
      </c>
      <c r="T92" s="47" t="str">
        <f>IF(mouvementmp[[#This Row],[QR Fabrication]]&lt;&gt;"",INDEX(_xlfn.TEXTSPLIT(mouvementmp[[#This Row],[QR Fabrication]],"_"),1,4),"")</f>
        <v/>
      </c>
      <c r="U92" s="47" t="str">
        <f>IF(mouvementmp[[#This Row],[QR Fabrication]]&lt;&gt;"",INDEX(_xlfn.TEXTSPLIT(mouvementmp[[#This Row],[QR Fabrication]],"_"),1,5),"")</f>
        <v/>
      </c>
      <c r="V92" s="47" t="str">
        <f>IF(mouvementmp[[#This Row],[QR Fabrication]]&lt;&gt;"",_xlfn.TEXTAFTER(mouvementmp[[#This Row],[QR Fabrication]],"_",5),"")</f>
        <v/>
      </c>
    </row>
    <row r="93" spans="1:22" ht="16.5" thickTop="1" thickBot="1" x14ac:dyDescent="0.3">
      <c r="A93" s="46"/>
      <c r="B93" s="54" t="s">
        <v>3865</v>
      </c>
      <c r="C93" s="47" t="s">
        <v>662</v>
      </c>
      <c r="D93" s="47" t="s">
        <v>662</v>
      </c>
      <c r="E93" s="47" t="s">
        <v>665</v>
      </c>
      <c r="F93" s="48">
        <v>116</v>
      </c>
      <c r="G93" s="47"/>
      <c r="H93" s="47"/>
      <c r="I93" s="47" t="s">
        <v>664</v>
      </c>
      <c r="J93" s="49">
        <v>45913</v>
      </c>
      <c r="K93" s="47" t="str">
        <f>INDEX(_xlfn.TEXTSPLIT(mouvementmp[[#This Row],[QR MP]],"_"),1,1)</f>
        <v>C17</v>
      </c>
      <c r="L93" s="47" t="str">
        <f>INDEX(_xlfn.TEXTSPLIT(mouvementmp[[#This Row],[QR MP]],"_"),1,2)</f>
        <v>EMAURAUDE</v>
      </c>
      <c r="M93" s="47" t="str">
        <f>INDEX(_xlfn.TEXTSPLIT(mouvementmp[[#This Row],[QR MP]],"_"),1,3)</f>
        <v>NM15-17.00</v>
      </c>
      <c r="N93" s="47" t="str">
        <f>INDEX(_xlfn.TEXTSPLIT(mouvementmp[[#This Row],[QR MP]],"_"),1,4)</f>
        <v>61571</v>
      </c>
      <c r="O93" s="47">
        <f>-mouvementmp[[#This Row],[Poids]]</f>
        <v>-116</v>
      </c>
      <c r="P93" s="47" t="str">
        <f>IF(
   COUNTIFS($A$2:A93,A93,
             $B$2:B93,B93,
             $C$2:C93,C93,
             $D$2:D93,D93,
             $E$2:E93,E93,
             $F$2:F93,F93,
              $J$2:J93,J93)&gt;1,
   "Doublon",
   "Correcte"
)</f>
        <v>Correcte</v>
      </c>
      <c r="Q93" s="106" t="str">
        <f>IF(mouvementmp[[#This Row],[QR Fabrication]]&lt;&gt;"",INDEX(_xlfn.TEXTSPLIT(mouvementmp[[#This Row],[QR Fabrication]],"_"),1,1),"")</f>
        <v/>
      </c>
      <c r="R93" s="106" t="str">
        <f>IF(mouvementmp[[#This Row],[QR Fabrication]]&lt;&gt;"",INDEX(_xlfn.TEXTSPLIT(mouvementmp[[#This Row],[QR Fabrication]],"_"),1,2),"")</f>
        <v/>
      </c>
      <c r="S93" s="47" t="str">
        <f>IF(mouvementmp[[#This Row],[QR Fabrication]]&lt;&gt;"",INDEX(_xlfn.TEXTSPLIT(mouvementmp[[#This Row],[QR Fabrication]],"_"),1,3),"")</f>
        <v/>
      </c>
      <c r="T93" s="47" t="str">
        <f>IF(mouvementmp[[#This Row],[QR Fabrication]]&lt;&gt;"",INDEX(_xlfn.TEXTSPLIT(mouvementmp[[#This Row],[QR Fabrication]],"_"),1,4),"")</f>
        <v/>
      </c>
      <c r="U93" s="47" t="str">
        <f>IF(mouvementmp[[#This Row],[QR Fabrication]]&lt;&gt;"",INDEX(_xlfn.TEXTSPLIT(mouvementmp[[#This Row],[QR Fabrication]],"_"),1,5),"")</f>
        <v/>
      </c>
      <c r="V93" s="47" t="str">
        <f>IF(mouvementmp[[#This Row],[QR Fabrication]]&lt;&gt;"",_xlfn.TEXTAFTER(mouvementmp[[#This Row],[QR Fabrication]],"_",5),"")</f>
        <v/>
      </c>
    </row>
    <row r="94" spans="1:22" ht="16.5" thickTop="1" thickBot="1" x14ac:dyDescent="0.3">
      <c r="A94" s="46"/>
      <c r="B94" s="54" t="s">
        <v>3866</v>
      </c>
      <c r="C94" s="47" t="s">
        <v>662</v>
      </c>
      <c r="D94" s="47" t="s">
        <v>662</v>
      </c>
      <c r="E94" s="47" t="s">
        <v>667</v>
      </c>
      <c r="F94" s="48">
        <v>437.5</v>
      </c>
      <c r="G94" s="47"/>
      <c r="H94" s="47"/>
      <c r="I94" s="47" t="s">
        <v>664</v>
      </c>
      <c r="J94" s="49">
        <v>45913</v>
      </c>
      <c r="K94" s="47" t="str">
        <f>INDEX(_xlfn.TEXTSPLIT(mouvementmp[[#This Row],[QR MP]],"_"),1,1)</f>
        <v>C17</v>
      </c>
      <c r="L94" s="47" t="str">
        <f>INDEX(_xlfn.TEXTSPLIT(mouvementmp[[#This Row],[QR MP]],"_"),1,2)</f>
        <v>EMAURAUDE</v>
      </c>
      <c r="M94" s="47" t="str">
        <f>INDEX(_xlfn.TEXTSPLIT(mouvementmp[[#This Row],[QR MP]],"_"),1,3)</f>
        <v>NM15-17.01</v>
      </c>
      <c r="N94" s="47" t="str">
        <f>INDEX(_xlfn.TEXTSPLIT(mouvementmp[[#This Row],[QR MP]],"_"),1,4)</f>
        <v>S2022</v>
      </c>
      <c r="O94" s="47">
        <f>-mouvementmp[[#This Row],[Poids]]</f>
        <v>-437.5</v>
      </c>
      <c r="P94" s="47" t="str">
        <f>IF(
   COUNTIFS($A$2:A94,A94,
             $B$2:B94,B94,
             $C$2:C94,C94,
             $D$2:D94,D94,
             $E$2:E94,E94,
             $F$2:F94,F94,
              $J$2:J94,J94)&gt;1,
   "Doublon",
   "Correcte"
)</f>
        <v>Correcte</v>
      </c>
      <c r="Q94" s="106" t="str">
        <f>IF(mouvementmp[[#This Row],[QR Fabrication]]&lt;&gt;"",INDEX(_xlfn.TEXTSPLIT(mouvementmp[[#This Row],[QR Fabrication]],"_"),1,1),"")</f>
        <v/>
      </c>
      <c r="R94" s="106" t="str">
        <f>IF(mouvementmp[[#This Row],[QR Fabrication]]&lt;&gt;"",INDEX(_xlfn.TEXTSPLIT(mouvementmp[[#This Row],[QR Fabrication]],"_"),1,2),"")</f>
        <v/>
      </c>
      <c r="S94" s="47" t="str">
        <f>IF(mouvementmp[[#This Row],[QR Fabrication]]&lt;&gt;"",INDEX(_xlfn.TEXTSPLIT(mouvementmp[[#This Row],[QR Fabrication]],"_"),1,3),"")</f>
        <v/>
      </c>
      <c r="T94" s="47" t="str">
        <f>IF(mouvementmp[[#This Row],[QR Fabrication]]&lt;&gt;"",INDEX(_xlfn.TEXTSPLIT(mouvementmp[[#This Row],[QR Fabrication]],"_"),1,4),"")</f>
        <v/>
      </c>
      <c r="U94" s="47" t="str">
        <f>IF(mouvementmp[[#This Row],[QR Fabrication]]&lt;&gt;"",INDEX(_xlfn.TEXTSPLIT(mouvementmp[[#This Row],[QR Fabrication]],"_"),1,5),"")</f>
        <v/>
      </c>
      <c r="V94" s="47" t="str">
        <f>IF(mouvementmp[[#This Row],[QR Fabrication]]&lt;&gt;"",_xlfn.TEXTAFTER(mouvementmp[[#This Row],[QR Fabrication]],"_",5),"")</f>
        <v/>
      </c>
    </row>
    <row r="95" spans="1:22" ht="16.5" thickTop="1" thickBot="1" x14ac:dyDescent="0.3">
      <c r="A95" s="46"/>
      <c r="B95" s="54" t="s">
        <v>3867</v>
      </c>
      <c r="C95" s="47" t="s">
        <v>662</v>
      </c>
      <c r="D95" s="47" t="s">
        <v>662</v>
      </c>
      <c r="E95" s="47" t="s">
        <v>666</v>
      </c>
      <c r="F95" s="48">
        <v>150.5</v>
      </c>
      <c r="G95" s="47"/>
      <c r="H95" s="47"/>
      <c r="I95" s="47" t="s">
        <v>664</v>
      </c>
      <c r="J95" s="49">
        <v>45913</v>
      </c>
      <c r="K95" s="47" t="str">
        <f>INDEX(_xlfn.TEXTSPLIT(mouvementmp[[#This Row],[QR MP]],"_"),1,1)</f>
        <v>C18</v>
      </c>
      <c r="L95" s="47" t="str">
        <f>INDEX(_xlfn.TEXTSPLIT(mouvementmp[[#This Row],[QR MP]],"_"),1,2)</f>
        <v>VERT D'EAU CLAIR</v>
      </c>
      <c r="M95" s="47" t="str">
        <f>INDEX(_xlfn.TEXTSPLIT(mouvementmp[[#This Row],[QR MP]],"_"),1,3)</f>
        <v>NM05-18.01</v>
      </c>
      <c r="N95" s="47" t="str">
        <f>INDEX(_xlfn.TEXTSPLIT(mouvementmp[[#This Row],[QR MP]],"_"),1,4)</f>
        <v>59842</v>
      </c>
      <c r="O95" s="47">
        <f>-mouvementmp[[#This Row],[Poids]]</f>
        <v>-150.5</v>
      </c>
      <c r="P95" s="47" t="str">
        <f>IF(
   COUNTIFS($A$2:A95,A95,
             $B$2:B95,B95,
             $C$2:C95,C95,
             $D$2:D95,D95,
             $E$2:E95,E95,
             $F$2:F95,F95,
              $J$2:J95,J95)&gt;1,
   "Doublon",
   "Correcte"
)</f>
        <v>Correcte</v>
      </c>
      <c r="Q95" s="106" t="str">
        <f>IF(mouvementmp[[#This Row],[QR Fabrication]]&lt;&gt;"",INDEX(_xlfn.TEXTSPLIT(mouvementmp[[#This Row],[QR Fabrication]],"_"),1,1),"")</f>
        <v/>
      </c>
      <c r="R95" s="106" t="str">
        <f>IF(mouvementmp[[#This Row],[QR Fabrication]]&lt;&gt;"",INDEX(_xlfn.TEXTSPLIT(mouvementmp[[#This Row],[QR Fabrication]],"_"),1,2),"")</f>
        <v/>
      </c>
      <c r="S95" s="47" t="str">
        <f>IF(mouvementmp[[#This Row],[QR Fabrication]]&lt;&gt;"",INDEX(_xlfn.TEXTSPLIT(mouvementmp[[#This Row],[QR Fabrication]],"_"),1,3),"")</f>
        <v/>
      </c>
      <c r="T95" s="47" t="str">
        <f>IF(mouvementmp[[#This Row],[QR Fabrication]]&lt;&gt;"",INDEX(_xlfn.TEXTSPLIT(mouvementmp[[#This Row],[QR Fabrication]],"_"),1,4),"")</f>
        <v/>
      </c>
      <c r="U95" s="47" t="str">
        <f>IF(mouvementmp[[#This Row],[QR Fabrication]]&lt;&gt;"",INDEX(_xlfn.TEXTSPLIT(mouvementmp[[#This Row],[QR Fabrication]],"_"),1,5),"")</f>
        <v/>
      </c>
      <c r="V95" s="47" t="str">
        <f>IF(mouvementmp[[#This Row],[QR Fabrication]]&lt;&gt;"",_xlfn.TEXTAFTER(mouvementmp[[#This Row],[QR Fabrication]],"_",5),"")</f>
        <v/>
      </c>
    </row>
    <row r="96" spans="1:22" ht="16.5" thickTop="1" thickBot="1" x14ac:dyDescent="0.3">
      <c r="A96" s="46"/>
      <c r="B96" s="54" t="s">
        <v>3868</v>
      </c>
      <c r="C96" s="47" t="s">
        <v>662</v>
      </c>
      <c r="D96" s="47" t="s">
        <v>662</v>
      </c>
      <c r="E96" s="47" t="s">
        <v>665</v>
      </c>
      <c r="F96" s="48">
        <v>181</v>
      </c>
      <c r="G96" s="47"/>
      <c r="H96" s="47"/>
      <c r="I96" s="47" t="s">
        <v>664</v>
      </c>
      <c r="J96" s="49">
        <v>45913</v>
      </c>
      <c r="K96" s="47" t="str">
        <f>INDEX(_xlfn.TEXTSPLIT(mouvementmp[[#This Row],[QR MP]],"_"),1,1)</f>
        <v>C18</v>
      </c>
      <c r="L96" s="47" t="str">
        <f>INDEX(_xlfn.TEXTSPLIT(mouvementmp[[#This Row],[QR MP]],"_"),1,2)</f>
        <v xml:space="preserve">VERT D'EAU </v>
      </c>
      <c r="M96" s="47" t="str">
        <f>INDEX(_xlfn.TEXTSPLIT(mouvementmp[[#This Row],[QR MP]],"_"),1,3)</f>
        <v>NM15-18.00</v>
      </c>
      <c r="N96" s="47" t="str">
        <f>INDEX(_xlfn.TEXTSPLIT(mouvementmp[[#This Row],[QR MP]],"_"),1,4)</f>
        <v>61535</v>
      </c>
      <c r="O96" s="47">
        <f>-mouvementmp[[#This Row],[Poids]]</f>
        <v>-181</v>
      </c>
      <c r="P96" s="47" t="str">
        <f>IF(
   COUNTIFS($A$2:A96,A96,
             $B$2:B96,B96,
             $C$2:C96,C96,
             $D$2:D96,D96,
             $E$2:E96,E96,
             $F$2:F96,F96,
              $J$2:J96,J96)&gt;1,
   "Doublon",
   "Correcte"
)</f>
        <v>Correcte</v>
      </c>
      <c r="Q96" s="106" t="str">
        <f>IF(mouvementmp[[#This Row],[QR Fabrication]]&lt;&gt;"",INDEX(_xlfn.TEXTSPLIT(mouvementmp[[#This Row],[QR Fabrication]],"_"),1,1),"")</f>
        <v/>
      </c>
      <c r="R96" s="106" t="str">
        <f>IF(mouvementmp[[#This Row],[QR Fabrication]]&lt;&gt;"",INDEX(_xlfn.TEXTSPLIT(mouvementmp[[#This Row],[QR Fabrication]],"_"),1,2),"")</f>
        <v/>
      </c>
      <c r="S96" s="47" t="str">
        <f>IF(mouvementmp[[#This Row],[QR Fabrication]]&lt;&gt;"",INDEX(_xlfn.TEXTSPLIT(mouvementmp[[#This Row],[QR Fabrication]],"_"),1,3),"")</f>
        <v/>
      </c>
      <c r="T96" s="47" t="str">
        <f>IF(mouvementmp[[#This Row],[QR Fabrication]]&lt;&gt;"",INDEX(_xlfn.TEXTSPLIT(mouvementmp[[#This Row],[QR Fabrication]],"_"),1,4),"")</f>
        <v/>
      </c>
      <c r="U96" s="47" t="str">
        <f>IF(mouvementmp[[#This Row],[QR Fabrication]]&lt;&gt;"",INDEX(_xlfn.TEXTSPLIT(mouvementmp[[#This Row],[QR Fabrication]],"_"),1,5),"")</f>
        <v/>
      </c>
      <c r="V96" s="47" t="str">
        <f>IF(mouvementmp[[#This Row],[QR Fabrication]]&lt;&gt;"",_xlfn.TEXTAFTER(mouvementmp[[#This Row],[QR Fabrication]],"_",5),"")</f>
        <v/>
      </c>
    </row>
    <row r="97" spans="1:22" ht="16.5" thickTop="1" thickBot="1" x14ac:dyDescent="0.3">
      <c r="A97" s="46"/>
      <c r="B97" s="54" t="s">
        <v>3869</v>
      </c>
      <c r="C97" s="47" t="s">
        <v>662</v>
      </c>
      <c r="D97" s="47" t="s">
        <v>662</v>
      </c>
      <c r="E97" s="47" t="s">
        <v>667</v>
      </c>
      <c r="F97" s="48">
        <v>10.5</v>
      </c>
      <c r="G97" s="47"/>
      <c r="H97" s="47"/>
      <c r="I97" s="47" t="s">
        <v>664</v>
      </c>
      <c r="J97" s="49">
        <v>45913</v>
      </c>
      <c r="K97" s="47" t="str">
        <f>INDEX(_xlfn.TEXTSPLIT(mouvementmp[[#This Row],[QR MP]],"_"),1,1)</f>
        <v>C19</v>
      </c>
      <c r="L97" s="47" t="str">
        <f>INDEX(_xlfn.TEXTSPLIT(mouvementmp[[#This Row],[QR MP]],"_"),1,2)</f>
        <v>KAKI CLAIRE</v>
      </c>
      <c r="M97" s="47" t="str">
        <f>INDEX(_xlfn.TEXTSPLIT(mouvementmp[[#This Row],[QR MP]],"_"),1,3)</f>
        <v>NM15.19.02</v>
      </c>
      <c r="N97" s="47" t="str">
        <f>INDEX(_xlfn.TEXTSPLIT(mouvementmp[[#This Row],[QR MP]],"_"),1,4)</f>
        <v>S2022</v>
      </c>
      <c r="O97" s="47">
        <f>-mouvementmp[[#This Row],[Poids]]</f>
        <v>-10.5</v>
      </c>
      <c r="P97" s="47" t="str">
        <f>IF(
   COUNTIFS($A$2:A97,A97,
             $B$2:B97,B97,
             $C$2:C97,C97,
             $D$2:D97,D97,
             $E$2:E97,E97,
             $F$2:F97,F97,
              $J$2:J97,J97)&gt;1,
   "Doublon",
   "Correcte"
)</f>
        <v>Correcte</v>
      </c>
      <c r="Q97" s="106" t="str">
        <f>IF(mouvementmp[[#This Row],[QR Fabrication]]&lt;&gt;"",INDEX(_xlfn.TEXTSPLIT(mouvementmp[[#This Row],[QR Fabrication]],"_"),1,1),"")</f>
        <v/>
      </c>
      <c r="R97" s="106" t="str">
        <f>IF(mouvementmp[[#This Row],[QR Fabrication]]&lt;&gt;"",INDEX(_xlfn.TEXTSPLIT(mouvementmp[[#This Row],[QR Fabrication]],"_"),1,2),"")</f>
        <v/>
      </c>
      <c r="S97" s="47" t="str">
        <f>IF(mouvementmp[[#This Row],[QR Fabrication]]&lt;&gt;"",INDEX(_xlfn.TEXTSPLIT(mouvementmp[[#This Row],[QR Fabrication]],"_"),1,3),"")</f>
        <v/>
      </c>
      <c r="T97" s="47" t="str">
        <f>IF(mouvementmp[[#This Row],[QR Fabrication]]&lt;&gt;"",INDEX(_xlfn.TEXTSPLIT(mouvementmp[[#This Row],[QR Fabrication]],"_"),1,4),"")</f>
        <v/>
      </c>
      <c r="U97" s="47" t="str">
        <f>IF(mouvementmp[[#This Row],[QR Fabrication]]&lt;&gt;"",INDEX(_xlfn.TEXTSPLIT(mouvementmp[[#This Row],[QR Fabrication]],"_"),1,5),"")</f>
        <v/>
      </c>
      <c r="V97" s="47" t="str">
        <f>IF(mouvementmp[[#This Row],[QR Fabrication]]&lt;&gt;"",_xlfn.TEXTAFTER(mouvementmp[[#This Row],[QR Fabrication]],"_",5),"")</f>
        <v/>
      </c>
    </row>
    <row r="98" spans="1:22" ht="16.5" thickTop="1" thickBot="1" x14ac:dyDescent="0.3">
      <c r="A98" s="46"/>
      <c r="B98" s="54" t="s">
        <v>3869</v>
      </c>
      <c r="C98" s="47" t="s">
        <v>662</v>
      </c>
      <c r="D98" s="47" t="s">
        <v>662</v>
      </c>
      <c r="E98" s="47" t="s">
        <v>666</v>
      </c>
      <c r="F98" s="48">
        <v>854</v>
      </c>
      <c r="G98" s="47"/>
      <c r="H98" s="47"/>
      <c r="I98" s="47" t="s">
        <v>664</v>
      </c>
      <c r="J98" s="49">
        <v>45913</v>
      </c>
      <c r="K98" s="47" t="str">
        <f>INDEX(_xlfn.TEXTSPLIT(mouvementmp[[#This Row],[QR MP]],"_"),1,1)</f>
        <v>C19</v>
      </c>
      <c r="L98" s="47" t="str">
        <f>INDEX(_xlfn.TEXTSPLIT(mouvementmp[[#This Row],[QR MP]],"_"),1,2)</f>
        <v>KAKI CLAIRE</v>
      </c>
      <c r="M98" s="47" t="str">
        <f>INDEX(_xlfn.TEXTSPLIT(mouvementmp[[#This Row],[QR MP]],"_"),1,3)</f>
        <v>NM15.19.02</v>
      </c>
      <c r="N98" s="47" t="str">
        <f>INDEX(_xlfn.TEXTSPLIT(mouvementmp[[#This Row],[QR MP]],"_"),1,4)</f>
        <v>S2022</v>
      </c>
      <c r="O98" s="47">
        <f>-mouvementmp[[#This Row],[Poids]]</f>
        <v>-854</v>
      </c>
      <c r="P98" s="47" t="str">
        <f>IF(
   COUNTIFS($A$2:A98,A98,
             $B$2:B98,B98,
             $C$2:C98,C98,
             $D$2:D98,D98,
             $E$2:E98,E98,
             $F$2:F98,F98,
              $J$2:J98,J98)&gt;1,
   "Doublon",
   "Correcte"
)</f>
        <v>Correcte</v>
      </c>
      <c r="Q98" s="106" t="str">
        <f>IF(mouvementmp[[#This Row],[QR Fabrication]]&lt;&gt;"",INDEX(_xlfn.TEXTSPLIT(mouvementmp[[#This Row],[QR Fabrication]],"_"),1,1),"")</f>
        <v/>
      </c>
      <c r="R98" s="106" t="str">
        <f>IF(mouvementmp[[#This Row],[QR Fabrication]]&lt;&gt;"",INDEX(_xlfn.TEXTSPLIT(mouvementmp[[#This Row],[QR Fabrication]],"_"),1,2),"")</f>
        <v/>
      </c>
      <c r="S98" s="47" t="str">
        <f>IF(mouvementmp[[#This Row],[QR Fabrication]]&lt;&gt;"",INDEX(_xlfn.TEXTSPLIT(mouvementmp[[#This Row],[QR Fabrication]],"_"),1,3),"")</f>
        <v/>
      </c>
      <c r="T98" s="47" t="str">
        <f>IF(mouvementmp[[#This Row],[QR Fabrication]]&lt;&gt;"",INDEX(_xlfn.TEXTSPLIT(mouvementmp[[#This Row],[QR Fabrication]],"_"),1,4),"")</f>
        <v/>
      </c>
      <c r="U98" s="47" t="str">
        <f>IF(mouvementmp[[#This Row],[QR Fabrication]]&lt;&gt;"",INDEX(_xlfn.TEXTSPLIT(mouvementmp[[#This Row],[QR Fabrication]],"_"),1,5),"")</f>
        <v/>
      </c>
      <c r="V98" s="47" t="str">
        <f>IF(mouvementmp[[#This Row],[QR Fabrication]]&lt;&gt;"",_xlfn.TEXTAFTER(mouvementmp[[#This Row],[QR Fabrication]],"_",5),"")</f>
        <v/>
      </c>
    </row>
    <row r="99" spans="1:22" ht="16.5" thickTop="1" thickBot="1" x14ac:dyDescent="0.3">
      <c r="A99" s="46"/>
      <c r="B99" s="54" t="s">
        <v>3870</v>
      </c>
      <c r="C99" s="47" t="s">
        <v>662</v>
      </c>
      <c r="D99" s="47" t="s">
        <v>662</v>
      </c>
      <c r="E99" s="47" t="s">
        <v>667</v>
      </c>
      <c r="F99" s="48">
        <v>955.5</v>
      </c>
      <c r="G99" s="47"/>
      <c r="H99" s="47"/>
      <c r="I99" s="47" t="s">
        <v>664</v>
      </c>
      <c r="J99" s="49">
        <v>45913</v>
      </c>
      <c r="K99" s="47" t="str">
        <f>INDEX(_xlfn.TEXTSPLIT(mouvementmp[[#This Row],[QR MP]],"_"),1,1)</f>
        <v>C19</v>
      </c>
      <c r="L99" s="47" t="str">
        <f>INDEX(_xlfn.TEXTSPLIT(mouvementmp[[#This Row],[QR MP]],"_"),1,2)</f>
        <v>CEDRE</v>
      </c>
      <c r="M99" s="47" t="str">
        <f>INDEX(_xlfn.TEXTSPLIT(mouvementmp[[#This Row],[QR MP]],"_"),1,3)</f>
        <v>NM15-19.00</v>
      </c>
      <c r="N99" s="47" t="str">
        <f>INDEX(_xlfn.TEXTSPLIT(mouvementmp[[#This Row],[QR MP]],"_"),1,4)</f>
        <v>61471</v>
      </c>
      <c r="O99" s="47">
        <f>-mouvementmp[[#This Row],[Poids]]</f>
        <v>-955.5</v>
      </c>
      <c r="P99" s="47" t="str">
        <f>IF(
   COUNTIFS($A$2:A99,A99,
             $B$2:B99,B99,
             $C$2:C99,C99,
             $D$2:D99,D99,
             $E$2:E99,E99,
             $F$2:F99,F99,
              $J$2:J99,J99)&gt;1,
   "Doublon",
   "Correcte"
)</f>
        <v>Correcte</v>
      </c>
      <c r="Q99" s="106" t="str">
        <f>IF(mouvementmp[[#This Row],[QR Fabrication]]&lt;&gt;"",INDEX(_xlfn.TEXTSPLIT(mouvementmp[[#This Row],[QR Fabrication]],"_"),1,1),"")</f>
        <v/>
      </c>
      <c r="R99" s="106" t="str">
        <f>IF(mouvementmp[[#This Row],[QR Fabrication]]&lt;&gt;"",INDEX(_xlfn.TEXTSPLIT(mouvementmp[[#This Row],[QR Fabrication]],"_"),1,2),"")</f>
        <v/>
      </c>
      <c r="S99" s="47" t="str">
        <f>IF(mouvementmp[[#This Row],[QR Fabrication]]&lt;&gt;"",INDEX(_xlfn.TEXTSPLIT(mouvementmp[[#This Row],[QR Fabrication]],"_"),1,3),"")</f>
        <v/>
      </c>
      <c r="T99" s="47" t="str">
        <f>IF(mouvementmp[[#This Row],[QR Fabrication]]&lt;&gt;"",INDEX(_xlfn.TEXTSPLIT(mouvementmp[[#This Row],[QR Fabrication]],"_"),1,4),"")</f>
        <v/>
      </c>
      <c r="U99" s="47" t="str">
        <f>IF(mouvementmp[[#This Row],[QR Fabrication]]&lt;&gt;"",INDEX(_xlfn.TEXTSPLIT(mouvementmp[[#This Row],[QR Fabrication]],"_"),1,5),"")</f>
        <v/>
      </c>
      <c r="V99" s="47" t="str">
        <f>IF(mouvementmp[[#This Row],[QR Fabrication]]&lt;&gt;"",_xlfn.TEXTAFTER(mouvementmp[[#This Row],[QR Fabrication]],"_",5),"")</f>
        <v/>
      </c>
    </row>
    <row r="100" spans="1:22" ht="16.5" thickTop="1" thickBot="1" x14ac:dyDescent="0.3">
      <c r="A100" s="46"/>
      <c r="B100" s="54" t="s">
        <v>3870</v>
      </c>
      <c r="C100" s="47" t="s">
        <v>662</v>
      </c>
      <c r="D100" s="47" t="s">
        <v>662</v>
      </c>
      <c r="E100" s="47" t="s">
        <v>665</v>
      </c>
      <c r="F100" s="48">
        <v>53.5</v>
      </c>
      <c r="G100" s="47"/>
      <c r="H100" s="47"/>
      <c r="I100" s="47" t="s">
        <v>664</v>
      </c>
      <c r="J100" s="49">
        <v>45913</v>
      </c>
      <c r="K100" s="47" t="str">
        <f>INDEX(_xlfn.TEXTSPLIT(mouvementmp[[#This Row],[QR MP]],"_"),1,1)</f>
        <v>C19</v>
      </c>
      <c r="L100" s="47" t="str">
        <f>INDEX(_xlfn.TEXTSPLIT(mouvementmp[[#This Row],[QR MP]],"_"),1,2)</f>
        <v>CEDRE</v>
      </c>
      <c r="M100" s="47" t="str">
        <f>INDEX(_xlfn.TEXTSPLIT(mouvementmp[[#This Row],[QR MP]],"_"),1,3)</f>
        <v>NM15-19.00</v>
      </c>
      <c r="N100" s="47" t="str">
        <f>INDEX(_xlfn.TEXTSPLIT(mouvementmp[[#This Row],[QR MP]],"_"),1,4)</f>
        <v>61471</v>
      </c>
      <c r="O100" s="47">
        <f>-mouvementmp[[#This Row],[Poids]]</f>
        <v>-53.5</v>
      </c>
      <c r="P100" s="47" t="str">
        <f>IF(
   COUNTIFS($A$2:A100,A100,
             $B$2:B100,B100,
             $C$2:C100,C100,
             $D$2:D100,D100,
             $E$2:E100,E100,
             $F$2:F100,F100,
              $J$2:J100,J100)&gt;1,
   "Doublon",
   "Correcte"
)</f>
        <v>Correcte</v>
      </c>
      <c r="Q100" s="106" t="str">
        <f>IF(mouvementmp[[#This Row],[QR Fabrication]]&lt;&gt;"",INDEX(_xlfn.TEXTSPLIT(mouvementmp[[#This Row],[QR Fabrication]],"_"),1,1),"")</f>
        <v/>
      </c>
      <c r="R100" s="106" t="str">
        <f>IF(mouvementmp[[#This Row],[QR Fabrication]]&lt;&gt;"",INDEX(_xlfn.TEXTSPLIT(mouvementmp[[#This Row],[QR Fabrication]],"_"),1,2),"")</f>
        <v/>
      </c>
      <c r="S100" s="47" t="str">
        <f>IF(mouvementmp[[#This Row],[QR Fabrication]]&lt;&gt;"",INDEX(_xlfn.TEXTSPLIT(mouvementmp[[#This Row],[QR Fabrication]],"_"),1,3),"")</f>
        <v/>
      </c>
      <c r="T100" s="47" t="str">
        <f>IF(mouvementmp[[#This Row],[QR Fabrication]]&lt;&gt;"",INDEX(_xlfn.TEXTSPLIT(mouvementmp[[#This Row],[QR Fabrication]],"_"),1,4),"")</f>
        <v/>
      </c>
      <c r="U100" s="47" t="str">
        <f>IF(mouvementmp[[#This Row],[QR Fabrication]]&lt;&gt;"",INDEX(_xlfn.TEXTSPLIT(mouvementmp[[#This Row],[QR Fabrication]],"_"),1,5),"")</f>
        <v/>
      </c>
      <c r="V100" s="47" t="str">
        <f>IF(mouvementmp[[#This Row],[QR Fabrication]]&lt;&gt;"",_xlfn.TEXTAFTER(mouvementmp[[#This Row],[QR Fabrication]],"_",5),"")</f>
        <v/>
      </c>
    </row>
    <row r="101" spans="1:22" ht="16.5" thickTop="1" thickBot="1" x14ac:dyDescent="0.3">
      <c r="A101" s="46"/>
      <c r="B101" s="54" t="s">
        <v>3871</v>
      </c>
      <c r="C101" s="47" t="s">
        <v>662</v>
      </c>
      <c r="D101" s="47" t="s">
        <v>662</v>
      </c>
      <c r="E101" s="47" t="s">
        <v>665</v>
      </c>
      <c r="F101" s="48">
        <v>157</v>
      </c>
      <c r="G101" s="47"/>
      <c r="H101" s="47"/>
      <c r="I101" s="47" t="s">
        <v>664</v>
      </c>
      <c r="J101" s="49">
        <v>45913</v>
      </c>
      <c r="K101" s="47" t="str">
        <f>INDEX(_xlfn.TEXTSPLIT(mouvementmp[[#This Row],[QR MP]],"_"),1,1)</f>
        <v>C19</v>
      </c>
      <c r="L101" s="47" t="str">
        <f>INDEX(_xlfn.TEXTSPLIT(mouvementmp[[#This Row],[QR MP]],"_"),1,2)</f>
        <v>KAKI</v>
      </c>
      <c r="M101" s="47" t="str">
        <f>INDEX(_xlfn.TEXTSPLIT(mouvementmp[[#This Row],[QR MP]],"_"),1,3)</f>
        <v>NM15-19.01</v>
      </c>
      <c r="N101" s="47" t="str">
        <f>INDEX(_xlfn.TEXTSPLIT(mouvementmp[[#This Row],[QR MP]],"_"),1,4)</f>
        <v>61602</v>
      </c>
      <c r="O101" s="47">
        <f>-mouvementmp[[#This Row],[Poids]]</f>
        <v>-157</v>
      </c>
      <c r="P101" s="47" t="str">
        <f>IF(
   COUNTIFS($A$2:A101,A101,
             $B$2:B101,B101,
             $C$2:C101,C101,
             $D$2:D101,D101,
             $E$2:E101,E101,
             $F$2:F101,F101,
              $J$2:J101,J101)&gt;1,
   "Doublon",
   "Correcte"
)</f>
        <v>Correcte</v>
      </c>
      <c r="Q101" s="106" t="str">
        <f>IF(mouvementmp[[#This Row],[QR Fabrication]]&lt;&gt;"",INDEX(_xlfn.TEXTSPLIT(mouvementmp[[#This Row],[QR Fabrication]],"_"),1,1),"")</f>
        <v/>
      </c>
      <c r="R101" s="106" t="str">
        <f>IF(mouvementmp[[#This Row],[QR Fabrication]]&lt;&gt;"",INDEX(_xlfn.TEXTSPLIT(mouvementmp[[#This Row],[QR Fabrication]],"_"),1,2),"")</f>
        <v/>
      </c>
      <c r="S101" s="47" t="str">
        <f>IF(mouvementmp[[#This Row],[QR Fabrication]]&lt;&gt;"",INDEX(_xlfn.TEXTSPLIT(mouvementmp[[#This Row],[QR Fabrication]],"_"),1,3),"")</f>
        <v/>
      </c>
      <c r="T101" s="47" t="str">
        <f>IF(mouvementmp[[#This Row],[QR Fabrication]]&lt;&gt;"",INDEX(_xlfn.TEXTSPLIT(mouvementmp[[#This Row],[QR Fabrication]],"_"),1,4),"")</f>
        <v/>
      </c>
      <c r="U101" s="47" t="str">
        <f>IF(mouvementmp[[#This Row],[QR Fabrication]]&lt;&gt;"",INDEX(_xlfn.TEXTSPLIT(mouvementmp[[#This Row],[QR Fabrication]],"_"),1,5),"")</f>
        <v/>
      </c>
      <c r="V101" s="47" t="str">
        <f>IF(mouvementmp[[#This Row],[QR Fabrication]]&lt;&gt;"",_xlfn.TEXTAFTER(mouvementmp[[#This Row],[QR Fabrication]],"_",5),"")</f>
        <v/>
      </c>
    </row>
    <row r="102" spans="1:22" ht="16.5" thickTop="1" thickBot="1" x14ac:dyDescent="0.3">
      <c r="A102" s="46"/>
      <c r="B102" s="54" t="s">
        <v>3872</v>
      </c>
      <c r="C102" s="47" t="s">
        <v>662</v>
      </c>
      <c r="D102" s="47" t="s">
        <v>662</v>
      </c>
      <c r="E102" s="47" t="s">
        <v>665</v>
      </c>
      <c r="F102" s="48">
        <v>53</v>
      </c>
      <c r="G102" s="47"/>
      <c r="H102" s="47"/>
      <c r="I102" s="47" t="s">
        <v>664</v>
      </c>
      <c r="J102" s="49">
        <v>45913</v>
      </c>
      <c r="K102" s="47" t="str">
        <f>INDEX(_xlfn.TEXTSPLIT(mouvementmp[[#This Row],[QR MP]],"_"),1,1)</f>
        <v>C19</v>
      </c>
      <c r="L102" s="47" t="str">
        <f>INDEX(_xlfn.TEXTSPLIT(mouvementmp[[#This Row],[QR MP]],"_"),1,2)</f>
        <v>KAKI</v>
      </c>
      <c r="M102" s="47" t="str">
        <f>INDEX(_xlfn.TEXTSPLIT(mouvementmp[[#This Row],[QR MP]],"_"),1,3)</f>
        <v>NM34-19.01</v>
      </c>
      <c r="N102" s="47" t="str">
        <f>INDEX(_xlfn.TEXTSPLIT(mouvementmp[[#This Row],[QR MP]],"_"),1,4)</f>
        <v>S2024</v>
      </c>
      <c r="O102" s="47">
        <f>-mouvementmp[[#This Row],[Poids]]</f>
        <v>-53</v>
      </c>
      <c r="P102" s="47" t="str">
        <f>IF(
   COUNTIFS($A$2:A102,A102,
             $B$2:B102,B102,
             $C$2:C102,C102,
             $D$2:D102,D102,
             $E$2:E102,E102,
             $F$2:F102,F102,
              $J$2:J102,J102)&gt;1,
   "Doublon",
   "Correcte"
)</f>
        <v>Correcte</v>
      </c>
      <c r="Q102" s="106" t="str">
        <f>IF(mouvementmp[[#This Row],[QR Fabrication]]&lt;&gt;"",INDEX(_xlfn.TEXTSPLIT(mouvementmp[[#This Row],[QR Fabrication]],"_"),1,1),"")</f>
        <v/>
      </c>
      <c r="R102" s="106" t="str">
        <f>IF(mouvementmp[[#This Row],[QR Fabrication]]&lt;&gt;"",INDEX(_xlfn.TEXTSPLIT(mouvementmp[[#This Row],[QR Fabrication]],"_"),1,2),"")</f>
        <v/>
      </c>
      <c r="S102" s="47" t="str">
        <f>IF(mouvementmp[[#This Row],[QR Fabrication]]&lt;&gt;"",INDEX(_xlfn.TEXTSPLIT(mouvementmp[[#This Row],[QR Fabrication]],"_"),1,3),"")</f>
        <v/>
      </c>
      <c r="T102" s="47" t="str">
        <f>IF(mouvementmp[[#This Row],[QR Fabrication]]&lt;&gt;"",INDEX(_xlfn.TEXTSPLIT(mouvementmp[[#This Row],[QR Fabrication]],"_"),1,4),"")</f>
        <v/>
      </c>
      <c r="U102" s="47" t="str">
        <f>IF(mouvementmp[[#This Row],[QR Fabrication]]&lt;&gt;"",INDEX(_xlfn.TEXTSPLIT(mouvementmp[[#This Row],[QR Fabrication]],"_"),1,5),"")</f>
        <v/>
      </c>
      <c r="V102" s="47" t="str">
        <f>IF(mouvementmp[[#This Row],[QR Fabrication]]&lt;&gt;"",_xlfn.TEXTAFTER(mouvementmp[[#This Row],[QR Fabrication]],"_",5),"")</f>
        <v/>
      </c>
    </row>
    <row r="103" spans="1:22" ht="16.5" thickTop="1" thickBot="1" x14ac:dyDescent="0.3">
      <c r="A103" s="46"/>
      <c r="B103" s="54" t="s">
        <v>3873</v>
      </c>
      <c r="C103" s="47" t="s">
        <v>662</v>
      </c>
      <c r="D103" s="47" t="s">
        <v>662</v>
      </c>
      <c r="E103" s="47" t="s">
        <v>663</v>
      </c>
      <c r="F103" s="48">
        <v>245</v>
      </c>
      <c r="G103" s="47"/>
      <c r="H103" s="47"/>
      <c r="I103" s="47" t="s">
        <v>664</v>
      </c>
      <c r="J103" s="49">
        <v>45913</v>
      </c>
      <c r="K103" s="47" t="str">
        <f>INDEX(_xlfn.TEXTSPLIT(mouvementmp[[#This Row],[QR MP]],"_"),1,1)</f>
        <v>C20</v>
      </c>
      <c r="L103" s="47" t="str">
        <f>INDEX(_xlfn.TEXTSPLIT(mouvementmp[[#This Row],[QR MP]],"_"),1,2)</f>
        <v>VERT OLIVE</v>
      </c>
      <c r="M103" s="47" t="str">
        <f>INDEX(_xlfn.TEXTSPLIT(mouvementmp[[#This Row],[QR MP]],"_"),1,3)</f>
        <v>NM05-20.02</v>
      </c>
      <c r="N103" s="47" t="str">
        <f>INDEX(_xlfn.TEXTSPLIT(mouvementmp[[#This Row],[QR MP]],"_"),1,4)</f>
        <v>S2023</v>
      </c>
      <c r="O103" s="47">
        <f>-mouvementmp[[#This Row],[Poids]]</f>
        <v>-245</v>
      </c>
      <c r="P103" s="47" t="str">
        <f>IF(
   COUNTIFS($A$2:A103,A103,
             $B$2:B103,B103,
             $C$2:C103,C103,
             $D$2:D103,D103,
             $E$2:E103,E103,
             $F$2:F103,F103,
              $J$2:J103,J103)&gt;1,
   "Doublon",
   "Correcte"
)</f>
        <v>Correcte</v>
      </c>
      <c r="Q103" s="106" t="str">
        <f>IF(mouvementmp[[#This Row],[QR Fabrication]]&lt;&gt;"",INDEX(_xlfn.TEXTSPLIT(mouvementmp[[#This Row],[QR Fabrication]],"_"),1,1),"")</f>
        <v/>
      </c>
      <c r="R103" s="106" t="str">
        <f>IF(mouvementmp[[#This Row],[QR Fabrication]]&lt;&gt;"",INDEX(_xlfn.TEXTSPLIT(mouvementmp[[#This Row],[QR Fabrication]],"_"),1,2),"")</f>
        <v/>
      </c>
      <c r="S103" s="47" t="str">
        <f>IF(mouvementmp[[#This Row],[QR Fabrication]]&lt;&gt;"",INDEX(_xlfn.TEXTSPLIT(mouvementmp[[#This Row],[QR Fabrication]],"_"),1,3),"")</f>
        <v/>
      </c>
      <c r="T103" s="47" t="str">
        <f>IF(mouvementmp[[#This Row],[QR Fabrication]]&lt;&gt;"",INDEX(_xlfn.TEXTSPLIT(mouvementmp[[#This Row],[QR Fabrication]],"_"),1,4),"")</f>
        <v/>
      </c>
      <c r="U103" s="47" t="str">
        <f>IF(mouvementmp[[#This Row],[QR Fabrication]]&lt;&gt;"",INDEX(_xlfn.TEXTSPLIT(mouvementmp[[#This Row],[QR Fabrication]],"_"),1,5),"")</f>
        <v/>
      </c>
      <c r="V103" s="47" t="str">
        <f>IF(mouvementmp[[#This Row],[QR Fabrication]]&lt;&gt;"",_xlfn.TEXTAFTER(mouvementmp[[#This Row],[QR Fabrication]],"_",5),"")</f>
        <v/>
      </c>
    </row>
    <row r="104" spans="1:22" ht="16.5" thickTop="1" thickBot="1" x14ac:dyDescent="0.3">
      <c r="A104" s="46"/>
      <c r="B104" s="54" t="s">
        <v>3874</v>
      </c>
      <c r="C104" s="47" t="s">
        <v>662</v>
      </c>
      <c r="D104" s="47" t="s">
        <v>662</v>
      </c>
      <c r="E104" s="47" t="s">
        <v>665</v>
      </c>
      <c r="F104" s="48">
        <v>19.399999999999999</v>
      </c>
      <c r="G104" s="47"/>
      <c r="H104" s="47"/>
      <c r="I104" s="47" t="s">
        <v>664</v>
      </c>
      <c r="J104" s="49">
        <v>45913</v>
      </c>
      <c r="K104" s="47" t="str">
        <f>INDEX(_xlfn.TEXTSPLIT(mouvementmp[[#This Row],[QR MP]],"_"),1,1)</f>
        <v>C20</v>
      </c>
      <c r="L104" s="47" t="str">
        <f>INDEX(_xlfn.TEXTSPLIT(mouvementmp[[#This Row],[QR MP]],"_"),1,2)</f>
        <v>VERT OLIVE</v>
      </c>
      <c r="M104" s="47" t="str">
        <f>INDEX(_xlfn.TEXTSPLIT(mouvementmp[[#This Row],[QR MP]],"_"),1,3)</f>
        <v>NM15-20.00</v>
      </c>
      <c r="N104" s="47" t="str">
        <f>INDEX(_xlfn.TEXTSPLIT(mouvementmp[[#This Row],[QR MP]],"_"),1,4)</f>
        <v>S2023</v>
      </c>
      <c r="O104" s="47">
        <f>-mouvementmp[[#This Row],[Poids]]</f>
        <v>-19.399999999999999</v>
      </c>
      <c r="P104" s="47" t="str">
        <f>IF(
   COUNTIFS($A$2:A104,A104,
             $B$2:B104,B104,
             $C$2:C104,C104,
             $D$2:D104,D104,
             $E$2:E104,E104,
             $F$2:F104,F104,
              $J$2:J104,J104)&gt;1,
   "Doublon",
   "Correcte"
)</f>
        <v>Correcte</v>
      </c>
      <c r="Q104" s="106" t="str">
        <f>IF(mouvementmp[[#This Row],[QR Fabrication]]&lt;&gt;"",INDEX(_xlfn.TEXTSPLIT(mouvementmp[[#This Row],[QR Fabrication]],"_"),1,1),"")</f>
        <v/>
      </c>
      <c r="R104" s="106" t="str">
        <f>IF(mouvementmp[[#This Row],[QR Fabrication]]&lt;&gt;"",INDEX(_xlfn.TEXTSPLIT(mouvementmp[[#This Row],[QR Fabrication]],"_"),1,2),"")</f>
        <v/>
      </c>
      <c r="S104" s="47" t="str">
        <f>IF(mouvementmp[[#This Row],[QR Fabrication]]&lt;&gt;"",INDEX(_xlfn.TEXTSPLIT(mouvementmp[[#This Row],[QR Fabrication]],"_"),1,3),"")</f>
        <v/>
      </c>
      <c r="T104" s="47" t="str">
        <f>IF(mouvementmp[[#This Row],[QR Fabrication]]&lt;&gt;"",INDEX(_xlfn.TEXTSPLIT(mouvementmp[[#This Row],[QR Fabrication]],"_"),1,4),"")</f>
        <v/>
      </c>
      <c r="U104" s="47" t="str">
        <f>IF(mouvementmp[[#This Row],[QR Fabrication]]&lt;&gt;"",INDEX(_xlfn.TEXTSPLIT(mouvementmp[[#This Row],[QR Fabrication]],"_"),1,5),"")</f>
        <v/>
      </c>
      <c r="V104" s="47" t="str">
        <f>IF(mouvementmp[[#This Row],[QR Fabrication]]&lt;&gt;"",_xlfn.TEXTAFTER(mouvementmp[[#This Row],[QR Fabrication]],"_",5),"")</f>
        <v/>
      </c>
    </row>
    <row r="105" spans="1:22" ht="16.5" thickTop="1" thickBot="1" x14ac:dyDescent="0.3">
      <c r="A105" s="46"/>
      <c r="B105" s="54" t="s">
        <v>3875</v>
      </c>
      <c r="C105" s="47" t="s">
        <v>662</v>
      </c>
      <c r="D105" s="47" t="s">
        <v>662</v>
      </c>
      <c r="E105" s="47" t="s">
        <v>665</v>
      </c>
      <c r="F105" s="48">
        <v>32.5</v>
      </c>
      <c r="G105" s="47"/>
      <c r="H105" s="47"/>
      <c r="I105" s="47" t="s">
        <v>664</v>
      </c>
      <c r="J105" s="49">
        <v>45913</v>
      </c>
      <c r="K105" s="47" t="str">
        <f>INDEX(_xlfn.TEXTSPLIT(mouvementmp[[#This Row],[QR MP]],"_"),1,1)</f>
        <v>C20</v>
      </c>
      <c r="L105" s="47" t="str">
        <f>INDEX(_xlfn.TEXTSPLIT(mouvementmp[[#This Row],[QR MP]],"_"),1,2)</f>
        <v>VERT OLIVE</v>
      </c>
      <c r="M105" s="47" t="str">
        <f>INDEX(_xlfn.TEXTSPLIT(mouvementmp[[#This Row],[QR MP]],"_"),1,3)</f>
        <v>NM15-20.01</v>
      </c>
      <c r="N105" s="47" t="str">
        <f>INDEX(_xlfn.TEXTSPLIT(mouvementmp[[#This Row],[QR MP]],"_"),1,4)</f>
        <v>61652</v>
      </c>
      <c r="O105" s="47">
        <f>-mouvementmp[[#This Row],[Poids]]</f>
        <v>-32.5</v>
      </c>
      <c r="P105" s="47" t="str">
        <f>IF(
   COUNTIFS($A$2:A105,A105,
             $B$2:B105,B105,
             $C$2:C105,C105,
             $D$2:D105,D105,
             $E$2:E105,E105,
             $F$2:F105,F105,
              $J$2:J105,J105)&gt;1,
   "Doublon",
   "Correcte"
)</f>
        <v>Correcte</v>
      </c>
      <c r="Q105" s="106" t="str">
        <f>IF(mouvementmp[[#This Row],[QR Fabrication]]&lt;&gt;"",INDEX(_xlfn.TEXTSPLIT(mouvementmp[[#This Row],[QR Fabrication]],"_"),1,1),"")</f>
        <v/>
      </c>
      <c r="R105" s="106" t="str">
        <f>IF(mouvementmp[[#This Row],[QR Fabrication]]&lt;&gt;"",INDEX(_xlfn.TEXTSPLIT(mouvementmp[[#This Row],[QR Fabrication]],"_"),1,2),"")</f>
        <v/>
      </c>
      <c r="S105" s="47" t="str">
        <f>IF(mouvementmp[[#This Row],[QR Fabrication]]&lt;&gt;"",INDEX(_xlfn.TEXTSPLIT(mouvementmp[[#This Row],[QR Fabrication]],"_"),1,3),"")</f>
        <v/>
      </c>
      <c r="T105" s="47" t="str">
        <f>IF(mouvementmp[[#This Row],[QR Fabrication]]&lt;&gt;"",INDEX(_xlfn.TEXTSPLIT(mouvementmp[[#This Row],[QR Fabrication]],"_"),1,4),"")</f>
        <v/>
      </c>
      <c r="U105" s="47" t="str">
        <f>IF(mouvementmp[[#This Row],[QR Fabrication]]&lt;&gt;"",INDEX(_xlfn.TEXTSPLIT(mouvementmp[[#This Row],[QR Fabrication]],"_"),1,5),"")</f>
        <v/>
      </c>
      <c r="V105" s="47" t="str">
        <f>IF(mouvementmp[[#This Row],[QR Fabrication]]&lt;&gt;"",_xlfn.TEXTAFTER(mouvementmp[[#This Row],[QR Fabrication]],"_",5),"")</f>
        <v/>
      </c>
    </row>
    <row r="106" spans="1:22" ht="16.5" thickTop="1" thickBot="1" x14ac:dyDescent="0.3">
      <c r="A106" s="46"/>
      <c r="B106" s="54" t="s">
        <v>3876</v>
      </c>
      <c r="C106" s="47" t="s">
        <v>662</v>
      </c>
      <c r="D106" s="47" t="s">
        <v>662</v>
      </c>
      <c r="E106" s="47" t="s">
        <v>665</v>
      </c>
      <c r="F106" s="48">
        <v>37</v>
      </c>
      <c r="G106" s="47"/>
      <c r="H106" s="47"/>
      <c r="I106" s="47" t="s">
        <v>664</v>
      </c>
      <c r="J106" s="49">
        <v>45913</v>
      </c>
      <c r="K106" s="47" t="str">
        <f>INDEX(_xlfn.TEXTSPLIT(mouvementmp[[#This Row],[QR MP]],"_"),1,1)</f>
        <v>C20</v>
      </c>
      <c r="L106" s="47" t="str">
        <f>INDEX(_xlfn.TEXTSPLIT(mouvementmp[[#This Row],[QR MP]],"_"),1,2)</f>
        <v>VERT OLIVE</v>
      </c>
      <c r="M106" s="47" t="str">
        <f>INDEX(_xlfn.TEXTSPLIT(mouvementmp[[#This Row],[QR MP]],"_"),1,3)</f>
        <v>NM34-20.01</v>
      </c>
      <c r="N106" s="47" t="str">
        <f>INDEX(_xlfn.TEXTSPLIT(mouvementmp[[#This Row],[QR MP]],"_"),1,4)</f>
        <v>S2024</v>
      </c>
      <c r="O106" s="47">
        <f>-mouvementmp[[#This Row],[Poids]]</f>
        <v>-37</v>
      </c>
      <c r="P106" s="47" t="str">
        <f>IF(
   COUNTIFS($A$2:A106,A106,
             $B$2:B106,B106,
             $C$2:C106,C106,
             $D$2:D106,D106,
             $E$2:E106,E106,
             $F$2:F106,F106,
              $J$2:J106,J106)&gt;1,
   "Doublon",
   "Correcte"
)</f>
        <v>Correcte</v>
      </c>
      <c r="Q106" s="106" t="str">
        <f>IF(mouvementmp[[#This Row],[QR Fabrication]]&lt;&gt;"",INDEX(_xlfn.TEXTSPLIT(mouvementmp[[#This Row],[QR Fabrication]],"_"),1,1),"")</f>
        <v/>
      </c>
      <c r="R106" s="106" t="str">
        <f>IF(mouvementmp[[#This Row],[QR Fabrication]]&lt;&gt;"",INDEX(_xlfn.TEXTSPLIT(mouvementmp[[#This Row],[QR Fabrication]],"_"),1,2),"")</f>
        <v/>
      </c>
      <c r="S106" s="47" t="str">
        <f>IF(mouvementmp[[#This Row],[QR Fabrication]]&lt;&gt;"",INDEX(_xlfn.TEXTSPLIT(mouvementmp[[#This Row],[QR Fabrication]],"_"),1,3),"")</f>
        <v/>
      </c>
      <c r="T106" s="47" t="str">
        <f>IF(mouvementmp[[#This Row],[QR Fabrication]]&lt;&gt;"",INDEX(_xlfn.TEXTSPLIT(mouvementmp[[#This Row],[QR Fabrication]],"_"),1,4),"")</f>
        <v/>
      </c>
      <c r="U106" s="47" t="str">
        <f>IF(mouvementmp[[#This Row],[QR Fabrication]]&lt;&gt;"",INDEX(_xlfn.TEXTSPLIT(mouvementmp[[#This Row],[QR Fabrication]],"_"),1,5),"")</f>
        <v/>
      </c>
      <c r="V106" s="47" t="str">
        <f>IF(mouvementmp[[#This Row],[QR Fabrication]]&lt;&gt;"",_xlfn.TEXTAFTER(mouvementmp[[#This Row],[QR Fabrication]],"_",5),"")</f>
        <v/>
      </c>
    </row>
    <row r="107" spans="1:22" ht="16.5" thickTop="1" thickBot="1" x14ac:dyDescent="0.3">
      <c r="A107" s="46"/>
      <c r="B107" s="54" t="s">
        <v>3877</v>
      </c>
      <c r="C107" s="47" t="s">
        <v>662</v>
      </c>
      <c r="D107" s="47" t="s">
        <v>662</v>
      </c>
      <c r="E107" s="47" t="s">
        <v>666</v>
      </c>
      <c r="F107" s="48">
        <v>423.5</v>
      </c>
      <c r="G107" s="47"/>
      <c r="H107" s="47"/>
      <c r="I107" s="47" t="s">
        <v>664</v>
      </c>
      <c r="J107" s="49">
        <v>45913</v>
      </c>
      <c r="K107" s="47" t="str">
        <f>INDEX(_xlfn.TEXTSPLIT(mouvementmp[[#This Row],[QR MP]],"_"),1,1)</f>
        <v>C21</v>
      </c>
      <c r="L107" s="47" t="str">
        <f>INDEX(_xlfn.TEXTSPLIT(mouvementmp[[#This Row],[QR MP]],"_"),1,2)</f>
        <v>KAKI</v>
      </c>
      <c r="M107" s="47" t="str">
        <f>INDEX(_xlfn.TEXTSPLIT(mouvementmp[[#This Row],[QR MP]],"_"),1,3)</f>
        <v>NM10-21.01</v>
      </c>
      <c r="N107" s="47" t="str">
        <f>INDEX(_xlfn.TEXTSPLIT(mouvementmp[[#This Row],[QR MP]],"_"),1,4)</f>
        <v>53987</v>
      </c>
      <c r="O107" s="47">
        <f>-mouvementmp[[#This Row],[Poids]]</f>
        <v>-423.5</v>
      </c>
      <c r="P107" s="47" t="str">
        <f>IF(
   COUNTIFS($A$2:A107,A107,
             $B$2:B107,B107,
             $C$2:C107,C107,
             $D$2:D107,D107,
             $E$2:E107,E107,
             $F$2:F107,F107,
              $J$2:J107,J107)&gt;1,
   "Doublon",
   "Correcte"
)</f>
        <v>Correcte</v>
      </c>
      <c r="Q107" s="106" t="str">
        <f>IF(mouvementmp[[#This Row],[QR Fabrication]]&lt;&gt;"",INDEX(_xlfn.TEXTSPLIT(mouvementmp[[#This Row],[QR Fabrication]],"_"),1,1),"")</f>
        <v/>
      </c>
      <c r="R107" s="106" t="str">
        <f>IF(mouvementmp[[#This Row],[QR Fabrication]]&lt;&gt;"",INDEX(_xlfn.TEXTSPLIT(mouvementmp[[#This Row],[QR Fabrication]],"_"),1,2),"")</f>
        <v/>
      </c>
      <c r="S107" s="47" t="str">
        <f>IF(mouvementmp[[#This Row],[QR Fabrication]]&lt;&gt;"",INDEX(_xlfn.TEXTSPLIT(mouvementmp[[#This Row],[QR Fabrication]],"_"),1,3),"")</f>
        <v/>
      </c>
      <c r="T107" s="47" t="str">
        <f>IF(mouvementmp[[#This Row],[QR Fabrication]]&lt;&gt;"",INDEX(_xlfn.TEXTSPLIT(mouvementmp[[#This Row],[QR Fabrication]],"_"),1,4),"")</f>
        <v/>
      </c>
      <c r="U107" s="47" t="str">
        <f>IF(mouvementmp[[#This Row],[QR Fabrication]]&lt;&gt;"",INDEX(_xlfn.TEXTSPLIT(mouvementmp[[#This Row],[QR Fabrication]],"_"),1,5),"")</f>
        <v/>
      </c>
      <c r="V107" s="47" t="str">
        <f>IF(mouvementmp[[#This Row],[QR Fabrication]]&lt;&gt;"",_xlfn.TEXTAFTER(mouvementmp[[#This Row],[QR Fabrication]],"_",5),"")</f>
        <v/>
      </c>
    </row>
    <row r="108" spans="1:22" ht="16.5" thickTop="1" thickBot="1" x14ac:dyDescent="0.3">
      <c r="A108" s="46"/>
      <c r="B108" s="54" t="s">
        <v>3878</v>
      </c>
      <c r="C108" s="47" t="s">
        <v>662</v>
      </c>
      <c r="D108" s="47" t="s">
        <v>662</v>
      </c>
      <c r="E108" s="47" t="s">
        <v>667</v>
      </c>
      <c r="F108" s="48">
        <v>301</v>
      </c>
      <c r="G108" s="47"/>
      <c r="H108" s="47"/>
      <c r="I108" s="47" t="s">
        <v>664</v>
      </c>
      <c r="J108" s="49">
        <v>45913</v>
      </c>
      <c r="K108" s="47" t="str">
        <f>INDEX(_xlfn.TEXTSPLIT(mouvementmp[[#This Row],[QR MP]],"_"),1,1)</f>
        <v>C21</v>
      </c>
      <c r="L108" s="47" t="str">
        <f>INDEX(_xlfn.TEXTSPLIT(mouvementmp[[#This Row],[QR MP]],"_"),1,2)</f>
        <v>VERT PISTACHE</v>
      </c>
      <c r="M108" s="47" t="str">
        <f>INDEX(_xlfn.TEXTSPLIT(mouvementmp[[#This Row],[QR MP]],"_"),1,3)</f>
        <v>NM15-21.00</v>
      </c>
      <c r="N108" s="47" t="str">
        <f>INDEX(_xlfn.TEXTSPLIT(mouvementmp[[#This Row],[QR MP]],"_"),1,4)</f>
        <v>61669</v>
      </c>
      <c r="O108" s="47">
        <f>-mouvementmp[[#This Row],[Poids]]</f>
        <v>-301</v>
      </c>
      <c r="P108" s="47" t="str">
        <f>IF(
   COUNTIFS($A$2:A108,A108,
             $B$2:B108,B108,
             $C$2:C108,C108,
             $D$2:D108,D108,
             $E$2:E108,E108,
             $F$2:F108,F108,
              $J$2:J108,J108)&gt;1,
   "Doublon",
   "Correcte"
)</f>
        <v>Correcte</v>
      </c>
      <c r="Q108" s="106" t="str">
        <f>IF(mouvementmp[[#This Row],[QR Fabrication]]&lt;&gt;"",INDEX(_xlfn.TEXTSPLIT(mouvementmp[[#This Row],[QR Fabrication]],"_"),1,1),"")</f>
        <v/>
      </c>
      <c r="R108" s="106" t="str">
        <f>IF(mouvementmp[[#This Row],[QR Fabrication]]&lt;&gt;"",INDEX(_xlfn.TEXTSPLIT(mouvementmp[[#This Row],[QR Fabrication]],"_"),1,2),"")</f>
        <v/>
      </c>
      <c r="S108" s="47" t="str">
        <f>IF(mouvementmp[[#This Row],[QR Fabrication]]&lt;&gt;"",INDEX(_xlfn.TEXTSPLIT(mouvementmp[[#This Row],[QR Fabrication]],"_"),1,3),"")</f>
        <v/>
      </c>
      <c r="T108" s="47" t="str">
        <f>IF(mouvementmp[[#This Row],[QR Fabrication]]&lt;&gt;"",INDEX(_xlfn.TEXTSPLIT(mouvementmp[[#This Row],[QR Fabrication]],"_"),1,4),"")</f>
        <v/>
      </c>
      <c r="U108" s="47" t="str">
        <f>IF(mouvementmp[[#This Row],[QR Fabrication]]&lt;&gt;"",INDEX(_xlfn.TEXTSPLIT(mouvementmp[[#This Row],[QR Fabrication]],"_"),1,5),"")</f>
        <v/>
      </c>
      <c r="V108" s="47" t="str">
        <f>IF(mouvementmp[[#This Row],[QR Fabrication]]&lt;&gt;"",_xlfn.TEXTAFTER(mouvementmp[[#This Row],[QR Fabrication]],"_",5),"")</f>
        <v/>
      </c>
    </row>
    <row r="109" spans="1:22" ht="16.5" thickTop="1" thickBot="1" x14ac:dyDescent="0.3">
      <c r="A109" s="46"/>
      <c r="B109" s="54" t="s">
        <v>3878</v>
      </c>
      <c r="C109" s="47" t="s">
        <v>662</v>
      </c>
      <c r="D109" s="47" t="s">
        <v>662</v>
      </c>
      <c r="E109" s="47" t="s">
        <v>665</v>
      </c>
      <c r="F109" s="48">
        <v>329.7</v>
      </c>
      <c r="G109" s="47"/>
      <c r="H109" s="47"/>
      <c r="I109" s="47" t="s">
        <v>664</v>
      </c>
      <c r="J109" s="49">
        <v>45913</v>
      </c>
      <c r="K109" s="47" t="str">
        <f>INDEX(_xlfn.TEXTSPLIT(mouvementmp[[#This Row],[QR MP]],"_"),1,1)</f>
        <v>C21</v>
      </c>
      <c r="L109" s="47" t="str">
        <f>INDEX(_xlfn.TEXTSPLIT(mouvementmp[[#This Row],[QR MP]],"_"),1,2)</f>
        <v>VERT PISTACHE</v>
      </c>
      <c r="M109" s="47" t="str">
        <f>INDEX(_xlfn.TEXTSPLIT(mouvementmp[[#This Row],[QR MP]],"_"),1,3)</f>
        <v>NM15-21.00</v>
      </c>
      <c r="N109" s="47" t="str">
        <f>INDEX(_xlfn.TEXTSPLIT(mouvementmp[[#This Row],[QR MP]],"_"),1,4)</f>
        <v>61669</v>
      </c>
      <c r="O109" s="47">
        <f>-mouvementmp[[#This Row],[Poids]]</f>
        <v>-329.7</v>
      </c>
      <c r="P109" s="47" t="str">
        <f>IF(
   COUNTIFS($A$2:A109,A109,
             $B$2:B109,B109,
             $C$2:C109,C109,
             $D$2:D109,D109,
             $E$2:E109,E109,
             $F$2:F109,F109,
              $J$2:J109,J109)&gt;1,
   "Doublon",
   "Correcte"
)</f>
        <v>Correcte</v>
      </c>
      <c r="Q109" s="106" t="str">
        <f>IF(mouvementmp[[#This Row],[QR Fabrication]]&lt;&gt;"",INDEX(_xlfn.TEXTSPLIT(mouvementmp[[#This Row],[QR Fabrication]],"_"),1,1),"")</f>
        <v/>
      </c>
      <c r="R109" s="106" t="str">
        <f>IF(mouvementmp[[#This Row],[QR Fabrication]]&lt;&gt;"",INDEX(_xlfn.TEXTSPLIT(mouvementmp[[#This Row],[QR Fabrication]],"_"),1,2),"")</f>
        <v/>
      </c>
      <c r="S109" s="47" t="str">
        <f>IF(mouvementmp[[#This Row],[QR Fabrication]]&lt;&gt;"",INDEX(_xlfn.TEXTSPLIT(mouvementmp[[#This Row],[QR Fabrication]],"_"),1,3),"")</f>
        <v/>
      </c>
      <c r="T109" s="47" t="str">
        <f>IF(mouvementmp[[#This Row],[QR Fabrication]]&lt;&gt;"",INDEX(_xlfn.TEXTSPLIT(mouvementmp[[#This Row],[QR Fabrication]],"_"),1,4),"")</f>
        <v/>
      </c>
      <c r="U109" s="47" t="str">
        <f>IF(mouvementmp[[#This Row],[QR Fabrication]]&lt;&gt;"",INDEX(_xlfn.TEXTSPLIT(mouvementmp[[#This Row],[QR Fabrication]],"_"),1,5),"")</f>
        <v/>
      </c>
      <c r="V109" s="47" t="str">
        <f>IF(mouvementmp[[#This Row],[QR Fabrication]]&lt;&gt;"",_xlfn.TEXTAFTER(mouvementmp[[#This Row],[QR Fabrication]],"_",5),"")</f>
        <v/>
      </c>
    </row>
    <row r="110" spans="1:22" ht="16.5" thickTop="1" thickBot="1" x14ac:dyDescent="0.3">
      <c r="A110" s="46"/>
      <c r="B110" s="54" t="s">
        <v>3879</v>
      </c>
      <c r="C110" s="47" t="s">
        <v>662</v>
      </c>
      <c r="D110" s="47" t="s">
        <v>662</v>
      </c>
      <c r="E110" s="47" t="s">
        <v>667</v>
      </c>
      <c r="F110" s="48">
        <v>598.5</v>
      </c>
      <c r="G110" s="47"/>
      <c r="H110" s="47"/>
      <c r="I110" s="47" t="s">
        <v>664</v>
      </c>
      <c r="J110" s="49">
        <v>45913</v>
      </c>
      <c r="K110" s="47" t="str">
        <f>INDEX(_xlfn.TEXTSPLIT(mouvementmp[[#This Row],[QR MP]],"_"),1,1)</f>
        <v>C21</v>
      </c>
      <c r="L110" s="47" t="str">
        <f>INDEX(_xlfn.TEXTSPLIT(mouvementmp[[#This Row],[QR MP]],"_"),1,2)</f>
        <v>VERT PISTACHE</v>
      </c>
      <c r="M110" s="47" t="str">
        <f>INDEX(_xlfn.TEXTSPLIT(mouvementmp[[#This Row],[QR MP]],"_"),1,3)</f>
        <v>NM15-21.01</v>
      </c>
      <c r="N110" s="47" t="str">
        <f>INDEX(_xlfn.TEXTSPLIT(mouvementmp[[#This Row],[QR MP]],"_"),1,4)</f>
        <v>S2023</v>
      </c>
      <c r="O110" s="47">
        <f>-mouvementmp[[#This Row],[Poids]]</f>
        <v>-598.5</v>
      </c>
      <c r="P110" s="47" t="str">
        <f>IF(
   COUNTIFS($A$2:A110,A110,
             $B$2:B110,B110,
             $C$2:C110,C110,
             $D$2:D110,D110,
             $E$2:E110,E110,
             $F$2:F110,F110,
              $J$2:J110,J110)&gt;1,
   "Doublon",
   "Correcte"
)</f>
        <v>Correcte</v>
      </c>
      <c r="Q110" s="106" t="str">
        <f>IF(mouvementmp[[#This Row],[QR Fabrication]]&lt;&gt;"",INDEX(_xlfn.TEXTSPLIT(mouvementmp[[#This Row],[QR Fabrication]],"_"),1,1),"")</f>
        <v/>
      </c>
      <c r="R110" s="106" t="str">
        <f>IF(mouvementmp[[#This Row],[QR Fabrication]]&lt;&gt;"",INDEX(_xlfn.TEXTSPLIT(mouvementmp[[#This Row],[QR Fabrication]],"_"),1,2),"")</f>
        <v/>
      </c>
      <c r="S110" s="47" t="str">
        <f>IF(mouvementmp[[#This Row],[QR Fabrication]]&lt;&gt;"",INDEX(_xlfn.TEXTSPLIT(mouvementmp[[#This Row],[QR Fabrication]],"_"),1,3),"")</f>
        <v/>
      </c>
      <c r="T110" s="47" t="str">
        <f>IF(mouvementmp[[#This Row],[QR Fabrication]]&lt;&gt;"",INDEX(_xlfn.TEXTSPLIT(mouvementmp[[#This Row],[QR Fabrication]],"_"),1,4),"")</f>
        <v/>
      </c>
      <c r="U110" s="47" t="str">
        <f>IF(mouvementmp[[#This Row],[QR Fabrication]]&lt;&gt;"",INDEX(_xlfn.TEXTSPLIT(mouvementmp[[#This Row],[QR Fabrication]],"_"),1,5),"")</f>
        <v/>
      </c>
      <c r="V110" s="47" t="str">
        <f>IF(mouvementmp[[#This Row],[QR Fabrication]]&lt;&gt;"",_xlfn.TEXTAFTER(mouvementmp[[#This Row],[QR Fabrication]],"_",5),"")</f>
        <v/>
      </c>
    </row>
    <row r="111" spans="1:22" ht="16.5" thickTop="1" thickBot="1" x14ac:dyDescent="0.3">
      <c r="A111" s="46"/>
      <c r="B111" s="54" t="s">
        <v>3879</v>
      </c>
      <c r="C111" s="47" t="s">
        <v>662</v>
      </c>
      <c r="D111" s="47" t="s">
        <v>662</v>
      </c>
      <c r="E111" s="47" t="s">
        <v>665</v>
      </c>
      <c r="F111" s="48">
        <v>229.5</v>
      </c>
      <c r="G111" s="47"/>
      <c r="H111" s="47"/>
      <c r="I111" s="47" t="s">
        <v>664</v>
      </c>
      <c r="J111" s="49">
        <v>45913</v>
      </c>
      <c r="K111" s="47" t="str">
        <f>INDEX(_xlfn.TEXTSPLIT(mouvementmp[[#This Row],[QR MP]],"_"),1,1)</f>
        <v>C21</v>
      </c>
      <c r="L111" s="47" t="str">
        <f>INDEX(_xlfn.TEXTSPLIT(mouvementmp[[#This Row],[QR MP]],"_"),1,2)</f>
        <v>VERT PISTACHE</v>
      </c>
      <c r="M111" s="47" t="str">
        <f>INDEX(_xlfn.TEXTSPLIT(mouvementmp[[#This Row],[QR MP]],"_"),1,3)</f>
        <v>NM15-21.01</v>
      </c>
      <c r="N111" s="47" t="str">
        <f>INDEX(_xlfn.TEXTSPLIT(mouvementmp[[#This Row],[QR MP]],"_"),1,4)</f>
        <v>S2023</v>
      </c>
      <c r="O111" s="47">
        <f>-mouvementmp[[#This Row],[Poids]]</f>
        <v>-229.5</v>
      </c>
      <c r="P111" s="47" t="str">
        <f>IF(
   COUNTIFS($A$2:A111,A111,
             $B$2:B111,B111,
             $C$2:C111,C111,
             $D$2:D111,D111,
             $E$2:E111,E111,
             $F$2:F111,F111,
              $J$2:J111,J111)&gt;1,
   "Doublon",
   "Correcte"
)</f>
        <v>Correcte</v>
      </c>
      <c r="Q111" s="106" t="str">
        <f>IF(mouvementmp[[#This Row],[QR Fabrication]]&lt;&gt;"",INDEX(_xlfn.TEXTSPLIT(mouvementmp[[#This Row],[QR Fabrication]],"_"),1,1),"")</f>
        <v/>
      </c>
      <c r="R111" s="106" t="str">
        <f>IF(mouvementmp[[#This Row],[QR Fabrication]]&lt;&gt;"",INDEX(_xlfn.TEXTSPLIT(mouvementmp[[#This Row],[QR Fabrication]],"_"),1,2),"")</f>
        <v/>
      </c>
      <c r="S111" s="47" t="str">
        <f>IF(mouvementmp[[#This Row],[QR Fabrication]]&lt;&gt;"",INDEX(_xlfn.TEXTSPLIT(mouvementmp[[#This Row],[QR Fabrication]],"_"),1,3),"")</f>
        <v/>
      </c>
      <c r="T111" s="47" t="str">
        <f>IF(mouvementmp[[#This Row],[QR Fabrication]]&lt;&gt;"",INDEX(_xlfn.TEXTSPLIT(mouvementmp[[#This Row],[QR Fabrication]],"_"),1,4),"")</f>
        <v/>
      </c>
      <c r="U111" s="47" t="str">
        <f>IF(mouvementmp[[#This Row],[QR Fabrication]]&lt;&gt;"",INDEX(_xlfn.TEXTSPLIT(mouvementmp[[#This Row],[QR Fabrication]],"_"),1,5),"")</f>
        <v/>
      </c>
      <c r="V111" s="47" t="str">
        <f>IF(mouvementmp[[#This Row],[QR Fabrication]]&lt;&gt;"",_xlfn.TEXTAFTER(mouvementmp[[#This Row],[QR Fabrication]],"_",5),"")</f>
        <v/>
      </c>
    </row>
    <row r="112" spans="1:22" ht="16.5" thickTop="1" thickBot="1" x14ac:dyDescent="0.3">
      <c r="A112" s="46"/>
      <c r="B112" s="54" t="s">
        <v>3880</v>
      </c>
      <c r="C112" s="47" t="s">
        <v>662</v>
      </c>
      <c r="D112" s="47" t="s">
        <v>662</v>
      </c>
      <c r="E112" s="47" t="s">
        <v>667</v>
      </c>
      <c r="F112" s="48">
        <v>1771</v>
      </c>
      <c r="G112" s="47"/>
      <c r="H112" s="47"/>
      <c r="I112" s="47" t="s">
        <v>664</v>
      </c>
      <c r="J112" s="49">
        <v>45913</v>
      </c>
      <c r="K112" s="47" t="str">
        <f>INDEX(_xlfn.TEXTSPLIT(mouvementmp[[#This Row],[QR MP]],"_"),1,1)</f>
        <v>C21</v>
      </c>
      <c r="L112" s="47" t="str">
        <f>INDEX(_xlfn.TEXTSPLIT(mouvementmp[[#This Row],[QR MP]],"_"),1,2)</f>
        <v>VERT PISTACHE</v>
      </c>
      <c r="M112" s="47" t="str">
        <f>INDEX(_xlfn.TEXTSPLIT(mouvementmp[[#This Row],[QR MP]],"_"),1,3)</f>
        <v>NM15-21.02</v>
      </c>
      <c r="N112" s="47" t="str">
        <f>INDEX(_xlfn.TEXTSPLIT(mouvementmp[[#This Row],[QR MP]],"_"),1,4)</f>
        <v>S2022</v>
      </c>
      <c r="O112" s="47">
        <f>-mouvementmp[[#This Row],[Poids]]</f>
        <v>-1771</v>
      </c>
      <c r="P112" s="47" t="str">
        <f>IF(
   COUNTIFS($A$2:A112,A112,
             $B$2:B112,B112,
             $C$2:C112,C112,
             $D$2:D112,D112,
             $E$2:E112,E112,
             $F$2:F112,F112,
              $J$2:J112,J112)&gt;1,
   "Doublon",
   "Correcte"
)</f>
        <v>Correcte</v>
      </c>
      <c r="Q112" s="106" t="str">
        <f>IF(mouvementmp[[#This Row],[QR Fabrication]]&lt;&gt;"",INDEX(_xlfn.TEXTSPLIT(mouvementmp[[#This Row],[QR Fabrication]],"_"),1,1),"")</f>
        <v/>
      </c>
      <c r="R112" s="106" t="str">
        <f>IF(mouvementmp[[#This Row],[QR Fabrication]]&lt;&gt;"",INDEX(_xlfn.TEXTSPLIT(mouvementmp[[#This Row],[QR Fabrication]],"_"),1,2),"")</f>
        <v/>
      </c>
      <c r="S112" s="47" t="str">
        <f>IF(mouvementmp[[#This Row],[QR Fabrication]]&lt;&gt;"",INDEX(_xlfn.TEXTSPLIT(mouvementmp[[#This Row],[QR Fabrication]],"_"),1,3),"")</f>
        <v/>
      </c>
      <c r="T112" s="47" t="str">
        <f>IF(mouvementmp[[#This Row],[QR Fabrication]]&lt;&gt;"",INDEX(_xlfn.TEXTSPLIT(mouvementmp[[#This Row],[QR Fabrication]],"_"),1,4),"")</f>
        <v/>
      </c>
      <c r="U112" s="47" t="str">
        <f>IF(mouvementmp[[#This Row],[QR Fabrication]]&lt;&gt;"",INDEX(_xlfn.TEXTSPLIT(mouvementmp[[#This Row],[QR Fabrication]],"_"),1,5),"")</f>
        <v/>
      </c>
      <c r="V112" s="47" t="str">
        <f>IF(mouvementmp[[#This Row],[QR Fabrication]]&lt;&gt;"",_xlfn.TEXTAFTER(mouvementmp[[#This Row],[QR Fabrication]],"_",5),"")</f>
        <v/>
      </c>
    </row>
    <row r="113" spans="1:22" ht="16.5" thickTop="1" thickBot="1" x14ac:dyDescent="0.3">
      <c r="A113" s="46"/>
      <c r="B113" s="54" t="s">
        <v>3881</v>
      </c>
      <c r="C113" s="47" t="s">
        <v>662</v>
      </c>
      <c r="D113" s="47" t="s">
        <v>662</v>
      </c>
      <c r="E113" s="47" t="s">
        <v>667</v>
      </c>
      <c r="F113" s="48">
        <v>1634.5</v>
      </c>
      <c r="G113" s="47"/>
      <c r="H113" s="47"/>
      <c r="I113" s="47" t="s">
        <v>664</v>
      </c>
      <c r="J113" s="49">
        <v>45913</v>
      </c>
      <c r="K113" s="47" t="str">
        <f>INDEX(_xlfn.TEXTSPLIT(mouvementmp[[#This Row],[QR MP]],"_"),1,1)</f>
        <v>C22</v>
      </c>
      <c r="L113" s="47" t="str">
        <f>INDEX(_xlfn.TEXTSPLIT(mouvementmp[[#This Row],[QR MP]],"_"),1,2)</f>
        <v>JAUNE FLUO</v>
      </c>
      <c r="M113" s="47" t="str">
        <f>INDEX(_xlfn.TEXTSPLIT(mouvementmp[[#This Row],[QR MP]],"_"),1,3)</f>
        <v>NM15-22.00</v>
      </c>
      <c r="N113" s="47" t="str">
        <f>INDEX(_xlfn.TEXTSPLIT(mouvementmp[[#This Row],[QR MP]],"_"),1,4)</f>
        <v>61540</v>
      </c>
      <c r="O113" s="47">
        <f>-mouvementmp[[#This Row],[Poids]]</f>
        <v>-1634.5</v>
      </c>
      <c r="P113" s="47" t="str">
        <f>IF(
   COUNTIFS($A$2:A113,A113,
             $B$2:B113,B113,
             $C$2:C113,C113,
             $D$2:D113,D113,
             $E$2:E113,E113,
             $F$2:F113,F113,
              $J$2:J113,J113)&gt;1,
   "Doublon",
   "Correcte"
)</f>
        <v>Correcte</v>
      </c>
      <c r="Q113" s="106" t="str">
        <f>IF(mouvementmp[[#This Row],[QR Fabrication]]&lt;&gt;"",INDEX(_xlfn.TEXTSPLIT(mouvementmp[[#This Row],[QR Fabrication]],"_"),1,1),"")</f>
        <v/>
      </c>
      <c r="R113" s="106" t="str">
        <f>IF(mouvementmp[[#This Row],[QR Fabrication]]&lt;&gt;"",INDEX(_xlfn.TEXTSPLIT(mouvementmp[[#This Row],[QR Fabrication]],"_"),1,2),"")</f>
        <v/>
      </c>
      <c r="S113" s="47" t="str">
        <f>IF(mouvementmp[[#This Row],[QR Fabrication]]&lt;&gt;"",INDEX(_xlfn.TEXTSPLIT(mouvementmp[[#This Row],[QR Fabrication]],"_"),1,3),"")</f>
        <v/>
      </c>
      <c r="T113" s="47" t="str">
        <f>IF(mouvementmp[[#This Row],[QR Fabrication]]&lt;&gt;"",INDEX(_xlfn.TEXTSPLIT(mouvementmp[[#This Row],[QR Fabrication]],"_"),1,4),"")</f>
        <v/>
      </c>
      <c r="U113" s="47" t="str">
        <f>IF(mouvementmp[[#This Row],[QR Fabrication]]&lt;&gt;"",INDEX(_xlfn.TEXTSPLIT(mouvementmp[[#This Row],[QR Fabrication]],"_"),1,5),"")</f>
        <v/>
      </c>
      <c r="V113" s="47" t="str">
        <f>IF(mouvementmp[[#This Row],[QR Fabrication]]&lt;&gt;"",_xlfn.TEXTAFTER(mouvementmp[[#This Row],[QR Fabrication]],"_",5),"")</f>
        <v/>
      </c>
    </row>
    <row r="114" spans="1:22" ht="16.5" thickTop="1" thickBot="1" x14ac:dyDescent="0.3">
      <c r="A114" s="46"/>
      <c r="B114" s="54" t="s">
        <v>3881</v>
      </c>
      <c r="C114" s="47" t="s">
        <v>662</v>
      </c>
      <c r="D114" s="47" t="s">
        <v>662</v>
      </c>
      <c r="E114" s="47" t="s">
        <v>665</v>
      </c>
      <c r="F114" s="48">
        <v>211.2</v>
      </c>
      <c r="G114" s="47"/>
      <c r="H114" s="47"/>
      <c r="I114" s="47" t="s">
        <v>664</v>
      </c>
      <c r="J114" s="49">
        <v>45913</v>
      </c>
      <c r="K114" s="47" t="str">
        <f>INDEX(_xlfn.TEXTSPLIT(mouvementmp[[#This Row],[QR MP]],"_"),1,1)</f>
        <v>C22</v>
      </c>
      <c r="L114" s="47" t="str">
        <f>INDEX(_xlfn.TEXTSPLIT(mouvementmp[[#This Row],[QR MP]],"_"),1,2)</f>
        <v>JAUNE FLUO</v>
      </c>
      <c r="M114" s="47" t="str">
        <f>INDEX(_xlfn.TEXTSPLIT(mouvementmp[[#This Row],[QR MP]],"_"),1,3)</f>
        <v>NM15-22.00</v>
      </c>
      <c r="N114" s="47" t="str">
        <f>INDEX(_xlfn.TEXTSPLIT(mouvementmp[[#This Row],[QR MP]],"_"),1,4)</f>
        <v>61540</v>
      </c>
      <c r="O114" s="47">
        <f>-mouvementmp[[#This Row],[Poids]]</f>
        <v>-211.2</v>
      </c>
      <c r="P114" s="47" t="str">
        <f>IF(
   COUNTIFS($A$2:A114,A114,
             $B$2:B114,B114,
             $C$2:C114,C114,
             $D$2:D114,D114,
             $E$2:E114,E114,
             $F$2:F114,F114,
              $J$2:J114,J114)&gt;1,
   "Doublon",
   "Correcte"
)</f>
        <v>Correcte</v>
      </c>
      <c r="Q114" s="106" t="str">
        <f>IF(mouvementmp[[#This Row],[QR Fabrication]]&lt;&gt;"",INDEX(_xlfn.TEXTSPLIT(mouvementmp[[#This Row],[QR Fabrication]],"_"),1,1),"")</f>
        <v/>
      </c>
      <c r="R114" s="106" t="str">
        <f>IF(mouvementmp[[#This Row],[QR Fabrication]]&lt;&gt;"",INDEX(_xlfn.TEXTSPLIT(mouvementmp[[#This Row],[QR Fabrication]],"_"),1,2),"")</f>
        <v/>
      </c>
      <c r="S114" s="47" t="str">
        <f>IF(mouvementmp[[#This Row],[QR Fabrication]]&lt;&gt;"",INDEX(_xlfn.TEXTSPLIT(mouvementmp[[#This Row],[QR Fabrication]],"_"),1,3),"")</f>
        <v/>
      </c>
      <c r="T114" s="47" t="str">
        <f>IF(mouvementmp[[#This Row],[QR Fabrication]]&lt;&gt;"",INDEX(_xlfn.TEXTSPLIT(mouvementmp[[#This Row],[QR Fabrication]],"_"),1,4),"")</f>
        <v/>
      </c>
      <c r="U114" s="47" t="str">
        <f>IF(mouvementmp[[#This Row],[QR Fabrication]]&lt;&gt;"",INDEX(_xlfn.TEXTSPLIT(mouvementmp[[#This Row],[QR Fabrication]],"_"),1,5),"")</f>
        <v/>
      </c>
      <c r="V114" s="47" t="str">
        <f>IF(mouvementmp[[#This Row],[QR Fabrication]]&lt;&gt;"",_xlfn.TEXTAFTER(mouvementmp[[#This Row],[QR Fabrication]],"_",5),"")</f>
        <v/>
      </c>
    </row>
    <row r="115" spans="1:22" ht="16.5" thickTop="1" thickBot="1" x14ac:dyDescent="0.3">
      <c r="A115" s="46"/>
      <c r="B115" s="54" t="s">
        <v>3882</v>
      </c>
      <c r="C115" s="47" t="s">
        <v>662</v>
      </c>
      <c r="D115" s="47" t="s">
        <v>662</v>
      </c>
      <c r="E115" s="47" t="s">
        <v>667</v>
      </c>
      <c r="F115" s="48">
        <v>994</v>
      </c>
      <c r="G115" s="47"/>
      <c r="H115" s="47"/>
      <c r="I115" s="47" t="s">
        <v>664</v>
      </c>
      <c r="J115" s="49">
        <v>45913</v>
      </c>
      <c r="K115" s="47" t="str">
        <f>INDEX(_xlfn.TEXTSPLIT(mouvementmp[[#This Row],[QR MP]],"_"),1,1)</f>
        <v>C22</v>
      </c>
      <c r="L115" s="47" t="str">
        <f>INDEX(_xlfn.TEXTSPLIT(mouvementmp[[#This Row],[QR MP]],"_"),1,2)</f>
        <v>JAUNE CITRON</v>
      </c>
      <c r="M115" s="47" t="str">
        <f>INDEX(_xlfn.TEXTSPLIT(mouvementmp[[#This Row],[QR MP]],"_"),1,3)</f>
        <v>NM15-22.01</v>
      </c>
      <c r="N115" s="47" t="str">
        <f>INDEX(_xlfn.TEXTSPLIT(mouvementmp[[#This Row],[QR MP]],"_"),1,4)</f>
        <v>S2023</v>
      </c>
      <c r="O115" s="47">
        <f>-mouvementmp[[#This Row],[Poids]]</f>
        <v>-994</v>
      </c>
      <c r="P115" s="47" t="str">
        <f>IF(
   COUNTIFS($A$2:A115,A115,
             $B$2:B115,B115,
             $C$2:C115,C115,
             $D$2:D115,D115,
             $E$2:E115,E115,
             $F$2:F115,F115,
              $J$2:J115,J115)&gt;1,
   "Doublon",
   "Correcte"
)</f>
        <v>Correcte</v>
      </c>
      <c r="Q115" s="106" t="str">
        <f>IF(mouvementmp[[#This Row],[QR Fabrication]]&lt;&gt;"",INDEX(_xlfn.TEXTSPLIT(mouvementmp[[#This Row],[QR Fabrication]],"_"),1,1),"")</f>
        <v/>
      </c>
      <c r="R115" s="106" t="str">
        <f>IF(mouvementmp[[#This Row],[QR Fabrication]]&lt;&gt;"",INDEX(_xlfn.TEXTSPLIT(mouvementmp[[#This Row],[QR Fabrication]],"_"),1,2),"")</f>
        <v/>
      </c>
      <c r="S115" s="47" t="str">
        <f>IF(mouvementmp[[#This Row],[QR Fabrication]]&lt;&gt;"",INDEX(_xlfn.TEXTSPLIT(mouvementmp[[#This Row],[QR Fabrication]],"_"),1,3),"")</f>
        <v/>
      </c>
      <c r="T115" s="47" t="str">
        <f>IF(mouvementmp[[#This Row],[QR Fabrication]]&lt;&gt;"",INDEX(_xlfn.TEXTSPLIT(mouvementmp[[#This Row],[QR Fabrication]],"_"),1,4),"")</f>
        <v/>
      </c>
      <c r="U115" s="47" t="str">
        <f>IF(mouvementmp[[#This Row],[QR Fabrication]]&lt;&gt;"",INDEX(_xlfn.TEXTSPLIT(mouvementmp[[#This Row],[QR Fabrication]],"_"),1,5),"")</f>
        <v/>
      </c>
      <c r="V115" s="47" t="str">
        <f>IF(mouvementmp[[#This Row],[QR Fabrication]]&lt;&gt;"",_xlfn.TEXTAFTER(mouvementmp[[#This Row],[QR Fabrication]],"_",5),"")</f>
        <v/>
      </c>
    </row>
    <row r="116" spans="1:22" ht="16.5" thickTop="1" thickBot="1" x14ac:dyDescent="0.3">
      <c r="A116" s="46"/>
      <c r="B116" s="54" t="s">
        <v>3882</v>
      </c>
      <c r="C116" s="47" t="s">
        <v>662</v>
      </c>
      <c r="D116" s="47" t="s">
        <v>662</v>
      </c>
      <c r="E116" s="47" t="s">
        <v>665</v>
      </c>
      <c r="F116" s="48">
        <v>346.5</v>
      </c>
      <c r="G116" s="47"/>
      <c r="H116" s="47"/>
      <c r="I116" s="47" t="s">
        <v>664</v>
      </c>
      <c r="J116" s="49">
        <v>45913</v>
      </c>
      <c r="K116" s="47" t="str">
        <f>INDEX(_xlfn.TEXTSPLIT(mouvementmp[[#This Row],[QR MP]],"_"),1,1)</f>
        <v>C22</v>
      </c>
      <c r="L116" s="47" t="str">
        <f>INDEX(_xlfn.TEXTSPLIT(mouvementmp[[#This Row],[QR MP]],"_"),1,2)</f>
        <v>JAUNE CITRON</v>
      </c>
      <c r="M116" s="47" t="str">
        <f>INDEX(_xlfn.TEXTSPLIT(mouvementmp[[#This Row],[QR MP]],"_"),1,3)</f>
        <v>NM15-22.01</v>
      </c>
      <c r="N116" s="47" t="str">
        <f>INDEX(_xlfn.TEXTSPLIT(mouvementmp[[#This Row],[QR MP]],"_"),1,4)</f>
        <v>S2023</v>
      </c>
      <c r="O116" s="47">
        <f>-mouvementmp[[#This Row],[Poids]]</f>
        <v>-346.5</v>
      </c>
      <c r="P116" s="47" t="str">
        <f>IF(
   COUNTIFS($A$2:A116,A116,
             $B$2:B116,B116,
             $C$2:C116,C116,
             $D$2:D116,D116,
             $E$2:E116,E116,
             $F$2:F116,F116,
              $J$2:J116,J116)&gt;1,
   "Doublon",
   "Correcte"
)</f>
        <v>Correcte</v>
      </c>
      <c r="Q116" s="106" t="str">
        <f>IF(mouvementmp[[#This Row],[QR Fabrication]]&lt;&gt;"",INDEX(_xlfn.TEXTSPLIT(mouvementmp[[#This Row],[QR Fabrication]],"_"),1,1),"")</f>
        <v/>
      </c>
      <c r="R116" s="106" t="str">
        <f>IF(mouvementmp[[#This Row],[QR Fabrication]]&lt;&gt;"",INDEX(_xlfn.TEXTSPLIT(mouvementmp[[#This Row],[QR Fabrication]],"_"),1,2),"")</f>
        <v/>
      </c>
      <c r="S116" s="47" t="str">
        <f>IF(mouvementmp[[#This Row],[QR Fabrication]]&lt;&gt;"",INDEX(_xlfn.TEXTSPLIT(mouvementmp[[#This Row],[QR Fabrication]],"_"),1,3),"")</f>
        <v/>
      </c>
      <c r="T116" s="47" t="str">
        <f>IF(mouvementmp[[#This Row],[QR Fabrication]]&lt;&gt;"",INDEX(_xlfn.TEXTSPLIT(mouvementmp[[#This Row],[QR Fabrication]],"_"),1,4),"")</f>
        <v/>
      </c>
      <c r="U116" s="47" t="str">
        <f>IF(mouvementmp[[#This Row],[QR Fabrication]]&lt;&gt;"",INDEX(_xlfn.TEXTSPLIT(mouvementmp[[#This Row],[QR Fabrication]],"_"),1,5),"")</f>
        <v/>
      </c>
      <c r="V116" s="47" t="str">
        <f>IF(mouvementmp[[#This Row],[QR Fabrication]]&lt;&gt;"",_xlfn.TEXTAFTER(mouvementmp[[#This Row],[QR Fabrication]],"_",5),"")</f>
        <v/>
      </c>
    </row>
    <row r="117" spans="1:22" ht="16.5" thickTop="1" thickBot="1" x14ac:dyDescent="0.3">
      <c r="A117" s="46"/>
      <c r="B117" s="54" t="s">
        <v>3883</v>
      </c>
      <c r="C117" s="47" t="s">
        <v>662</v>
      </c>
      <c r="D117" s="47" t="s">
        <v>662</v>
      </c>
      <c r="E117" s="47" t="s">
        <v>667</v>
      </c>
      <c r="F117" s="48">
        <v>46</v>
      </c>
      <c r="G117" s="47"/>
      <c r="H117" s="47"/>
      <c r="I117" s="47" t="s">
        <v>664</v>
      </c>
      <c r="J117" s="49">
        <v>45913</v>
      </c>
      <c r="K117" s="47" t="str">
        <f>INDEX(_xlfn.TEXTSPLIT(mouvementmp[[#This Row],[QR MP]],"_"),1,1)</f>
        <v>C22</v>
      </c>
      <c r="L117" s="47" t="str">
        <f>INDEX(_xlfn.TEXTSPLIT(mouvementmp[[#This Row],[QR MP]],"_"),1,2)</f>
        <v>JAUNE CITRON</v>
      </c>
      <c r="M117" s="47" t="str">
        <f>INDEX(_xlfn.TEXTSPLIT(mouvementmp[[#This Row],[QR MP]],"_"),1,3)</f>
        <v>NM20-22.01</v>
      </c>
      <c r="N117" s="47" t="str">
        <f>INDEX(_xlfn.TEXTSPLIT(mouvementmp[[#This Row],[QR MP]],"_"),1,4)</f>
        <v>S2022</v>
      </c>
      <c r="O117" s="47">
        <f>-mouvementmp[[#This Row],[Poids]]</f>
        <v>-46</v>
      </c>
      <c r="P117" s="47" t="str">
        <f>IF(
   COUNTIFS($A$2:A117,A117,
             $B$2:B117,B117,
             $C$2:C117,C117,
             $D$2:D117,D117,
             $E$2:E117,E117,
             $F$2:F117,F117,
              $J$2:J117,J117)&gt;1,
   "Doublon",
   "Correcte"
)</f>
        <v>Correcte</v>
      </c>
      <c r="Q117" s="106" t="str">
        <f>IF(mouvementmp[[#This Row],[QR Fabrication]]&lt;&gt;"",INDEX(_xlfn.TEXTSPLIT(mouvementmp[[#This Row],[QR Fabrication]],"_"),1,1),"")</f>
        <v/>
      </c>
      <c r="R117" s="106" t="str">
        <f>IF(mouvementmp[[#This Row],[QR Fabrication]]&lt;&gt;"",INDEX(_xlfn.TEXTSPLIT(mouvementmp[[#This Row],[QR Fabrication]],"_"),1,2),"")</f>
        <v/>
      </c>
      <c r="S117" s="47" t="str">
        <f>IF(mouvementmp[[#This Row],[QR Fabrication]]&lt;&gt;"",INDEX(_xlfn.TEXTSPLIT(mouvementmp[[#This Row],[QR Fabrication]],"_"),1,3),"")</f>
        <v/>
      </c>
      <c r="T117" s="47" t="str">
        <f>IF(mouvementmp[[#This Row],[QR Fabrication]]&lt;&gt;"",INDEX(_xlfn.TEXTSPLIT(mouvementmp[[#This Row],[QR Fabrication]],"_"),1,4),"")</f>
        <v/>
      </c>
      <c r="U117" s="47" t="str">
        <f>IF(mouvementmp[[#This Row],[QR Fabrication]]&lt;&gt;"",INDEX(_xlfn.TEXTSPLIT(mouvementmp[[#This Row],[QR Fabrication]],"_"),1,5),"")</f>
        <v/>
      </c>
      <c r="V117" s="47" t="str">
        <f>IF(mouvementmp[[#This Row],[QR Fabrication]]&lt;&gt;"",_xlfn.TEXTAFTER(mouvementmp[[#This Row],[QR Fabrication]],"_",5),"")</f>
        <v/>
      </c>
    </row>
    <row r="118" spans="1:22" ht="16.5" thickTop="1" thickBot="1" x14ac:dyDescent="0.3">
      <c r="A118" s="46"/>
      <c r="B118" s="54" t="s">
        <v>3884</v>
      </c>
      <c r="C118" s="47" t="s">
        <v>662</v>
      </c>
      <c r="D118" s="47" t="s">
        <v>662</v>
      </c>
      <c r="E118" s="47" t="s">
        <v>667</v>
      </c>
      <c r="F118" s="48">
        <v>1228.5</v>
      </c>
      <c r="G118" s="47"/>
      <c r="H118" s="47"/>
      <c r="I118" s="47" t="s">
        <v>664</v>
      </c>
      <c r="J118" s="49">
        <v>45913</v>
      </c>
      <c r="K118" s="47" t="str">
        <f>INDEX(_xlfn.TEXTSPLIT(mouvementmp[[#This Row],[QR MP]],"_"),1,1)</f>
        <v>C23</v>
      </c>
      <c r="L118" s="47" t="str">
        <f>INDEX(_xlfn.TEXTSPLIT(mouvementmp[[#This Row],[QR MP]],"_"),1,2)</f>
        <v>OR</v>
      </c>
      <c r="M118" s="47" t="str">
        <f>INDEX(_xlfn.TEXTSPLIT(mouvementmp[[#This Row],[QR MP]],"_"),1,3)</f>
        <v>NM15-23.00</v>
      </c>
      <c r="N118" s="47" t="str">
        <f>INDEX(_xlfn.TEXTSPLIT(mouvementmp[[#This Row],[QR MP]],"_"),1,4)</f>
        <v>61566</v>
      </c>
      <c r="O118" s="47">
        <f>-mouvementmp[[#This Row],[Poids]]</f>
        <v>-1228.5</v>
      </c>
      <c r="P118" s="47" t="str">
        <f>IF(
   COUNTIFS($A$2:A118,A118,
             $B$2:B118,B118,
             $C$2:C118,C118,
             $D$2:D118,D118,
             $E$2:E118,E118,
             $F$2:F118,F118,
              $J$2:J118,J118)&gt;1,
   "Doublon",
   "Correcte"
)</f>
        <v>Correcte</v>
      </c>
      <c r="Q118" s="106" t="str">
        <f>IF(mouvementmp[[#This Row],[QR Fabrication]]&lt;&gt;"",INDEX(_xlfn.TEXTSPLIT(mouvementmp[[#This Row],[QR Fabrication]],"_"),1,1),"")</f>
        <v/>
      </c>
      <c r="R118" s="106" t="str">
        <f>IF(mouvementmp[[#This Row],[QR Fabrication]]&lt;&gt;"",INDEX(_xlfn.TEXTSPLIT(mouvementmp[[#This Row],[QR Fabrication]],"_"),1,2),"")</f>
        <v/>
      </c>
      <c r="S118" s="47" t="str">
        <f>IF(mouvementmp[[#This Row],[QR Fabrication]]&lt;&gt;"",INDEX(_xlfn.TEXTSPLIT(mouvementmp[[#This Row],[QR Fabrication]],"_"),1,3),"")</f>
        <v/>
      </c>
      <c r="T118" s="47" t="str">
        <f>IF(mouvementmp[[#This Row],[QR Fabrication]]&lt;&gt;"",INDEX(_xlfn.TEXTSPLIT(mouvementmp[[#This Row],[QR Fabrication]],"_"),1,4),"")</f>
        <v/>
      </c>
      <c r="U118" s="47" t="str">
        <f>IF(mouvementmp[[#This Row],[QR Fabrication]]&lt;&gt;"",INDEX(_xlfn.TEXTSPLIT(mouvementmp[[#This Row],[QR Fabrication]],"_"),1,5),"")</f>
        <v/>
      </c>
      <c r="V118" s="47" t="str">
        <f>IF(mouvementmp[[#This Row],[QR Fabrication]]&lt;&gt;"",_xlfn.TEXTAFTER(mouvementmp[[#This Row],[QR Fabrication]],"_",5),"")</f>
        <v/>
      </c>
    </row>
    <row r="119" spans="1:22" ht="16.5" thickTop="1" thickBot="1" x14ac:dyDescent="0.3">
      <c r="A119" s="46"/>
      <c r="B119" s="54" t="s">
        <v>3884</v>
      </c>
      <c r="C119" s="47" t="s">
        <v>662</v>
      </c>
      <c r="D119" s="47" t="s">
        <v>662</v>
      </c>
      <c r="E119" s="47" t="s">
        <v>665</v>
      </c>
      <c r="F119" s="48">
        <v>243</v>
      </c>
      <c r="G119" s="47"/>
      <c r="H119" s="47"/>
      <c r="I119" s="47" t="s">
        <v>664</v>
      </c>
      <c r="J119" s="49">
        <v>45913</v>
      </c>
      <c r="K119" s="47" t="str">
        <f>INDEX(_xlfn.TEXTSPLIT(mouvementmp[[#This Row],[QR MP]],"_"),1,1)</f>
        <v>C23</v>
      </c>
      <c r="L119" s="47" t="str">
        <f>INDEX(_xlfn.TEXTSPLIT(mouvementmp[[#This Row],[QR MP]],"_"),1,2)</f>
        <v>OR</v>
      </c>
      <c r="M119" s="47" t="str">
        <f>INDEX(_xlfn.TEXTSPLIT(mouvementmp[[#This Row],[QR MP]],"_"),1,3)</f>
        <v>NM15-23.00</v>
      </c>
      <c r="N119" s="47" t="str">
        <f>INDEX(_xlfn.TEXTSPLIT(mouvementmp[[#This Row],[QR MP]],"_"),1,4)</f>
        <v>61566</v>
      </c>
      <c r="O119" s="47">
        <f>-mouvementmp[[#This Row],[Poids]]</f>
        <v>-243</v>
      </c>
      <c r="P119" s="47" t="str">
        <f>IF(
   COUNTIFS($A$2:A119,A119,
             $B$2:B119,B119,
             $C$2:C119,C119,
             $D$2:D119,D119,
             $E$2:E119,E119,
             $F$2:F119,F119,
              $J$2:J119,J119)&gt;1,
   "Doublon",
   "Correcte"
)</f>
        <v>Correcte</v>
      </c>
      <c r="Q119" s="106" t="str">
        <f>IF(mouvementmp[[#This Row],[QR Fabrication]]&lt;&gt;"",INDEX(_xlfn.TEXTSPLIT(mouvementmp[[#This Row],[QR Fabrication]],"_"),1,1),"")</f>
        <v/>
      </c>
      <c r="R119" s="106" t="str">
        <f>IF(mouvementmp[[#This Row],[QR Fabrication]]&lt;&gt;"",INDEX(_xlfn.TEXTSPLIT(mouvementmp[[#This Row],[QR Fabrication]],"_"),1,2),"")</f>
        <v/>
      </c>
      <c r="S119" s="47" t="str">
        <f>IF(mouvementmp[[#This Row],[QR Fabrication]]&lt;&gt;"",INDEX(_xlfn.TEXTSPLIT(mouvementmp[[#This Row],[QR Fabrication]],"_"),1,3),"")</f>
        <v/>
      </c>
      <c r="T119" s="47" t="str">
        <f>IF(mouvementmp[[#This Row],[QR Fabrication]]&lt;&gt;"",INDEX(_xlfn.TEXTSPLIT(mouvementmp[[#This Row],[QR Fabrication]],"_"),1,4),"")</f>
        <v/>
      </c>
      <c r="U119" s="47" t="str">
        <f>IF(mouvementmp[[#This Row],[QR Fabrication]]&lt;&gt;"",INDEX(_xlfn.TEXTSPLIT(mouvementmp[[#This Row],[QR Fabrication]],"_"),1,5),"")</f>
        <v/>
      </c>
      <c r="V119" s="47" t="str">
        <f>IF(mouvementmp[[#This Row],[QR Fabrication]]&lt;&gt;"",_xlfn.TEXTAFTER(mouvementmp[[#This Row],[QR Fabrication]],"_",5),"")</f>
        <v/>
      </c>
    </row>
    <row r="120" spans="1:22" ht="16.5" thickTop="1" thickBot="1" x14ac:dyDescent="0.3">
      <c r="A120" s="46"/>
      <c r="B120" s="54" t="s">
        <v>3885</v>
      </c>
      <c r="C120" s="47" t="s">
        <v>662</v>
      </c>
      <c r="D120" s="47" t="s">
        <v>662</v>
      </c>
      <c r="E120" s="47" t="s">
        <v>667</v>
      </c>
      <c r="F120" s="48">
        <v>30</v>
      </c>
      <c r="G120" s="47"/>
      <c r="H120" s="47"/>
      <c r="I120" s="47" t="s">
        <v>664</v>
      </c>
      <c r="J120" s="49">
        <v>45913</v>
      </c>
      <c r="K120" s="47" t="str">
        <f>INDEX(_xlfn.TEXTSPLIT(mouvementmp[[#This Row],[QR MP]],"_"),1,1)</f>
        <v>C23</v>
      </c>
      <c r="L120" s="47" t="str">
        <f>INDEX(_xlfn.TEXTSPLIT(mouvementmp[[#This Row],[QR MP]],"_"),1,2)</f>
        <v>JAUNE</v>
      </c>
      <c r="M120" s="47" t="str">
        <f>INDEX(_xlfn.TEXTSPLIT(mouvementmp[[#This Row],[QR MP]],"_"),1,3)</f>
        <v>NM20-23.00</v>
      </c>
      <c r="N120" s="47" t="str">
        <f>INDEX(_xlfn.TEXTSPLIT(mouvementmp[[#This Row],[QR MP]],"_"),1,4)</f>
        <v>S2022</v>
      </c>
      <c r="O120" s="47">
        <f>-mouvementmp[[#This Row],[Poids]]</f>
        <v>-30</v>
      </c>
      <c r="P120" s="47" t="str">
        <f>IF(
   COUNTIFS($A$2:A120,A120,
             $B$2:B120,B120,
             $C$2:C120,C120,
             $D$2:D120,D120,
             $E$2:E120,E120,
             $F$2:F120,F120,
              $J$2:J120,J120)&gt;1,
   "Doublon",
   "Correcte"
)</f>
        <v>Correcte</v>
      </c>
      <c r="Q120" s="106" t="str">
        <f>IF(mouvementmp[[#This Row],[QR Fabrication]]&lt;&gt;"",INDEX(_xlfn.TEXTSPLIT(mouvementmp[[#This Row],[QR Fabrication]],"_"),1,1),"")</f>
        <v/>
      </c>
      <c r="R120" s="106" t="str">
        <f>IF(mouvementmp[[#This Row],[QR Fabrication]]&lt;&gt;"",INDEX(_xlfn.TEXTSPLIT(mouvementmp[[#This Row],[QR Fabrication]],"_"),1,2),"")</f>
        <v/>
      </c>
      <c r="S120" s="47" t="str">
        <f>IF(mouvementmp[[#This Row],[QR Fabrication]]&lt;&gt;"",INDEX(_xlfn.TEXTSPLIT(mouvementmp[[#This Row],[QR Fabrication]],"_"),1,3),"")</f>
        <v/>
      </c>
      <c r="T120" s="47" t="str">
        <f>IF(mouvementmp[[#This Row],[QR Fabrication]]&lt;&gt;"",INDEX(_xlfn.TEXTSPLIT(mouvementmp[[#This Row],[QR Fabrication]],"_"),1,4),"")</f>
        <v/>
      </c>
      <c r="U120" s="47" t="str">
        <f>IF(mouvementmp[[#This Row],[QR Fabrication]]&lt;&gt;"",INDEX(_xlfn.TEXTSPLIT(mouvementmp[[#This Row],[QR Fabrication]],"_"),1,5),"")</f>
        <v/>
      </c>
      <c r="V120" s="47" t="str">
        <f>IF(mouvementmp[[#This Row],[QR Fabrication]]&lt;&gt;"",_xlfn.TEXTAFTER(mouvementmp[[#This Row],[QR Fabrication]],"_",5),"")</f>
        <v/>
      </c>
    </row>
    <row r="121" spans="1:22" ht="16.5" thickTop="1" thickBot="1" x14ac:dyDescent="0.3">
      <c r="A121" s="46"/>
      <c r="B121" s="54" t="s">
        <v>3886</v>
      </c>
      <c r="C121" s="47" t="s">
        <v>662</v>
      </c>
      <c r="D121" s="47" t="s">
        <v>662</v>
      </c>
      <c r="E121" s="47" t="s">
        <v>666</v>
      </c>
      <c r="F121" s="48">
        <v>917</v>
      </c>
      <c r="G121" s="47"/>
      <c r="H121" s="47"/>
      <c r="I121" s="47" t="s">
        <v>664</v>
      </c>
      <c r="J121" s="49">
        <v>45913</v>
      </c>
      <c r="K121" s="47" t="str">
        <f>INDEX(_xlfn.TEXTSPLIT(mouvementmp[[#This Row],[QR MP]],"_"),1,1)</f>
        <v>C24</v>
      </c>
      <c r="L121" s="47" t="str">
        <f>INDEX(_xlfn.TEXTSPLIT(mouvementmp[[#This Row],[QR MP]],"_"),1,2)</f>
        <v>JAUNE SAFRAN</v>
      </c>
      <c r="M121" s="47" t="str">
        <f>INDEX(_xlfn.TEXTSPLIT(mouvementmp[[#This Row],[QR MP]],"_"),1,3)</f>
        <v>NM15-24.00</v>
      </c>
      <c r="N121" s="47" t="str">
        <f>INDEX(_xlfn.TEXTSPLIT(mouvementmp[[#This Row],[QR MP]],"_"),1,4)</f>
        <v>61554</v>
      </c>
      <c r="O121" s="47">
        <f>-mouvementmp[[#This Row],[Poids]]</f>
        <v>-917</v>
      </c>
      <c r="P121" s="47" t="str">
        <f>IF(
   COUNTIFS($A$2:A121,A121,
             $B$2:B121,B121,
             $C$2:C121,C121,
             $D$2:D121,D121,
             $E$2:E121,E121,
             $F$2:F121,F121,
              $J$2:J121,J121)&gt;1,
   "Doublon",
   "Correcte"
)</f>
        <v>Correcte</v>
      </c>
      <c r="Q121" s="106" t="str">
        <f>IF(mouvementmp[[#This Row],[QR Fabrication]]&lt;&gt;"",INDEX(_xlfn.TEXTSPLIT(mouvementmp[[#This Row],[QR Fabrication]],"_"),1,1),"")</f>
        <v/>
      </c>
      <c r="R121" s="106" t="str">
        <f>IF(mouvementmp[[#This Row],[QR Fabrication]]&lt;&gt;"",INDEX(_xlfn.TEXTSPLIT(mouvementmp[[#This Row],[QR Fabrication]],"_"),1,2),"")</f>
        <v/>
      </c>
      <c r="S121" s="47" t="str">
        <f>IF(mouvementmp[[#This Row],[QR Fabrication]]&lt;&gt;"",INDEX(_xlfn.TEXTSPLIT(mouvementmp[[#This Row],[QR Fabrication]],"_"),1,3),"")</f>
        <v/>
      </c>
      <c r="T121" s="47" t="str">
        <f>IF(mouvementmp[[#This Row],[QR Fabrication]]&lt;&gt;"",INDEX(_xlfn.TEXTSPLIT(mouvementmp[[#This Row],[QR Fabrication]],"_"),1,4),"")</f>
        <v/>
      </c>
      <c r="U121" s="47" t="str">
        <f>IF(mouvementmp[[#This Row],[QR Fabrication]]&lt;&gt;"",INDEX(_xlfn.TEXTSPLIT(mouvementmp[[#This Row],[QR Fabrication]],"_"),1,5),"")</f>
        <v/>
      </c>
      <c r="V121" s="47" t="str">
        <f>IF(mouvementmp[[#This Row],[QR Fabrication]]&lt;&gt;"",_xlfn.TEXTAFTER(mouvementmp[[#This Row],[QR Fabrication]],"_",5),"")</f>
        <v/>
      </c>
    </row>
    <row r="122" spans="1:22" ht="16.5" thickTop="1" thickBot="1" x14ac:dyDescent="0.3">
      <c r="A122" s="46"/>
      <c r="B122" s="54" t="s">
        <v>3886</v>
      </c>
      <c r="C122" s="47" t="s">
        <v>662</v>
      </c>
      <c r="D122" s="47" t="s">
        <v>662</v>
      </c>
      <c r="E122" s="47" t="s">
        <v>665</v>
      </c>
      <c r="F122" s="48">
        <v>356</v>
      </c>
      <c r="G122" s="47"/>
      <c r="H122" s="47"/>
      <c r="I122" s="47" t="s">
        <v>664</v>
      </c>
      <c r="J122" s="49">
        <v>45913</v>
      </c>
      <c r="K122" s="47" t="str">
        <f>INDEX(_xlfn.TEXTSPLIT(mouvementmp[[#This Row],[QR MP]],"_"),1,1)</f>
        <v>C24</v>
      </c>
      <c r="L122" s="47" t="str">
        <f>INDEX(_xlfn.TEXTSPLIT(mouvementmp[[#This Row],[QR MP]],"_"),1,2)</f>
        <v>JAUNE SAFRAN</v>
      </c>
      <c r="M122" s="47" t="str">
        <f>INDEX(_xlfn.TEXTSPLIT(mouvementmp[[#This Row],[QR MP]],"_"),1,3)</f>
        <v>NM15-24.00</v>
      </c>
      <c r="N122" s="47" t="str">
        <f>INDEX(_xlfn.TEXTSPLIT(mouvementmp[[#This Row],[QR MP]],"_"),1,4)</f>
        <v>61554</v>
      </c>
      <c r="O122" s="47">
        <f>-mouvementmp[[#This Row],[Poids]]</f>
        <v>-356</v>
      </c>
      <c r="P122" s="47" t="str">
        <f>IF(
   COUNTIFS($A$2:A122,A122,
             $B$2:B122,B122,
             $C$2:C122,C122,
             $D$2:D122,D122,
             $E$2:E122,E122,
             $F$2:F122,F122,
              $J$2:J122,J122)&gt;1,
   "Doublon",
   "Correcte"
)</f>
        <v>Correcte</v>
      </c>
      <c r="Q122" s="106" t="str">
        <f>IF(mouvementmp[[#This Row],[QR Fabrication]]&lt;&gt;"",INDEX(_xlfn.TEXTSPLIT(mouvementmp[[#This Row],[QR Fabrication]],"_"),1,1),"")</f>
        <v/>
      </c>
      <c r="R122" s="106" t="str">
        <f>IF(mouvementmp[[#This Row],[QR Fabrication]]&lt;&gt;"",INDEX(_xlfn.TEXTSPLIT(mouvementmp[[#This Row],[QR Fabrication]],"_"),1,2),"")</f>
        <v/>
      </c>
      <c r="S122" s="47" t="str">
        <f>IF(mouvementmp[[#This Row],[QR Fabrication]]&lt;&gt;"",INDEX(_xlfn.TEXTSPLIT(mouvementmp[[#This Row],[QR Fabrication]],"_"),1,3),"")</f>
        <v/>
      </c>
      <c r="T122" s="47" t="str">
        <f>IF(mouvementmp[[#This Row],[QR Fabrication]]&lt;&gt;"",INDEX(_xlfn.TEXTSPLIT(mouvementmp[[#This Row],[QR Fabrication]],"_"),1,4),"")</f>
        <v/>
      </c>
      <c r="U122" s="47" t="str">
        <f>IF(mouvementmp[[#This Row],[QR Fabrication]]&lt;&gt;"",INDEX(_xlfn.TEXTSPLIT(mouvementmp[[#This Row],[QR Fabrication]],"_"),1,5),"")</f>
        <v/>
      </c>
      <c r="V122" s="47" t="str">
        <f>IF(mouvementmp[[#This Row],[QR Fabrication]]&lt;&gt;"",_xlfn.TEXTAFTER(mouvementmp[[#This Row],[QR Fabrication]],"_",5),"")</f>
        <v/>
      </c>
    </row>
    <row r="123" spans="1:22" ht="16.5" thickTop="1" thickBot="1" x14ac:dyDescent="0.3">
      <c r="A123" s="46"/>
      <c r="B123" s="54" t="s">
        <v>3887</v>
      </c>
      <c r="C123" s="47" t="s">
        <v>662</v>
      </c>
      <c r="D123" s="47" t="s">
        <v>662</v>
      </c>
      <c r="E123" s="47" t="s">
        <v>667</v>
      </c>
      <c r="F123" s="48">
        <v>308</v>
      </c>
      <c r="G123" s="47"/>
      <c r="H123" s="47"/>
      <c r="I123" s="47" t="s">
        <v>664</v>
      </c>
      <c r="J123" s="49">
        <v>45913</v>
      </c>
      <c r="K123" s="47" t="str">
        <f>INDEX(_xlfn.TEXTSPLIT(mouvementmp[[#This Row],[QR MP]],"_"),1,1)</f>
        <v>C25</v>
      </c>
      <c r="L123" s="47" t="str">
        <f>INDEX(_xlfn.TEXTSPLIT(mouvementmp[[#This Row],[QR MP]],"_"),1,2)</f>
        <v>ORANGE</v>
      </c>
      <c r="M123" s="47" t="str">
        <f>INDEX(_xlfn.TEXTSPLIT(mouvementmp[[#This Row],[QR MP]],"_"),1,3)</f>
        <v>NM15-25.00</v>
      </c>
      <c r="N123" s="47" t="str">
        <f>INDEX(_xlfn.TEXTSPLIT(mouvementmp[[#This Row],[QR MP]],"_"),1,4)</f>
        <v>61729</v>
      </c>
      <c r="O123" s="47">
        <f>-mouvementmp[[#This Row],[Poids]]</f>
        <v>-308</v>
      </c>
      <c r="P123" s="47" t="str">
        <f>IF(
   COUNTIFS($A$2:A123,A123,
             $B$2:B123,B123,
             $C$2:C123,C123,
             $D$2:D123,D123,
             $E$2:E123,E123,
             $F$2:F123,F123,
              $J$2:J123,J123)&gt;1,
   "Doublon",
   "Correcte"
)</f>
        <v>Correcte</v>
      </c>
      <c r="Q123" s="106" t="str">
        <f>IF(mouvementmp[[#This Row],[QR Fabrication]]&lt;&gt;"",INDEX(_xlfn.TEXTSPLIT(mouvementmp[[#This Row],[QR Fabrication]],"_"),1,1),"")</f>
        <v/>
      </c>
      <c r="R123" s="106" t="str">
        <f>IF(mouvementmp[[#This Row],[QR Fabrication]]&lt;&gt;"",INDEX(_xlfn.TEXTSPLIT(mouvementmp[[#This Row],[QR Fabrication]],"_"),1,2),"")</f>
        <v/>
      </c>
      <c r="S123" s="47" t="str">
        <f>IF(mouvementmp[[#This Row],[QR Fabrication]]&lt;&gt;"",INDEX(_xlfn.TEXTSPLIT(mouvementmp[[#This Row],[QR Fabrication]],"_"),1,3),"")</f>
        <v/>
      </c>
      <c r="T123" s="47" t="str">
        <f>IF(mouvementmp[[#This Row],[QR Fabrication]]&lt;&gt;"",INDEX(_xlfn.TEXTSPLIT(mouvementmp[[#This Row],[QR Fabrication]],"_"),1,4),"")</f>
        <v/>
      </c>
      <c r="U123" s="47" t="str">
        <f>IF(mouvementmp[[#This Row],[QR Fabrication]]&lt;&gt;"",INDEX(_xlfn.TEXTSPLIT(mouvementmp[[#This Row],[QR Fabrication]],"_"),1,5),"")</f>
        <v/>
      </c>
      <c r="V123" s="47" t="str">
        <f>IF(mouvementmp[[#This Row],[QR Fabrication]]&lt;&gt;"",_xlfn.TEXTAFTER(mouvementmp[[#This Row],[QR Fabrication]],"_",5),"")</f>
        <v/>
      </c>
    </row>
    <row r="124" spans="1:22" ht="16.5" thickTop="1" thickBot="1" x14ac:dyDescent="0.3">
      <c r="A124" s="46"/>
      <c r="B124" s="54" t="s">
        <v>3887</v>
      </c>
      <c r="C124" s="47" t="s">
        <v>662</v>
      </c>
      <c r="D124" s="47" t="s">
        <v>662</v>
      </c>
      <c r="E124" s="47" t="s">
        <v>665</v>
      </c>
      <c r="F124" s="48">
        <v>142</v>
      </c>
      <c r="G124" s="47"/>
      <c r="H124" s="47"/>
      <c r="I124" s="47" t="s">
        <v>664</v>
      </c>
      <c r="J124" s="49">
        <v>45913</v>
      </c>
      <c r="K124" s="47" t="str">
        <f>INDEX(_xlfn.TEXTSPLIT(mouvementmp[[#This Row],[QR MP]],"_"),1,1)</f>
        <v>C25</v>
      </c>
      <c r="L124" s="47" t="str">
        <f>INDEX(_xlfn.TEXTSPLIT(mouvementmp[[#This Row],[QR MP]],"_"),1,2)</f>
        <v>ORANGE</v>
      </c>
      <c r="M124" s="47" t="str">
        <f>INDEX(_xlfn.TEXTSPLIT(mouvementmp[[#This Row],[QR MP]],"_"),1,3)</f>
        <v>NM15-25.00</v>
      </c>
      <c r="N124" s="47" t="str">
        <f>INDEX(_xlfn.TEXTSPLIT(mouvementmp[[#This Row],[QR MP]],"_"),1,4)</f>
        <v>61729</v>
      </c>
      <c r="O124" s="47">
        <f>-mouvementmp[[#This Row],[Poids]]</f>
        <v>-142</v>
      </c>
      <c r="P124" s="47" t="str">
        <f>IF(
   COUNTIFS($A$2:A124,A124,
             $B$2:B124,B124,
             $C$2:C124,C124,
             $D$2:D124,D124,
             $E$2:E124,E124,
             $F$2:F124,F124,
              $J$2:J124,J124)&gt;1,
   "Doublon",
   "Correcte"
)</f>
        <v>Correcte</v>
      </c>
      <c r="Q124" s="106" t="str">
        <f>IF(mouvementmp[[#This Row],[QR Fabrication]]&lt;&gt;"",INDEX(_xlfn.TEXTSPLIT(mouvementmp[[#This Row],[QR Fabrication]],"_"),1,1),"")</f>
        <v/>
      </c>
      <c r="R124" s="106" t="str">
        <f>IF(mouvementmp[[#This Row],[QR Fabrication]]&lt;&gt;"",INDEX(_xlfn.TEXTSPLIT(mouvementmp[[#This Row],[QR Fabrication]],"_"),1,2),"")</f>
        <v/>
      </c>
      <c r="S124" s="47" t="str">
        <f>IF(mouvementmp[[#This Row],[QR Fabrication]]&lt;&gt;"",INDEX(_xlfn.TEXTSPLIT(mouvementmp[[#This Row],[QR Fabrication]],"_"),1,3),"")</f>
        <v/>
      </c>
      <c r="T124" s="47" t="str">
        <f>IF(mouvementmp[[#This Row],[QR Fabrication]]&lt;&gt;"",INDEX(_xlfn.TEXTSPLIT(mouvementmp[[#This Row],[QR Fabrication]],"_"),1,4),"")</f>
        <v/>
      </c>
      <c r="U124" s="47" t="str">
        <f>IF(mouvementmp[[#This Row],[QR Fabrication]]&lt;&gt;"",INDEX(_xlfn.TEXTSPLIT(mouvementmp[[#This Row],[QR Fabrication]],"_"),1,5),"")</f>
        <v/>
      </c>
      <c r="V124" s="47" t="str">
        <f>IF(mouvementmp[[#This Row],[QR Fabrication]]&lt;&gt;"",_xlfn.TEXTAFTER(mouvementmp[[#This Row],[QR Fabrication]],"_",5),"")</f>
        <v/>
      </c>
    </row>
    <row r="125" spans="1:22" ht="16.5" thickTop="1" thickBot="1" x14ac:dyDescent="0.3">
      <c r="A125" s="46"/>
      <c r="B125" s="54" t="s">
        <v>3888</v>
      </c>
      <c r="C125" s="47" t="s">
        <v>662</v>
      </c>
      <c r="D125" s="47" t="s">
        <v>662</v>
      </c>
      <c r="E125" s="47" t="s">
        <v>667</v>
      </c>
      <c r="F125" s="48">
        <v>143.47</v>
      </c>
      <c r="G125" s="47"/>
      <c r="H125" s="47"/>
      <c r="I125" s="47" t="s">
        <v>664</v>
      </c>
      <c r="J125" s="49">
        <v>45913</v>
      </c>
      <c r="K125" s="47" t="str">
        <f>INDEX(_xlfn.TEXTSPLIT(mouvementmp[[#This Row],[QR MP]],"_"),1,1)</f>
        <v>C25</v>
      </c>
      <c r="L125" s="47" t="str">
        <f>INDEX(_xlfn.TEXTSPLIT(mouvementmp[[#This Row],[QR MP]],"_"),1,2)</f>
        <v>ORANGE</v>
      </c>
      <c r="M125" s="47" t="str">
        <f>INDEX(_xlfn.TEXTSPLIT(mouvementmp[[#This Row],[QR MP]],"_"),1,3)</f>
        <v>NM15-25.00</v>
      </c>
      <c r="N125" s="47" t="str">
        <f>INDEX(_xlfn.TEXTSPLIT(mouvementmp[[#This Row],[QR MP]],"_"),1,4)</f>
        <v>64414</v>
      </c>
      <c r="O125" s="47">
        <f>-mouvementmp[[#This Row],[Poids]]</f>
        <v>-143.47</v>
      </c>
      <c r="P125" s="47" t="str">
        <f>IF(
   COUNTIFS($A$2:A125,A125,
             $B$2:B125,B125,
             $C$2:C125,C125,
             $D$2:D125,D125,
             $E$2:E125,E125,
             $F$2:F125,F125,
              $J$2:J125,J125)&gt;1,
   "Doublon",
   "Correcte"
)</f>
        <v>Correcte</v>
      </c>
      <c r="Q125" s="106" t="str">
        <f>IF(mouvementmp[[#This Row],[QR Fabrication]]&lt;&gt;"",INDEX(_xlfn.TEXTSPLIT(mouvementmp[[#This Row],[QR Fabrication]],"_"),1,1),"")</f>
        <v/>
      </c>
      <c r="R125" s="106" t="str">
        <f>IF(mouvementmp[[#This Row],[QR Fabrication]]&lt;&gt;"",INDEX(_xlfn.TEXTSPLIT(mouvementmp[[#This Row],[QR Fabrication]],"_"),1,2),"")</f>
        <v/>
      </c>
      <c r="S125" s="47" t="str">
        <f>IF(mouvementmp[[#This Row],[QR Fabrication]]&lt;&gt;"",INDEX(_xlfn.TEXTSPLIT(mouvementmp[[#This Row],[QR Fabrication]],"_"),1,3),"")</f>
        <v/>
      </c>
      <c r="T125" s="47" t="str">
        <f>IF(mouvementmp[[#This Row],[QR Fabrication]]&lt;&gt;"",INDEX(_xlfn.TEXTSPLIT(mouvementmp[[#This Row],[QR Fabrication]],"_"),1,4),"")</f>
        <v/>
      </c>
      <c r="U125" s="47" t="str">
        <f>IF(mouvementmp[[#This Row],[QR Fabrication]]&lt;&gt;"",INDEX(_xlfn.TEXTSPLIT(mouvementmp[[#This Row],[QR Fabrication]],"_"),1,5),"")</f>
        <v/>
      </c>
      <c r="V125" s="47" t="str">
        <f>IF(mouvementmp[[#This Row],[QR Fabrication]]&lt;&gt;"",_xlfn.TEXTAFTER(mouvementmp[[#This Row],[QR Fabrication]],"_",5),"")</f>
        <v/>
      </c>
    </row>
    <row r="126" spans="1:22" ht="16.5" thickTop="1" thickBot="1" x14ac:dyDescent="0.3">
      <c r="A126" s="46"/>
      <c r="B126" s="54" t="s">
        <v>3889</v>
      </c>
      <c r="C126" s="47" t="s">
        <v>662</v>
      </c>
      <c r="D126" s="47" t="s">
        <v>662</v>
      </c>
      <c r="E126" s="47" t="s">
        <v>667</v>
      </c>
      <c r="F126" s="48">
        <v>500.5</v>
      </c>
      <c r="G126" s="47"/>
      <c r="H126" s="47"/>
      <c r="I126" s="47" t="s">
        <v>664</v>
      </c>
      <c r="J126" s="49">
        <v>45913</v>
      </c>
      <c r="K126" s="47" t="str">
        <f>INDEX(_xlfn.TEXTSPLIT(mouvementmp[[#This Row],[QR MP]],"_"),1,1)</f>
        <v>C25</v>
      </c>
      <c r="L126" s="47" t="str">
        <f>INDEX(_xlfn.TEXTSPLIT(mouvementmp[[#This Row],[QR MP]],"_"),1,2)</f>
        <v>ORANGE</v>
      </c>
      <c r="M126" s="47" t="str">
        <f>INDEX(_xlfn.TEXTSPLIT(mouvementmp[[#This Row],[QR MP]],"_"),1,3)</f>
        <v>NM15-25.01</v>
      </c>
      <c r="N126" s="47" t="str">
        <f>INDEX(_xlfn.TEXTSPLIT(mouvementmp[[#This Row],[QR MP]],"_"),1,4)</f>
        <v>S2023</v>
      </c>
      <c r="O126" s="47">
        <f>-mouvementmp[[#This Row],[Poids]]</f>
        <v>-500.5</v>
      </c>
      <c r="P126" s="47" t="str">
        <f>IF(
   COUNTIFS($A$2:A126,A126,
             $B$2:B126,B126,
             $C$2:C126,C126,
             $D$2:D126,D126,
             $E$2:E126,E126,
             $F$2:F126,F126,
              $J$2:J126,J126)&gt;1,
   "Doublon",
   "Correcte"
)</f>
        <v>Correcte</v>
      </c>
      <c r="Q126" s="106" t="str">
        <f>IF(mouvementmp[[#This Row],[QR Fabrication]]&lt;&gt;"",INDEX(_xlfn.TEXTSPLIT(mouvementmp[[#This Row],[QR Fabrication]],"_"),1,1),"")</f>
        <v/>
      </c>
      <c r="R126" s="106" t="str">
        <f>IF(mouvementmp[[#This Row],[QR Fabrication]]&lt;&gt;"",INDEX(_xlfn.TEXTSPLIT(mouvementmp[[#This Row],[QR Fabrication]],"_"),1,2),"")</f>
        <v/>
      </c>
      <c r="S126" s="47" t="str">
        <f>IF(mouvementmp[[#This Row],[QR Fabrication]]&lt;&gt;"",INDEX(_xlfn.TEXTSPLIT(mouvementmp[[#This Row],[QR Fabrication]],"_"),1,3),"")</f>
        <v/>
      </c>
      <c r="T126" s="47" t="str">
        <f>IF(mouvementmp[[#This Row],[QR Fabrication]]&lt;&gt;"",INDEX(_xlfn.TEXTSPLIT(mouvementmp[[#This Row],[QR Fabrication]],"_"),1,4),"")</f>
        <v/>
      </c>
      <c r="U126" s="47" t="str">
        <f>IF(mouvementmp[[#This Row],[QR Fabrication]]&lt;&gt;"",INDEX(_xlfn.TEXTSPLIT(mouvementmp[[#This Row],[QR Fabrication]],"_"),1,5),"")</f>
        <v/>
      </c>
      <c r="V126" s="47" t="str">
        <f>IF(mouvementmp[[#This Row],[QR Fabrication]]&lt;&gt;"",_xlfn.TEXTAFTER(mouvementmp[[#This Row],[QR Fabrication]],"_",5),"")</f>
        <v/>
      </c>
    </row>
    <row r="127" spans="1:22" ht="16.5" thickTop="1" thickBot="1" x14ac:dyDescent="0.3">
      <c r="A127" s="46"/>
      <c r="B127" s="54" t="s">
        <v>3890</v>
      </c>
      <c r="C127" s="47" t="s">
        <v>662</v>
      </c>
      <c r="D127" s="47" t="s">
        <v>662</v>
      </c>
      <c r="E127" s="47" t="s">
        <v>665</v>
      </c>
      <c r="F127" s="48">
        <v>28</v>
      </c>
      <c r="G127" s="47"/>
      <c r="H127" s="47"/>
      <c r="I127" s="47" t="s">
        <v>664</v>
      </c>
      <c r="J127" s="49">
        <v>45913</v>
      </c>
      <c r="K127" s="47" t="str">
        <f>INDEX(_xlfn.TEXTSPLIT(mouvementmp[[#This Row],[QR MP]],"_"),1,1)</f>
        <v>C25</v>
      </c>
      <c r="L127" s="47" t="str">
        <f>INDEX(_xlfn.TEXTSPLIT(mouvementmp[[#This Row],[QR MP]],"_"),1,2)</f>
        <v>ORANGE</v>
      </c>
      <c r="M127" s="47" t="str">
        <f>INDEX(_xlfn.TEXTSPLIT(mouvementmp[[#This Row],[QR MP]],"_"),1,3)</f>
        <v>NM20-25.01</v>
      </c>
      <c r="N127" s="47" t="str">
        <f>INDEX(_xlfn.TEXTSPLIT(mouvementmp[[#This Row],[QR MP]],"_"),1,4)</f>
        <v>S2023</v>
      </c>
      <c r="O127" s="47">
        <f>-mouvementmp[[#This Row],[Poids]]</f>
        <v>-28</v>
      </c>
      <c r="P127" s="47" t="str">
        <f>IF(
   COUNTIFS($A$2:A127,A127,
             $B$2:B127,B127,
             $C$2:C127,C127,
             $D$2:D127,D127,
             $E$2:E127,E127,
             $F$2:F127,F127,
              $J$2:J127,J127)&gt;1,
   "Doublon",
   "Correcte"
)</f>
        <v>Correcte</v>
      </c>
      <c r="Q127" s="106" t="str">
        <f>IF(mouvementmp[[#This Row],[QR Fabrication]]&lt;&gt;"",INDEX(_xlfn.TEXTSPLIT(mouvementmp[[#This Row],[QR Fabrication]],"_"),1,1),"")</f>
        <v/>
      </c>
      <c r="R127" s="106" t="str">
        <f>IF(mouvementmp[[#This Row],[QR Fabrication]]&lt;&gt;"",INDEX(_xlfn.TEXTSPLIT(mouvementmp[[#This Row],[QR Fabrication]],"_"),1,2),"")</f>
        <v/>
      </c>
      <c r="S127" s="47" t="str">
        <f>IF(mouvementmp[[#This Row],[QR Fabrication]]&lt;&gt;"",INDEX(_xlfn.TEXTSPLIT(mouvementmp[[#This Row],[QR Fabrication]],"_"),1,3),"")</f>
        <v/>
      </c>
      <c r="T127" s="47" t="str">
        <f>IF(mouvementmp[[#This Row],[QR Fabrication]]&lt;&gt;"",INDEX(_xlfn.TEXTSPLIT(mouvementmp[[#This Row],[QR Fabrication]],"_"),1,4),"")</f>
        <v/>
      </c>
      <c r="U127" s="47" t="str">
        <f>IF(mouvementmp[[#This Row],[QR Fabrication]]&lt;&gt;"",INDEX(_xlfn.TEXTSPLIT(mouvementmp[[#This Row],[QR Fabrication]],"_"),1,5),"")</f>
        <v/>
      </c>
      <c r="V127" s="47" t="str">
        <f>IF(mouvementmp[[#This Row],[QR Fabrication]]&lt;&gt;"",_xlfn.TEXTAFTER(mouvementmp[[#This Row],[QR Fabrication]],"_",5),"")</f>
        <v/>
      </c>
    </row>
    <row r="128" spans="1:22" ht="16.5" thickTop="1" thickBot="1" x14ac:dyDescent="0.3">
      <c r="A128" s="46"/>
      <c r="B128" s="54" t="s">
        <v>3891</v>
      </c>
      <c r="C128" s="47" t="s">
        <v>662</v>
      </c>
      <c r="D128" s="47" t="s">
        <v>662</v>
      </c>
      <c r="E128" s="47" t="s">
        <v>663</v>
      </c>
      <c r="F128" s="48">
        <v>108.5</v>
      </c>
      <c r="G128" s="47"/>
      <c r="H128" s="47"/>
      <c r="I128" s="47" t="s">
        <v>664</v>
      </c>
      <c r="J128" s="49">
        <v>45913</v>
      </c>
      <c r="K128" s="47" t="str">
        <f>INDEX(_xlfn.TEXTSPLIT(mouvementmp[[#This Row],[QR MP]],"_"),1,1)</f>
        <v>C26</v>
      </c>
      <c r="L128" s="47" t="str">
        <f>INDEX(_xlfn.TEXTSPLIT(mouvementmp[[#This Row],[QR MP]],"_"),1,2)</f>
        <v>ROUGE FERRARI</v>
      </c>
      <c r="M128" s="47" t="str">
        <f>INDEX(_xlfn.TEXTSPLIT(mouvementmp[[#This Row],[QR MP]],"_"),1,3)</f>
        <v>NM05-26.00</v>
      </c>
      <c r="N128" s="47" t="str">
        <f>INDEX(_xlfn.TEXTSPLIT(mouvementmp[[#This Row],[QR MP]],"_"),1,4)</f>
        <v>49914</v>
      </c>
      <c r="O128" s="47">
        <f>-mouvementmp[[#This Row],[Poids]]</f>
        <v>-108.5</v>
      </c>
      <c r="P128" s="47" t="str">
        <f>IF(
   COUNTIFS($A$2:A128,A128,
             $B$2:B128,B128,
             $C$2:C128,C128,
             $D$2:D128,D128,
             $E$2:E128,E128,
             $F$2:F128,F128,
              $J$2:J128,J128)&gt;1,
   "Doublon",
   "Correcte"
)</f>
        <v>Correcte</v>
      </c>
      <c r="Q128" s="106" t="str">
        <f>IF(mouvementmp[[#This Row],[QR Fabrication]]&lt;&gt;"",INDEX(_xlfn.TEXTSPLIT(mouvementmp[[#This Row],[QR Fabrication]],"_"),1,1),"")</f>
        <v/>
      </c>
      <c r="R128" s="106" t="str">
        <f>IF(mouvementmp[[#This Row],[QR Fabrication]]&lt;&gt;"",INDEX(_xlfn.TEXTSPLIT(mouvementmp[[#This Row],[QR Fabrication]],"_"),1,2),"")</f>
        <v/>
      </c>
      <c r="S128" s="47" t="str">
        <f>IF(mouvementmp[[#This Row],[QR Fabrication]]&lt;&gt;"",INDEX(_xlfn.TEXTSPLIT(mouvementmp[[#This Row],[QR Fabrication]],"_"),1,3),"")</f>
        <v/>
      </c>
      <c r="T128" s="47" t="str">
        <f>IF(mouvementmp[[#This Row],[QR Fabrication]]&lt;&gt;"",INDEX(_xlfn.TEXTSPLIT(mouvementmp[[#This Row],[QR Fabrication]],"_"),1,4),"")</f>
        <v/>
      </c>
      <c r="U128" s="47" t="str">
        <f>IF(mouvementmp[[#This Row],[QR Fabrication]]&lt;&gt;"",INDEX(_xlfn.TEXTSPLIT(mouvementmp[[#This Row],[QR Fabrication]],"_"),1,5),"")</f>
        <v/>
      </c>
      <c r="V128" s="47" t="str">
        <f>IF(mouvementmp[[#This Row],[QR Fabrication]]&lt;&gt;"",_xlfn.TEXTAFTER(mouvementmp[[#This Row],[QR Fabrication]],"_",5),"")</f>
        <v/>
      </c>
    </row>
    <row r="129" spans="1:22" ht="16.5" thickTop="1" thickBot="1" x14ac:dyDescent="0.3">
      <c r="A129" s="46"/>
      <c r="B129" s="54" t="s">
        <v>3891</v>
      </c>
      <c r="C129" s="47" t="s">
        <v>662</v>
      </c>
      <c r="D129" s="47" t="s">
        <v>662</v>
      </c>
      <c r="E129" s="47" t="s">
        <v>665</v>
      </c>
      <c r="F129" s="48">
        <v>7.5</v>
      </c>
      <c r="G129" s="47"/>
      <c r="H129" s="47"/>
      <c r="I129" s="47" t="s">
        <v>664</v>
      </c>
      <c r="J129" s="49">
        <v>45913</v>
      </c>
      <c r="K129" s="47" t="str">
        <f>INDEX(_xlfn.TEXTSPLIT(mouvementmp[[#This Row],[QR MP]],"_"),1,1)</f>
        <v>C26</v>
      </c>
      <c r="L129" s="47" t="str">
        <f>INDEX(_xlfn.TEXTSPLIT(mouvementmp[[#This Row],[QR MP]],"_"),1,2)</f>
        <v>ROUGE FERRARI</v>
      </c>
      <c r="M129" s="47" t="str">
        <f>INDEX(_xlfn.TEXTSPLIT(mouvementmp[[#This Row],[QR MP]],"_"),1,3)</f>
        <v>NM05-26.00</v>
      </c>
      <c r="N129" s="47" t="str">
        <f>INDEX(_xlfn.TEXTSPLIT(mouvementmp[[#This Row],[QR MP]],"_"),1,4)</f>
        <v>49914</v>
      </c>
      <c r="O129" s="47">
        <f>-mouvementmp[[#This Row],[Poids]]</f>
        <v>-7.5</v>
      </c>
      <c r="P129" s="47" t="str">
        <f>IF(
   COUNTIFS($A$2:A129,A129,
             $B$2:B129,B129,
             $C$2:C129,C129,
             $D$2:D129,D129,
             $E$2:E129,E129,
             $F$2:F129,F129,
              $J$2:J129,J129)&gt;1,
   "Doublon",
   "Correcte"
)</f>
        <v>Correcte</v>
      </c>
      <c r="Q129" s="106" t="str">
        <f>IF(mouvementmp[[#This Row],[QR Fabrication]]&lt;&gt;"",INDEX(_xlfn.TEXTSPLIT(mouvementmp[[#This Row],[QR Fabrication]],"_"),1,1),"")</f>
        <v/>
      </c>
      <c r="R129" s="106" t="str">
        <f>IF(mouvementmp[[#This Row],[QR Fabrication]]&lt;&gt;"",INDEX(_xlfn.TEXTSPLIT(mouvementmp[[#This Row],[QR Fabrication]],"_"),1,2),"")</f>
        <v/>
      </c>
      <c r="S129" s="47" t="str">
        <f>IF(mouvementmp[[#This Row],[QR Fabrication]]&lt;&gt;"",INDEX(_xlfn.TEXTSPLIT(mouvementmp[[#This Row],[QR Fabrication]],"_"),1,3),"")</f>
        <v/>
      </c>
      <c r="T129" s="47" t="str">
        <f>IF(mouvementmp[[#This Row],[QR Fabrication]]&lt;&gt;"",INDEX(_xlfn.TEXTSPLIT(mouvementmp[[#This Row],[QR Fabrication]],"_"),1,4),"")</f>
        <v/>
      </c>
      <c r="U129" s="47" t="str">
        <f>IF(mouvementmp[[#This Row],[QR Fabrication]]&lt;&gt;"",INDEX(_xlfn.TEXTSPLIT(mouvementmp[[#This Row],[QR Fabrication]],"_"),1,5),"")</f>
        <v/>
      </c>
      <c r="V129" s="47" t="str">
        <f>IF(mouvementmp[[#This Row],[QR Fabrication]]&lt;&gt;"",_xlfn.TEXTAFTER(mouvementmp[[#This Row],[QR Fabrication]],"_",5),"")</f>
        <v/>
      </c>
    </row>
    <row r="130" spans="1:22" ht="16.5" thickTop="1" thickBot="1" x14ac:dyDescent="0.3">
      <c r="A130" s="46"/>
      <c r="B130" s="54" t="s">
        <v>3892</v>
      </c>
      <c r="C130" s="47" t="s">
        <v>662</v>
      </c>
      <c r="D130" s="47" t="s">
        <v>662</v>
      </c>
      <c r="E130" s="47" t="s">
        <v>667</v>
      </c>
      <c r="F130" s="48">
        <v>199.5</v>
      </c>
      <c r="G130" s="47"/>
      <c r="H130" s="47"/>
      <c r="I130" s="47" t="s">
        <v>664</v>
      </c>
      <c r="J130" s="49">
        <v>45913</v>
      </c>
      <c r="K130" s="47" t="str">
        <f>INDEX(_xlfn.TEXTSPLIT(mouvementmp[[#This Row],[QR MP]],"_"),1,1)</f>
        <v>C26</v>
      </c>
      <c r="L130" s="47" t="str">
        <f>INDEX(_xlfn.TEXTSPLIT(mouvementmp[[#This Row],[QR MP]],"_"),1,2)</f>
        <v>ROUGE FERRARI</v>
      </c>
      <c r="M130" s="47" t="str">
        <f>INDEX(_xlfn.TEXTSPLIT(mouvementmp[[#This Row],[QR MP]],"_"),1,3)</f>
        <v>NM15-26.00</v>
      </c>
      <c r="N130" s="47" t="str">
        <f>INDEX(_xlfn.TEXTSPLIT(mouvementmp[[#This Row],[QR MP]],"_"),1,4)</f>
        <v>61551</v>
      </c>
      <c r="O130" s="47">
        <f>-mouvementmp[[#This Row],[Poids]]</f>
        <v>-199.5</v>
      </c>
      <c r="P130" s="47" t="str">
        <f>IF(
   COUNTIFS($A$2:A130,A130,
             $B$2:B130,B130,
             $C$2:C130,C130,
             $D$2:D130,D130,
             $E$2:E130,E130,
             $F$2:F130,F130,
              $J$2:J130,J130)&gt;1,
   "Doublon",
   "Correcte"
)</f>
        <v>Correcte</v>
      </c>
      <c r="Q130" s="106" t="str">
        <f>IF(mouvementmp[[#This Row],[QR Fabrication]]&lt;&gt;"",INDEX(_xlfn.TEXTSPLIT(mouvementmp[[#This Row],[QR Fabrication]],"_"),1,1),"")</f>
        <v/>
      </c>
      <c r="R130" s="106" t="str">
        <f>IF(mouvementmp[[#This Row],[QR Fabrication]]&lt;&gt;"",INDEX(_xlfn.TEXTSPLIT(mouvementmp[[#This Row],[QR Fabrication]],"_"),1,2),"")</f>
        <v/>
      </c>
      <c r="S130" s="47" t="str">
        <f>IF(mouvementmp[[#This Row],[QR Fabrication]]&lt;&gt;"",INDEX(_xlfn.TEXTSPLIT(mouvementmp[[#This Row],[QR Fabrication]],"_"),1,3),"")</f>
        <v/>
      </c>
      <c r="T130" s="47" t="str">
        <f>IF(mouvementmp[[#This Row],[QR Fabrication]]&lt;&gt;"",INDEX(_xlfn.TEXTSPLIT(mouvementmp[[#This Row],[QR Fabrication]],"_"),1,4),"")</f>
        <v/>
      </c>
      <c r="U130" s="47" t="str">
        <f>IF(mouvementmp[[#This Row],[QR Fabrication]]&lt;&gt;"",INDEX(_xlfn.TEXTSPLIT(mouvementmp[[#This Row],[QR Fabrication]],"_"),1,5),"")</f>
        <v/>
      </c>
      <c r="V130" s="47" t="str">
        <f>IF(mouvementmp[[#This Row],[QR Fabrication]]&lt;&gt;"",_xlfn.TEXTAFTER(mouvementmp[[#This Row],[QR Fabrication]],"_",5),"")</f>
        <v/>
      </c>
    </row>
    <row r="131" spans="1:22" ht="16.5" thickTop="1" thickBot="1" x14ac:dyDescent="0.3">
      <c r="A131" s="46"/>
      <c r="B131" s="54" t="s">
        <v>3892</v>
      </c>
      <c r="C131" s="47" t="s">
        <v>662</v>
      </c>
      <c r="D131" s="47" t="s">
        <v>662</v>
      </c>
      <c r="E131" s="47" t="s">
        <v>665</v>
      </c>
      <c r="F131" s="48">
        <v>102</v>
      </c>
      <c r="G131" s="47"/>
      <c r="H131" s="47"/>
      <c r="I131" s="47" t="s">
        <v>664</v>
      </c>
      <c r="J131" s="49">
        <v>45913</v>
      </c>
      <c r="K131" s="47" t="str">
        <f>INDEX(_xlfn.TEXTSPLIT(mouvementmp[[#This Row],[QR MP]],"_"),1,1)</f>
        <v>C26</v>
      </c>
      <c r="L131" s="47" t="str">
        <f>INDEX(_xlfn.TEXTSPLIT(mouvementmp[[#This Row],[QR MP]],"_"),1,2)</f>
        <v>ROUGE FERRARI</v>
      </c>
      <c r="M131" s="47" t="str">
        <f>INDEX(_xlfn.TEXTSPLIT(mouvementmp[[#This Row],[QR MP]],"_"),1,3)</f>
        <v>NM15-26.00</v>
      </c>
      <c r="N131" s="47" t="str">
        <f>INDEX(_xlfn.TEXTSPLIT(mouvementmp[[#This Row],[QR MP]],"_"),1,4)</f>
        <v>61551</v>
      </c>
      <c r="O131" s="47">
        <f>-mouvementmp[[#This Row],[Poids]]</f>
        <v>-102</v>
      </c>
      <c r="P131" s="47" t="str">
        <f>IF(
   COUNTIFS($A$2:A131,A131,
             $B$2:B131,B131,
             $C$2:C131,C131,
             $D$2:D131,D131,
             $E$2:E131,E131,
             $F$2:F131,F131,
              $J$2:J131,J131)&gt;1,
   "Doublon",
   "Correcte"
)</f>
        <v>Correcte</v>
      </c>
      <c r="Q131" s="106" t="str">
        <f>IF(mouvementmp[[#This Row],[QR Fabrication]]&lt;&gt;"",INDEX(_xlfn.TEXTSPLIT(mouvementmp[[#This Row],[QR Fabrication]],"_"),1,1),"")</f>
        <v/>
      </c>
      <c r="R131" s="106" t="str">
        <f>IF(mouvementmp[[#This Row],[QR Fabrication]]&lt;&gt;"",INDEX(_xlfn.TEXTSPLIT(mouvementmp[[#This Row],[QR Fabrication]],"_"),1,2),"")</f>
        <v/>
      </c>
      <c r="S131" s="47" t="str">
        <f>IF(mouvementmp[[#This Row],[QR Fabrication]]&lt;&gt;"",INDEX(_xlfn.TEXTSPLIT(mouvementmp[[#This Row],[QR Fabrication]],"_"),1,3),"")</f>
        <v/>
      </c>
      <c r="T131" s="47" t="str">
        <f>IF(mouvementmp[[#This Row],[QR Fabrication]]&lt;&gt;"",INDEX(_xlfn.TEXTSPLIT(mouvementmp[[#This Row],[QR Fabrication]],"_"),1,4),"")</f>
        <v/>
      </c>
      <c r="U131" s="47" t="str">
        <f>IF(mouvementmp[[#This Row],[QR Fabrication]]&lt;&gt;"",INDEX(_xlfn.TEXTSPLIT(mouvementmp[[#This Row],[QR Fabrication]],"_"),1,5),"")</f>
        <v/>
      </c>
      <c r="V131" s="47" t="str">
        <f>IF(mouvementmp[[#This Row],[QR Fabrication]]&lt;&gt;"",_xlfn.TEXTAFTER(mouvementmp[[#This Row],[QR Fabrication]],"_",5),"")</f>
        <v/>
      </c>
    </row>
    <row r="132" spans="1:22" ht="16.5" thickTop="1" thickBot="1" x14ac:dyDescent="0.3">
      <c r="A132" s="46"/>
      <c r="B132" s="54" t="s">
        <v>3893</v>
      </c>
      <c r="C132" s="47" t="s">
        <v>662</v>
      </c>
      <c r="D132" s="47" t="s">
        <v>662</v>
      </c>
      <c r="E132" s="47" t="s">
        <v>663</v>
      </c>
      <c r="F132" s="48">
        <v>518</v>
      </c>
      <c r="G132" s="47"/>
      <c r="H132" s="47"/>
      <c r="I132" s="47" t="s">
        <v>664</v>
      </c>
      <c r="J132" s="49">
        <v>45913</v>
      </c>
      <c r="K132" s="47" t="str">
        <f>INDEX(_xlfn.TEXTSPLIT(mouvementmp[[#This Row],[QR MP]],"_"),1,1)</f>
        <v>C27</v>
      </c>
      <c r="L132" s="47" t="str">
        <f>INDEX(_xlfn.TEXTSPLIT(mouvementmp[[#This Row],[QR MP]],"_"),1,2)</f>
        <v>ROUGE BORDEAU</v>
      </c>
      <c r="M132" s="47" t="str">
        <f>INDEX(_xlfn.TEXTSPLIT(mouvementmp[[#This Row],[QR MP]],"_"),1,3)</f>
        <v>NM07/2-27.00</v>
      </c>
      <c r="N132" s="47" t="str">
        <f>INDEX(_xlfn.TEXTSPLIT(mouvementmp[[#This Row],[QR MP]],"_"),1,4)</f>
        <v>60703</v>
      </c>
      <c r="O132" s="47">
        <f>-mouvementmp[[#This Row],[Poids]]</f>
        <v>-518</v>
      </c>
      <c r="P132" s="47" t="str">
        <f>IF(
   COUNTIFS($A$2:A132,A132,
             $B$2:B132,B132,
             $C$2:C132,C132,
             $D$2:D132,D132,
             $E$2:E132,E132,
             $F$2:F132,F132,
              $J$2:J132,J132)&gt;1,
   "Doublon",
   "Correcte"
)</f>
        <v>Correcte</v>
      </c>
      <c r="Q132" s="106" t="str">
        <f>IF(mouvementmp[[#This Row],[QR Fabrication]]&lt;&gt;"",INDEX(_xlfn.TEXTSPLIT(mouvementmp[[#This Row],[QR Fabrication]],"_"),1,1),"")</f>
        <v/>
      </c>
      <c r="R132" s="106" t="str">
        <f>IF(mouvementmp[[#This Row],[QR Fabrication]]&lt;&gt;"",INDEX(_xlfn.TEXTSPLIT(mouvementmp[[#This Row],[QR Fabrication]],"_"),1,2),"")</f>
        <v/>
      </c>
      <c r="S132" s="47" t="str">
        <f>IF(mouvementmp[[#This Row],[QR Fabrication]]&lt;&gt;"",INDEX(_xlfn.TEXTSPLIT(mouvementmp[[#This Row],[QR Fabrication]],"_"),1,3),"")</f>
        <v/>
      </c>
      <c r="T132" s="47" t="str">
        <f>IF(mouvementmp[[#This Row],[QR Fabrication]]&lt;&gt;"",INDEX(_xlfn.TEXTSPLIT(mouvementmp[[#This Row],[QR Fabrication]],"_"),1,4),"")</f>
        <v/>
      </c>
      <c r="U132" s="47" t="str">
        <f>IF(mouvementmp[[#This Row],[QR Fabrication]]&lt;&gt;"",INDEX(_xlfn.TEXTSPLIT(mouvementmp[[#This Row],[QR Fabrication]],"_"),1,5),"")</f>
        <v/>
      </c>
      <c r="V132" s="47" t="str">
        <f>IF(mouvementmp[[#This Row],[QR Fabrication]]&lt;&gt;"",_xlfn.TEXTAFTER(mouvementmp[[#This Row],[QR Fabrication]],"_",5),"")</f>
        <v/>
      </c>
    </row>
    <row r="133" spans="1:22" ht="16.5" thickTop="1" thickBot="1" x14ac:dyDescent="0.3">
      <c r="A133" s="46"/>
      <c r="B133" s="54" t="s">
        <v>3893</v>
      </c>
      <c r="C133" s="47" t="s">
        <v>662</v>
      </c>
      <c r="D133" s="47" t="s">
        <v>662</v>
      </c>
      <c r="E133" s="47" t="s">
        <v>666</v>
      </c>
      <c r="F133" s="48">
        <v>546</v>
      </c>
      <c r="G133" s="47"/>
      <c r="H133" s="47"/>
      <c r="I133" s="47" t="s">
        <v>664</v>
      </c>
      <c r="J133" s="49">
        <v>45913</v>
      </c>
      <c r="K133" s="47" t="str">
        <f>INDEX(_xlfn.TEXTSPLIT(mouvementmp[[#This Row],[QR MP]],"_"),1,1)</f>
        <v>C27</v>
      </c>
      <c r="L133" s="47" t="str">
        <f>INDEX(_xlfn.TEXTSPLIT(mouvementmp[[#This Row],[QR MP]],"_"),1,2)</f>
        <v>ROUGE BORDEAU</v>
      </c>
      <c r="M133" s="47" t="str">
        <f>INDEX(_xlfn.TEXTSPLIT(mouvementmp[[#This Row],[QR MP]],"_"),1,3)</f>
        <v>NM07/2-27.00</v>
      </c>
      <c r="N133" s="47" t="str">
        <f>INDEX(_xlfn.TEXTSPLIT(mouvementmp[[#This Row],[QR MP]],"_"),1,4)</f>
        <v>60703</v>
      </c>
      <c r="O133" s="47">
        <f>-mouvementmp[[#This Row],[Poids]]</f>
        <v>-546</v>
      </c>
      <c r="P133" s="47" t="str">
        <f>IF(
   COUNTIFS($A$2:A133,A133,
             $B$2:B133,B133,
             $C$2:C133,C133,
             $D$2:D133,D133,
             $E$2:E133,E133,
             $F$2:F133,F133,
              $J$2:J133,J133)&gt;1,
   "Doublon",
   "Correcte"
)</f>
        <v>Correcte</v>
      </c>
      <c r="Q133" s="106" t="str">
        <f>IF(mouvementmp[[#This Row],[QR Fabrication]]&lt;&gt;"",INDEX(_xlfn.TEXTSPLIT(mouvementmp[[#This Row],[QR Fabrication]],"_"),1,1),"")</f>
        <v/>
      </c>
      <c r="R133" s="106" t="str">
        <f>IF(mouvementmp[[#This Row],[QR Fabrication]]&lt;&gt;"",INDEX(_xlfn.TEXTSPLIT(mouvementmp[[#This Row],[QR Fabrication]],"_"),1,2),"")</f>
        <v/>
      </c>
      <c r="S133" s="47" t="str">
        <f>IF(mouvementmp[[#This Row],[QR Fabrication]]&lt;&gt;"",INDEX(_xlfn.TEXTSPLIT(mouvementmp[[#This Row],[QR Fabrication]],"_"),1,3),"")</f>
        <v/>
      </c>
      <c r="T133" s="47" t="str">
        <f>IF(mouvementmp[[#This Row],[QR Fabrication]]&lt;&gt;"",INDEX(_xlfn.TEXTSPLIT(mouvementmp[[#This Row],[QR Fabrication]],"_"),1,4),"")</f>
        <v/>
      </c>
      <c r="U133" s="47" t="str">
        <f>IF(mouvementmp[[#This Row],[QR Fabrication]]&lt;&gt;"",INDEX(_xlfn.TEXTSPLIT(mouvementmp[[#This Row],[QR Fabrication]],"_"),1,5),"")</f>
        <v/>
      </c>
      <c r="V133" s="47" t="str">
        <f>IF(mouvementmp[[#This Row],[QR Fabrication]]&lt;&gt;"",_xlfn.TEXTAFTER(mouvementmp[[#This Row],[QR Fabrication]],"_",5),"")</f>
        <v/>
      </c>
    </row>
    <row r="134" spans="1:22" ht="16.5" thickTop="1" thickBot="1" x14ac:dyDescent="0.3">
      <c r="A134" s="46"/>
      <c r="B134" s="54" t="s">
        <v>3893</v>
      </c>
      <c r="C134" s="47" t="s">
        <v>662</v>
      </c>
      <c r="D134" s="47" t="s">
        <v>662</v>
      </c>
      <c r="E134" s="47" t="s">
        <v>665</v>
      </c>
      <c r="F134" s="48">
        <v>46</v>
      </c>
      <c r="G134" s="47"/>
      <c r="H134" s="47"/>
      <c r="I134" s="47" t="s">
        <v>664</v>
      </c>
      <c r="J134" s="49">
        <v>45913</v>
      </c>
      <c r="K134" s="47" t="str">
        <f>INDEX(_xlfn.TEXTSPLIT(mouvementmp[[#This Row],[QR MP]],"_"),1,1)</f>
        <v>C27</v>
      </c>
      <c r="L134" s="47" t="str">
        <f>INDEX(_xlfn.TEXTSPLIT(mouvementmp[[#This Row],[QR MP]],"_"),1,2)</f>
        <v>ROUGE BORDEAU</v>
      </c>
      <c r="M134" s="47" t="str">
        <f>INDEX(_xlfn.TEXTSPLIT(mouvementmp[[#This Row],[QR MP]],"_"),1,3)</f>
        <v>NM07/2-27.00</v>
      </c>
      <c r="N134" s="47" t="str">
        <f>INDEX(_xlfn.TEXTSPLIT(mouvementmp[[#This Row],[QR MP]],"_"),1,4)</f>
        <v>60703</v>
      </c>
      <c r="O134" s="47">
        <f>-mouvementmp[[#This Row],[Poids]]</f>
        <v>-46</v>
      </c>
      <c r="P134" s="47" t="str">
        <f>IF(
   COUNTIFS($A$2:A134,A134,
             $B$2:B134,B134,
             $C$2:C134,C134,
             $D$2:D134,D134,
             $E$2:E134,E134,
             $F$2:F134,F134,
              $J$2:J134,J134)&gt;1,
   "Doublon",
   "Correcte"
)</f>
        <v>Correcte</v>
      </c>
      <c r="Q134" s="106" t="str">
        <f>IF(mouvementmp[[#This Row],[QR Fabrication]]&lt;&gt;"",INDEX(_xlfn.TEXTSPLIT(mouvementmp[[#This Row],[QR Fabrication]],"_"),1,1),"")</f>
        <v/>
      </c>
      <c r="R134" s="106" t="str">
        <f>IF(mouvementmp[[#This Row],[QR Fabrication]]&lt;&gt;"",INDEX(_xlfn.TEXTSPLIT(mouvementmp[[#This Row],[QR Fabrication]],"_"),1,2),"")</f>
        <v/>
      </c>
      <c r="S134" s="47" t="str">
        <f>IF(mouvementmp[[#This Row],[QR Fabrication]]&lt;&gt;"",INDEX(_xlfn.TEXTSPLIT(mouvementmp[[#This Row],[QR Fabrication]],"_"),1,3),"")</f>
        <v/>
      </c>
      <c r="T134" s="47" t="str">
        <f>IF(mouvementmp[[#This Row],[QR Fabrication]]&lt;&gt;"",INDEX(_xlfn.TEXTSPLIT(mouvementmp[[#This Row],[QR Fabrication]],"_"),1,4),"")</f>
        <v/>
      </c>
      <c r="U134" s="47" t="str">
        <f>IF(mouvementmp[[#This Row],[QR Fabrication]]&lt;&gt;"",INDEX(_xlfn.TEXTSPLIT(mouvementmp[[#This Row],[QR Fabrication]],"_"),1,5),"")</f>
        <v/>
      </c>
      <c r="V134" s="47" t="str">
        <f>IF(mouvementmp[[#This Row],[QR Fabrication]]&lt;&gt;"",_xlfn.TEXTAFTER(mouvementmp[[#This Row],[QR Fabrication]],"_",5),"")</f>
        <v/>
      </c>
    </row>
    <row r="135" spans="1:22" ht="16.5" thickTop="1" thickBot="1" x14ac:dyDescent="0.3">
      <c r="A135" s="46"/>
      <c r="B135" s="54" t="s">
        <v>3894</v>
      </c>
      <c r="C135" s="47" t="s">
        <v>662</v>
      </c>
      <c r="D135" s="47" t="s">
        <v>662</v>
      </c>
      <c r="E135" s="47" t="s">
        <v>667</v>
      </c>
      <c r="F135" s="48">
        <v>1067.5</v>
      </c>
      <c r="G135" s="47"/>
      <c r="H135" s="47"/>
      <c r="I135" s="47" t="s">
        <v>664</v>
      </c>
      <c r="J135" s="49">
        <v>45913</v>
      </c>
      <c r="K135" s="47" t="str">
        <f>INDEX(_xlfn.TEXTSPLIT(mouvementmp[[#This Row],[QR MP]],"_"),1,1)</f>
        <v>C27</v>
      </c>
      <c r="L135" s="47" t="str">
        <f>INDEX(_xlfn.TEXTSPLIT(mouvementmp[[#This Row],[QR MP]],"_"),1,2)</f>
        <v>ROUGE BORDEAU</v>
      </c>
      <c r="M135" s="47" t="str">
        <f>INDEX(_xlfn.TEXTSPLIT(mouvementmp[[#This Row],[QR MP]],"_"),1,3)</f>
        <v>NM15-27.00</v>
      </c>
      <c r="N135" s="47" t="str">
        <f>INDEX(_xlfn.TEXTSPLIT(mouvementmp[[#This Row],[QR MP]],"_"),1,4)</f>
        <v>61518</v>
      </c>
      <c r="O135" s="47">
        <f>-mouvementmp[[#This Row],[Poids]]</f>
        <v>-1067.5</v>
      </c>
      <c r="P135" s="47" t="str">
        <f>IF(
   COUNTIFS($A$2:A135,A135,
             $B$2:B135,B135,
             $C$2:C135,C135,
             $D$2:D135,D135,
             $E$2:E135,E135,
             $F$2:F135,F135,
              $J$2:J135,J135)&gt;1,
   "Doublon",
   "Correcte"
)</f>
        <v>Correcte</v>
      </c>
      <c r="Q135" s="106" t="str">
        <f>IF(mouvementmp[[#This Row],[QR Fabrication]]&lt;&gt;"",INDEX(_xlfn.TEXTSPLIT(mouvementmp[[#This Row],[QR Fabrication]],"_"),1,1),"")</f>
        <v/>
      </c>
      <c r="R135" s="106" t="str">
        <f>IF(mouvementmp[[#This Row],[QR Fabrication]]&lt;&gt;"",INDEX(_xlfn.TEXTSPLIT(mouvementmp[[#This Row],[QR Fabrication]],"_"),1,2),"")</f>
        <v/>
      </c>
      <c r="S135" s="47" t="str">
        <f>IF(mouvementmp[[#This Row],[QR Fabrication]]&lt;&gt;"",INDEX(_xlfn.TEXTSPLIT(mouvementmp[[#This Row],[QR Fabrication]],"_"),1,3),"")</f>
        <v/>
      </c>
      <c r="T135" s="47" t="str">
        <f>IF(mouvementmp[[#This Row],[QR Fabrication]]&lt;&gt;"",INDEX(_xlfn.TEXTSPLIT(mouvementmp[[#This Row],[QR Fabrication]],"_"),1,4),"")</f>
        <v/>
      </c>
      <c r="U135" s="47" t="str">
        <f>IF(mouvementmp[[#This Row],[QR Fabrication]]&lt;&gt;"",INDEX(_xlfn.TEXTSPLIT(mouvementmp[[#This Row],[QR Fabrication]],"_"),1,5),"")</f>
        <v/>
      </c>
      <c r="V135" s="47" t="str">
        <f>IF(mouvementmp[[#This Row],[QR Fabrication]]&lt;&gt;"",_xlfn.TEXTAFTER(mouvementmp[[#This Row],[QR Fabrication]],"_",5),"")</f>
        <v/>
      </c>
    </row>
    <row r="136" spans="1:22" ht="16.5" thickTop="1" thickBot="1" x14ac:dyDescent="0.3">
      <c r="A136" s="46"/>
      <c r="B136" s="54" t="s">
        <v>3894</v>
      </c>
      <c r="C136" s="47" t="s">
        <v>662</v>
      </c>
      <c r="D136" s="47" t="s">
        <v>662</v>
      </c>
      <c r="E136" s="47" t="s">
        <v>665</v>
      </c>
      <c r="F136" s="48">
        <v>3.5</v>
      </c>
      <c r="G136" s="47"/>
      <c r="H136" s="47"/>
      <c r="I136" s="47" t="s">
        <v>664</v>
      </c>
      <c r="J136" s="49">
        <v>45913</v>
      </c>
      <c r="K136" s="47" t="str">
        <f>INDEX(_xlfn.TEXTSPLIT(mouvementmp[[#This Row],[QR MP]],"_"),1,1)</f>
        <v>C27</v>
      </c>
      <c r="L136" s="47" t="str">
        <f>INDEX(_xlfn.TEXTSPLIT(mouvementmp[[#This Row],[QR MP]],"_"),1,2)</f>
        <v>ROUGE BORDEAU</v>
      </c>
      <c r="M136" s="47" t="str">
        <f>INDEX(_xlfn.TEXTSPLIT(mouvementmp[[#This Row],[QR MP]],"_"),1,3)</f>
        <v>NM15-27.00</v>
      </c>
      <c r="N136" s="47" t="str">
        <f>INDEX(_xlfn.TEXTSPLIT(mouvementmp[[#This Row],[QR MP]],"_"),1,4)</f>
        <v>61518</v>
      </c>
      <c r="O136" s="47">
        <f>-mouvementmp[[#This Row],[Poids]]</f>
        <v>-3.5</v>
      </c>
      <c r="P136" s="47" t="str">
        <f>IF(
   COUNTIFS($A$2:A136,A136,
             $B$2:B136,B136,
             $C$2:C136,C136,
             $D$2:D136,D136,
             $E$2:E136,E136,
             $F$2:F136,F136,
              $J$2:J136,J136)&gt;1,
   "Doublon",
   "Correcte"
)</f>
        <v>Correcte</v>
      </c>
      <c r="Q136" s="106" t="str">
        <f>IF(mouvementmp[[#This Row],[QR Fabrication]]&lt;&gt;"",INDEX(_xlfn.TEXTSPLIT(mouvementmp[[#This Row],[QR Fabrication]],"_"),1,1),"")</f>
        <v/>
      </c>
      <c r="R136" s="106" t="str">
        <f>IF(mouvementmp[[#This Row],[QR Fabrication]]&lt;&gt;"",INDEX(_xlfn.TEXTSPLIT(mouvementmp[[#This Row],[QR Fabrication]],"_"),1,2),"")</f>
        <v/>
      </c>
      <c r="S136" s="47" t="str">
        <f>IF(mouvementmp[[#This Row],[QR Fabrication]]&lt;&gt;"",INDEX(_xlfn.TEXTSPLIT(mouvementmp[[#This Row],[QR Fabrication]],"_"),1,3),"")</f>
        <v/>
      </c>
      <c r="T136" s="47" t="str">
        <f>IF(mouvementmp[[#This Row],[QR Fabrication]]&lt;&gt;"",INDEX(_xlfn.TEXTSPLIT(mouvementmp[[#This Row],[QR Fabrication]],"_"),1,4),"")</f>
        <v/>
      </c>
      <c r="U136" s="47" t="str">
        <f>IF(mouvementmp[[#This Row],[QR Fabrication]]&lt;&gt;"",INDEX(_xlfn.TEXTSPLIT(mouvementmp[[#This Row],[QR Fabrication]],"_"),1,5),"")</f>
        <v/>
      </c>
      <c r="V136" s="47" t="str">
        <f>IF(mouvementmp[[#This Row],[QR Fabrication]]&lt;&gt;"",_xlfn.TEXTAFTER(mouvementmp[[#This Row],[QR Fabrication]],"_",5),"")</f>
        <v/>
      </c>
    </row>
    <row r="137" spans="1:22" ht="16.5" thickTop="1" thickBot="1" x14ac:dyDescent="0.3">
      <c r="A137" s="46"/>
      <c r="B137" s="54" t="s">
        <v>3895</v>
      </c>
      <c r="C137" s="47" t="s">
        <v>662</v>
      </c>
      <c r="D137" s="47" t="s">
        <v>662</v>
      </c>
      <c r="E137" s="47" t="s">
        <v>667</v>
      </c>
      <c r="F137" s="48">
        <v>2002</v>
      </c>
      <c r="G137" s="47"/>
      <c r="H137" s="47"/>
      <c r="I137" s="47" t="s">
        <v>664</v>
      </c>
      <c r="J137" s="49">
        <v>45913</v>
      </c>
      <c r="K137" s="47" t="str">
        <f>INDEX(_xlfn.TEXTSPLIT(mouvementmp[[#This Row],[QR MP]],"_"),1,1)</f>
        <v>C27</v>
      </c>
      <c r="L137" s="47" t="str">
        <f>INDEX(_xlfn.TEXTSPLIT(mouvementmp[[#This Row],[QR MP]],"_"),1,2)</f>
        <v>ROUGE BORDEAU</v>
      </c>
      <c r="M137" s="47" t="str">
        <f>INDEX(_xlfn.TEXTSPLIT(mouvementmp[[#This Row],[QR MP]],"_"),1,3)</f>
        <v>NM15-27.01</v>
      </c>
      <c r="N137" s="47" t="str">
        <f>INDEX(_xlfn.TEXTSPLIT(mouvementmp[[#This Row],[QR MP]],"_"),1,4)</f>
        <v>S2022</v>
      </c>
      <c r="O137" s="47">
        <f>-mouvementmp[[#This Row],[Poids]]</f>
        <v>-2002</v>
      </c>
      <c r="P137" s="47" t="str">
        <f>IF(
   COUNTIFS($A$2:A137,A137,
             $B$2:B137,B137,
             $C$2:C137,C137,
             $D$2:D137,D137,
             $E$2:E137,E137,
             $F$2:F137,F137,
              $J$2:J137,J137)&gt;1,
   "Doublon",
   "Correcte"
)</f>
        <v>Correcte</v>
      </c>
      <c r="Q137" s="106" t="str">
        <f>IF(mouvementmp[[#This Row],[QR Fabrication]]&lt;&gt;"",INDEX(_xlfn.TEXTSPLIT(mouvementmp[[#This Row],[QR Fabrication]],"_"),1,1),"")</f>
        <v/>
      </c>
      <c r="R137" s="106" t="str">
        <f>IF(mouvementmp[[#This Row],[QR Fabrication]]&lt;&gt;"",INDEX(_xlfn.TEXTSPLIT(mouvementmp[[#This Row],[QR Fabrication]],"_"),1,2),"")</f>
        <v/>
      </c>
      <c r="S137" s="47" t="str">
        <f>IF(mouvementmp[[#This Row],[QR Fabrication]]&lt;&gt;"",INDEX(_xlfn.TEXTSPLIT(mouvementmp[[#This Row],[QR Fabrication]],"_"),1,3),"")</f>
        <v/>
      </c>
      <c r="T137" s="47" t="str">
        <f>IF(mouvementmp[[#This Row],[QR Fabrication]]&lt;&gt;"",INDEX(_xlfn.TEXTSPLIT(mouvementmp[[#This Row],[QR Fabrication]],"_"),1,4),"")</f>
        <v/>
      </c>
      <c r="U137" s="47" t="str">
        <f>IF(mouvementmp[[#This Row],[QR Fabrication]]&lt;&gt;"",INDEX(_xlfn.TEXTSPLIT(mouvementmp[[#This Row],[QR Fabrication]],"_"),1,5),"")</f>
        <v/>
      </c>
      <c r="V137" s="47" t="str">
        <f>IF(mouvementmp[[#This Row],[QR Fabrication]]&lt;&gt;"",_xlfn.TEXTAFTER(mouvementmp[[#This Row],[QR Fabrication]],"_",5),"")</f>
        <v/>
      </c>
    </row>
    <row r="138" spans="1:22" ht="16.5" thickTop="1" thickBot="1" x14ac:dyDescent="0.3">
      <c r="A138" s="46"/>
      <c r="B138" s="54" t="s">
        <v>3895</v>
      </c>
      <c r="C138" s="47" t="s">
        <v>662</v>
      </c>
      <c r="D138" s="47" t="s">
        <v>662</v>
      </c>
      <c r="E138" s="47" t="s">
        <v>665</v>
      </c>
      <c r="F138" s="48">
        <v>272</v>
      </c>
      <c r="G138" s="47"/>
      <c r="H138" s="47"/>
      <c r="I138" s="47" t="s">
        <v>664</v>
      </c>
      <c r="J138" s="49">
        <v>45913</v>
      </c>
      <c r="K138" s="47" t="str">
        <f>INDEX(_xlfn.TEXTSPLIT(mouvementmp[[#This Row],[QR MP]],"_"),1,1)</f>
        <v>C27</v>
      </c>
      <c r="L138" s="47" t="str">
        <f>INDEX(_xlfn.TEXTSPLIT(mouvementmp[[#This Row],[QR MP]],"_"),1,2)</f>
        <v>ROUGE BORDEAU</v>
      </c>
      <c r="M138" s="47" t="str">
        <f>INDEX(_xlfn.TEXTSPLIT(mouvementmp[[#This Row],[QR MP]],"_"),1,3)</f>
        <v>NM15-27.01</v>
      </c>
      <c r="N138" s="47" t="str">
        <f>INDEX(_xlfn.TEXTSPLIT(mouvementmp[[#This Row],[QR MP]],"_"),1,4)</f>
        <v>S2022</v>
      </c>
      <c r="O138" s="47">
        <f>-mouvementmp[[#This Row],[Poids]]</f>
        <v>-272</v>
      </c>
      <c r="P138" s="47" t="str">
        <f>IF(
   COUNTIFS($A$2:A138,A138,
             $B$2:B138,B138,
             $C$2:C138,C138,
             $D$2:D138,D138,
             $E$2:E138,E138,
             $F$2:F138,F138,
              $J$2:J138,J138)&gt;1,
   "Doublon",
   "Correcte"
)</f>
        <v>Correcte</v>
      </c>
      <c r="Q138" s="106" t="str">
        <f>IF(mouvementmp[[#This Row],[QR Fabrication]]&lt;&gt;"",INDEX(_xlfn.TEXTSPLIT(mouvementmp[[#This Row],[QR Fabrication]],"_"),1,1),"")</f>
        <v/>
      </c>
      <c r="R138" s="106" t="str">
        <f>IF(mouvementmp[[#This Row],[QR Fabrication]]&lt;&gt;"",INDEX(_xlfn.TEXTSPLIT(mouvementmp[[#This Row],[QR Fabrication]],"_"),1,2),"")</f>
        <v/>
      </c>
      <c r="S138" s="47" t="str">
        <f>IF(mouvementmp[[#This Row],[QR Fabrication]]&lt;&gt;"",INDEX(_xlfn.TEXTSPLIT(mouvementmp[[#This Row],[QR Fabrication]],"_"),1,3),"")</f>
        <v/>
      </c>
      <c r="T138" s="47" t="str">
        <f>IF(mouvementmp[[#This Row],[QR Fabrication]]&lt;&gt;"",INDEX(_xlfn.TEXTSPLIT(mouvementmp[[#This Row],[QR Fabrication]],"_"),1,4),"")</f>
        <v/>
      </c>
      <c r="U138" s="47" t="str">
        <f>IF(mouvementmp[[#This Row],[QR Fabrication]]&lt;&gt;"",INDEX(_xlfn.TEXTSPLIT(mouvementmp[[#This Row],[QR Fabrication]],"_"),1,5),"")</f>
        <v/>
      </c>
      <c r="V138" s="47" t="str">
        <f>IF(mouvementmp[[#This Row],[QR Fabrication]]&lt;&gt;"",_xlfn.TEXTAFTER(mouvementmp[[#This Row],[QR Fabrication]],"_",5),"")</f>
        <v/>
      </c>
    </row>
    <row r="139" spans="1:22" ht="16.5" thickTop="1" thickBot="1" x14ac:dyDescent="0.3">
      <c r="A139" s="46"/>
      <c r="B139" s="54" t="s">
        <v>3896</v>
      </c>
      <c r="C139" s="47" t="s">
        <v>662</v>
      </c>
      <c r="D139" s="47" t="s">
        <v>662</v>
      </c>
      <c r="E139" s="47" t="s">
        <v>665</v>
      </c>
      <c r="F139" s="48">
        <v>112</v>
      </c>
      <c r="G139" s="47"/>
      <c r="H139" s="47"/>
      <c r="I139" s="47" t="s">
        <v>664</v>
      </c>
      <c r="J139" s="49">
        <v>45913</v>
      </c>
      <c r="K139" s="47" t="str">
        <f>INDEX(_xlfn.TEXTSPLIT(mouvementmp[[#This Row],[QR MP]],"_"),1,1)</f>
        <v>C28</v>
      </c>
      <c r="L139" s="47" t="str">
        <f>INDEX(_xlfn.TEXTSPLIT(mouvementmp[[#This Row],[QR MP]],"_"),1,2)</f>
        <v>FRAMBOISE</v>
      </c>
      <c r="M139" s="47" t="str">
        <f>INDEX(_xlfn.TEXTSPLIT(mouvementmp[[#This Row],[QR MP]],"_"),1,3)</f>
        <v>NM15-28.00</v>
      </c>
      <c r="N139" s="47" t="str">
        <f>INDEX(_xlfn.TEXTSPLIT(mouvementmp[[#This Row],[QR MP]],"_"),1,4)</f>
        <v>S2022</v>
      </c>
      <c r="O139" s="47">
        <f>-mouvementmp[[#This Row],[Poids]]</f>
        <v>-112</v>
      </c>
      <c r="P139" s="47" t="str">
        <f>IF(
   COUNTIFS($A$2:A139,A139,
             $B$2:B139,B139,
             $C$2:C139,C139,
             $D$2:D139,D139,
             $E$2:E139,E139,
             $F$2:F139,F139,
              $J$2:J139,J139)&gt;1,
   "Doublon",
   "Correcte"
)</f>
        <v>Correcte</v>
      </c>
      <c r="Q139" s="106" t="str">
        <f>IF(mouvementmp[[#This Row],[QR Fabrication]]&lt;&gt;"",INDEX(_xlfn.TEXTSPLIT(mouvementmp[[#This Row],[QR Fabrication]],"_"),1,1),"")</f>
        <v/>
      </c>
      <c r="R139" s="106" t="str">
        <f>IF(mouvementmp[[#This Row],[QR Fabrication]]&lt;&gt;"",INDEX(_xlfn.TEXTSPLIT(mouvementmp[[#This Row],[QR Fabrication]],"_"),1,2),"")</f>
        <v/>
      </c>
      <c r="S139" s="47" t="str">
        <f>IF(mouvementmp[[#This Row],[QR Fabrication]]&lt;&gt;"",INDEX(_xlfn.TEXTSPLIT(mouvementmp[[#This Row],[QR Fabrication]],"_"),1,3),"")</f>
        <v/>
      </c>
      <c r="T139" s="47" t="str">
        <f>IF(mouvementmp[[#This Row],[QR Fabrication]]&lt;&gt;"",INDEX(_xlfn.TEXTSPLIT(mouvementmp[[#This Row],[QR Fabrication]],"_"),1,4),"")</f>
        <v/>
      </c>
      <c r="U139" s="47" t="str">
        <f>IF(mouvementmp[[#This Row],[QR Fabrication]]&lt;&gt;"",INDEX(_xlfn.TEXTSPLIT(mouvementmp[[#This Row],[QR Fabrication]],"_"),1,5),"")</f>
        <v/>
      </c>
      <c r="V139" s="47" t="str">
        <f>IF(mouvementmp[[#This Row],[QR Fabrication]]&lt;&gt;"",_xlfn.TEXTAFTER(mouvementmp[[#This Row],[QR Fabrication]],"_",5),"")</f>
        <v/>
      </c>
    </row>
    <row r="140" spans="1:22" ht="16.5" thickTop="1" thickBot="1" x14ac:dyDescent="0.3">
      <c r="A140" s="46"/>
      <c r="B140" s="54" t="s">
        <v>3897</v>
      </c>
      <c r="C140" s="47" t="s">
        <v>662</v>
      </c>
      <c r="D140" s="47" t="s">
        <v>662</v>
      </c>
      <c r="E140" s="47" t="s">
        <v>667</v>
      </c>
      <c r="F140" s="48">
        <v>1501.5</v>
      </c>
      <c r="G140" s="47"/>
      <c r="H140" s="47"/>
      <c r="I140" s="47" t="s">
        <v>664</v>
      </c>
      <c r="J140" s="49">
        <v>45913</v>
      </c>
      <c r="K140" s="47" t="str">
        <f>INDEX(_xlfn.TEXTSPLIT(mouvementmp[[#This Row],[QR MP]],"_"),1,1)</f>
        <v>C28</v>
      </c>
      <c r="L140" s="47" t="str">
        <f>INDEX(_xlfn.TEXTSPLIT(mouvementmp[[#This Row],[QR MP]],"_"),1,2)</f>
        <v>FRAMBOISE</v>
      </c>
      <c r="M140" s="47" t="str">
        <f>INDEX(_xlfn.TEXTSPLIT(mouvementmp[[#This Row],[QR MP]],"_"),1,3)</f>
        <v>NM15-28.01</v>
      </c>
      <c r="N140" s="47" t="str">
        <f>INDEX(_xlfn.TEXTSPLIT(mouvementmp[[#This Row],[QR MP]],"_"),1,4)</f>
        <v>61639</v>
      </c>
      <c r="O140" s="47">
        <f>-mouvementmp[[#This Row],[Poids]]</f>
        <v>-1501.5</v>
      </c>
      <c r="P140" s="47" t="str">
        <f>IF(
   COUNTIFS($A$2:A140,A140,
             $B$2:B140,B140,
             $C$2:C140,C140,
             $D$2:D140,D140,
             $E$2:E140,E140,
             $F$2:F140,F140,
              $J$2:J140,J140)&gt;1,
   "Doublon",
   "Correcte"
)</f>
        <v>Correcte</v>
      </c>
      <c r="Q140" s="106" t="str">
        <f>IF(mouvementmp[[#This Row],[QR Fabrication]]&lt;&gt;"",INDEX(_xlfn.TEXTSPLIT(mouvementmp[[#This Row],[QR Fabrication]],"_"),1,1),"")</f>
        <v/>
      </c>
      <c r="R140" s="106" t="str">
        <f>IF(mouvementmp[[#This Row],[QR Fabrication]]&lt;&gt;"",INDEX(_xlfn.TEXTSPLIT(mouvementmp[[#This Row],[QR Fabrication]],"_"),1,2),"")</f>
        <v/>
      </c>
      <c r="S140" s="47" t="str">
        <f>IF(mouvementmp[[#This Row],[QR Fabrication]]&lt;&gt;"",INDEX(_xlfn.TEXTSPLIT(mouvementmp[[#This Row],[QR Fabrication]],"_"),1,3),"")</f>
        <v/>
      </c>
      <c r="T140" s="47" t="str">
        <f>IF(mouvementmp[[#This Row],[QR Fabrication]]&lt;&gt;"",INDEX(_xlfn.TEXTSPLIT(mouvementmp[[#This Row],[QR Fabrication]],"_"),1,4),"")</f>
        <v/>
      </c>
      <c r="U140" s="47" t="str">
        <f>IF(mouvementmp[[#This Row],[QR Fabrication]]&lt;&gt;"",INDEX(_xlfn.TEXTSPLIT(mouvementmp[[#This Row],[QR Fabrication]],"_"),1,5),"")</f>
        <v/>
      </c>
      <c r="V140" s="47" t="str">
        <f>IF(mouvementmp[[#This Row],[QR Fabrication]]&lt;&gt;"",_xlfn.TEXTAFTER(mouvementmp[[#This Row],[QR Fabrication]],"_",5),"")</f>
        <v/>
      </c>
    </row>
    <row r="141" spans="1:22" ht="16.5" thickTop="1" thickBot="1" x14ac:dyDescent="0.3">
      <c r="A141" s="46"/>
      <c r="B141" s="54" t="s">
        <v>3897</v>
      </c>
      <c r="C141" s="47" t="s">
        <v>662</v>
      </c>
      <c r="D141" s="47" t="s">
        <v>662</v>
      </c>
      <c r="E141" s="47" t="s">
        <v>665</v>
      </c>
      <c r="F141" s="48">
        <v>386</v>
      </c>
      <c r="G141" s="47"/>
      <c r="H141" s="47"/>
      <c r="I141" s="47" t="s">
        <v>664</v>
      </c>
      <c r="J141" s="49">
        <v>45913</v>
      </c>
      <c r="K141" s="47" t="str">
        <f>INDEX(_xlfn.TEXTSPLIT(mouvementmp[[#This Row],[QR MP]],"_"),1,1)</f>
        <v>C28</v>
      </c>
      <c r="L141" s="47" t="str">
        <f>INDEX(_xlfn.TEXTSPLIT(mouvementmp[[#This Row],[QR MP]],"_"),1,2)</f>
        <v>FRAMBOISE</v>
      </c>
      <c r="M141" s="47" t="str">
        <f>INDEX(_xlfn.TEXTSPLIT(mouvementmp[[#This Row],[QR MP]],"_"),1,3)</f>
        <v>NM15-28.01</v>
      </c>
      <c r="N141" s="47" t="str">
        <f>INDEX(_xlfn.TEXTSPLIT(mouvementmp[[#This Row],[QR MP]],"_"),1,4)</f>
        <v>61639</v>
      </c>
      <c r="O141" s="47">
        <f>-mouvementmp[[#This Row],[Poids]]</f>
        <v>-386</v>
      </c>
      <c r="P141" s="47" t="str">
        <f>IF(
   COUNTIFS($A$2:A141,A141,
             $B$2:B141,B141,
             $C$2:C141,C141,
             $D$2:D141,D141,
             $E$2:E141,E141,
             $F$2:F141,F141,
              $J$2:J141,J141)&gt;1,
   "Doublon",
   "Correcte"
)</f>
        <v>Correcte</v>
      </c>
      <c r="Q141" s="106" t="str">
        <f>IF(mouvementmp[[#This Row],[QR Fabrication]]&lt;&gt;"",INDEX(_xlfn.TEXTSPLIT(mouvementmp[[#This Row],[QR Fabrication]],"_"),1,1),"")</f>
        <v/>
      </c>
      <c r="R141" s="106" t="str">
        <f>IF(mouvementmp[[#This Row],[QR Fabrication]]&lt;&gt;"",INDEX(_xlfn.TEXTSPLIT(mouvementmp[[#This Row],[QR Fabrication]],"_"),1,2),"")</f>
        <v/>
      </c>
      <c r="S141" s="47" t="str">
        <f>IF(mouvementmp[[#This Row],[QR Fabrication]]&lt;&gt;"",INDEX(_xlfn.TEXTSPLIT(mouvementmp[[#This Row],[QR Fabrication]],"_"),1,3),"")</f>
        <v/>
      </c>
      <c r="T141" s="47" t="str">
        <f>IF(mouvementmp[[#This Row],[QR Fabrication]]&lt;&gt;"",INDEX(_xlfn.TEXTSPLIT(mouvementmp[[#This Row],[QR Fabrication]],"_"),1,4),"")</f>
        <v/>
      </c>
      <c r="U141" s="47" t="str">
        <f>IF(mouvementmp[[#This Row],[QR Fabrication]]&lt;&gt;"",INDEX(_xlfn.TEXTSPLIT(mouvementmp[[#This Row],[QR Fabrication]],"_"),1,5),"")</f>
        <v/>
      </c>
      <c r="V141" s="47" t="str">
        <f>IF(mouvementmp[[#This Row],[QR Fabrication]]&lt;&gt;"",_xlfn.TEXTAFTER(mouvementmp[[#This Row],[QR Fabrication]],"_",5),"")</f>
        <v/>
      </c>
    </row>
    <row r="142" spans="1:22" ht="16.5" thickTop="1" thickBot="1" x14ac:dyDescent="0.3">
      <c r="A142" s="46"/>
      <c r="B142" s="54" t="s">
        <v>3898</v>
      </c>
      <c r="C142" s="47" t="s">
        <v>662</v>
      </c>
      <c r="D142" s="47" t="s">
        <v>662</v>
      </c>
      <c r="E142" s="47" t="s">
        <v>667</v>
      </c>
      <c r="F142" s="48">
        <v>298</v>
      </c>
      <c r="G142" s="47"/>
      <c r="H142" s="47"/>
      <c r="I142" s="47" t="s">
        <v>664</v>
      </c>
      <c r="J142" s="49">
        <v>45913</v>
      </c>
      <c r="K142" s="47" t="str">
        <f>INDEX(_xlfn.TEXTSPLIT(mouvementmp[[#This Row],[QR MP]],"_"),1,1)</f>
        <v>C29</v>
      </c>
      <c r="L142" s="47" t="str">
        <f>INDEX(_xlfn.TEXTSPLIT(mouvementmp[[#This Row],[QR MP]],"_"),1,2)</f>
        <v>FUSHIA</v>
      </c>
      <c r="M142" s="47" t="str">
        <f>INDEX(_xlfn.TEXTSPLIT(mouvementmp[[#This Row],[QR MP]],"_"),1,3)</f>
        <v>NM15-29.00</v>
      </c>
      <c r="N142" s="47" t="str">
        <f>INDEX(_xlfn.TEXTSPLIT(mouvementmp[[#This Row],[QR MP]],"_"),1,4)</f>
        <v>61549</v>
      </c>
      <c r="O142" s="47">
        <f>-mouvementmp[[#This Row],[Poids]]</f>
        <v>-298</v>
      </c>
      <c r="P142" s="47" t="str">
        <f>IF(
   COUNTIFS($A$2:A142,A142,
             $B$2:B142,B142,
             $C$2:C142,C142,
             $D$2:D142,D142,
             $E$2:E142,E142,
             $F$2:F142,F142,
              $J$2:J142,J142)&gt;1,
   "Doublon",
   "Correcte"
)</f>
        <v>Correcte</v>
      </c>
      <c r="Q142" s="106" t="str">
        <f>IF(mouvementmp[[#This Row],[QR Fabrication]]&lt;&gt;"",INDEX(_xlfn.TEXTSPLIT(mouvementmp[[#This Row],[QR Fabrication]],"_"),1,1),"")</f>
        <v/>
      </c>
      <c r="R142" s="106" t="str">
        <f>IF(mouvementmp[[#This Row],[QR Fabrication]]&lt;&gt;"",INDEX(_xlfn.TEXTSPLIT(mouvementmp[[#This Row],[QR Fabrication]],"_"),1,2),"")</f>
        <v/>
      </c>
      <c r="S142" s="47" t="str">
        <f>IF(mouvementmp[[#This Row],[QR Fabrication]]&lt;&gt;"",INDEX(_xlfn.TEXTSPLIT(mouvementmp[[#This Row],[QR Fabrication]],"_"),1,3),"")</f>
        <v/>
      </c>
      <c r="T142" s="47" t="str">
        <f>IF(mouvementmp[[#This Row],[QR Fabrication]]&lt;&gt;"",INDEX(_xlfn.TEXTSPLIT(mouvementmp[[#This Row],[QR Fabrication]],"_"),1,4),"")</f>
        <v/>
      </c>
      <c r="U142" s="47" t="str">
        <f>IF(mouvementmp[[#This Row],[QR Fabrication]]&lt;&gt;"",INDEX(_xlfn.TEXTSPLIT(mouvementmp[[#This Row],[QR Fabrication]],"_"),1,5),"")</f>
        <v/>
      </c>
      <c r="V142" s="47" t="str">
        <f>IF(mouvementmp[[#This Row],[QR Fabrication]]&lt;&gt;"",_xlfn.TEXTAFTER(mouvementmp[[#This Row],[QR Fabrication]],"_",5),"")</f>
        <v/>
      </c>
    </row>
    <row r="143" spans="1:22" ht="16.5" thickTop="1" thickBot="1" x14ac:dyDescent="0.3">
      <c r="A143" s="46"/>
      <c r="B143" s="54" t="s">
        <v>3898</v>
      </c>
      <c r="C143" s="47" t="s">
        <v>662</v>
      </c>
      <c r="D143" s="47" t="s">
        <v>662</v>
      </c>
      <c r="E143" s="47" t="s">
        <v>665</v>
      </c>
      <c r="F143" s="48">
        <v>457</v>
      </c>
      <c r="G143" s="47"/>
      <c r="H143" s="47"/>
      <c r="I143" s="47" t="s">
        <v>664</v>
      </c>
      <c r="J143" s="49">
        <v>45913</v>
      </c>
      <c r="K143" s="47" t="str">
        <f>INDEX(_xlfn.TEXTSPLIT(mouvementmp[[#This Row],[QR MP]],"_"),1,1)</f>
        <v>C29</v>
      </c>
      <c r="L143" s="47" t="str">
        <f>INDEX(_xlfn.TEXTSPLIT(mouvementmp[[#This Row],[QR MP]],"_"),1,2)</f>
        <v>FUSHIA</v>
      </c>
      <c r="M143" s="47" t="str">
        <f>INDEX(_xlfn.TEXTSPLIT(mouvementmp[[#This Row],[QR MP]],"_"),1,3)</f>
        <v>NM15-29.00</v>
      </c>
      <c r="N143" s="47" t="str">
        <f>INDEX(_xlfn.TEXTSPLIT(mouvementmp[[#This Row],[QR MP]],"_"),1,4)</f>
        <v>61549</v>
      </c>
      <c r="O143" s="47">
        <f>-mouvementmp[[#This Row],[Poids]]</f>
        <v>-457</v>
      </c>
      <c r="P143" s="47" t="str">
        <f>IF(
   COUNTIFS($A$2:A143,A143,
             $B$2:B143,B143,
             $C$2:C143,C143,
             $D$2:D143,D143,
             $E$2:E143,E143,
             $F$2:F143,F143,
              $J$2:J143,J143)&gt;1,
   "Doublon",
   "Correcte"
)</f>
        <v>Correcte</v>
      </c>
      <c r="Q143" s="106" t="str">
        <f>IF(mouvementmp[[#This Row],[QR Fabrication]]&lt;&gt;"",INDEX(_xlfn.TEXTSPLIT(mouvementmp[[#This Row],[QR Fabrication]],"_"),1,1),"")</f>
        <v/>
      </c>
      <c r="R143" s="106" t="str">
        <f>IF(mouvementmp[[#This Row],[QR Fabrication]]&lt;&gt;"",INDEX(_xlfn.TEXTSPLIT(mouvementmp[[#This Row],[QR Fabrication]],"_"),1,2),"")</f>
        <v/>
      </c>
      <c r="S143" s="47" t="str">
        <f>IF(mouvementmp[[#This Row],[QR Fabrication]]&lt;&gt;"",INDEX(_xlfn.TEXTSPLIT(mouvementmp[[#This Row],[QR Fabrication]],"_"),1,3),"")</f>
        <v/>
      </c>
      <c r="T143" s="47" t="str">
        <f>IF(mouvementmp[[#This Row],[QR Fabrication]]&lt;&gt;"",INDEX(_xlfn.TEXTSPLIT(mouvementmp[[#This Row],[QR Fabrication]],"_"),1,4),"")</f>
        <v/>
      </c>
      <c r="U143" s="47" t="str">
        <f>IF(mouvementmp[[#This Row],[QR Fabrication]]&lt;&gt;"",INDEX(_xlfn.TEXTSPLIT(mouvementmp[[#This Row],[QR Fabrication]],"_"),1,5),"")</f>
        <v/>
      </c>
      <c r="V143" s="47" t="str">
        <f>IF(mouvementmp[[#This Row],[QR Fabrication]]&lt;&gt;"",_xlfn.TEXTAFTER(mouvementmp[[#This Row],[QR Fabrication]],"_",5),"")</f>
        <v/>
      </c>
    </row>
    <row r="144" spans="1:22" ht="16.5" thickTop="1" thickBot="1" x14ac:dyDescent="0.3">
      <c r="A144" s="46"/>
      <c r="B144" s="54" t="s">
        <v>3899</v>
      </c>
      <c r="C144" s="47" t="s">
        <v>662</v>
      </c>
      <c r="D144" s="47" t="s">
        <v>662</v>
      </c>
      <c r="E144" s="47" t="s">
        <v>666</v>
      </c>
      <c r="F144" s="48">
        <v>1008</v>
      </c>
      <c r="G144" s="47"/>
      <c r="H144" s="47"/>
      <c r="I144" s="47" t="s">
        <v>664</v>
      </c>
      <c r="J144" s="49">
        <v>45913</v>
      </c>
      <c r="K144" s="47" t="str">
        <f>INDEX(_xlfn.TEXTSPLIT(mouvementmp[[#This Row],[QR MP]],"_"),1,1)</f>
        <v>C29</v>
      </c>
      <c r="L144" s="47" t="str">
        <f>INDEX(_xlfn.TEXTSPLIT(mouvementmp[[#This Row],[QR MP]],"_"),1,2)</f>
        <v>FUSHIA</v>
      </c>
      <c r="M144" s="47" t="str">
        <f>INDEX(_xlfn.TEXTSPLIT(mouvementmp[[#This Row],[QR MP]],"_"),1,3)</f>
        <v>NM15-29.01</v>
      </c>
      <c r="N144" s="47" t="str">
        <f>INDEX(_xlfn.TEXTSPLIT(mouvementmp[[#This Row],[QR MP]],"_"),1,4)</f>
        <v>S2023</v>
      </c>
      <c r="O144" s="47">
        <f>-mouvementmp[[#This Row],[Poids]]</f>
        <v>-1008</v>
      </c>
      <c r="P144" s="47" t="str">
        <f>IF(
   COUNTIFS($A$2:A144,A144,
             $B$2:B144,B144,
             $C$2:C144,C144,
             $D$2:D144,D144,
             $E$2:E144,E144,
             $F$2:F144,F144,
              $J$2:J144,J144)&gt;1,
   "Doublon",
   "Correcte"
)</f>
        <v>Correcte</v>
      </c>
      <c r="Q144" s="106" t="str">
        <f>IF(mouvementmp[[#This Row],[QR Fabrication]]&lt;&gt;"",INDEX(_xlfn.TEXTSPLIT(mouvementmp[[#This Row],[QR Fabrication]],"_"),1,1),"")</f>
        <v/>
      </c>
      <c r="R144" s="106" t="str">
        <f>IF(mouvementmp[[#This Row],[QR Fabrication]]&lt;&gt;"",INDEX(_xlfn.TEXTSPLIT(mouvementmp[[#This Row],[QR Fabrication]],"_"),1,2),"")</f>
        <v/>
      </c>
      <c r="S144" s="47" t="str">
        <f>IF(mouvementmp[[#This Row],[QR Fabrication]]&lt;&gt;"",INDEX(_xlfn.TEXTSPLIT(mouvementmp[[#This Row],[QR Fabrication]],"_"),1,3),"")</f>
        <v/>
      </c>
      <c r="T144" s="47" t="str">
        <f>IF(mouvementmp[[#This Row],[QR Fabrication]]&lt;&gt;"",INDEX(_xlfn.TEXTSPLIT(mouvementmp[[#This Row],[QR Fabrication]],"_"),1,4),"")</f>
        <v/>
      </c>
      <c r="U144" s="47" t="str">
        <f>IF(mouvementmp[[#This Row],[QR Fabrication]]&lt;&gt;"",INDEX(_xlfn.TEXTSPLIT(mouvementmp[[#This Row],[QR Fabrication]],"_"),1,5),"")</f>
        <v/>
      </c>
      <c r="V144" s="47" t="str">
        <f>IF(mouvementmp[[#This Row],[QR Fabrication]]&lt;&gt;"",_xlfn.TEXTAFTER(mouvementmp[[#This Row],[QR Fabrication]],"_",5),"")</f>
        <v/>
      </c>
    </row>
    <row r="145" spans="1:22" ht="16.5" thickTop="1" thickBot="1" x14ac:dyDescent="0.3">
      <c r="A145" s="46"/>
      <c r="B145" s="54" t="s">
        <v>3900</v>
      </c>
      <c r="C145" s="47" t="s">
        <v>662</v>
      </c>
      <c r="D145" s="47" t="s">
        <v>662</v>
      </c>
      <c r="E145" s="47" t="s">
        <v>665</v>
      </c>
      <c r="F145" s="48">
        <v>104</v>
      </c>
      <c r="G145" s="47"/>
      <c r="H145" s="47"/>
      <c r="I145" s="47" t="s">
        <v>664</v>
      </c>
      <c r="J145" s="49">
        <v>45913</v>
      </c>
      <c r="K145" s="47" t="str">
        <f>INDEX(_xlfn.TEXTSPLIT(mouvementmp[[#This Row],[QR MP]],"_"),1,1)</f>
        <v>C29</v>
      </c>
      <c r="L145" s="47" t="str">
        <f>INDEX(_xlfn.TEXTSPLIT(mouvementmp[[#This Row],[QR MP]],"_"),1,2)</f>
        <v>FUSHIA</v>
      </c>
      <c r="M145" s="47" t="str">
        <f>INDEX(_xlfn.TEXTSPLIT(mouvementmp[[#This Row],[QR MP]],"_"),1,3)</f>
        <v>NM20-29.01</v>
      </c>
      <c r="N145" s="47" t="str">
        <f>INDEX(_xlfn.TEXTSPLIT(mouvementmp[[#This Row],[QR MP]],"_"),1,4)</f>
        <v>S2023</v>
      </c>
      <c r="O145" s="47">
        <f>-mouvementmp[[#This Row],[Poids]]</f>
        <v>-104</v>
      </c>
      <c r="P145" s="47" t="str">
        <f>IF(
   COUNTIFS($A$2:A145,A145,
             $B$2:B145,B145,
             $C$2:C145,C145,
             $D$2:D145,D145,
             $E$2:E145,E145,
             $F$2:F145,F145,
              $J$2:J145,J145)&gt;1,
   "Doublon",
   "Correcte"
)</f>
        <v>Correcte</v>
      </c>
      <c r="Q145" s="106" t="str">
        <f>IF(mouvementmp[[#This Row],[QR Fabrication]]&lt;&gt;"",INDEX(_xlfn.TEXTSPLIT(mouvementmp[[#This Row],[QR Fabrication]],"_"),1,1),"")</f>
        <v/>
      </c>
      <c r="R145" s="106" t="str">
        <f>IF(mouvementmp[[#This Row],[QR Fabrication]]&lt;&gt;"",INDEX(_xlfn.TEXTSPLIT(mouvementmp[[#This Row],[QR Fabrication]],"_"),1,2),"")</f>
        <v/>
      </c>
      <c r="S145" s="47" t="str">
        <f>IF(mouvementmp[[#This Row],[QR Fabrication]]&lt;&gt;"",INDEX(_xlfn.TEXTSPLIT(mouvementmp[[#This Row],[QR Fabrication]],"_"),1,3),"")</f>
        <v/>
      </c>
      <c r="T145" s="47" t="str">
        <f>IF(mouvementmp[[#This Row],[QR Fabrication]]&lt;&gt;"",INDEX(_xlfn.TEXTSPLIT(mouvementmp[[#This Row],[QR Fabrication]],"_"),1,4),"")</f>
        <v/>
      </c>
      <c r="U145" s="47" t="str">
        <f>IF(mouvementmp[[#This Row],[QR Fabrication]]&lt;&gt;"",INDEX(_xlfn.TEXTSPLIT(mouvementmp[[#This Row],[QR Fabrication]],"_"),1,5),"")</f>
        <v/>
      </c>
      <c r="V145" s="47" t="str">
        <f>IF(mouvementmp[[#This Row],[QR Fabrication]]&lt;&gt;"",_xlfn.TEXTAFTER(mouvementmp[[#This Row],[QR Fabrication]],"_",5),"")</f>
        <v/>
      </c>
    </row>
    <row r="146" spans="1:22" ht="16.5" thickTop="1" thickBot="1" x14ac:dyDescent="0.3">
      <c r="A146" s="46"/>
      <c r="B146" s="54" t="s">
        <v>3901</v>
      </c>
      <c r="C146" s="47" t="s">
        <v>662</v>
      </c>
      <c r="D146" s="47" t="s">
        <v>662</v>
      </c>
      <c r="E146" s="47" t="s">
        <v>667</v>
      </c>
      <c r="F146" s="48">
        <v>269.5</v>
      </c>
      <c r="G146" s="47"/>
      <c r="H146" s="47"/>
      <c r="I146" s="47" t="s">
        <v>664</v>
      </c>
      <c r="J146" s="49">
        <v>45913</v>
      </c>
      <c r="K146" s="47" t="str">
        <f>INDEX(_xlfn.TEXTSPLIT(mouvementmp[[#This Row],[QR MP]],"_"),1,1)</f>
        <v>C30</v>
      </c>
      <c r="L146" s="47" t="str">
        <f>INDEX(_xlfn.TEXTSPLIT(mouvementmp[[#This Row],[QR MP]],"_"),1,2)</f>
        <v>PRALINE</v>
      </c>
      <c r="M146" s="47" t="str">
        <f>INDEX(_xlfn.TEXTSPLIT(mouvementmp[[#This Row],[QR MP]],"_"),1,3)</f>
        <v>NM15-30.00</v>
      </c>
      <c r="N146" s="47" t="str">
        <f>INDEX(_xlfn.TEXTSPLIT(mouvementmp[[#This Row],[QR MP]],"_"),1,4)</f>
        <v>61570</v>
      </c>
      <c r="O146" s="47">
        <f>-mouvementmp[[#This Row],[Poids]]</f>
        <v>-269.5</v>
      </c>
      <c r="P146" s="47" t="str">
        <f>IF(
   COUNTIFS($A$2:A146,A146,
             $B$2:B146,B146,
             $C$2:C146,C146,
             $D$2:D146,D146,
             $E$2:E146,E146,
             $F$2:F146,F146,
              $J$2:J146,J146)&gt;1,
   "Doublon",
   "Correcte"
)</f>
        <v>Correcte</v>
      </c>
      <c r="Q146" s="106" t="str">
        <f>IF(mouvementmp[[#This Row],[QR Fabrication]]&lt;&gt;"",INDEX(_xlfn.TEXTSPLIT(mouvementmp[[#This Row],[QR Fabrication]],"_"),1,1),"")</f>
        <v/>
      </c>
      <c r="R146" s="106" t="str">
        <f>IF(mouvementmp[[#This Row],[QR Fabrication]]&lt;&gt;"",INDEX(_xlfn.TEXTSPLIT(mouvementmp[[#This Row],[QR Fabrication]],"_"),1,2),"")</f>
        <v/>
      </c>
      <c r="S146" s="47" t="str">
        <f>IF(mouvementmp[[#This Row],[QR Fabrication]]&lt;&gt;"",INDEX(_xlfn.TEXTSPLIT(mouvementmp[[#This Row],[QR Fabrication]],"_"),1,3),"")</f>
        <v/>
      </c>
      <c r="T146" s="47" t="str">
        <f>IF(mouvementmp[[#This Row],[QR Fabrication]]&lt;&gt;"",INDEX(_xlfn.TEXTSPLIT(mouvementmp[[#This Row],[QR Fabrication]],"_"),1,4),"")</f>
        <v/>
      </c>
      <c r="U146" s="47" t="str">
        <f>IF(mouvementmp[[#This Row],[QR Fabrication]]&lt;&gt;"",INDEX(_xlfn.TEXTSPLIT(mouvementmp[[#This Row],[QR Fabrication]],"_"),1,5),"")</f>
        <v/>
      </c>
      <c r="V146" s="47" t="str">
        <f>IF(mouvementmp[[#This Row],[QR Fabrication]]&lt;&gt;"",_xlfn.TEXTAFTER(mouvementmp[[#This Row],[QR Fabrication]],"_",5),"")</f>
        <v/>
      </c>
    </row>
    <row r="147" spans="1:22" ht="16.5" thickTop="1" thickBot="1" x14ac:dyDescent="0.3">
      <c r="A147" s="46"/>
      <c r="B147" s="54" t="s">
        <v>3901</v>
      </c>
      <c r="C147" s="47" t="s">
        <v>662</v>
      </c>
      <c r="D147" s="47" t="s">
        <v>662</v>
      </c>
      <c r="E147" s="47" t="s">
        <v>665</v>
      </c>
      <c r="F147" s="48">
        <v>81.900000000000006</v>
      </c>
      <c r="G147" s="47"/>
      <c r="H147" s="47"/>
      <c r="I147" s="47" t="s">
        <v>664</v>
      </c>
      <c r="J147" s="49">
        <v>45913</v>
      </c>
      <c r="K147" s="47" t="str">
        <f>INDEX(_xlfn.TEXTSPLIT(mouvementmp[[#This Row],[QR MP]],"_"),1,1)</f>
        <v>C30</v>
      </c>
      <c r="L147" s="47" t="str">
        <f>INDEX(_xlfn.TEXTSPLIT(mouvementmp[[#This Row],[QR MP]],"_"),1,2)</f>
        <v>PRALINE</v>
      </c>
      <c r="M147" s="47" t="str">
        <f>INDEX(_xlfn.TEXTSPLIT(mouvementmp[[#This Row],[QR MP]],"_"),1,3)</f>
        <v>NM15-30.00</v>
      </c>
      <c r="N147" s="47" t="str">
        <f>INDEX(_xlfn.TEXTSPLIT(mouvementmp[[#This Row],[QR MP]],"_"),1,4)</f>
        <v>61570</v>
      </c>
      <c r="O147" s="47">
        <f>-mouvementmp[[#This Row],[Poids]]</f>
        <v>-81.900000000000006</v>
      </c>
      <c r="P147" s="47" t="str">
        <f>IF(
   COUNTIFS($A$2:A147,A147,
             $B$2:B147,B147,
             $C$2:C147,C147,
             $D$2:D147,D147,
             $E$2:E147,E147,
             $F$2:F147,F147,
              $J$2:J147,J147)&gt;1,
   "Doublon",
   "Correcte"
)</f>
        <v>Correcte</v>
      </c>
      <c r="Q147" s="106" t="str">
        <f>IF(mouvementmp[[#This Row],[QR Fabrication]]&lt;&gt;"",INDEX(_xlfn.TEXTSPLIT(mouvementmp[[#This Row],[QR Fabrication]],"_"),1,1),"")</f>
        <v/>
      </c>
      <c r="R147" s="106" t="str">
        <f>IF(mouvementmp[[#This Row],[QR Fabrication]]&lt;&gt;"",INDEX(_xlfn.TEXTSPLIT(mouvementmp[[#This Row],[QR Fabrication]],"_"),1,2),"")</f>
        <v/>
      </c>
      <c r="S147" s="47" t="str">
        <f>IF(mouvementmp[[#This Row],[QR Fabrication]]&lt;&gt;"",INDEX(_xlfn.TEXTSPLIT(mouvementmp[[#This Row],[QR Fabrication]],"_"),1,3),"")</f>
        <v/>
      </c>
      <c r="T147" s="47" t="str">
        <f>IF(mouvementmp[[#This Row],[QR Fabrication]]&lt;&gt;"",INDEX(_xlfn.TEXTSPLIT(mouvementmp[[#This Row],[QR Fabrication]],"_"),1,4),"")</f>
        <v/>
      </c>
      <c r="U147" s="47" t="str">
        <f>IF(mouvementmp[[#This Row],[QR Fabrication]]&lt;&gt;"",INDEX(_xlfn.TEXTSPLIT(mouvementmp[[#This Row],[QR Fabrication]],"_"),1,5),"")</f>
        <v/>
      </c>
      <c r="V147" s="47" t="str">
        <f>IF(mouvementmp[[#This Row],[QR Fabrication]]&lt;&gt;"",_xlfn.TEXTAFTER(mouvementmp[[#This Row],[QR Fabrication]],"_",5),"")</f>
        <v/>
      </c>
    </row>
    <row r="148" spans="1:22" ht="16.5" thickTop="1" thickBot="1" x14ac:dyDescent="0.3">
      <c r="A148" s="46"/>
      <c r="B148" s="54" t="s">
        <v>3902</v>
      </c>
      <c r="C148" s="47" t="s">
        <v>662</v>
      </c>
      <c r="D148" s="47" t="s">
        <v>662</v>
      </c>
      <c r="E148" s="47" t="s">
        <v>667</v>
      </c>
      <c r="F148" s="48">
        <v>2380</v>
      </c>
      <c r="G148" s="47"/>
      <c r="H148" s="47"/>
      <c r="I148" s="47" t="s">
        <v>664</v>
      </c>
      <c r="J148" s="49">
        <v>45913</v>
      </c>
      <c r="K148" s="47" t="str">
        <f>INDEX(_xlfn.TEXTSPLIT(mouvementmp[[#This Row],[QR MP]],"_"),1,1)</f>
        <v>C31</v>
      </c>
      <c r="L148" s="47" t="str">
        <f>INDEX(_xlfn.TEXTSPLIT(mouvementmp[[#This Row],[QR MP]],"_"),1,2)</f>
        <v>SAUMON</v>
      </c>
      <c r="M148" s="47" t="str">
        <f>INDEX(_xlfn.TEXTSPLIT(mouvementmp[[#This Row],[QR MP]],"_"),1,3)</f>
        <v>NM15-31.00</v>
      </c>
      <c r="N148" s="47" t="str">
        <f>INDEX(_xlfn.TEXTSPLIT(mouvementmp[[#This Row],[QR MP]],"_"),1,4)</f>
        <v>61434</v>
      </c>
      <c r="O148" s="47">
        <f>-mouvementmp[[#This Row],[Poids]]</f>
        <v>-2380</v>
      </c>
      <c r="P148" s="47" t="str">
        <f>IF(
   COUNTIFS($A$2:A148,A148,
             $B$2:B148,B148,
             $C$2:C148,C148,
             $D$2:D148,D148,
             $E$2:E148,E148,
             $F$2:F148,F148,
              $J$2:J148,J148)&gt;1,
   "Doublon",
   "Correcte"
)</f>
        <v>Correcte</v>
      </c>
      <c r="Q148" s="106" t="str">
        <f>IF(mouvementmp[[#This Row],[QR Fabrication]]&lt;&gt;"",INDEX(_xlfn.TEXTSPLIT(mouvementmp[[#This Row],[QR Fabrication]],"_"),1,1),"")</f>
        <v/>
      </c>
      <c r="R148" s="106" t="str">
        <f>IF(mouvementmp[[#This Row],[QR Fabrication]]&lt;&gt;"",INDEX(_xlfn.TEXTSPLIT(mouvementmp[[#This Row],[QR Fabrication]],"_"),1,2),"")</f>
        <v/>
      </c>
      <c r="S148" s="47" t="str">
        <f>IF(mouvementmp[[#This Row],[QR Fabrication]]&lt;&gt;"",INDEX(_xlfn.TEXTSPLIT(mouvementmp[[#This Row],[QR Fabrication]],"_"),1,3),"")</f>
        <v/>
      </c>
      <c r="T148" s="47" t="str">
        <f>IF(mouvementmp[[#This Row],[QR Fabrication]]&lt;&gt;"",INDEX(_xlfn.TEXTSPLIT(mouvementmp[[#This Row],[QR Fabrication]],"_"),1,4),"")</f>
        <v/>
      </c>
      <c r="U148" s="47" t="str">
        <f>IF(mouvementmp[[#This Row],[QR Fabrication]]&lt;&gt;"",INDEX(_xlfn.TEXTSPLIT(mouvementmp[[#This Row],[QR Fabrication]],"_"),1,5),"")</f>
        <v/>
      </c>
      <c r="V148" s="47" t="str">
        <f>IF(mouvementmp[[#This Row],[QR Fabrication]]&lt;&gt;"",_xlfn.TEXTAFTER(mouvementmp[[#This Row],[QR Fabrication]],"_",5),"")</f>
        <v/>
      </c>
    </row>
    <row r="149" spans="1:22" ht="16.5" thickTop="1" thickBot="1" x14ac:dyDescent="0.3">
      <c r="A149" s="46"/>
      <c r="B149" s="54" t="s">
        <v>3902</v>
      </c>
      <c r="C149" s="47" t="s">
        <v>662</v>
      </c>
      <c r="D149" s="47" t="s">
        <v>662</v>
      </c>
      <c r="E149" s="47" t="s">
        <v>665</v>
      </c>
      <c r="F149" s="48">
        <v>33.5</v>
      </c>
      <c r="G149" s="47"/>
      <c r="H149" s="47"/>
      <c r="I149" s="47" t="s">
        <v>664</v>
      </c>
      <c r="J149" s="49">
        <v>45913</v>
      </c>
      <c r="K149" s="47" t="str">
        <f>INDEX(_xlfn.TEXTSPLIT(mouvementmp[[#This Row],[QR MP]],"_"),1,1)</f>
        <v>C31</v>
      </c>
      <c r="L149" s="47" t="str">
        <f>INDEX(_xlfn.TEXTSPLIT(mouvementmp[[#This Row],[QR MP]],"_"),1,2)</f>
        <v>SAUMON</v>
      </c>
      <c r="M149" s="47" t="str">
        <f>INDEX(_xlfn.TEXTSPLIT(mouvementmp[[#This Row],[QR MP]],"_"),1,3)</f>
        <v>NM15-31.00</v>
      </c>
      <c r="N149" s="47" t="str">
        <f>INDEX(_xlfn.TEXTSPLIT(mouvementmp[[#This Row],[QR MP]],"_"),1,4)</f>
        <v>61434</v>
      </c>
      <c r="O149" s="47">
        <f>-mouvementmp[[#This Row],[Poids]]</f>
        <v>-33.5</v>
      </c>
      <c r="P149" s="47" t="str">
        <f>IF(
   COUNTIFS($A$2:A149,A149,
             $B$2:B149,B149,
             $C$2:C149,C149,
             $D$2:D149,D149,
             $E$2:E149,E149,
             $F$2:F149,F149,
              $J$2:J149,J149)&gt;1,
   "Doublon",
   "Correcte"
)</f>
        <v>Correcte</v>
      </c>
      <c r="Q149" s="106" t="str">
        <f>IF(mouvementmp[[#This Row],[QR Fabrication]]&lt;&gt;"",INDEX(_xlfn.TEXTSPLIT(mouvementmp[[#This Row],[QR Fabrication]],"_"),1,1),"")</f>
        <v/>
      </c>
      <c r="R149" s="106" t="str">
        <f>IF(mouvementmp[[#This Row],[QR Fabrication]]&lt;&gt;"",INDEX(_xlfn.TEXTSPLIT(mouvementmp[[#This Row],[QR Fabrication]],"_"),1,2),"")</f>
        <v/>
      </c>
      <c r="S149" s="47" t="str">
        <f>IF(mouvementmp[[#This Row],[QR Fabrication]]&lt;&gt;"",INDEX(_xlfn.TEXTSPLIT(mouvementmp[[#This Row],[QR Fabrication]],"_"),1,3),"")</f>
        <v/>
      </c>
      <c r="T149" s="47" t="str">
        <f>IF(mouvementmp[[#This Row],[QR Fabrication]]&lt;&gt;"",INDEX(_xlfn.TEXTSPLIT(mouvementmp[[#This Row],[QR Fabrication]],"_"),1,4),"")</f>
        <v/>
      </c>
      <c r="U149" s="47" t="str">
        <f>IF(mouvementmp[[#This Row],[QR Fabrication]]&lt;&gt;"",INDEX(_xlfn.TEXTSPLIT(mouvementmp[[#This Row],[QR Fabrication]],"_"),1,5),"")</f>
        <v/>
      </c>
      <c r="V149" s="47" t="str">
        <f>IF(mouvementmp[[#This Row],[QR Fabrication]]&lt;&gt;"",_xlfn.TEXTAFTER(mouvementmp[[#This Row],[QR Fabrication]],"_",5),"")</f>
        <v/>
      </c>
    </row>
    <row r="150" spans="1:22" ht="16.5" thickTop="1" thickBot="1" x14ac:dyDescent="0.3">
      <c r="A150" s="46"/>
      <c r="B150" s="54" t="s">
        <v>3903</v>
      </c>
      <c r="C150" s="47" t="s">
        <v>662</v>
      </c>
      <c r="D150" s="47" t="s">
        <v>662</v>
      </c>
      <c r="E150" s="47" t="s">
        <v>666</v>
      </c>
      <c r="F150" s="48">
        <v>1078</v>
      </c>
      <c r="G150" s="47"/>
      <c r="H150" s="47"/>
      <c r="I150" s="47" t="s">
        <v>664</v>
      </c>
      <c r="J150" s="49">
        <v>45913</v>
      </c>
      <c r="K150" s="47" t="str">
        <f>INDEX(_xlfn.TEXTSPLIT(mouvementmp[[#This Row],[QR MP]],"_"),1,1)</f>
        <v>C32</v>
      </c>
      <c r="L150" s="47" t="str">
        <f>INDEX(_xlfn.TEXTSPLIT(mouvementmp[[#This Row],[QR MP]],"_"),1,2)</f>
        <v>ROSE LOTUS</v>
      </c>
      <c r="M150" s="47" t="str">
        <f>INDEX(_xlfn.TEXTSPLIT(mouvementmp[[#This Row],[QR MP]],"_"),1,3)</f>
        <v>NM05-32.01</v>
      </c>
      <c r="N150" s="47" t="str">
        <f>INDEX(_xlfn.TEXTSPLIT(mouvementmp[[#This Row],[QR MP]],"_"),1,4)</f>
        <v>59815</v>
      </c>
      <c r="O150" s="47">
        <f>-mouvementmp[[#This Row],[Poids]]</f>
        <v>-1078</v>
      </c>
      <c r="P150" s="47" t="str">
        <f>IF(
   COUNTIFS($A$2:A150,A150,
             $B$2:B150,B150,
             $C$2:C150,C150,
             $D$2:D150,D150,
             $E$2:E150,E150,
             $F$2:F150,F150,
              $J$2:J150,J150)&gt;1,
   "Doublon",
   "Correcte"
)</f>
        <v>Correcte</v>
      </c>
      <c r="Q150" s="106" t="str">
        <f>IF(mouvementmp[[#This Row],[QR Fabrication]]&lt;&gt;"",INDEX(_xlfn.TEXTSPLIT(mouvementmp[[#This Row],[QR Fabrication]],"_"),1,1),"")</f>
        <v/>
      </c>
      <c r="R150" s="106" t="str">
        <f>IF(mouvementmp[[#This Row],[QR Fabrication]]&lt;&gt;"",INDEX(_xlfn.TEXTSPLIT(mouvementmp[[#This Row],[QR Fabrication]],"_"),1,2),"")</f>
        <v/>
      </c>
      <c r="S150" s="47" t="str">
        <f>IF(mouvementmp[[#This Row],[QR Fabrication]]&lt;&gt;"",INDEX(_xlfn.TEXTSPLIT(mouvementmp[[#This Row],[QR Fabrication]],"_"),1,3),"")</f>
        <v/>
      </c>
      <c r="T150" s="47" t="str">
        <f>IF(mouvementmp[[#This Row],[QR Fabrication]]&lt;&gt;"",INDEX(_xlfn.TEXTSPLIT(mouvementmp[[#This Row],[QR Fabrication]],"_"),1,4),"")</f>
        <v/>
      </c>
      <c r="U150" s="47" t="str">
        <f>IF(mouvementmp[[#This Row],[QR Fabrication]]&lt;&gt;"",INDEX(_xlfn.TEXTSPLIT(mouvementmp[[#This Row],[QR Fabrication]],"_"),1,5),"")</f>
        <v/>
      </c>
      <c r="V150" s="47" t="str">
        <f>IF(mouvementmp[[#This Row],[QR Fabrication]]&lt;&gt;"",_xlfn.TEXTAFTER(mouvementmp[[#This Row],[QR Fabrication]],"_",5),"")</f>
        <v/>
      </c>
    </row>
    <row r="151" spans="1:22" ht="16.5" thickTop="1" thickBot="1" x14ac:dyDescent="0.3">
      <c r="A151" s="46"/>
      <c r="B151" s="54" t="s">
        <v>3903</v>
      </c>
      <c r="C151" s="47" t="s">
        <v>662</v>
      </c>
      <c r="D151" s="47" t="s">
        <v>662</v>
      </c>
      <c r="E151" s="47" t="s">
        <v>665</v>
      </c>
      <c r="F151" s="48">
        <v>57.5</v>
      </c>
      <c r="G151" s="47"/>
      <c r="H151" s="47"/>
      <c r="I151" s="47" t="s">
        <v>664</v>
      </c>
      <c r="J151" s="49">
        <v>45913</v>
      </c>
      <c r="K151" s="47" t="str">
        <f>INDEX(_xlfn.TEXTSPLIT(mouvementmp[[#This Row],[QR MP]],"_"),1,1)</f>
        <v>C32</v>
      </c>
      <c r="L151" s="47" t="str">
        <f>INDEX(_xlfn.TEXTSPLIT(mouvementmp[[#This Row],[QR MP]],"_"),1,2)</f>
        <v>ROSE LOTUS</v>
      </c>
      <c r="M151" s="47" t="str">
        <f>INDEX(_xlfn.TEXTSPLIT(mouvementmp[[#This Row],[QR MP]],"_"),1,3)</f>
        <v>NM05-32.01</v>
      </c>
      <c r="N151" s="47" t="str">
        <f>INDEX(_xlfn.TEXTSPLIT(mouvementmp[[#This Row],[QR MP]],"_"),1,4)</f>
        <v>59815</v>
      </c>
      <c r="O151" s="47">
        <f>-mouvementmp[[#This Row],[Poids]]</f>
        <v>-57.5</v>
      </c>
      <c r="P151" s="47" t="str">
        <f>IF(
   COUNTIFS($A$2:A151,A151,
             $B$2:B151,B151,
             $C$2:C151,C151,
             $D$2:D151,D151,
             $E$2:E151,E151,
             $F$2:F151,F151,
              $J$2:J151,J151)&gt;1,
   "Doublon",
   "Correcte"
)</f>
        <v>Correcte</v>
      </c>
      <c r="Q151" s="106" t="str">
        <f>IF(mouvementmp[[#This Row],[QR Fabrication]]&lt;&gt;"",INDEX(_xlfn.TEXTSPLIT(mouvementmp[[#This Row],[QR Fabrication]],"_"),1,1),"")</f>
        <v/>
      </c>
      <c r="R151" s="106" t="str">
        <f>IF(mouvementmp[[#This Row],[QR Fabrication]]&lt;&gt;"",INDEX(_xlfn.TEXTSPLIT(mouvementmp[[#This Row],[QR Fabrication]],"_"),1,2),"")</f>
        <v/>
      </c>
      <c r="S151" s="47" t="str">
        <f>IF(mouvementmp[[#This Row],[QR Fabrication]]&lt;&gt;"",INDEX(_xlfn.TEXTSPLIT(mouvementmp[[#This Row],[QR Fabrication]],"_"),1,3),"")</f>
        <v/>
      </c>
      <c r="T151" s="47" t="str">
        <f>IF(mouvementmp[[#This Row],[QR Fabrication]]&lt;&gt;"",INDEX(_xlfn.TEXTSPLIT(mouvementmp[[#This Row],[QR Fabrication]],"_"),1,4),"")</f>
        <v/>
      </c>
      <c r="U151" s="47" t="str">
        <f>IF(mouvementmp[[#This Row],[QR Fabrication]]&lt;&gt;"",INDEX(_xlfn.TEXTSPLIT(mouvementmp[[#This Row],[QR Fabrication]],"_"),1,5),"")</f>
        <v/>
      </c>
      <c r="V151" s="47" t="str">
        <f>IF(mouvementmp[[#This Row],[QR Fabrication]]&lt;&gt;"",_xlfn.TEXTAFTER(mouvementmp[[#This Row],[QR Fabrication]],"_",5),"")</f>
        <v/>
      </c>
    </row>
    <row r="152" spans="1:22" ht="16.5" thickTop="1" thickBot="1" x14ac:dyDescent="0.3">
      <c r="A152" s="46"/>
      <c r="B152" s="54" t="s">
        <v>3904</v>
      </c>
      <c r="C152" s="47" t="s">
        <v>662</v>
      </c>
      <c r="D152" s="47" t="s">
        <v>662</v>
      </c>
      <c r="E152" s="47" t="s">
        <v>663</v>
      </c>
      <c r="F152" s="48">
        <v>112</v>
      </c>
      <c r="G152" s="47"/>
      <c r="H152" s="47"/>
      <c r="I152" s="47" t="s">
        <v>664</v>
      </c>
      <c r="J152" s="49">
        <v>45913</v>
      </c>
      <c r="K152" s="47" t="str">
        <f>INDEX(_xlfn.TEXTSPLIT(mouvementmp[[#This Row],[QR MP]],"_"),1,1)</f>
        <v>C32</v>
      </c>
      <c r="L152" s="47" t="str">
        <f>INDEX(_xlfn.TEXTSPLIT(mouvementmp[[#This Row],[QR MP]],"_"),1,2)</f>
        <v>ROSE CLAIR</v>
      </c>
      <c r="M152" s="47" t="str">
        <f>INDEX(_xlfn.TEXTSPLIT(mouvementmp[[#This Row],[QR MP]],"_"),1,3)</f>
        <v>NM05-32.02</v>
      </c>
      <c r="N152" s="47" t="str">
        <f>INDEX(_xlfn.TEXTSPLIT(mouvementmp[[#This Row],[QR MP]],"_"),1,4)</f>
        <v>56218</v>
      </c>
      <c r="O152" s="47">
        <f>-mouvementmp[[#This Row],[Poids]]</f>
        <v>-112</v>
      </c>
      <c r="P152" s="47" t="str">
        <f>IF(
   COUNTIFS($A$2:A152,A152,
             $B$2:B152,B152,
             $C$2:C152,C152,
             $D$2:D152,D152,
             $E$2:E152,E152,
             $F$2:F152,F152,
              $J$2:J152,J152)&gt;1,
   "Doublon",
   "Correcte"
)</f>
        <v>Correcte</v>
      </c>
      <c r="Q152" s="106" t="str">
        <f>IF(mouvementmp[[#This Row],[QR Fabrication]]&lt;&gt;"",INDEX(_xlfn.TEXTSPLIT(mouvementmp[[#This Row],[QR Fabrication]],"_"),1,1),"")</f>
        <v/>
      </c>
      <c r="R152" s="106" t="str">
        <f>IF(mouvementmp[[#This Row],[QR Fabrication]]&lt;&gt;"",INDEX(_xlfn.TEXTSPLIT(mouvementmp[[#This Row],[QR Fabrication]],"_"),1,2),"")</f>
        <v/>
      </c>
      <c r="S152" s="47" t="str">
        <f>IF(mouvementmp[[#This Row],[QR Fabrication]]&lt;&gt;"",INDEX(_xlfn.TEXTSPLIT(mouvementmp[[#This Row],[QR Fabrication]],"_"),1,3),"")</f>
        <v/>
      </c>
      <c r="T152" s="47" t="str">
        <f>IF(mouvementmp[[#This Row],[QR Fabrication]]&lt;&gt;"",INDEX(_xlfn.TEXTSPLIT(mouvementmp[[#This Row],[QR Fabrication]],"_"),1,4),"")</f>
        <v/>
      </c>
      <c r="U152" s="47" t="str">
        <f>IF(mouvementmp[[#This Row],[QR Fabrication]]&lt;&gt;"",INDEX(_xlfn.TEXTSPLIT(mouvementmp[[#This Row],[QR Fabrication]],"_"),1,5),"")</f>
        <v/>
      </c>
      <c r="V152" s="47" t="str">
        <f>IF(mouvementmp[[#This Row],[QR Fabrication]]&lt;&gt;"",_xlfn.TEXTAFTER(mouvementmp[[#This Row],[QR Fabrication]],"_",5),"")</f>
        <v/>
      </c>
    </row>
    <row r="153" spans="1:22" ht="16.5" thickTop="1" thickBot="1" x14ac:dyDescent="0.3">
      <c r="A153" s="46"/>
      <c r="B153" s="54" t="s">
        <v>3905</v>
      </c>
      <c r="C153" s="47" t="s">
        <v>662</v>
      </c>
      <c r="D153" s="47" t="s">
        <v>662</v>
      </c>
      <c r="E153" s="47" t="s">
        <v>667</v>
      </c>
      <c r="F153" s="48">
        <v>259.5</v>
      </c>
      <c r="G153" s="47"/>
      <c r="H153" s="47"/>
      <c r="I153" s="47" t="s">
        <v>664</v>
      </c>
      <c r="J153" s="49">
        <v>45913</v>
      </c>
      <c r="K153" s="47" t="str">
        <f>INDEX(_xlfn.TEXTSPLIT(mouvementmp[[#This Row],[QR MP]],"_"),1,1)</f>
        <v>C32</v>
      </c>
      <c r="L153" s="47" t="str">
        <f>INDEX(_xlfn.TEXTSPLIT(mouvementmp[[#This Row],[QR MP]],"_"),1,2)</f>
        <v>VIEUX ROSE</v>
      </c>
      <c r="M153" s="47" t="str">
        <f>INDEX(_xlfn.TEXTSPLIT(mouvementmp[[#This Row],[QR MP]],"_"),1,3)</f>
        <v>NM15-32.00</v>
      </c>
      <c r="N153" s="47" t="str">
        <f>INDEX(_xlfn.TEXTSPLIT(mouvementmp[[#This Row],[QR MP]],"_"),1,4)</f>
        <v>61455</v>
      </c>
      <c r="O153" s="47">
        <f>-mouvementmp[[#This Row],[Poids]]</f>
        <v>-259.5</v>
      </c>
      <c r="P153" s="47" t="str">
        <f>IF(
   COUNTIFS($A$2:A153,A153,
             $B$2:B153,B153,
             $C$2:C153,C153,
             $D$2:D153,D153,
             $E$2:E153,E153,
             $F$2:F153,F153,
              $J$2:J153,J153)&gt;1,
   "Doublon",
   "Correcte"
)</f>
        <v>Correcte</v>
      </c>
      <c r="Q153" s="106" t="str">
        <f>IF(mouvementmp[[#This Row],[QR Fabrication]]&lt;&gt;"",INDEX(_xlfn.TEXTSPLIT(mouvementmp[[#This Row],[QR Fabrication]],"_"),1,1),"")</f>
        <v/>
      </c>
      <c r="R153" s="106" t="str">
        <f>IF(mouvementmp[[#This Row],[QR Fabrication]]&lt;&gt;"",INDEX(_xlfn.TEXTSPLIT(mouvementmp[[#This Row],[QR Fabrication]],"_"),1,2),"")</f>
        <v/>
      </c>
      <c r="S153" s="47" t="str">
        <f>IF(mouvementmp[[#This Row],[QR Fabrication]]&lt;&gt;"",INDEX(_xlfn.TEXTSPLIT(mouvementmp[[#This Row],[QR Fabrication]],"_"),1,3),"")</f>
        <v/>
      </c>
      <c r="T153" s="47" t="str">
        <f>IF(mouvementmp[[#This Row],[QR Fabrication]]&lt;&gt;"",INDEX(_xlfn.TEXTSPLIT(mouvementmp[[#This Row],[QR Fabrication]],"_"),1,4),"")</f>
        <v/>
      </c>
      <c r="U153" s="47" t="str">
        <f>IF(mouvementmp[[#This Row],[QR Fabrication]]&lt;&gt;"",INDEX(_xlfn.TEXTSPLIT(mouvementmp[[#This Row],[QR Fabrication]],"_"),1,5),"")</f>
        <v/>
      </c>
      <c r="V153" s="47" t="str">
        <f>IF(mouvementmp[[#This Row],[QR Fabrication]]&lt;&gt;"",_xlfn.TEXTAFTER(mouvementmp[[#This Row],[QR Fabrication]],"_",5),"")</f>
        <v/>
      </c>
    </row>
    <row r="154" spans="1:22" ht="16.5" thickTop="1" thickBot="1" x14ac:dyDescent="0.3">
      <c r="A154" s="46"/>
      <c r="B154" s="54" t="s">
        <v>3905</v>
      </c>
      <c r="C154" s="47" t="s">
        <v>662</v>
      </c>
      <c r="D154" s="47" t="s">
        <v>662</v>
      </c>
      <c r="E154" s="47" t="s">
        <v>665</v>
      </c>
      <c r="F154" s="48">
        <v>279</v>
      </c>
      <c r="G154" s="47"/>
      <c r="H154" s="47"/>
      <c r="I154" s="47" t="s">
        <v>664</v>
      </c>
      <c r="J154" s="49">
        <v>45913</v>
      </c>
      <c r="K154" s="47" t="str">
        <f>INDEX(_xlfn.TEXTSPLIT(mouvementmp[[#This Row],[QR MP]],"_"),1,1)</f>
        <v>C32</v>
      </c>
      <c r="L154" s="47" t="str">
        <f>INDEX(_xlfn.TEXTSPLIT(mouvementmp[[#This Row],[QR MP]],"_"),1,2)</f>
        <v>VIEUX ROSE</v>
      </c>
      <c r="M154" s="47" t="str">
        <f>INDEX(_xlfn.TEXTSPLIT(mouvementmp[[#This Row],[QR MP]],"_"),1,3)</f>
        <v>NM15-32.00</v>
      </c>
      <c r="N154" s="47" t="str">
        <f>INDEX(_xlfn.TEXTSPLIT(mouvementmp[[#This Row],[QR MP]],"_"),1,4)</f>
        <v>61455</v>
      </c>
      <c r="O154" s="47">
        <f>-mouvementmp[[#This Row],[Poids]]</f>
        <v>-279</v>
      </c>
      <c r="P154" s="47" t="str">
        <f>IF(
   COUNTIFS($A$2:A154,A154,
             $B$2:B154,B154,
             $C$2:C154,C154,
             $D$2:D154,D154,
             $E$2:E154,E154,
             $F$2:F154,F154,
              $J$2:J154,J154)&gt;1,
   "Doublon",
   "Correcte"
)</f>
        <v>Correcte</v>
      </c>
      <c r="Q154" s="106" t="str">
        <f>IF(mouvementmp[[#This Row],[QR Fabrication]]&lt;&gt;"",INDEX(_xlfn.TEXTSPLIT(mouvementmp[[#This Row],[QR Fabrication]],"_"),1,1),"")</f>
        <v/>
      </c>
      <c r="R154" s="106" t="str">
        <f>IF(mouvementmp[[#This Row],[QR Fabrication]]&lt;&gt;"",INDEX(_xlfn.TEXTSPLIT(mouvementmp[[#This Row],[QR Fabrication]],"_"),1,2),"")</f>
        <v/>
      </c>
      <c r="S154" s="47" t="str">
        <f>IF(mouvementmp[[#This Row],[QR Fabrication]]&lt;&gt;"",INDEX(_xlfn.TEXTSPLIT(mouvementmp[[#This Row],[QR Fabrication]],"_"),1,3),"")</f>
        <v/>
      </c>
      <c r="T154" s="47" t="str">
        <f>IF(mouvementmp[[#This Row],[QR Fabrication]]&lt;&gt;"",INDEX(_xlfn.TEXTSPLIT(mouvementmp[[#This Row],[QR Fabrication]],"_"),1,4),"")</f>
        <v/>
      </c>
      <c r="U154" s="47" t="str">
        <f>IF(mouvementmp[[#This Row],[QR Fabrication]]&lt;&gt;"",INDEX(_xlfn.TEXTSPLIT(mouvementmp[[#This Row],[QR Fabrication]],"_"),1,5),"")</f>
        <v/>
      </c>
      <c r="V154" s="47" t="str">
        <f>IF(mouvementmp[[#This Row],[QR Fabrication]]&lt;&gt;"",_xlfn.TEXTAFTER(mouvementmp[[#This Row],[QR Fabrication]],"_",5),"")</f>
        <v/>
      </c>
    </row>
    <row r="155" spans="1:22" ht="16.5" thickTop="1" thickBot="1" x14ac:dyDescent="0.3">
      <c r="A155" s="46"/>
      <c r="B155" s="54" t="s">
        <v>3906</v>
      </c>
      <c r="C155" s="47" t="s">
        <v>662</v>
      </c>
      <c r="D155" s="47" t="s">
        <v>662</v>
      </c>
      <c r="E155" s="47" t="s">
        <v>665</v>
      </c>
      <c r="F155" s="48">
        <v>185.5</v>
      </c>
      <c r="G155" s="47"/>
      <c r="H155" s="47"/>
      <c r="I155" s="47" t="s">
        <v>664</v>
      </c>
      <c r="J155" s="49">
        <v>45913</v>
      </c>
      <c r="K155" s="47" t="str">
        <f>INDEX(_xlfn.TEXTSPLIT(mouvementmp[[#This Row],[QR MP]],"_"),1,1)</f>
        <v>C32</v>
      </c>
      <c r="L155" s="47" t="str">
        <f>INDEX(_xlfn.TEXTSPLIT(mouvementmp[[#This Row],[QR MP]],"_"),1,2)</f>
        <v>ROSE BB</v>
      </c>
      <c r="M155" s="47" t="str">
        <f>INDEX(_xlfn.TEXTSPLIT(mouvementmp[[#This Row],[QR MP]],"_"),1,3)</f>
        <v>NM15-32.02</v>
      </c>
      <c r="N155" s="47" t="str">
        <f>INDEX(_xlfn.TEXTSPLIT(mouvementmp[[#This Row],[QR MP]],"_"),1,4)</f>
        <v>S2023</v>
      </c>
      <c r="O155" s="47">
        <f>-mouvementmp[[#This Row],[Poids]]</f>
        <v>-185.5</v>
      </c>
      <c r="P155" s="47" t="str">
        <f>IF(
   COUNTIFS($A$2:A155,A155,
             $B$2:B155,B155,
             $C$2:C155,C155,
             $D$2:D155,D155,
             $E$2:E155,E155,
             $F$2:F155,F155,
              $J$2:J155,J155)&gt;1,
   "Doublon",
   "Correcte"
)</f>
        <v>Correcte</v>
      </c>
      <c r="Q155" s="106" t="str">
        <f>IF(mouvementmp[[#This Row],[QR Fabrication]]&lt;&gt;"",INDEX(_xlfn.TEXTSPLIT(mouvementmp[[#This Row],[QR Fabrication]],"_"),1,1),"")</f>
        <v/>
      </c>
      <c r="R155" s="106" t="str">
        <f>IF(mouvementmp[[#This Row],[QR Fabrication]]&lt;&gt;"",INDEX(_xlfn.TEXTSPLIT(mouvementmp[[#This Row],[QR Fabrication]],"_"),1,2),"")</f>
        <v/>
      </c>
      <c r="S155" s="47" t="str">
        <f>IF(mouvementmp[[#This Row],[QR Fabrication]]&lt;&gt;"",INDEX(_xlfn.TEXTSPLIT(mouvementmp[[#This Row],[QR Fabrication]],"_"),1,3),"")</f>
        <v/>
      </c>
      <c r="T155" s="47" t="str">
        <f>IF(mouvementmp[[#This Row],[QR Fabrication]]&lt;&gt;"",INDEX(_xlfn.TEXTSPLIT(mouvementmp[[#This Row],[QR Fabrication]],"_"),1,4),"")</f>
        <v/>
      </c>
      <c r="U155" s="47" t="str">
        <f>IF(mouvementmp[[#This Row],[QR Fabrication]]&lt;&gt;"",INDEX(_xlfn.TEXTSPLIT(mouvementmp[[#This Row],[QR Fabrication]],"_"),1,5),"")</f>
        <v/>
      </c>
      <c r="V155" s="47" t="str">
        <f>IF(mouvementmp[[#This Row],[QR Fabrication]]&lt;&gt;"",_xlfn.TEXTAFTER(mouvementmp[[#This Row],[QR Fabrication]],"_",5),"")</f>
        <v/>
      </c>
    </row>
    <row r="156" spans="1:22" ht="16.5" thickTop="1" thickBot="1" x14ac:dyDescent="0.3">
      <c r="A156" s="46"/>
      <c r="B156" s="54" t="s">
        <v>3907</v>
      </c>
      <c r="C156" s="47" t="s">
        <v>662</v>
      </c>
      <c r="D156" s="47" t="s">
        <v>662</v>
      </c>
      <c r="E156" s="47" t="s">
        <v>667</v>
      </c>
      <c r="F156" s="48">
        <v>27.5</v>
      </c>
      <c r="G156" s="47"/>
      <c r="H156" s="47"/>
      <c r="I156" s="47" t="s">
        <v>664</v>
      </c>
      <c r="J156" s="49">
        <v>45913</v>
      </c>
      <c r="K156" s="47" t="str">
        <f>INDEX(_xlfn.TEXTSPLIT(mouvementmp[[#This Row],[QR MP]],"_"),1,1)</f>
        <v>C32</v>
      </c>
      <c r="L156" s="47" t="str">
        <f>INDEX(_xlfn.TEXTSPLIT(mouvementmp[[#This Row],[QR MP]],"_"),1,2)</f>
        <v>ROSE PALE</v>
      </c>
      <c r="M156" s="47" t="str">
        <f>INDEX(_xlfn.TEXTSPLIT(mouvementmp[[#This Row],[QR MP]],"_"),1,3)</f>
        <v>NM20-32-02</v>
      </c>
      <c r="N156" s="47" t="str">
        <f>INDEX(_xlfn.TEXTSPLIT(mouvementmp[[#This Row],[QR MP]],"_"),1,4)</f>
        <v>S2022</v>
      </c>
      <c r="O156" s="47">
        <f>-mouvementmp[[#This Row],[Poids]]</f>
        <v>-27.5</v>
      </c>
      <c r="P156" s="47" t="str">
        <f>IF(
   COUNTIFS($A$2:A156,A156,
             $B$2:B156,B156,
             $C$2:C156,C156,
             $D$2:D156,D156,
             $E$2:E156,E156,
             $F$2:F156,F156,
              $J$2:J156,J156)&gt;1,
   "Doublon",
   "Correcte"
)</f>
        <v>Correcte</v>
      </c>
      <c r="Q156" s="106" t="str">
        <f>IF(mouvementmp[[#This Row],[QR Fabrication]]&lt;&gt;"",INDEX(_xlfn.TEXTSPLIT(mouvementmp[[#This Row],[QR Fabrication]],"_"),1,1),"")</f>
        <v/>
      </c>
      <c r="R156" s="106" t="str">
        <f>IF(mouvementmp[[#This Row],[QR Fabrication]]&lt;&gt;"",INDEX(_xlfn.TEXTSPLIT(mouvementmp[[#This Row],[QR Fabrication]],"_"),1,2),"")</f>
        <v/>
      </c>
      <c r="S156" s="47" t="str">
        <f>IF(mouvementmp[[#This Row],[QR Fabrication]]&lt;&gt;"",INDEX(_xlfn.TEXTSPLIT(mouvementmp[[#This Row],[QR Fabrication]],"_"),1,3),"")</f>
        <v/>
      </c>
      <c r="T156" s="47" t="str">
        <f>IF(mouvementmp[[#This Row],[QR Fabrication]]&lt;&gt;"",INDEX(_xlfn.TEXTSPLIT(mouvementmp[[#This Row],[QR Fabrication]],"_"),1,4),"")</f>
        <v/>
      </c>
      <c r="U156" s="47" t="str">
        <f>IF(mouvementmp[[#This Row],[QR Fabrication]]&lt;&gt;"",INDEX(_xlfn.TEXTSPLIT(mouvementmp[[#This Row],[QR Fabrication]],"_"),1,5),"")</f>
        <v/>
      </c>
      <c r="V156" s="47" t="str">
        <f>IF(mouvementmp[[#This Row],[QR Fabrication]]&lt;&gt;"",_xlfn.TEXTAFTER(mouvementmp[[#This Row],[QR Fabrication]],"_",5),"")</f>
        <v/>
      </c>
    </row>
    <row r="157" spans="1:22" ht="16.5" thickTop="1" thickBot="1" x14ac:dyDescent="0.3">
      <c r="A157" s="46"/>
      <c r="B157" s="54" t="s">
        <v>3908</v>
      </c>
      <c r="C157" s="47" t="s">
        <v>662</v>
      </c>
      <c r="D157" s="47" t="s">
        <v>662</v>
      </c>
      <c r="E157" s="47" t="s">
        <v>665</v>
      </c>
      <c r="F157" s="48">
        <v>22</v>
      </c>
      <c r="G157" s="47"/>
      <c r="H157" s="47"/>
      <c r="I157" s="47" t="s">
        <v>664</v>
      </c>
      <c r="J157" s="49">
        <v>45913</v>
      </c>
      <c r="K157" s="47" t="str">
        <f>INDEX(_xlfn.TEXTSPLIT(mouvementmp[[#This Row],[QR MP]],"_"),1,1)</f>
        <v>C33</v>
      </c>
      <c r="L157" s="47" t="str">
        <f>INDEX(_xlfn.TEXTSPLIT(mouvementmp[[#This Row],[QR MP]],"_"),1,2)</f>
        <v>LILA</v>
      </c>
      <c r="M157" s="47" t="str">
        <f>INDEX(_xlfn.TEXTSPLIT(mouvementmp[[#This Row],[QR MP]],"_"),1,3)</f>
        <v>NM15-33.00</v>
      </c>
      <c r="N157" s="47" t="str">
        <f>INDEX(_xlfn.TEXTSPLIT(mouvementmp[[#This Row],[QR MP]],"_"),1,4)</f>
        <v>S2023</v>
      </c>
      <c r="O157" s="47">
        <f>-mouvementmp[[#This Row],[Poids]]</f>
        <v>-22</v>
      </c>
      <c r="P157" s="47" t="str">
        <f>IF(
   COUNTIFS($A$2:A157,A157,
             $B$2:B157,B157,
             $C$2:C157,C157,
             $D$2:D157,D157,
             $E$2:E157,E157,
             $F$2:F157,F157,
              $J$2:J157,J157)&gt;1,
   "Doublon",
   "Correcte"
)</f>
        <v>Correcte</v>
      </c>
      <c r="Q157" s="106" t="str">
        <f>IF(mouvementmp[[#This Row],[QR Fabrication]]&lt;&gt;"",INDEX(_xlfn.TEXTSPLIT(mouvementmp[[#This Row],[QR Fabrication]],"_"),1,1),"")</f>
        <v/>
      </c>
      <c r="R157" s="106" t="str">
        <f>IF(mouvementmp[[#This Row],[QR Fabrication]]&lt;&gt;"",INDEX(_xlfn.TEXTSPLIT(mouvementmp[[#This Row],[QR Fabrication]],"_"),1,2),"")</f>
        <v/>
      </c>
      <c r="S157" s="47" t="str">
        <f>IF(mouvementmp[[#This Row],[QR Fabrication]]&lt;&gt;"",INDEX(_xlfn.TEXTSPLIT(mouvementmp[[#This Row],[QR Fabrication]],"_"),1,3),"")</f>
        <v/>
      </c>
      <c r="T157" s="47" t="str">
        <f>IF(mouvementmp[[#This Row],[QR Fabrication]]&lt;&gt;"",INDEX(_xlfn.TEXTSPLIT(mouvementmp[[#This Row],[QR Fabrication]],"_"),1,4),"")</f>
        <v/>
      </c>
      <c r="U157" s="47" t="str">
        <f>IF(mouvementmp[[#This Row],[QR Fabrication]]&lt;&gt;"",INDEX(_xlfn.TEXTSPLIT(mouvementmp[[#This Row],[QR Fabrication]],"_"),1,5),"")</f>
        <v/>
      </c>
      <c r="V157" s="47" t="str">
        <f>IF(mouvementmp[[#This Row],[QR Fabrication]]&lt;&gt;"",_xlfn.TEXTAFTER(mouvementmp[[#This Row],[QR Fabrication]],"_",5),"")</f>
        <v/>
      </c>
    </row>
    <row r="158" spans="1:22" ht="16.5" thickTop="1" thickBot="1" x14ac:dyDescent="0.3">
      <c r="A158" s="46"/>
      <c r="B158" s="54" t="s">
        <v>3909</v>
      </c>
      <c r="C158" s="47" t="s">
        <v>662</v>
      </c>
      <c r="D158" s="47" t="s">
        <v>662</v>
      </c>
      <c r="E158" s="47" t="s">
        <v>666</v>
      </c>
      <c r="F158" s="48">
        <v>539</v>
      </c>
      <c r="G158" s="47"/>
      <c r="H158" s="47"/>
      <c r="I158" s="47" t="s">
        <v>664</v>
      </c>
      <c r="J158" s="49">
        <v>45913</v>
      </c>
      <c r="K158" s="47" t="str">
        <f>INDEX(_xlfn.TEXTSPLIT(mouvementmp[[#This Row],[QR MP]],"_"),1,1)</f>
        <v>C34</v>
      </c>
      <c r="L158" s="47" t="str">
        <f>INDEX(_xlfn.TEXTSPLIT(mouvementmp[[#This Row],[QR MP]],"_"),1,2)</f>
        <v>VIOLET</v>
      </c>
      <c r="M158" s="47" t="str">
        <f>INDEX(_xlfn.TEXTSPLIT(mouvementmp[[#This Row],[QR MP]],"_"),1,3)</f>
        <v>NM15-34.00</v>
      </c>
      <c r="N158" s="47" t="str">
        <f>INDEX(_xlfn.TEXTSPLIT(mouvementmp[[#This Row],[QR MP]],"_"),1,4)</f>
        <v>S2023</v>
      </c>
      <c r="O158" s="47">
        <f>-mouvementmp[[#This Row],[Poids]]</f>
        <v>-539</v>
      </c>
      <c r="P158" s="47" t="str">
        <f>IF(
   COUNTIFS($A$2:A158,A158,
             $B$2:B158,B158,
             $C$2:C158,C158,
             $D$2:D158,D158,
             $E$2:E158,E158,
             $F$2:F158,F158,
              $J$2:J158,J158)&gt;1,
   "Doublon",
   "Correcte"
)</f>
        <v>Correcte</v>
      </c>
      <c r="Q158" s="106" t="str">
        <f>IF(mouvementmp[[#This Row],[QR Fabrication]]&lt;&gt;"",INDEX(_xlfn.TEXTSPLIT(mouvementmp[[#This Row],[QR Fabrication]],"_"),1,1),"")</f>
        <v/>
      </c>
      <c r="R158" s="106" t="str">
        <f>IF(mouvementmp[[#This Row],[QR Fabrication]]&lt;&gt;"",INDEX(_xlfn.TEXTSPLIT(mouvementmp[[#This Row],[QR Fabrication]],"_"),1,2),"")</f>
        <v/>
      </c>
      <c r="S158" s="47" t="str">
        <f>IF(mouvementmp[[#This Row],[QR Fabrication]]&lt;&gt;"",INDEX(_xlfn.TEXTSPLIT(mouvementmp[[#This Row],[QR Fabrication]],"_"),1,3),"")</f>
        <v/>
      </c>
      <c r="T158" s="47" t="str">
        <f>IF(mouvementmp[[#This Row],[QR Fabrication]]&lt;&gt;"",INDEX(_xlfn.TEXTSPLIT(mouvementmp[[#This Row],[QR Fabrication]],"_"),1,4),"")</f>
        <v/>
      </c>
      <c r="U158" s="47" t="str">
        <f>IF(mouvementmp[[#This Row],[QR Fabrication]]&lt;&gt;"",INDEX(_xlfn.TEXTSPLIT(mouvementmp[[#This Row],[QR Fabrication]],"_"),1,5),"")</f>
        <v/>
      </c>
      <c r="V158" s="47" t="str">
        <f>IF(mouvementmp[[#This Row],[QR Fabrication]]&lt;&gt;"",_xlfn.TEXTAFTER(mouvementmp[[#This Row],[QR Fabrication]],"_",5),"")</f>
        <v/>
      </c>
    </row>
    <row r="159" spans="1:22" ht="16.5" thickTop="1" thickBot="1" x14ac:dyDescent="0.3">
      <c r="A159" s="46"/>
      <c r="B159" s="54" t="s">
        <v>3909</v>
      </c>
      <c r="C159" s="47" t="s">
        <v>662</v>
      </c>
      <c r="D159" s="47" t="s">
        <v>662</v>
      </c>
      <c r="E159" s="47" t="s">
        <v>665</v>
      </c>
      <c r="F159" s="48">
        <v>273</v>
      </c>
      <c r="G159" s="47"/>
      <c r="H159" s="47"/>
      <c r="I159" s="47" t="s">
        <v>664</v>
      </c>
      <c r="J159" s="49">
        <v>45913</v>
      </c>
      <c r="K159" s="47" t="str">
        <f>INDEX(_xlfn.TEXTSPLIT(mouvementmp[[#This Row],[QR MP]],"_"),1,1)</f>
        <v>C34</v>
      </c>
      <c r="L159" s="47" t="str">
        <f>INDEX(_xlfn.TEXTSPLIT(mouvementmp[[#This Row],[QR MP]],"_"),1,2)</f>
        <v>VIOLET</v>
      </c>
      <c r="M159" s="47" t="str">
        <f>INDEX(_xlfn.TEXTSPLIT(mouvementmp[[#This Row],[QR MP]],"_"),1,3)</f>
        <v>NM15-34.00</v>
      </c>
      <c r="N159" s="47" t="str">
        <f>INDEX(_xlfn.TEXTSPLIT(mouvementmp[[#This Row],[QR MP]],"_"),1,4)</f>
        <v>S2023</v>
      </c>
      <c r="O159" s="47">
        <f>-mouvementmp[[#This Row],[Poids]]</f>
        <v>-273</v>
      </c>
      <c r="P159" s="47" t="str">
        <f>IF(
   COUNTIFS($A$2:A159,A159,
             $B$2:B159,B159,
             $C$2:C159,C159,
             $D$2:D159,D159,
             $E$2:E159,E159,
             $F$2:F159,F159,
              $J$2:J159,J159)&gt;1,
   "Doublon",
   "Correcte"
)</f>
        <v>Correcte</v>
      </c>
      <c r="Q159" s="106" t="str">
        <f>IF(mouvementmp[[#This Row],[QR Fabrication]]&lt;&gt;"",INDEX(_xlfn.TEXTSPLIT(mouvementmp[[#This Row],[QR Fabrication]],"_"),1,1),"")</f>
        <v/>
      </c>
      <c r="R159" s="106" t="str">
        <f>IF(mouvementmp[[#This Row],[QR Fabrication]]&lt;&gt;"",INDEX(_xlfn.TEXTSPLIT(mouvementmp[[#This Row],[QR Fabrication]],"_"),1,2),"")</f>
        <v/>
      </c>
      <c r="S159" s="47" t="str">
        <f>IF(mouvementmp[[#This Row],[QR Fabrication]]&lt;&gt;"",INDEX(_xlfn.TEXTSPLIT(mouvementmp[[#This Row],[QR Fabrication]],"_"),1,3),"")</f>
        <v/>
      </c>
      <c r="T159" s="47" t="str">
        <f>IF(mouvementmp[[#This Row],[QR Fabrication]]&lt;&gt;"",INDEX(_xlfn.TEXTSPLIT(mouvementmp[[#This Row],[QR Fabrication]],"_"),1,4),"")</f>
        <v/>
      </c>
      <c r="U159" s="47" t="str">
        <f>IF(mouvementmp[[#This Row],[QR Fabrication]]&lt;&gt;"",INDEX(_xlfn.TEXTSPLIT(mouvementmp[[#This Row],[QR Fabrication]],"_"),1,5),"")</f>
        <v/>
      </c>
      <c r="V159" s="47" t="str">
        <f>IF(mouvementmp[[#This Row],[QR Fabrication]]&lt;&gt;"",_xlfn.TEXTAFTER(mouvementmp[[#This Row],[QR Fabrication]],"_",5),"")</f>
        <v/>
      </c>
    </row>
    <row r="160" spans="1:22" ht="16.5" thickTop="1" thickBot="1" x14ac:dyDescent="0.3">
      <c r="A160" s="46"/>
      <c r="B160" s="54" t="s">
        <v>3910</v>
      </c>
      <c r="C160" s="47" t="s">
        <v>662</v>
      </c>
      <c r="D160" s="47" t="s">
        <v>662</v>
      </c>
      <c r="E160" s="47" t="s">
        <v>666</v>
      </c>
      <c r="F160" s="48">
        <v>4530.6000000000004</v>
      </c>
      <c r="G160" s="47"/>
      <c r="H160" s="47"/>
      <c r="I160" s="47" t="s">
        <v>664</v>
      </c>
      <c r="J160" s="49">
        <v>45913</v>
      </c>
      <c r="K160" s="47" t="str">
        <f>INDEX(_xlfn.TEXTSPLIT(mouvementmp[[#This Row],[QR MP]],"_"),1,1)</f>
        <v>CH</v>
      </c>
      <c r="L160" s="47" t="str">
        <f>INDEX(_xlfn.TEXTSPLIT(mouvementmp[[#This Row],[QR MP]],"_"),1,2)</f>
        <v>Ecru</v>
      </c>
      <c r="M160" s="47" t="str">
        <f>INDEX(_xlfn.TEXTSPLIT(mouvementmp[[#This Row],[QR MP]],"_"),1,3)</f>
        <v>CH2/40CE</v>
      </c>
      <c r="N160" s="47" t="str">
        <f>INDEX(_xlfn.TEXTSPLIT(mouvementmp[[#This Row],[QR MP]],"_"),1,4)</f>
        <v>A220324523/2</v>
      </c>
      <c r="O160" s="47">
        <f>-mouvementmp[[#This Row],[Poids]]</f>
        <v>-4530.6000000000004</v>
      </c>
      <c r="P160" s="47" t="str">
        <f>IF(
   COUNTIFS($A$2:A160,A160,
             $B$2:B160,B160,
             $C$2:C160,C160,
             $D$2:D160,D160,
             $E$2:E160,E160,
             $F$2:F160,F160,
              $J$2:J160,J160)&gt;1,
   "Doublon",
   "Correcte"
)</f>
        <v>Correcte</v>
      </c>
      <c r="Q160" s="106" t="str">
        <f>IF(mouvementmp[[#This Row],[QR Fabrication]]&lt;&gt;"",INDEX(_xlfn.TEXTSPLIT(mouvementmp[[#This Row],[QR Fabrication]],"_"),1,1),"")</f>
        <v/>
      </c>
      <c r="R160" s="106" t="str">
        <f>IF(mouvementmp[[#This Row],[QR Fabrication]]&lt;&gt;"",INDEX(_xlfn.TEXTSPLIT(mouvementmp[[#This Row],[QR Fabrication]],"_"),1,2),"")</f>
        <v/>
      </c>
      <c r="S160" s="47" t="str">
        <f>IF(mouvementmp[[#This Row],[QR Fabrication]]&lt;&gt;"",INDEX(_xlfn.TEXTSPLIT(mouvementmp[[#This Row],[QR Fabrication]],"_"),1,3),"")</f>
        <v/>
      </c>
      <c r="T160" s="47" t="str">
        <f>IF(mouvementmp[[#This Row],[QR Fabrication]]&lt;&gt;"",INDEX(_xlfn.TEXTSPLIT(mouvementmp[[#This Row],[QR Fabrication]],"_"),1,4),"")</f>
        <v/>
      </c>
      <c r="U160" s="47" t="str">
        <f>IF(mouvementmp[[#This Row],[QR Fabrication]]&lt;&gt;"",INDEX(_xlfn.TEXTSPLIT(mouvementmp[[#This Row],[QR Fabrication]],"_"),1,5),"")</f>
        <v/>
      </c>
      <c r="V160" s="47" t="str">
        <f>IF(mouvementmp[[#This Row],[QR Fabrication]]&lt;&gt;"",_xlfn.TEXTAFTER(mouvementmp[[#This Row],[QR Fabrication]],"_",5),"")</f>
        <v/>
      </c>
    </row>
    <row r="161" spans="1:22" ht="16.5" thickTop="1" thickBot="1" x14ac:dyDescent="0.3">
      <c r="A161" s="46"/>
      <c r="B161" s="54" t="s">
        <v>3911</v>
      </c>
      <c r="C161" s="47" t="s">
        <v>662</v>
      </c>
      <c r="D161" s="47" t="s">
        <v>662</v>
      </c>
      <c r="E161" s="47" t="s">
        <v>667</v>
      </c>
      <c r="F161" s="48">
        <v>544.32000000000005</v>
      </c>
      <c r="G161" s="47"/>
      <c r="H161" s="47"/>
      <c r="I161" s="47" t="s">
        <v>664</v>
      </c>
      <c r="J161" s="49">
        <v>45913</v>
      </c>
      <c r="K161" s="47" t="str">
        <f>INDEX(_xlfn.TEXTSPLIT(mouvementmp[[#This Row],[QR MP]],"_"),1,1)</f>
        <v>CH</v>
      </c>
      <c r="L161" s="47" t="str">
        <f>INDEX(_xlfn.TEXTSPLIT(mouvementmp[[#This Row],[QR MP]],"_"),1,2)</f>
        <v>Ecru</v>
      </c>
      <c r="M161" s="47" t="str">
        <f>INDEX(_xlfn.TEXTSPLIT(mouvementmp[[#This Row],[QR MP]],"_"),1,3)</f>
        <v>CH2/50CE</v>
      </c>
      <c r="N161" s="47" t="str">
        <f>INDEX(_xlfn.TEXTSPLIT(mouvementmp[[#This Row],[QR MP]],"_"),1,4)</f>
        <v>24580001</v>
      </c>
      <c r="O161" s="47">
        <f>-mouvementmp[[#This Row],[Poids]]</f>
        <v>-544.32000000000005</v>
      </c>
      <c r="P161" s="47" t="str">
        <f>IF(
   COUNTIFS($A$2:A161,A161,
             $B$2:B161,B161,
             $C$2:C161,C161,
             $D$2:D161,D161,
             $E$2:E161,E161,
             $F$2:F161,F161,
              $J$2:J161,J161)&gt;1,
   "Doublon",
   "Correcte"
)</f>
        <v>Correcte</v>
      </c>
      <c r="Q161" s="106" t="str">
        <f>IF(mouvementmp[[#This Row],[QR Fabrication]]&lt;&gt;"",INDEX(_xlfn.TEXTSPLIT(mouvementmp[[#This Row],[QR Fabrication]],"_"),1,1),"")</f>
        <v/>
      </c>
      <c r="R161" s="106" t="str">
        <f>IF(mouvementmp[[#This Row],[QR Fabrication]]&lt;&gt;"",INDEX(_xlfn.TEXTSPLIT(mouvementmp[[#This Row],[QR Fabrication]],"_"),1,2),"")</f>
        <v/>
      </c>
      <c r="S161" s="47" t="str">
        <f>IF(mouvementmp[[#This Row],[QR Fabrication]]&lt;&gt;"",INDEX(_xlfn.TEXTSPLIT(mouvementmp[[#This Row],[QR Fabrication]],"_"),1,3),"")</f>
        <v/>
      </c>
      <c r="T161" s="47" t="str">
        <f>IF(mouvementmp[[#This Row],[QR Fabrication]]&lt;&gt;"",INDEX(_xlfn.TEXTSPLIT(mouvementmp[[#This Row],[QR Fabrication]],"_"),1,4),"")</f>
        <v/>
      </c>
      <c r="U161" s="47" t="str">
        <f>IF(mouvementmp[[#This Row],[QR Fabrication]]&lt;&gt;"",INDEX(_xlfn.TEXTSPLIT(mouvementmp[[#This Row],[QR Fabrication]],"_"),1,5),"")</f>
        <v/>
      </c>
      <c r="V161" s="47" t="str">
        <f>IF(mouvementmp[[#This Row],[QR Fabrication]]&lt;&gt;"",_xlfn.TEXTAFTER(mouvementmp[[#This Row],[QR Fabrication]],"_",5),"")</f>
        <v/>
      </c>
    </row>
    <row r="162" spans="1:22" ht="16.5" thickTop="1" thickBot="1" x14ac:dyDescent="0.3">
      <c r="A162" s="46"/>
      <c r="B162" s="54" t="s">
        <v>3912</v>
      </c>
      <c r="C162" s="47" t="s">
        <v>662</v>
      </c>
      <c r="D162" s="47" t="s">
        <v>662</v>
      </c>
      <c r="E162" s="47" t="s">
        <v>667</v>
      </c>
      <c r="F162" s="48">
        <v>1461.6</v>
      </c>
      <c r="G162" s="47"/>
      <c r="H162" s="47"/>
      <c r="I162" s="47" t="s">
        <v>664</v>
      </c>
      <c r="J162" s="49">
        <v>45913</v>
      </c>
      <c r="K162" s="47" t="str">
        <f>INDEX(_xlfn.TEXTSPLIT(mouvementmp[[#This Row],[QR MP]],"_"),1,1)</f>
        <v>CH</v>
      </c>
      <c r="L162" s="47" t="str">
        <f>INDEX(_xlfn.TEXTSPLIT(mouvementmp[[#This Row],[QR MP]],"_"),1,2)</f>
        <v>Ecru</v>
      </c>
      <c r="M162" s="47" t="str">
        <f>INDEX(_xlfn.TEXTSPLIT(mouvementmp[[#This Row],[QR MP]],"_"),1,3)</f>
        <v>CH2/50CE</v>
      </c>
      <c r="N162" s="47" t="str">
        <f>INDEX(_xlfn.TEXTSPLIT(mouvementmp[[#This Row],[QR MP]],"_"),1,4)</f>
        <v>A221030545/2</v>
      </c>
      <c r="O162" s="47">
        <f>-mouvementmp[[#This Row],[Poids]]</f>
        <v>-1461.6</v>
      </c>
      <c r="P162" s="47" t="str">
        <f>IF(
   COUNTIFS($A$2:A162,A162,
             $B$2:B162,B162,
             $C$2:C162,C162,
             $D$2:D162,D162,
             $E$2:E162,E162,
             $F$2:F162,F162,
              $J$2:J162,J162)&gt;1,
   "Doublon",
   "Correcte"
)</f>
        <v>Correcte</v>
      </c>
      <c r="Q162" s="106" t="str">
        <f>IF(mouvementmp[[#This Row],[QR Fabrication]]&lt;&gt;"",INDEX(_xlfn.TEXTSPLIT(mouvementmp[[#This Row],[QR Fabrication]],"_"),1,1),"")</f>
        <v/>
      </c>
      <c r="R162" s="106" t="str">
        <f>IF(mouvementmp[[#This Row],[QR Fabrication]]&lt;&gt;"",INDEX(_xlfn.TEXTSPLIT(mouvementmp[[#This Row],[QR Fabrication]],"_"),1,2),"")</f>
        <v/>
      </c>
      <c r="S162" s="47" t="str">
        <f>IF(mouvementmp[[#This Row],[QR Fabrication]]&lt;&gt;"",INDEX(_xlfn.TEXTSPLIT(mouvementmp[[#This Row],[QR Fabrication]],"_"),1,3),"")</f>
        <v/>
      </c>
      <c r="T162" s="47" t="str">
        <f>IF(mouvementmp[[#This Row],[QR Fabrication]]&lt;&gt;"",INDEX(_xlfn.TEXTSPLIT(mouvementmp[[#This Row],[QR Fabrication]],"_"),1,4),"")</f>
        <v/>
      </c>
      <c r="U162" s="47" t="str">
        <f>IF(mouvementmp[[#This Row],[QR Fabrication]]&lt;&gt;"",INDEX(_xlfn.TEXTSPLIT(mouvementmp[[#This Row],[QR Fabrication]],"_"),1,5),"")</f>
        <v/>
      </c>
      <c r="V162" s="47" t="str">
        <f>IF(mouvementmp[[#This Row],[QR Fabrication]]&lt;&gt;"",_xlfn.TEXTAFTER(mouvementmp[[#This Row],[QR Fabrication]],"_",5),"")</f>
        <v/>
      </c>
    </row>
    <row r="163" spans="1:22" ht="16.5" thickTop="1" thickBot="1" x14ac:dyDescent="0.3">
      <c r="A163" s="46"/>
      <c r="B163" s="54" t="s">
        <v>3913</v>
      </c>
      <c r="C163" s="47" t="s">
        <v>662</v>
      </c>
      <c r="D163" s="47" t="s">
        <v>662</v>
      </c>
      <c r="E163" s="47" t="s">
        <v>667</v>
      </c>
      <c r="F163" s="48">
        <v>9550.4</v>
      </c>
      <c r="G163" s="47"/>
      <c r="H163" s="47"/>
      <c r="I163" s="47" t="s">
        <v>664</v>
      </c>
      <c r="J163" s="49">
        <v>45913</v>
      </c>
      <c r="K163" s="47" t="str">
        <f>INDEX(_xlfn.TEXTSPLIT(mouvementmp[[#This Row],[QR MP]],"_"),1,1)</f>
        <v>CH</v>
      </c>
      <c r="L163" s="47" t="str">
        <f>INDEX(_xlfn.TEXTSPLIT(mouvementmp[[#This Row],[QR MP]],"_"),1,2)</f>
        <v>Noir</v>
      </c>
      <c r="M163" s="47" t="str">
        <f>INDEX(_xlfn.TEXTSPLIT(mouvementmp[[#This Row],[QR MP]],"_"),1,3)</f>
        <v>CH2/50PN</v>
      </c>
      <c r="N163" s="47" t="str">
        <f>INDEX(_xlfn.TEXTSPLIT(mouvementmp[[#This Row],[QR MP]],"_"),1,4)</f>
        <v>400722.5</v>
      </c>
      <c r="O163" s="47">
        <f>-mouvementmp[[#This Row],[Poids]]</f>
        <v>-9550.4</v>
      </c>
      <c r="P163" s="47" t="str">
        <f>IF(
   COUNTIFS($A$2:A163,A163,
             $B$2:B163,B163,
             $C$2:C163,C163,
             $D$2:D163,D163,
             $E$2:E163,E163,
             $F$2:F163,F163,
              $J$2:J163,J163)&gt;1,
   "Doublon",
   "Correcte"
)</f>
        <v>Correcte</v>
      </c>
      <c r="Q163" s="106" t="str">
        <f>IF(mouvementmp[[#This Row],[QR Fabrication]]&lt;&gt;"",INDEX(_xlfn.TEXTSPLIT(mouvementmp[[#This Row],[QR Fabrication]],"_"),1,1),"")</f>
        <v/>
      </c>
      <c r="R163" s="106" t="str">
        <f>IF(mouvementmp[[#This Row],[QR Fabrication]]&lt;&gt;"",INDEX(_xlfn.TEXTSPLIT(mouvementmp[[#This Row],[QR Fabrication]],"_"),1,2),"")</f>
        <v/>
      </c>
      <c r="S163" s="47" t="str">
        <f>IF(mouvementmp[[#This Row],[QR Fabrication]]&lt;&gt;"",INDEX(_xlfn.TEXTSPLIT(mouvementmp[[#This Row],[QR Fabrication]],"_"),1,3),"")</f>
        <v/>
      </c>
      <c r="T163" s="47" t="str">
        <f>IF(mouvementmp[[#This Row],[QR Fabrication]]&lt;&gt;"",INDEX(_xlfn.TEXTSPLIT(mouvementmp[[#This Row],[QR Fabrication]],"_"),1,4),"")</f>
        <v/>
      </c>
      <c r="U163" s="47" t="str">
        <f>IF(mouvementmp[[#This Row],[QR Fabrication]]&lt;&gt;"",INDEX(_xlfn.TEXTSPLIT(mouvementmp[[#This Row],[QR Fabrication]],"_"),1,5),"")</f>
        <v/>
      </c>
      <c r="V163" s="47" t="str">
        <f>IF(mouvementmp[[#This Row],[QR Fabrication]]&lt;&gt;"",_xlfn.TEXTAFTER(mouvementmp[[#This Row],[QR Fabrication]],"_",5),"")</f>
        <v/>
      </c>
    </row>
    <row r="164" spans="1:22" ht="16.5" thickTop="1" thickBot="1" x14ac:dyDescent="0.3">
      <c r="A164" s="46"/>
      <c r="B164" s="54" t="s">
        <v>3914</v>
      </c>
      <c r="C164" s="47" t="s">
        <v>662</v>
      </c>
      <c r="D164" s="47" t="s">
        <v>662</v>
      </c>
      <c r="E164" s="47" t="s">
        <v>665</v>
      </c>
      <c r="F164" s="48">
        <v>445</v>
      </c>
      <c r="G164" s="47"/>
      <c r="H164" s="47"/>
      <c r="I164" s="47" t="s">
        <v>664</v>
      </c>
      <c r="J164" s="49">
        <v>45913</v>
      </c>
      <c r="K164" s="47" t="str">
        <f>INDEX(_xlfn.TEXTSPLIT(mouvementmp[[#This Row],[QR MP]],"_"),1,1)</f>
        <v>CLin</v>
      </c>
      <c r="L164" s="47" t="str">
        <f>INDEX(_xlfn.TEXTSPLIT(mouvementmp[[#This Row],[QR MP]],"_"),1,2)</f>
        <v>LIN Claire</v>
      </c>
      <c r="M164" s="47" t="str">
        <f>INDEX(_xlfn.TEXTSPLIT(mouvementmp[[#This Row],[QR MP]],"_"),1,3)</f>
        <v>NM20-LinC</v>
      </c>
      <c r="N164" s="47" t="str">
        <f>INDEX(_xlfn.TEXTSPLIT(mouvementmp[[#This Row],[QR MP]],"_"),1,4)</f>
        <v>S2018</v>
      </c>
      <c r="O164" s="47">
        <f>-mouvementmp[[#This Row],[Poids]]</f>
        <v>-445</v>
      </c>
      <c r="P164" s="47" t="str">
        <f>IF(
   COUNTIFS($A$2:A164,A164,
             $B$2:B164,B164,
             $C$2:C164,C164,
             $D$2:D164,D164,
             $E$2:E164,E164,
             $F$2:F164,F164,
              $J$2:J164,J164)&gt;1,
   "Doublon",
   "Correcte"
)</f>
        <v>Correcte</v>
      </c>
      <c r="Q164" s="106" t="str">
        <f>IF(mouvementmp[[#This Row],[QR Fabrication]]&lt;&gt;"",INDEX(_xlfn.TEXTSPLIT(mouvementmp[[#This Row],[QR Fabrication]],"_"),1,1),"")</f>
        <v/>
      </c>
      <c r="R164" s="106" t="str">
        <f>IF(mouvementmp[[#This Row],[QR Fabrication]]&lt;&gt;"",INDEX(_xlfn.TEXTSPLIT(mouvementmp[[#This Row],[QR Fabrication]],"_"),1,2),"")</f>
        <v/>
      </c>
      <c r="S164" s="47" t="str">
        <f>IF(mouvementmp[[#This Row],[QR Fabrication]]&lt;&gt;"",INDEX(_xlfn.TEXTSPLIT(mouvementmp[[#This Row],[QR Fabrication]],"_"),1,3),"")</f>
        <v/>
      </c>
      <c r="T164" s="47" t="str">
        <f>IF(mouvementmp[[#This Row],[QR Fabrication]]&lt;&gt;"",INDEX(_xlfn.TEXTSPLIT(mouvementmp[[#This Row],[QR Fabrication]],"_"),1,4),"")</f>
        <v/>
      </c>
      <c r="U164" s="47" t="str">
        <f>IF(mouvementmp[[#This Row],[QR Fabrication]]&lt;&gt;"",INDEX(_xlfn.TEXTSPLIT(mouvementmp[[#This Row],[QR Fabrication]],"_"),1,5),"")</f>
        <v/>
      </c>
      <c r="V164" s="47" t="str">
        <f>IF(mouvementmp[[#This Row],[QR Fabrication]]&lt;&gt;"",_xlfn.TEXTAFTER(mouvementmp[[#This Row],[QR Fabrication]],"_",5),"")</f>
        <v/>
      </c>
    </row>
    <row r="165" spans="1:22" ht="16.5" thickTop="1" thickBot="1" x14ac:dyDescent="0.3">
      <c r="A165" s="46"/>
      <c r="B165" s="54" t="s">
        <v>3915</v>
      </c>
      <c r="C165" s="47" t="s">
        <v>662</v>
      </c>
      <c r="D165" s="47" t="s">
        <v>662</v>
      </c>
      <c r="E165" s="47" t="s">
        <v>665</v>
      </c>
      <c r="F165" s="48">
        <v>33</v>
      </c>
      <c r="G165" s="47"/>
      <c r="H165" s="47"/>
      <c r="I165" s="47" t="s">
        <v>664</v>
      </c>
      <c r="J165" s="49">
        <v>45913</v>
      </c>
      <c r="K165" s="47" t="str">
        <f>INDEX(_xlfn.TEXTSPLIT(mouvementmp[[#This Row],[QR MP]],"_"),1,1)</f>
        <v>CLin</v>
      </c>
      <c r="L165" s="47" t="str">
        <f>INDEX(_xlfn.TEXTSPLIT(mouvementmp[[#This Row],[QR MP]],"_"),1,2)</f>
        <v>LIN Fonce</v>
      </c>
      <c r="M165" s="47" t="str">
        <f>INDEX(_xlfn.TEXTSPLIT(mouvementmp[[#This Row],[QR MP]],"_"),1,3)</f>
        <v>NM20-LinF</v>
      </c>
      <c r="N165" s="47" t="str">
        <f>INDEX(_xlfn.TEXTSPLIT(mouvementmp[[#This Row],[QR MP]],"_"),1,4)</f>
        <v>S2018</v>
      </c>
      <c r="O165" s="47">
        <f>-mouvementmp[[#This Row],[Poids]]</f>
        <v>-33</v>
      </c>
      <c r="P165" s="47" t="str">
        <f>IF(
   COUNTIFS($A$2:A165,A165,
             $B$2:B165,B165,
             $C$2:C165,C165,
             $D$2:D165,D165,
             $E$2:E165,E165,
             $F$2:F165,F165,
              $J$2:J165,J165)&gt;1,
   "Doublon",
   "Correcte"
)</f>
        <v>Correcte</v>
      </c>
      <c r="Q165" s="106" t="str">
        <f>IF(mouvementmp[[#This Row],[QR Fabrication]]&lt;&gt;"",INDEX(_xlfn.TEXTSPLIT(mouvementmp[[#This Row],[QR Fabrication]],"_"),1,1),"")</f>
        <v/>
      </c>
      <c r="R165" s="106" t="str">
        <f>IF(mouvementmp[[#This Row],[QR Fabrication]]&lt;&gt;"",INDEX(_xlfn.TEXTSPLIT(mouvementmp[[#This Row],[QR Fabrication]],"_"),1,2),"")</f>
        <v/>
      </c>
      <c r="S165" s="47" t="str">
        <f>IF(mouvementmp[[#This Row],[QR Fabrication]]&lt;&gt;"",INDEX(_xlfn.TEXTSPLIT(mouvementmp[[#This Row],[QR Fabrication]],"_"),1,3),"")</f>
        <v/>
      </c>
      <c r="T165" s="47" t="str">
        <f>IF(mouvementmp[[#This Row],[QR Fabrication]]&lt;&gt;"",INDEX(_xlfn.TEXTSPLIT(mouvementmp[[#This Row],[QR Fabrication]],"_"),1,4),"")</f>
        <v/>
      </c>
      <c r="U165" s="47" t="str">
        <f>IF(mouvementmp[[#This Row],[QR Fabrication]]&lt;&gt;"",INDEX(_xlfn.TEXTSPLIT(mouvementmp[[#This Row],[QR Fabrication]],"_"),1,5),"")</f>
        <v/>
      </c>
      <c r="V165" s="47" t="str">
        <f>IF(mouvementmp[[#This Row],[QR Fabrication]]&lt;&gt;"",_xlfn.TEXTAFTER(mouvementmp[[#This Row],[QR Fabrication]],"_",5),"")</f>
        <v/>
      </c>
    </row>
    <row r="166" spans="1:22" ht="16.5" thickTop="1" thickBot="1" x14ac:dyDescent="0.3">
      <c r="A166" s="46"/>
      <c r="B166" s="54" t="s">
        <v>3916</v>
      </c>
      <c r="C166" s="47" t="s">
        <v>662</v>
      </c>
      <c r="D166" s="47" t="s">
        <v>662</v>
      </c>
      <c r="E166" s="47" t="s">
        <v>665</v>
      </c>
      <c r="F166" s="48">
        <v>163</v>
      </c>
      <c r="G166" s="47"/>
      <c r="H166" s="47"/>
      <c r="I166" s="47" t="s">
        <v>664</v>
      </c>
      <c r="J166" s="49">
        <v>45913</v>
      </c>
      <c r="K166" s="47" t="str">
        <f>INDEX(_xlfn.TEXTSPLIT(mouvementmp[[#This Row],[QR MP]],"_"),1,1)</f>
        <v>CLin</v>
      </c>
      <c r="L166" s="47" t="str">
        <f>INDEX(_xlfn.TEXTSPLIT(mouvementmp[[#This Row],[QR MP]],"_"),1,2)</f>
        <v>LIN Moyen</v>
      </c>
      <c r="M166" s="47" t="str">
        <f>INDEX(_xlfn.TEXTSPLIT(mouvementmp[[#This Row],[QR MP]],"_"),1,3)</f>
        <v>NM20-LinM</v>
      </c>
      <c r="N166" s="47" t="str">
        <f>INDEX(_xlfn.TEXTSPLIT(mouvementmp[[#This Row],[QR MP]],"_"),1,4)</f>
        <v>S2018</v>
      </c>
      <c r="O166" s="47">
        <f>-mouvementmp[[#This Row],[Poids]]</f>
        <v>-163</v>
      </c>
      <c r="P166" s="47" t="str">
        <f>IF(
   COUNTIFS($A$2:A166,A166,
             $B$2:B166,B166,
             $C$2:C166,C166,
             $D$2:D166,D166,
             $E$2:E166,E166,
             $F$2:F166,F166,
              $J$2:J166,J166)&gt;1,
   "Doublon",
   "Correcte"
)</f>
        <v>Correcte</v>
      </c>
      <c r="Q166" s="106" t="str">
        <f>IF(mouvementmp[[#This Row],[QR Fabrication]]&lt;&gt;"",INDEX(_xlfn.TEXTSPLIT(mouvementmp[[#This Row],[QR Fabrication]],"_"),1,1),"")</f>
        <v/>
      </c>
      <c r="R166" s="106" t="str">
        <f>IF(mouvementmp[[#This Row],[QR Fabrication]]&lt;&gt;"",INDEX(_xlfn.TEXTSPLIT(mouvementmp[[#This Row],[QR Fabrication]],"_"),1,2),"")</f>
        <v/>
      </c>
      <c r="S166" s="47" t="str">
        <f>IF(mouvementmp[[#This Row],[QR Fabrication]]&lt;&gt;"",INDEX(_xlfn.TEXTSPLIT(mouvementmp[[#This Row],[QR Fabrication]],"_"),1,3),"")</f>
        <v/>
      </c>
      <c r="T166" s="47" t="str">
        <f>IF(mouvementmp[[#This Row],[QR Fabrication]]&lt;&gt;"",INDEX(_xlfn.TEXTSPLIT(mouvementmp[[#This Row],[QR Fabrication]],"_"),1,4),"")</f>
        <v/>
      </c>
      <c r="U166" s="47" t="str">
        <f>IF(mouvementmp[[#This Row],[QR Fabrication]]&lt;&gt;"",INDEX(_xlfn.TEXTSPLIT(mouvementmp[[#This Row],[QR Fabrication]],"_"),1,5),"")</f>
        <v/>
      </c>
      <c r="V166" s="47" t="str">
        <f>IF(mouvementmp[[#This Row],[QR Fabrication]]&lt;&gt;"",_xlfn.TEXTAFTER(mouvementmp[[#This Row],[QR Fabrication]],"_",5),"")</f>
        <v/>
      </c>
    </row>
    <row r="167" spans="1:22" ht="16.5" thickTop="1" thickBot="1" x14ac:dyDescent="0.3">
      <c r="A167" s="46"/>
      <c r="B167" s="54" t="s">
        <v>3917</v>
      </c>
      <c r="C167" s="47" t="s">
        <v>662</v>
      </c>
      <c r="D167" s="47" t="s">
        <v>662</v>
      </c>
      <c r="E167" s="47" t="s">
        <v>665</v>
      </c>
      <c r="F167" s="48">
        <v>52</v>
      </c>
      <c r="G167" s="47"/>
      <c r="H167" s="47"/>
      <c r="I167" s="47" t="s">
        <v>664</v>
      </c>
      <c r="J167" s="49">
        <v>45913</v>
      </c>
      <c r="K167" s="47" t="str">
        <f>INDEX(_xlfn.TEXTSPLIT(mouvementmp[[#This Row],[QR MP]],"_"),1,1)</f>
        <v>CLuAr</v>
      </c>
      <c r="L167" s="47" t="str">
        <f>INDEX(_xlfn.TEXTSPLIT(mouvementmp[[#This Row],[QR MP]],"_"),1,2)</f>
        <v>LUREX ARGENT</v>
      </c>
      <c r="M167" s="47" t="str">
        <f>INDEX(_xlfn.TEXTSPLIT(mouvementmp[[#This Row],[QR MP]],"_"),1,3)</f>
        <v>LuAr</v>
      </c>
      <c r="N167" s="47" t="str">
        <f>INDEX(_xlfn.TEXTSPLIT(mouvementmp[[#This Row],[QR MP]],"_"),1,4)</f>
        <v>S2023</v>
      </c>
      <c r="O167" s="47">
        <f>-mouvementmp[[#This Row],[Poids]]</f>
        <v>-52</v>
      </c>
      <c r="P167" s="47" t="str">
        <f>IF(
   COUNTIFS($A$2:A167,A167,
             $B$2:B167,B167,
             $C$2:C167,C167,
             $D$2:D167,D167,
             $E$2:E167,E167,
             $F$2:F167,F167,
              $J$2:J167,J167)&gt;1,
   "Doublon",
   "Correcte"
)</f>
        <v>Correcte</v>
      </c>
      <c r="Q167" s="106" t="str">
        <f>IF(mouvementmp[[#This Row],[QR Fabrication]]&lt;&gt;"",INDEX(_xlfn.TEXTSPLIT(mouvementmp[[#This Row],[QR Fabrication]],"_"),1,1),"")</f>
        <v/>
      </c>
      <c r="R167" s="106" t="str">
        <f>IF(mouvementmp[[#This Row],[QR Fabrication]]&lt;&gt;"",INDEX(_xlfn.TEXTSPLIT(mouvementmp[[#This Row],[QR Fabrication]],"_"),1,2),"")</f>
        <v/>
      </c>
      <c r="S167" s="47" t="str">
        <f>IF(mouvementmp[[#This Row],[QR Fabrication]]&lt;&gt;"",INDEX(_xlfn.TEXTSPLIT(mouvementmp[[#This Row],[QR Fabrication]],"_"),1,3),"")</f>
        <v/>
      </c>
      <c r="T167" s="47" t="str">
        <f>IF(mouvementmp[[#This Row],[QR Fabrication]]&lt;&gt;"",INDEX(_xlfn.TEXTSPLIT(mouvementmp[[#This Row],[QR Fabrication]],"_"),1,4),"")</f>
        <v/>
      </c>
      <c r="U167" s="47" t="str">
        <f>IF(mouvementmp[[#This Row],[QR Fabrication]]&lt;&gt;"",INDEX(_xlfn.TEXTSPLIT(mouvementmp[[#This Row],[QR Fabrication]],"_"),1,5),"")</f>
        <v/>
      </c>
      <c r="V167" s="47" t="str">
        <f>IF(mouvementmp[[#This Row],[QR Fabrication]]&lt;&gt;"",_xlfn.TEXTAFTER(mouvementmp[[#This Row],[QR Fabrication]],"_",5),"")</f>
        <v/>
      </c>
    </row>
    <row r="168" spans="1:22" ht="16.5" thickTop="1" thickBot="1" x14ac:dyDescent="0.3">
      <c r="A168" s="46"/>
      <c r="B168" s="54" t="s">
        <v>3918</v>
      </c>
      <c r="C168" s="47" t="s">
        <v>662</v>
      </c>
      <c r="D168" s="47" t="s">
        <v>662</v>
      </c>
      <c r="E168" s="47" t="s">
        <v>665</v>
      </c>
      <c r="F168" s="48">
        <v>46</v>
      </c>
      <c r="G168" s="47"/>
      <c r="H168" s="47"/>
      <c r="I168" s="47" t="s">
        <v>664</v>
      </c>
      <c r="J168" s="49">
        <v>45913</v>
      </c>
      <c r="K168" s="47" t="str">
        <f>INDEX(_xlfn.TEXTSPLIT(mouvementmp[[#This Row],[QR MP]],"_"),1,1)</f>
        <v>CLuDo</v>
      </c>
      <c r="L168" s="47" t="str">
        <f>INDEX(_xlfn.TEXTSPLIT(mouvementmp[[#This Row],[QR MP]],"_"),1,2)</f>
        <v>LUREX DORE</v>
      </c>
      <c r="M168" s="47" t="str">
        <f>INDEX(_xlfn.TEXTSPLIT(mouvementmp[[#This Row],[QR MP]],"_"),1,3)</f>
        <v>LuDo</v>
      </c>
      <c r="N168" s="47" t="str">
        <f>INDEX(_xlfn.TEXTSPLIT(mouvementmp[[#This Row],[QR MP]],"_"),1,4)</f>
        <v>S2023</v>
      </c>
      <c r="O168" s="47">
        <f>-mouvementmp[[#This Row],[Poids]]</f>
        <v>-46</v>
      </c>
      <c r="P168" s="47" t="str">
        <f>IF(
   COUNTIFS($A$2:A168,A168,
             $B$2:B168,B168,
             $C$2:C168,C168,
             $D$2:D168,D168,
             $E$2:E168,E168,
             $F$2:F168,F168,
              $J$2:J168,J168)&gt;1,
   "Doublon",
   "Correcte"
)</f>
        <v>Correcte</v>
      </c>
      <c r="Q168" s="106" t="str">
        <f>IF(mouvementmp[[#This Row],[QR Fabrication]]&lt;&gt;"",INDEX(_xlfn.TEXTSPLIT(mouvementmp[[#This Row],[QR Fabrication]],"_"),1,1),"")</f>
        <v/>
      </c>
      <c r="R168" s="106" t="str">
        <f>IF(mouvementmp[[#This Row],[QR Fabrication]]&lt;&gt;"",INDEX(_xlfn.TEXTSPLIT(mouvementmp[[#This Row],[QR Fabrication]],"_"),1,2),"")</f>
        <v/>
      </c>
      <c r="S168" s="47" t="str">
        <f>IF(mouvementmp[[#This Row],[QR Fabrication]]&lt;&gt;"",INDEX(_xlfn.TEXTSPLIT(mouvementmp[[#This Row],[QR Fabrication]],"_"),1,3),"")</f>
        <v/>
      </c>
      <c r="T168" s="47" t="str">
        <f>IF(mouvementmp[[#This Row],[QR Fabrication]]&lt;&gt;"",INDEX(_xlfn.TEXTSPLIT(mouvementmp[[#This Row],[QR Fabrication]],"_"),1,4),"")</f>
        <v/>
      </c>
      <c r="U168" s="47" t="str">
        <f>IF(mouvementmp[[#This Row],[QR Fabrication]]&lt;&gt;"",INDEX(_xlfn.TEXTSPLIT(mouvementmp[[#This Row],[QR Fabrication]],"_"),1,5),"")</f>
        <v/>
      </c>
      <c r="V168" s="47" t="str">
        <f>IF(mouvementmp[[#This Row],[QR Fabrication]]&lt;&gt;"",_xlfn.TEXTAFTER(mouvementmp[[#This Row],[QR Fabrication]],"_",5),"")</f>
        <v/>
      </c>
    </row>
    <row r="169" spans="1:22" ht="16.5" thickTop="1" thickBot="1" x14ac:dyDescent="0.3">
      <c r="A169" s="46"/>
      <c r="B169" s="54" t="s">
        <v>3919</v>
      </c>
      <c r="C169" s="47" t="s">
        <v>662</v>
      </c>
      <c r="D169" s="47" t="s">
        <v>662</v>
      </c>
      <c r="E169" s="47" t="s">
        <v>667</v>
      </c>
      <c r="F169" s="48">
        <v>286.10000000000002</v>
      </c>
      <c r="G169" s="47"/>
      <c r="H169" s="47"/>
      <c r="I169" s="47" t="s">
        <v>664</v>
      </c>
      <c r="J169" s="49">
        <v>45913</v>
      </c>
      <c r="K169" s="47" t="str">
        <f>INDEX(_xlfn.TEXTSPLIT(mouvementmp[[#This Row],[QR MP]],"_"),1,1)</f>
        <v>CH</v>
      </c>
      <c r="L169" s="47" t="str">
        <f>INDEX(_xlfn.TEXTSPLIT(mouvementmp[[#This Row],[QR MP]],"_"),1,2)</f>
        <v>Blanc</v>
      </c>
      <c r="M169" s="47" t="str">
        <f>INDEX(_xlfn.TEXTSPLIT(mouvementmp[[#This Row],[QR MP]],"_"),1,3)</f>
        <v>CH2/50VB</v>
      </c>
      <c r="N169" s="47" t="str">
        <f>INDEX(_xlfn.TEXTSPLIT(mouvementmp[[#This Row],[QR MP]],"_"),1,4)</f>
        <v>18950002</v>
      </c>
      <c r="O169" s="47">
        <f>-mouvementmp[[#This Row],[Poids]]</f>
        <v>-286.10000000000002</v>
      </c>
      <c r="P169" s="47" t="str">
        <f>IF(
   COUNTIFS($A$2:A169,A169,
             $B$2:B169,B169,
             $C$2:C169,C169,
             $D$2:D169,D169,
             $E$2:E169,E169,
             $F$2:F169,F169,
              $J$2:J169,J169)&gt;1,
   "Doublon",
   "Correcte"
)</f>
        <v>Correcte</v>
      </c>
      <c r="Q169" s="106" t="str">
        <f>IF(mouvementmp[[#This Row],[QR Fabrication]]&lt;&gt;"",INDEX(_xlfn.TEXTSPLIT(mouvementmp[[#This Row],[QR Fabrication]],"_"),1,1),"")</f>
        <v/>
      </c>
      <c r="R169" s="106" t="str">
        <f>IF(mouvementmp[[#This Row],[QR Fabrication]]&lt;&gt;"",INDEX(_xlfn.TEXTSPLIT(mouvementmp[[#This Row],[QR Fabrication]],"_"),1,2),"")</f>
        <v/>
      </c>
      <c r="S169" s="47" t="str">
        <f>IF(mouvementmp[[#This Row],[QR Fabrication]]&lt;&gt;"",INDEX(_xlfn.TEXTSPLIT(mouvementmp[[#This Row],[QR Fabrication]],"_"),1,3),"")</f>
        <v/>
      </c>
      <c r="T169" s="47" t="str">
        <f>IF(mouvementmp[[#This Row],[QR Fabrication]]&lt;&gt;"",INDEX(_xlfn.TEXTSPLIT(mouvementmp[[#This Row],[QR Fabrication]],"_"),1,4),"")</f>
        <v/>
      </c>
      <c r="U169" s="47" t="str">
        <f>IF(mouvementmp[[#This Row],[QR Fabrication]]&lt;&gt;"",INDEX(_xlfn.TEXTSPLIT(mouvementmp[[#This Row],[QR Fabrication]],"_"),1,5),"")</f>
        <v/>
      </c>
      <c r="V169" s="47" t="str">
        <f>IF(mouvementmp[[#This Row],[QR Fabrication]]&lt;&gt;"",_xlfn.TEXTAFTER(mouvementmp[[#This Row],[QR Fabrication]],"_",5),"")</f>
        <v/>
      </c>
    </row>
    <row r="170" spans="1:22" ht="16.5" thickTop="1" thickBot="1" x14ac:dyDescent="0.3">
      <c r="A170" s="46" t="s">
        <v>2400</v>
      </c>
      <c r="B170" s="54" t="s">
        <v>3865</v>
      </c>
      <c r="C170" s="47" t="s">
        <v>668</v>
      </c>
      <c r="D170" s="47" t="s">
        <v>665</v>
      </c>
      <c r="E170" s="47" t="s">
        <v>669</v>
      </c>
      <c r="F170" s="48">
        <v>0.95</v>
      </c>
      <c r="G170" s="47"/>
      <c r="H170" s="47"/>
      <c r="I170" s="47" t="s">
        <v>664</v>
      </c>
      <c r="J170" s="49">
        <v>45908</v>
      </c>
      <c r="K170" s="47" t="str">
        <f>INDEX(_xlfn.TEXTSPLIT(mouvementmp[[#This Row],[QR MP]],"_"),1,1)</f>
        <v>C17</v>
      </c>
      <c r="L170" s="47" t="str">
        <f>INDEX(_xlfn.TEXTSPLIT(mouvementmp[[#This Row],[QR MP]],"_"),1,2)</f>
        <v>EMAURAUDE</v>
      </c>
      <c r="M170" s="47" t="str">
        <f>INDEX(_xlfn.TEXTSPLIT(mouvementmp[[#This Row],[QR MP]],"_"),1,3)</f>
        <v>NM15-17.00</v>
      </c>
      <c r="N170" s="47" t="str">
        <f>INDEX(_xlfn.TEXTSPLIT(mouvementmp[[#This Row],[QR MP]],"_"),1,4)</f>
        <v>61571</v>
      </c>
      <c r="O170" s="47">
        <f>-mouvementmp[[#This Row],[Poids]]</f>
        <v>-0.95</v>
      </c>
      <c r="P170" s="47" t="str">
        <f>IF(
   COUNTIFS($A$2:A170,A170,
             $B$2:B170,B170,
             $C$2:C170,C170,
             $D$2:D170,D170,
             $E$2:E170,E170,
             $F$2:F170,F170,
              $J$2:J170,J170)&gt;1,
   "Doublon",
   "Correcte"
)</f>
        <v>Correcte</v>
      </c>
      <c r="Q170" s="106" t="str">
        <f>IF(mouvementmp[[#This Row],[QR Fabrication]]&lt;&gt;"",INDEX(_xlfn.TEXTSPLIT(mouvementmp[[#This Row],[QR Fabrication]],"_"),1,1),"")</f>
        <v>CA250784</v>
      </c>
      <c r="R170" s="106" t="str">
        <f>IF(mouvementmp[[#This Row],[QR Fabrication]]&lt;&gt;"",INDEX(_xlfn.TEXTSPLIT(mouvementmp[[#This Row],[QR Fabrication]],"_"),1,2),"")</f>
        <v>All by Fouta</v>
      </c>
      <c r="S170" s="47" t="str">
        <f>IF(mouvementmp[[#This Row],[QR Fabrication]]&lt;&gt;"",INDEX(_xlfn.TEXTSPLIT(mouvementmp[[#This Row],[QR Fabrication]],"_"),1,3),"")</f>
        <v>Stock</v>
      </c>
      <c r="T170" s="47" t="str">
        <f>IF(mouvementmp[[#This Row],[QR Fabrication]]&lt;&gt;"",INDEX(_xlfn.TEXTSPLIT(mouvementmp[[#This Row],[QR Fabrication]],"_"),1,4),"")</f>
        <v>PACKSICHI0507-Q17-10-01</v>
      </c>
      <c r="U170" s="47" t="str">
        <f>IF(mouvementmp[[#This Row],[QR Fabrication]]&lt;&gt;"",INDEX(_xlfn.TEXTSPLIT(mouvementmp[[#This Row],[QR Fabrication]],"_"),1,5),"")</f>
        <v>PACK CHIC</v>
      </c>
      <c r="V170" s="47" t="str">
        <f>IF(mouvementmp[[#This Row],[QR Fabrication]]&lt;&gt;"",_xlfn.TEXTAFTER(mouvementmp[[#This Row],[QR Fabrication]],"_",5),"")</f>
        <v>0507</v>
      </c>
    </row>
    <row r="171" spans="1:22" ht="16.5" thickTop="1" thickBot="1" x14ac:dyDescent="0.3">
      <c r="A171" s="46" t="s">
        <v>2400</v>
      </c>
      <c r="B171" s="54" t="s">
        <v>3847</v>
      </c>
      <c r="C171" s="47" t="s">
        <v>668</v>
      </c>
      <c r="D171" s="47" t="s">
        <v>665</v>
      </c>
      <c r="E171" s="47" t="s">
        <v>669</v>
      </c>
      <c r="F171" s="48">
        <v>0.85</v>
      </c>
      <c r="G171" s="47"/>
      <c r="H171" s="47"/>
      <c r="I171" s="47" t="s">
        <v>664</v>
      </c>
      <c r="J171" s="49">
        <v>45908</v>
      </c>
      <c r="K171" s="47" t="str">
        <f>INDEX(_xlfn.TEXTSPLIT(mouvementmp[[#This Row],[QR MP]],"_"),1,1)</f>
        <v>C11</v>
      </c>
      <c r="L171" s="47" t="str">
        <f>INDEX(_xlfn.TEXTSPLIT(mouvementmp[[#This Row],[QR MP]],"_"),1,2)</f>
        <v>BLEU GITANE</v>
      </c>
      <c r="M171" s="47" t="str">
        <f>INDEX(_xlfn.TEXTSPLIT(mouvementmp[[#This Row],[QR MP]],"_"),1,3)</f>
        <v>NM15-11.00</v>
      </c>
      <c r="N171" s="47" t="str">
        <f>INDEX(_xlfn.TEXTSPLIT(mouvementmp[[#This Row],[QR MP]],"_"),1,4)</f>
        <v>61659</v>
      </c>
      <c r="O171" s="47">
        <f>-mouvementmp[[#This Row],[Poids]]</f>
        <v>-0.85</v>
      </c>
      <c r="P171" s="47" t="str">
        <f>IF(
   COUNTIFS($A$2:A171,A171,
             $B$2:B171,B171,
             $C$2:C171,C171,
             $D$2:D171,D171,
             $E$2:E171,E171,
             $F$2:F171,F171,
              $J$2:J171,J171)&gt;1,
   "Doublon",
   "Correcte"
)</f>
        <v>Correcte</v>
      </c>
      <c r="Q171" s="106" t="str">
        <f>IF(mouvementmp[[#This Row],[QR Fabrication]]&lt;&gt;"",INDEX(_xlfn.TEXTSPLIT(mouvementmp[[#This Row],[QR Fabrication]],"_"),1,1),"")</f>
        <v>CA250784</v>
      </c>
      <c r="R171" s="106" t="str">
        <f>IF(mouvementmp[[#This Row],[QR Fabrication]]&lt;&gt;"",INDEX(_xlfn.TEXTSPLIT(mouvementmp[[#This Row],[QR Fabrication]],"_"),1,2),"")</f>
        <v>All by Fouta</v>
      </c>
      <c r="S171" s="47" t="str">
        <f>IF(mouvementmp[[#This Row],[QR Fabrication]]&lt;&gt;"",INDEX(_xlfn.TEXTSPLIT(mouvementmp[[#This Row],[QR Fabrication]],"_"),1,3),"")</f>
        <v>Stock</v>
      </c>
      <c r="T171" s="47" t="str">
        <f>IF(mouvementmp[[#This Row],[QR Fabrication]]&lt;&gt;"",INDEX(_xlfn.TEXTSPLIT(mouvementmp[[#This Row],[QR Fabrication]],"_"),1,4),"")</f>
        <v>PACKSICHI0507-Q17-10-01</v>
      </c>
      <c r="U171" s="47" t="str">
        <f>IF(mouvementmp[[#This Row],[QR Fabrication]]&lt;&gt;"",INDEX(_xlfn.TEXTSPLIT(mouvementmp[[#This Row],[QR Fabrication]],"_"),1,5),"")</f>
        <v>PACK CHIC</v>
      </c>
      <c r="V171" s="47" t="str">
        <f>IF(mouvementmp[[#This Row],[QR Fabrication]]&lt;&gt;"",_xlfn.TEXTAFTER(mouvementmp[[#This Row],[QR Fabrication]],"_",5),"")</f>
        <v>0507</v>
      </c>
    </row>
    <row r="172" spans="1:22" ht="16.5" thickTop="1" thickBot="1" x14ac:dyDescent="0.3">
      <c r="A172" s="46" t="s">
        <v>2400</v>
      </c>
      <c r="B172" s="54" t="s">
        <v>3920</v>
      </c>
      <c r="C172" s="47" t="s">
        <v>668</v>
      </c>
      <c r="D172" s="47" t="s">
        <v>665</v>
      </c>
      <c r="E172" s="47" t="s">
        <v>669</v>
      </c>
      <c r="F172" s="48">
        <v>0.6</v>
      </c>
      <c r="G172" s="47"/>
      <c r="H172" s="47"/>
      <c r="I172" s="47" t="s">
        <v>664</v>
      </c>
      <c r="J172" s="49">
        <v>45908</v>
      </c>
      <c r="K172" s="47" t="str">
        <f>INDEX(_xlfn.TEXTSPLIT(mouvementmp[[#This Row],[QR MP]],"_"),1,1)</f>
        <v>C01</v>
      </c>
      <c r="L172" s="47" t="str">
        <f>INDEX(_xlfn.TEXTSPLIT(mouvementmp[[#This Row],[QR MP]],"_"),1,2)</f>
        <v>BLANC</v>
      </c>
      <c r="M172" s="47" t="str">
        <f>INDEX(_xlfn.TEXTSPLIT(mouvementmp[[#This Row],[QR MP]],"_"),1,3)</f>
        <v>NM15-01.00</v>
      </c>
      <c r="N172" s="47" t="str">
        <f>INDEX(_xlfn.TEXTSPLIT(mouvementmp[[#This Row],[QR MP]],"_"),1,4)</f>
        <v>62721</v>
      </c>
      <c r="O172" s="47">
        <f>-mouvementmp[[#This Row],[Poids]]</f>
        <v>-0.6</v>
      </c>
      <c r="P172" s="47" t="str">
        <f>IF(
   COUNTIFS($A$2:A172,A172,
             $B$2:B172,B172,
             $C$2:C172,C172,
             $D$2:D172,D172,
             $E$2:E172,E172,
             $F$2:F172,F172,
              $J$2:J172,J172)&gt;1,
   "Doublon",
   "Correcte"
)</f>
        <v>Correcte</v>
      </c>
      <c r="Q172" s="106" t="str">
        <f>IF(mouvementmp[[#This Row],[QR Fabrication]]&lt;&gt;"",INDEX(_xlfn.TEXTSPLIT(mouvementmp[[#This Row],[QR Fabrication]],"_"),1,1),"")</f>
        <v>CA250784</v>
      </c>
      <c r="R172" s="106" t="str">
        <f>IF(mouvementmp[[#This Row],[QR Fabrication]]&lt;&gt;"",INDEX(_xlfn.TEXTSPLIT(mouvementmp[[#This Row],[QR Fabrication]],"_"),1,2),"")</f>
        <v>All by Fouta</v>
      </c>
      <c r="S172" s="47" t="str">
        <f>IF(mouvementmp[[#This Row],[QR Fabrication]]&lt;&gt;"",INDEX(_xlfn.TEXTSPLIT(mouvementmp[[#This Row],[QR Fabrication]],"_"),1,3),"")</f>
        <v>Stock</v>
      </c>
      <c r="T172" s="47" t="str">
        <f>IF(mouvementmp[[#This Row],[QR Fabrication]]&lt;&gt;"",INDEX(_xlfn.TEXTSPLIT(mouvementmp[[#This Row],[QR Fabrication]],"_"),1,4),"")</f>
        <v>PACKSICHI0507-Q17-10-01</v>
      </c>
      <c r="U172" s="47" t="str">
        <f>IF(mouvementmp[[#This Row],[QR Fabrication]]&lt;&gt;"",INDEX(_xlfn.TEXTSPLIT(mouvementmp[[#This Row],[QR Fabrication]],"_"),1,5),"")</f>
        <v>PACK CHIC</v>
      </c>
      <c r="V172" s="47" t="str">
        <f>IF(mouvementmp[[#This Row],[QR Fabrication]]&lt;&gt;"",_xlfn.TEXTAFTER(mouvementmp[[#This Row],[QR Fabrication]],"_",5),"")</f>
        <v>0507</v>
      </c>
    </row>
    <row r="173" spans="1:22" ht="16.5" thickTop="1" thickBot="1" x14ac:dyDescent="0.3">
      <c r="A173" s="46" t="s">
        <v>2400</v>
      </c>
      <c r="B173" s="54" t="s">
        <v>3814</v>
      </c>
      <c r="C173" s="47" t="s">
        <v>668</v>
      </c>
      <c r="D173" s="47" t="s">
        <v>665</v>
      </c>
      <c r="E173" s="47" t="s">
        <v>669</v>
      </c>
      <c r="F173" s="48">
        <v>0.36</v>
      </c>
      <c r="G173" s="47"/>
      <c r="H173" s="47"/>
      <c r="I173" s="47" t="s">
        <v>664</v>
      </c>
      <c r="J173" s="49">
        <v>45908</v>
      </c>
      <c r="K173" s="47" t="str">
        <f>INDEX(_xlfn.TEXTSPLIT(mouvementmp[[#This Row],[QR MP]],"_"),1,1)</f>
        <v>C03</v>
      </c>
      <c r="L173" s="47" t="str">
        <f>INDEX(_xlfn.TEXTSPLIT(mouvementmp[[#This Row],[QR MP]],"_"),1,2)</f>
        <v xml:space="preserve">BEIGE </v>
      </c>
      <c r="M173" s="47" t="str">
        <f>INDEX(_xlfn.TEXTSPLIT(mouvementmp[[#This Row],[QR MP]],"_"),1,3)</f>
        <v>NM15-03.01</v>
      </c>
      <c r="N173" s="47" t="str">
        <f>INDEX(_xlfn.TEXTSPLIT(mouvementmp[[#This Row],[QR MP]],"_"),1,4)</f>
        <v>61559</v>
      </c>
      <c r="O173" s="47">
        <f>-mouvementmp[[#This Row],[Poids]]</f>
        <v>-0.36</v>
      </c>
      <c r="P173" s="47" t="str">
        <f>IF(
   COUNTIFS($A$2:A173,A173,
             $B$2:B173,B173,
             $C$2:C173,C173,
             $D$2:D173,D173,
             $E$2:E173,E173,
             $F$2:F173,F173,
              $J$2:J173,J173)&gt;1,
   "Doublon",
   "Correcte"
)</f>
        <v>Correcte</v>
      </c>
      <c r="Q173" s="106" t="str">
        <f>IF(mouvementmp[[#This Row],[QR Fabrication]]&lt;&gt;"",INDEX(_xlfn.TEXTSPLIT(mouvementmp[[#This Row],[QR Fabrication]],"_"),1,1),"")</f>
        <v>CA250784</v>
      </c>
      <c r="R173" s="106" t="str">
        <f>IF(mouvementmp[[#This Row],[QR Fabrication]]&lt;&gt;"",INDEX(_xlfn.TEXTSPLIT(mouvementmp[[#This Row],[QR Fabrication]],"_"),1,2),"")</f>
        <v>All by Fouta</v>
      </c>
      <c r="S173" s="47" t="str">
        <f>IF(mouvementmp[[#This Row],[QR Fabrication]]&lt;&gt;"",INDEX(_xlfn.TEXTSPLIT(mouvementmp[[#This Row],[QR Fabrication]],"_"),1,3),"")</f>
        <v>Stock</v>
      </c>
      <c r="T173" s="47" t="str">
        <f>IF(mouvementmp[[#This Row],[QR Fabrication]]&lt;&gt;"",INDEX(_xlfn.TEXTSPLIT(mouvementmp[[#This Row],[QR Fabrication]],"_"),1,4),"")</f>
        <v>PACKSICHI0507-Q17-10-01</v>
      </c>
      <c r="U173" s="47" t="str">
        <f>IF(mouvementmp[[#This Row],[QR Fabrication]]&lt;&gt;"",INDEX(_xlfn.TEXTSPLIT(mouvementmp[[#This Row],[QR Fabrication]],"_"),1,5),"")</f>
        <v>PACK CHIC</v>
      </c>
      <c r="V173" s="47" t="str">
        <f>IF(mouvementmp[[#This Row],[QR Fabrication]]&lt;&gt;"",_xlfn.TEXTAFTER(mouvementmp[[#This Row],[QR Fabrication]],"_",5),"")</f>
        <v>0507</v>
      </c>
    </row>
    <row r="174" spans="1:22" ht="16.5" thickTop="1" thickBot="1" x14ac:dyDescent="0.3">
      <c r="A174" s="46" t="s">
        <v>2401</v>
      </c>
      <c r="B174" s="54" t="s">
        <v>3847</v>
      </c>
      <c r="C174" s="47" t="s">
        <v>668</v>
      </c>
      <c r="D174" s="47" t="s">
        <v>665</v>
      </c>
      <c r="E174" s="47" t="s">
        <v>669</v>
      </c>
      <c r="F174" s="48">
        <v>1.38</v>
      </c>
      <c r="G174" s="47"/>
      <c r="H174" s="47"/>
      <c r="I174" s="47" t="s">
        <v>664</v>
      </c>
      <c r="J174" s="49">
        <v>45908</v>
      </c>
      <c r="K174" s="47" t="str">
        <f>INDEX(_xlfn.TEXTSPLIT(mouvementmp[[#This Row],[QR MP]],"_"),1,1)</f>
        <v>C11</v>
      </c>
      <c r="L174" s="47" t="str">
        <f>INDEX(_xlfn.TEXTSPLIT(mouvementmp[[#This Row],[QR MP]],"_"),1,2)</f>
        <v>BLEU GITANE</v>
      </c>
      <c r="M174" s="47" t="str">
        <f>INDEX(_xlfn.TEXTSPLIT(mouvementmp[[#This Row],[QR MP]],"_"),1,3)</f>
        <v>NM15-11.00</v>
      </c>
      <c r="N174" s="47" t="str">
        <f>INDEX(_xlfn.TEXTSPLIT(mouvementmp[[#This Row],[QR MP]],"_"),1,4)</f>
        <v>61659</v>
      </c>
      <c r="O174" s="47">
        <f>-mouvementmp[[#This Row],[Poids]]</f>
        <v>-1.38</v>
      </c>
      <c r="P174" s="47" t="str">
        <f>IF(
   COUNTIFS($A$2:A174,A174,
             $B$2:B174,B174,
             $C$2:C174,C174,
             $D$2:D174,D174,
             $E$2:E174,E174,
             $F$2:F174,F174,
              $J$2:J174,J174)&gt;1,
   "Doublon",
   "Correcte"
)</f>
        <v>Correcte</v>
      </c>
      <c r="Q174" s="106" t="str">
        <f>IF(mouvementmp[[#This Row],[QR Fabrication]]&lt;&gt;"",INDEX(_xlfn.TEXTSPLIT(mouvementmp[[#This Row],[QR Fabrication]],"_"),1,1),"")</f>
        <v>CA250779</v>
      </c>
      <c r="R174" s="106" t="str">
        <f>IF(mouvementmp[[#This Row],[QR Fabrication]]&lt;&gt;"",INDEX(_xlfn.TEXTSPLIT(mouvementmp[[#This Row],[QR Fabrication]],"_"),1,2),"")</f>
        <v>All by Fouta</v>
      </c>
      <c r="S174" s="47" t="str">
        <f>IF(mouvementmp[[#This Row],[QR Fabrication]]&lt;&gt;"",INDEX(_xlfn.TEXTSPLIT(mouvementmp[[#This Row],[QR Fabrication]],"_"),1,3),"")</f>
        <v>Stock</v>
      </c>
      <c r="T174" s="47" t="str">
        <f>IF(mouvementmp[[#This Row],[QR Fabrication]]&lt;&gt;"",INDEX(_xlfn.TEXTSPLIT(mouvementmp[[#This Row],[QR Fabrication]],"_"),1,4),"")</f>
        <v>PACKSICHI0507-Q10-23-01</v>
      </c>
      <c r="U174" s="47" t="str">
        <f>IF(mouvementmp[[#This Row],[QR Fabrication]]&lt;&gt;"",INDEX(_xlfn.TEXTSPLIT(mouvementmp[[#This Row],[QR Fabrication]],"_"),1,5),"")</f>
        <v>PACK CHIC</v>
      </c>
      <c r="V174" s="47" t="str">
        <f>IF(mouvementmp[[#This Row],[QR Fabrication]]&lt;&gt;"",_xlfn.TEXTAFTER(mouvementmp[[#This Row],[QR Fabrication]],"_",5),"")</f>
        <v>0507</v>
      </c>
    </row>
    <row r="175" spans="1:22" ht="16.5" thickTop="1" thickBot="1" x14ac:dyDescent="0.3">
      <c r="A175" s="46" t="s">
        <v>2401</v>
      </c>
      <c r="B175" s="54" t="s">
        <v>3884</v>
      </c>
      <c r="C175" s="47" t="s">
        <v>668</v>
      </c>
      <c r="D175" s="47" t="s">
        <v>665</v>
      </c>
      <c r="E175" s="47" t="s">
        <v>669</v>
      </c>
      <c r="F175" s="48">
        <v>0.5</v>
      </c>
      <c r="G175" s="47"/>
      <c r="H175" s="47"/>
      <c r="I175" s="47" t="s">
        <v>664</v>
      </c>
      <c r="J175" s="49">
        <v>45908</v>
      </c>
      <c r="K175" s="47" t="str">
        <f>INDEX(_xlfn.TEXTSPLIT(mouvementmp[[#This Row],[QR MP]],"_"),1,1)</f>
        <v>C23</v>
      </c>
      <c r="L175" s="47" t="str">
        <f>INDEX(_xlfn.TEXTSPLIT(mouvementmp[[#This Row],[QR MP]],"_"),1,2)</f>
        <v>OR</v>
      </c>
      <c r="M175" s="47" t="str">
        <f>INDEX(_xlfn.TEXTSPLIT(mouvementmp[[#This Row],[QR MP]],"_"),1,3)</f>
        <v>NM15-23.00</v>
      </c>
      <c r="N175" s="47" t="str">
        <f>INDEX(_xlfn.TEXTSPLIT(mouvementmp[[#This Row],[QR MP]],"_"),1,4)</f>
        <v>61566</v>
      </c>
      <c r="O175" s="47">
        <f>-mouvementmp[[#This Row],[Poids]]</f>
        <v>-0.5</v>
      </c>
      <c r="P175" s="47" t="str">
        <f>IF(
   COUNTIFS($A$2:A175,A175,
             $B$2:B175,B175,
             $C$2:C175,C175,
             $D$2:D175,D175,
             $E$2:E175,E175,
             $F$2:F175,F175,
              $J$2:J175,J175)&gt;1,
   "Doublon",
   "Correcte"
)</f>
        <v>Correcte</v>
      </c>
      <c r="Q175" s="106" t="str">
        <f>IF(mouvementmp[[#This Row],[QR Fabrication]]&lt;&gt;"",INDEX(_xlfn.TEXTSPLIT(mouvementmp[[#This Row],[QR Fabrication]],"_"),1,1),"")</f>
        <v>CA250779</v>
      </c>
      <c r="R175" s="106" t="str">
        <f>IF(mouvementmp[[#This Row],[QR Fabrication]]&lt;&gt;"",INDEX(_xlfn.TEXTSPLIT(mouvementmp[[#This Row],[QR Fabrication]],"_"),1,2),"")</f>
        <v>All by Fouta</v>
      </c>
      <c r="S175" s="47" t="str">
        <f>IF(mouvementmp[[#This Row],[QR Fabrication]]&lt;&gt;"",INDEX(_xlfn.TEXTSPLIT(mouvementmp[[#This Row],[QR Fabrication]],"_"),1,3),"")</f>
        <v>Stock</v>
      </c>
      <c r="T175" s="47" t="str">
        <f>IF(mouvementmp[[#This Row],[QR Fabrication]]&lt;&gt;"",INDEX(_xlfn.TEXTSPLIT(mouvementmp[[#This Row],[QR Fabrication]],"_"),1,4),"")</f>
        <v>PACKSICHI0507-Q10-23-01</v>
      </c>
      <c r="U175" s="47" t="str">
        <f>IF(mouvementmp[[#This Row],[QR Fabrication]]&lt;&gt;"",INDEX(_xlfn.TEXTSPLIT(mouvementmp[[#This Row],[QR Fabrication]],"_"),1,5),"")</f>
        <v>PACK CHIC</v>
      </c>
      <c r="V175" s="47" t="str">
        <f>IF(mouvementmp[[#This Row],[QR Fabrication]]&lt;&gt;"",_xlfn.TEXTAFTER(mouvementmp[[#This Row],[QR Fabrication]],"_",5),"")</f>
        <v>0507</v>
      </c>
    </row>
    <row r="176" spans="1:22" ht="16.5" thickTop="1" thickBot="1" x14ac:dyDescent="0.3">
      <c r="A176" s="46" t="s">
        <v>2401</v>
      </c>
      <c r="B176" s="54" t="s">
        <v>3920</v>
      </c>
      <c r="C176" s="47" t="s">
        <v>668</v>
      </c>
      <c r="D176" s="47" t="s">
        <v>665</v>
      </c>
      <c r="E176" s="47" t="s">
        <v>669</v>
      </c>
      <c r="F176" s="48">
        <v>0.65</v>
      </c>
      <c r="G176" s="47"/>
      <c r="H176" s="47"/>
      <c r="I176" s="47" t="s">
        <v>664</v>
      </c>
      <c r="J176" s="49">
        <v>45908</v>
      </c>
      <c r="K176" s="47" t="str">
        <f>INDEX(_xlfn.TEXTSPLIT(mouvementmp[[#This Row],[QR MP]],"_"),1,1)</f>
        <v>C01</v>
      </c>
      <c r="L176" s="47" t="str">
        <f>INDEX(_xlfn.TEXTSPLIT(mouvementmp[[#This Row],[QR MP]],"_"),1,2)</f>
        <v>BLANC</v>
      </c>
      <c r="M176" s="47" t="str">
        <f>INDEX(_xlfn.TEXTSPLIT(mouvementmp[[#This Row],[QR MP]],"_"),1,3)</f>
        <v>NM15-01.00</v>
      </c>
      <c r="N176" s="47" t="str">
        <f>INDEX(_xlfn.TEXTSPLIT(mouvementmp[[#This Row],[QR MP]],"_"),1,4)</f>
        <v>62721</v>
      </c>
      <c r="O176" s="47">
        <f>-mouvementmp[[#This Row],[Poids]]</f>
        <v>-0.65</v>
      </c>
      <c r="P176" s="47" t="str">
        <f>IF(
   COUNTIFS($A$2:A176,A176,
             $B$2:B176,B176,
             $C$2:C176,C176,
             $D$2:D176,D176,
             $E$2:E176,E176,
             $F$2:F176,F176,
              $J$2:J176,J176)&gt;1,
   "Doublon",
   "Correcte"
)</f>
        <v>Correcte</v>
      </c>
      <c r="Q176" s="106" t="str">
        <f>IF(mouvementmp[[#This Row],[QR Fabrication]]&lt;&gt;"",INDEX(_xlfn.TEXTSPLIT(mouvementmp[[#This Row],[QR Fabrication]],"_"),1,1),"")</f>
        <v>CA250779</v>
      </c>
      <c r="R176" s="106" t="str">
        <f>IF(mouvementmp[[#This Row],[QR Fabrication]]&lt;&gt;"",INDEX(_xlfn.TEXTSPLIT(mouvementmp[[#This Row],[QR Fabrication]],"_"),1,2),"")</f>
        <v>All by Fouta</v>
      </c>
      <c r="S176" s="47" t="str">
        <f>IF(mouvementmp[[#This Row],[QR Fabrication]]&lt;&gt;"",INDEX(_xlfn.TEXTSPLIT(mouvementmp[[#This Row],[QR Fabrication]],"_"),1,3),"")</f>
        <v>Stock</v>
      </c>
      <c r="T176" s="47" t="str">
        <f>IF(mouvementmp[[#This Row],[QR Fabrication]]&lt;&gt;"",INDEX(_xlfn.TEXTSPLIT(mouvementmp[[#This Row],[QR Fabrication]],"_"),1,4),"")</f>
        <v>PACKSICHI0507-Q10-23-01</v>
      </c>
      <c r="U176" s="47" t="str">
        <f>IF(mouvementmp[[#This Row],[QR Fabrication]]&lt;&gt;"",INDEX(_xlfn.TEXTSPLIT(mouvementmp[[#This Row],[QR Fabrication]],"_"),1,5),"")</f>
        <v>PACK CHIC</v>
      </c>
      <c r="V176" s="47" t="str">
        <f>IF(mouvementmp[[#This Row],[QR Fabrication]]&lt;&gt;"",_xlfn.TEXTAFTER(mouvementmp[[#This Row],[QR Fabrication]],"_",5),"")</f>
        <v>0507</v>
      </c>
    </row>
    <row r="177" spans="1:22" ht="16.5" thickTop="1" thickBot="1" x14ac:dyDescent="0.3">
      <c r="A177" s="46" t="s">
        <v>2401</v>
      </c>
      <c r="B177" s="54" t="s">
        <v>3851</v>
      </c>
      <c r="C177" s="47" t="s">
        <v>668</v>
      </c>
      <c r="D177" s="47" t="s">
        <v>665</v>
      </c>
      <c r="E177" s="47" t="s">
        <v>669</v>
      </c>
      <c r="F177" s="48">
        <v>0.75</v>
      </c>
      <c r="G177" s="47"/>
      <c r="H177" s="47"/>
      <c r="I177" s="47" t="s">
        <v>664</v>
      </c>
      <c r="J177" s="49">
        <v>45908</v>
      </c>
      <c r="K177" s="47" t="str">
        <f>INDEX(_xlfn.TEXTSPLIT(mouvementmp[[#This Row],[QR MP]],"_"),1,1)</f>
        <v>C12</v>
      </c>
      <c r="L177" s="47" t="str">
        <f>INDEX(_xlfn.TEXTSPLIT(mouvementmp[[#This Row],[QR MP]],"_"),1,2)</f>
        <v>BLEU DJEAN</v>
      </c>
      <c r="M177" s="47" t="str">
        <f>INDEX(_xlfn.TEXTSPLIT(mouvementmp[[#This Row],[QR MP]],"_"),1,3)</f>
        <v>NM15-12.00</v>
      </c>
      <c r="N177" s="47" t="str">
        <f>INDEX(_xlfn.TEXTSPLIT(mouvementmp[[#This Row],[QR MP]],"_"),1,4)</f>
        <v>S2023</v>
      </c>
      <c r="O177" s="47">
        <f>-mouvementmp[[#This Row],[Poids]]</f>
        <v>-0.75</v>
      </c>
      <c r="P177" s="47" t="str">
        <f>IF(
   COUNTIFS($A$2:A177,A177,
             $B$2:B177,B177,
             $C$2:C177,C177,
             $D$2:D177,D177,
             $E$2:E177,E177,
             $F$2:F177,F177,
              $J$2:J177,J177)&gt;1,
   "Doublon",
   "Correcte"
)</f>
        <v>Correcte</v>
      </c>
      <c r="Q177" s="106" t="str">
        <f>IF(mouvementmp[[#This Row],[QR Fabrication]]&lt;&gt;"",INDEX(_xlfn.TEXTSPLIT(mouvementmp[[#This Row],[QR Fabrication]],"_"),1,1),"")</f>
        <v>CA250779</v>
      </c>
      <c r="R177" s="106" t="str">
        <f>IF(mouvementmp[[#This Row],[QR Fabrication]]&lt;&gt;"",INDEX(_xlfn.TEXTSPLIT(mouvementmp[[#This Row],[QR Fabrication]],"_"),1,2),"")</f>
        <v>All by Fouta</v>
      </c>
      <c r="S177" s="47" t="str">
        <f>IF(mouvementmp[[#This Row],[QR Fabrication]]&lt;&gt;"",INDEX(_xlfn.TEXTSPLIT(mouvementmp[[#This Row],[QR Fabrication]],"_"),1,3),"")</f>
        <v>Stock</v>
      </c>
      <c r="T177" s="47" t="str">
        <f>IF(mouvementmp[[#This Row],[QR Fabrication]]&lt;&gt;"",INDEX(_xlfn.TEXTSPLIT(mouvementmp[[#This Row],[QR Fabrication]],"_"),1,4),"")</f>
        <v>PACKSICHI0507-Q10-23-01</v>
      </c>
      <c r="U177" s="47" t="str">
        <f>IF(mouvementmp[[#This Row],[QR Fabrication]]&lt;&gt;"",INDEX(_xlfn.TEXTSPLIT(mouvementmp[[#This Row],[QR Fabrication]],"_"),1,5),"")</f>
        <v>PACK CHIC</v>
      </c>
      <c r="V177" s="47" t="str">
        <f>IF(mouvementmp[[#This Row],[QR Fabrication]]&lt;&gt;"",_xlfn.TEXTAFTER(mouvementmp[[#This Row],[QR Fabrication]],"_",5),"")</f>
        <v>0507</v>
      </c>
    </row>
    <row r="178" spans="1:22" ht="16.5" thickTop="1" thickBot="1" x14ac:dyDescent="0.3">
      <c r="A178" s="46" t="s">
        <v>2402</v>
      </c>
      <c r="B178" s="54" t="s">
        <v>3875</v>
      </c>
      <c r="C178" s="47" t="s">
        <v>668</v>
      </c>
      <c r="D178" s="47" t="s">
        <v>665</v>
      </c>
      <c r="E178" s="47" t="s">
        <v>669</v>
      </c>
      <c r="F178" s="48">
        <v>0.35</v>
      </c>
      <c r="G178" s="47"/>
      <c r="H178" s="47"/>
      <c r="I178" s="47" t="s">
        <v>664</v>
      </c>
      <c r="J178" s="49">
        <v>45908</v>
      </c>
      <c r="K178" s="47" t="str">
        <f>INDEX(_xlfn.TEXTSPLIT(mouvementmp[[#This Row],[QR MP]],"_"),1,1)</f>
        <v>C20</v>
      </c>
      <c r="L178" s="47" t="str">
        <f>INDEX(_xlfn.TEXTSPLIT(mouvementmp[[#This Row],[QR MP]],"_"),1,2)</f>
        <v>VERT OLIVE</v>
      </c>
      <c r="M178" s="47" t="str">
        <f>INDEX(_xlfn.TEXTSPLIT(mouvementmp[[#This Row],[QR MP]],"_"),1,3)</f>
        <v>NM15-20.01</v>
      </c>
      <c r="N178" s="47" t="str">
        <f>INDEX(_xlfn.TEXTSPLIT(mouvementmp[[#This Row],[QR MP]],"_"),1,4)</f>
        <v>61652</v>
      </c>
      <c r="O178" s="47">
        <f>-mouvementmp[[#This Row],[Poids]]</f>
        <v>-0.35</v>
      </c>
      <c r="P178" s="47" t="str">
        <f>IF(
   COUNTIFS($A$2:A178,A178,
             $B$2:B178,B178,
             $C$2:C178,C178,
             $D$2:D178,D178,
             $E$2:E178,E178,
             $F$2:F178,F178,
              $J$2:J178,J178)&gt;1,
   "Doublon",
   "Correcte"
)</f>
        <v>Correcte</v>
      </c>
      <c r="Q178" s="106" t="str">
        <f>IF(mouvementmp[[#This Row],[QR Fabrication]]&lt;&gt;"",INDEX(_xlfn.TEXTSPLIT(mouvementmp[[#This Row],[QR Fabrication]],"_"),1,1),"")</f>
        <v>CA250782</v>
      </c>
      <c r="R178" s="106" t="str">
        <f>IF(mouvementmp[[#This Row],[QR Fabrication]]&lt;&gt;"",INDEX(_xlfn.TEXTSPLIT(mouvementmp[[#This Row],[QR Fabrication]],"_"),1,2),"")</f>
        <v>All by Fouta</v>
      </c>
      <c r="S178" s="47" t="str">
        <f>IF(mouvementmp[[#This Row],[QR Fabrication]]&lt;&gt;"",INDEX(_xlfn.TEXTSPLIT(mouvementmp[[#This Row],[QR Fabrication]],"_"),1,3),"")</f>
        <v>Stock</v>
      </c>
      <c r="T178" s="47" t="str">
        <f>IF(mouvementmp[[#This Row],[QR Fabrication]]&lt;&gt;"",INDEX(_xlfn.TEXTSPLIT(mouvementmp[[#This Row],[QR Fabrication]],"_"),1,4),"")</f>
        <v>PACKSICHI0507-Q20-24-01</v>
      </c>
      <c r="U178" s="47" t="str">
        <f>IF(mouvementmp[[#This Row],[QR Fabrication]]&lt;&gt;"",INDEX(_xlfn.TEXTSPLIT(mouvementmp[[#This Row],[QR Fabrication]],"_"),1,5),"")</f>
        <v>PACK CHIC</v>
      </c>
      <c r="V178" s="47" t="str">
        <f>IF(mouvementmp[[#This Row],[QR Fabrication]]&lt;&gt;"",_xlfn.TEXTAFTER(mouvementmp[[#This Row],[QR Fabrication]],"_",5),"")</f>
        <v>0507</v>
      </c>
    </row>
    <row r="179" spans="1:22" ht="16.5" thickTop="1" thickBot="1" x14ac:dyDescent="0.3">
      <c r="A179" s="46" t="s">
        <v>2402</v>
      </c>
      <c r="B179" s="54" t="s">
        <v>3886</v>
      </c>
      <c r="C179" s="47" t="s">
        <v>668</v>
      </c>
      <c r="D179" s="47" t="s">
        <v>665</v>
      </c>
      <c r="E179" s="47" t="s">
        <v>669</v>
      </c>
      <c r="F179" s="48">
        <v>0.15</v>
      </c>
      <c r="G179" s="47"/>
      <c r="H179" s="47"/>
      <c r="I179" s="47" t="s">
        <v>664</v>
      </c>
      <c r="J179" s="49">
        <v>45908</v>
      </c>
      <c r="K179" s="47" t="str">
        <f>INDEX(_xlfn.TEXTSPLIT(mouvementmp[[#This Row],[QR MP]],"_"),1,1)</f>
        <v>C24</v>
      </c>
      <c r="L179" s="47" t="str">
        <f>INDEX(_xlfn.TEXTSPLIT(mouvementmp[[#This Row],[QR MP]],"_"),1,2)</f>
        <v>JAUNE SAFRAN</v>
      </c>
      <c r="M179" s="47" t="str">
        <f>INDEX(_xlfn.TEXTSPLIT(mouvementmp[[#This Row],[QR MP]],"_"),1,3)</f>
        <v>NM15-24.00</v>
      </c>
      <c r="N179" s="47" t="str">
        <f>INDEX(_xlfn.TEXTSPLIT(mouvementmp[[#This Row],[QR MP]],"_"),1,4)</f>
        <v>61554</v>
      </c>
      <c r="O179" s="47">
        <f>-mouvementmp[[#This Row],[Poids]]</f>
        <v>-0.15</v>
      </c>
      <c r="P179" s="47" t="str">
        <f>IF(
   COUNTIFS($A$2:A179,A179,
             $B$2:B179,B179,
             $C$2:C179,C179,
             $D$2:D179,D179,
             $E$2:E179,E179,
             $F$2:F179,F179,
              $J$2:J179,J179)&gt;1,
   "Doublon",
   "Correcte"
)</f>
        <v>Correcte</v>
      </c>
      <c r="Q179" s="106" t="str">
        <f>IF(mouvementmp[[#This Row],[QR Fabrication]]&lt;&gt;"",INDEX(_xlfn.TEXTSPLIT(mouvementmp[[#This Row],[QR Fabrication]],"_"),1,1),"")</f>
        <v>CA250782</v>
      </c>
      <c r="R179" s="106" t="str">
        <f>IF(mouvementmp[[#This Row],[QR Fabrication]]&lt;&gt;"",INDEX(_xlfn.TEXTSPLIT(mouvementmp[[#This Row],[QR Fabrication]],"_"),1,2),"")</f>
        <v>All by Fouta</v>
      </c>
      <c r="S179" s="47" t="str">
        <f>IF(mouvementmp[[#This Row],[QR Fabrication]]&lt;&gt;"",INDEX(_xlfn.TEXTSPLIT(mouvementmp[[#This Row],[QR Fabrication]],"_"),1,3),"")</f>
        <v>Stock</v>
      </c>
      <c r="T179" s="47" t="str">
        <f>IF(mouvementmp[[#This Row],[QR Fabrication]]&lt;&gt;"",INDEX(_xlfn.TEXTSPLIT(mouvementmp[[#This Row],[QR Fabrication]],"_"),1,4),"")</f>
        <v>PACKSICHI0507-Q20-24-01</v>
      </c>
      <c r="U179" s="47" t="str">
        <f>IF(mouvementmp[[#This Row],[QR Fabrication]]&lt;&gt;"",INDEX(_xlfn.TEXTSPLIT(mouvementmp[[#This Row],[QR Fabrication]],"_"),1,5),"")</f>
        <v>PACK CHIC</v>
      </c>
      <c r="V179" s="47" t="str">
        <f>IF(mouvementmp[[#This Row],[QR Fabrication]]&lt;&gt;"",_xlfn.TEXTAFTER(mouvementmp[[#This Row],[QR Fabrication]],"_",5),"")</f>
        <v>0507</v>
      </c>
    </row>
    <row r="180" spans="1:22" ht="16.5" thickTop="1" thickBot="1" x14ac:dyDescent="0.3">
      <c r="A180" s="46" t="s">
        <v>2402</v>
      </c>
      <c r="B180" s="54" t="s">
        <v>3806</v>
      </c>
      <c r="C180" s="47" t="s">
        <v>668</v>
      </c>
      <c r="D180" s="47" t="s">
        <v>665</v>
      </c>
      <c r="E180" s="47" t="s">
        <v>669</v>
      </c>
      <c r="F180" s="48">
        <v>0.41</v>
      </c>
      <c r="G180" s="47"/>
      <c r="H180" s="47"/>
      <c r="I180" s="47" t="s">
        <v>664</v>
      </c>
      <c r="J180" s="49">
        <v>45908</v>
      </c>
      <c r="K180" s="47" t="str">
        <f>INDEX(_xlfn.TEXTSPLIT(mouvementmp[[#This Row],[QR MP]],"_"),1,1)</f>
        <v>C02</v>
      </c>
      <c r="L180" s="47" t="str">
        <f>INDEX(_xlfn.TEXTSPLIT(mouvementmp[[#This Row],[QR MP]],"_"),1,2)</f>
        <v>ECRU</v>
      </c>
      <c r="M180" s="47" t="str">
        <f>INDEX(_xlfn.TEXTSPLIT(mouvementmp[[#This Row],[QR MP]],"_"),1,3)</f>
        <v>NM15-02.00</v>
      </c>
      <c r="N180" s="47" t="str">
        <f>INDEX(_xlfn.TEXTSPLIT(mouvementmp[[#This Row],[QR MP]],"_"),1,4)</f>
        <v>61424</v>
      </c>
      <c r="O180" s="47">
        <f>-mouvementmp[[#This Row],[Poids]]</f>
        <v>-0.41</v>
      </c>
      <c r="P180" s="47" t="str">
        <f>IF(
   COUNTIFS($A$2:A180,A180,
             $B$2:B180,B180,
             $C$2:C180,C180,
             $D$2:D180,D180,
             $E$2:E180,E180,
             $F$2:F180,F180,
              $J$2:J180,J180)&gt;1,
   "Doublon",
   "Correcte"
)</f>
        <v>Correcte</v>
      </c>
      <c r="Q180" s="106" t="str">
        <f>IF(mouvementmp[[#This Row],[QR Fabrication]]&lt;&gt;"",INDEX(_xlfn.TEXTSPLIT(mouvementmp[[#This Row],[QR Fabrication]],"_"),1,1),"")</f>
        <v>CA250782</v>
      </c>
      <c r="R180" s="106" t="str">
        <f>IF(mouvementmp[[#This Row],[QR Fabrication]]&lt;&gt;"",INDEX(_xlfn.TEXTSPLIT(mouvementmp[[#This Row],[QR Fabrication]],"_"),1,2),"")</f>
        <v>All by Fouta</v>
      </c>
      <c r="S180" s="47" t="str">
        <f>IF(mouvementmp[[#This Row],[QR Fabrication]]&lt;&gt;"",INDEX(_xlfn.TEXTSPLIT(mouvementmp[[#This Row],[QR Fabrication]],"_"),1,3),"")</f>
        <v>Stock</v>
      </c>
      <c r="T180" s="47" t="str">
        <f>IF(mouvementmp[[#This Row],[QR Fabrication]]&lt;&gt;"",INDEX(_xlfn.TEXTSPLIT(mouvementmp[[#This Row],[QR Fabrication]],"_"),1,4),"")</f>
        <v>PACKSICHI0507-Q20-24-01</v>
      </c>
      <c r="U180" s="47" t="str">
        <f>IF(mouvementmp[[#This Row],[QR Fabrication]]&lt;&gt;"",INDEX(_xlfn.TEXTSPLIT(mouvementmp[[#This Row],[QR Fabrication]],"_"),1,5),"")</f>
        <v>PACK CHIC</v>
      </c>
      <c r="V180" s="47" t="str">
        <f>IF(mouvementmp[[#This Row],[QR Fabrication]]&lt;&gt;"",_xlfn.TEXTAFTER(mouvementmp[[#This Row],[QR Fabrication]],"_",5),"")</f>
        <v>0507</v>
      </c>
    </row>
    <row r="181" spans="1:22" ht="16.5" thickTop="1" thickBot="1" x14ac:dyDescent="0.3">
      <c r="A181" s="46" t="s">
        <v>2403</v>
      </c>
      <c r="B181" s="54" t="s">
        <v>3806</v>
      </c>
      <c r="C181" s="47" t="s">
        <v>668</v>
      </c>
      <c r="D181" s="47" t="s">
        <v>665</v>
      </c>
      <c r="E181" s="47" t="s">
        <v>669</v>
      </c>
      <c r="F181" s="48">
        <v>0.95</v>
      </c>
      <c r="G181" s="47"/>
      <c r="H181" s="47"/>
      <c r="I181" s="47" t="s">
        <v>664</v>
      </c>
      <c r="J181" s="49">
        <v>45908</v>
      </c>
      <c r="K181" s="47" t="str">
        <f>INDEX(_xlfn.TEXTSPLIT(mouvementmp[[#This Row],[QR MP]],"_"),1,1)</f>
        <v>C02</v>
      </c>
      <c r="L181" s="47" t="str">
        <f>INDEX(_xlfn.TEXTSPLIT(mouvementmp[[#This Row],[QR MP]],"_"),1,2)</f>
        <v>ECRU</v>
      </c>
      <c r="M181" s="47" t="str">
        <f>INDEX(_xlfn.TEXTSPLIT(mouvementmp[[#This Row],[QR MP]],"_"),1,3)</f>
        <v>NM15-02.00</v>
      </c>
      <c r="N181" s="47" t="str">
        <f>INDEX(_xlfn.TEXTSPLIT(mouvementmp[[#This Row],[QR MP]],"_"),1,4)</f>
        <v>61424</v>
      </c>
      <c r="O181" s="47">
        <f>-mouvementmp[[#This Row],[Poids]]</f>
        <v>-0.95</v>
      </c>
      <c r="P181" s="47" t="str">
        <f>IF(
   COUNTIFS($A$2:A181,A181,
             $B$2:B181,B181,
             $C$2:C181,C181,
             $D$2:D181,D181,
             $E$2:E181,E181,
             $F$2:F181,F181,
              $J$2:J181,J181)&gt;1,
   "Doublon",
   "Correcte"
)</f>
        <v>Correcte</v>
      </c>
      <c r="Q181" s="106" t="str">
        <f>IF(mouvementmp[[#This Row],[QR Fabrication]]&lt;&gt;"",INDEX(_xlfn.TEXTSPLIT(mouvementmp[[#This Row],[QR Fabrication]],"_"),1,1),"")</f>
        <v>CA250780</v>
      </c>
      <c r="R181" s="106" t="str">
        <f>IF(mouvementmp[[#This Row],[QR Fabrication]]&lt;&gt;"",INDEX(_xlfn.TEXTSPLIT(mouvementmp[[#This Row],[QR Fabrication]],"_"),1,2),"")</f>
        <v>All by Fouta</v>
      </c>
      <c r="S181" s="47" t="str">
        <f>IF(mouvementmp[[#This Row],[QR Fabrication]]&lt;&gt;"",INDEX(_xlfn.TEXTSPLIT(mouvementmp[[#This Row],[QR Fabrication]],"_"),1,3),"")</f>
        <v>Stock</v>
      </c>
      <c r="T181" s="47" t="str">
        <f>IF(mouvementmp[[#This Row],[QR Fabrication]]&lt;&gt;"",INDEX(_xlfn.TEXTSPLIT(mouvementmp[[#This Row],[QR Fabrication]],"_"),1,4),"")</f>
        <v>PACKSICHI0507-Q02-32-01</v>
      </c>
      <c r="U181" s="47" t="str">
        <f>IF(mouvementmp[[#This Row],[QR Fabrication]]&lt;&gt;"",INDEX(_xlfn.TEXTSPLIT(mouvementmp[[#This Row],[QR Fabrication]],"_"),1,5),"")</f>
        <v>PACK CHIC</v>
      </c>
      <c r="V181" s="47" t="str">
        <f>IF(mouvementmp[[#This Row],[QR Fabrication]]&lt;&gt;"",_xlfn.TEXTAFTER(mouvementmp[[#This Row],[QR Fabrication]],"_",5),"")</f>
        <v>0507</v>
      </c>
    </row>
    <row r="182" spans="1:22" ht="16.5" thickTop="1" thickBot="1" x14ac:dyDescent="0.3">
      <c r="A182" s="46" t="s">
        <v>2403</v>
      </c>
      <c r="B182" s="54" t="s">
        <v>3905</v>
      </c>
      <c r="C182" s="47" t="s">
        <v>668</v>
      </c>
      <c r="D182" s="47" t="s">
        <v>665</v>
      </c>
      <c r="E182" s="47" t="s">
        <v>669</v>
      </c>
      <c r="F182" s="48">
        <v>0.5</v>
      </c>
      <c r="G182" s="47"/>
      <c r="H182" s="47"/>
      <c r="I182" s="47" t="s">
        <v>664</v>
      </c>
      <c r="J182" s="49">
        <v>45908</v>
      </c>
      <c r="K182" s="47" t="str">
        <f>INDEX(_xlfn.TEXTSPLIT(mouvementmp[[#This Row],[QR MP]],"_"),1,1)</f>
        <v>C32</v>
      </c>
      <c r="L182" s="47" t="str">
        <f>INDEX(_xlfn.TEXTSPLIT(mouvementmp[[#This Row],[QR MP]],"_"),1,2)</f>
        <v>VIEUX ROSE</v>
      </c>
      <c r="M182" s="47" t="str">
        <f>INDEX(_xlfn.TEXTSPLIT(mouvementmp[[#This Row],[QR MP]],"_"),1,3)</f>
        <v>NM15-32.00</v>
      </c>
      <c r="N182" s="47" t="str">
        <f>INDEX(_xlfn.TEXTSPLIT(mouvementmp[[#This Row],[QR MP]],"_"),1,4)</f>
        <v>61455</v>
      </c>
      <c r="O182" s="47">
        <f>-mouvementmp[[#This Row],[Poids]]</f>
        <v>-0.5</v>
      </c>
      <c r="P182" s="47" t="str">
        <f>IF(
   COUNTIFS($A$2:A182,A182,
             $B$2:B182,B182,
             $C$2:C182,C182,
             $D$2:D182,D182,
             $E$2:E182,E182,
             $F$2:F182,F182,
              $J$2:J182,J182)&gt;1,
   "Doublon",
   "Correcte"
)</f>
        <v>Correcte</v>
      </c>
      <c r="Q182" s="106" t="str">
        <f>IF(mouvementmp[[#This Row],[QR Fabrication]]&lt;&gt;"",INDEX(_xlfn.TEXTSPLIT(mouvementmp[[#This Row],[QR Fabrication]],"_"),1,1),"")</f>
        <v>CA250780</v>
      </c>
      <c r="R182" s="106" t="str">
        <f>IF(mouvementmp[[#This Row],[QR Fabrication]]&lt;&gt;"",INDEX(_xlfn.TEXTSPLIT(mouvementmp[[#This Row],[QR Fabrication]],"_"),1,2),"")</f>
        <v>All by Fouta</v>
      </c>
      <c r="S182" s="47" t="str">
        <f>IF(mouvementmp[[#This Row],[QR Fabrication]]&lt;&gt;"",INDEX(_xlfn.TEXTSPLIT(mouvementmp[[#This Row],[QR Fabrication]],"_"),1,3),"")</f>
        <v>Stock</v>
      </c>
      <c r="T182" s="47" t="str">
        <f>IF(mouvementmp[[#This Row],[QR Fabrication]]&lt;&gt;"",INDEX(_xlfn.TEXTSPLIT(mouvementmp[[#This Row],[QR Fabrication]],"_"),1,4),"")</f>
        <v>PACKSICHI0507-Q02-32-01</v>
      </c>
      <c r="U182" s="47" t="str">
        <f>IF(mouvementmp[[#This Row],[QR Fabrication]]&lt;&gt;"",INDEX(_xlfn.TEXTSPLIT(mouvementmp[[#This Row],[QR Fabrication]],"_"),1,5),"")</f>
        <v>PACK CHIC</v>
      </c>
      <c r="V182" s="47" t="str">
        <f>IF(mouvementmp[[#This Row],[QR Fabrication]]&lt;&gt;"",_xlfn.TEXTAFTER(mouvementmp[[#This Row],[QR Fabrication]],"_",5),"")</f>
        <v>0507</v>
      </c>
    </row>
    <row r="183" spans="1:22" ht="16.5" thickTop="1" thickBot="1" x14ac:dyDescent="0.3">
      <c r="A183" s="46" t="s">
        <v>2403</v>
      </c>
      <c r="B183" s="54" t="s">
        <v>3920</v>
      </c>
      <c r="C183" s="47" t="s">
        <v>668</v>
      </c>
      <c r="D183" s="47" t="s">
        <v>665</v>
      </c>
      <c r="E183" s="47" t="s">
        <v>669</v>
      </c>
      <c r="F183" s="48">
        <v>0.65</v>
      </c>
      <c r="G183" s="47"/>
      <c r="H183" s="47"/>
      <c r="I183" s="47" t="s">
        <v>664</v>
      </c>
      <c r="J183" s="49">
        <v>45908</v>
      </c>
      <c r="K183" s="47" t="str">
        <f>INDEX(_xlfn.TEXTSPLIT(mouvementmp[[#This Row],[QR MP]],"_"),1,1)</f>
        <v>C01</v>
      </c>
      <c r="L183" s="47" t="str">
        <f>INDEX(_xlfn.TEXTSPLIT(mouvementmp[[#This Row],[QR MP]],"_"),1,2)</f>
        <v>BLANC</v>
      </c>
      <c r="M183" s="47" t="str">
        <f>INDEX(_xlfn.TEXTSPLIT(mouvementmp[[#This Row],[QR MP]],"_"),1,3)</f>
        <v>NM15-01.00</v>
      </c>
      <c r="N183" s="47" t="str">
        <f>INDEX(_xlfn.TEXTSPLIT(mouvementmp[[#This Row],[QR MP]],"_"),1,4)</f>
        <v>62721</v>
      </c>
      <c r="O183" s="47">
        <f>-mouvementmp[[#This Row],[Poids]]</f>
        <v>-0.65</v>
      </c>
      <c r="P183" s="47" t="str">
        <f>IF(
   COUNTIFS($A$2:A183,A183,
             $B$2:B183,B183,
             $C$2:C183,C183,
             $D$2:D183,D183,
             $E$2:E183,E183,
             $F$2:F183,F183,
              $J$2:J183,J183)&gt;1,
   "Doublon",
   "Correcte"
)</f>
        <v>Correcte</v>
      </c>
      <c r="Q183" s="106" t="str">
        <f>IF(mouvementmp[[#This Row],[QR Fabrication]]&lt;&gt;"",INDEX(_xlfn.TEXTSPLIT(mouvementmp[[#This Row],[QR Fabrication]],"_"),1,1),"")</f>
        <v>CA250780</v>
      </c>
      <c r="R183" s="106" t="str">
        <f>IF(mouvementmp[[#This Row],[QR Fabrication]]&lt;&gt;"",INDEX(_xlfn.TEXTSPLIT(mouvementmp[[#This Row],[QR Fabrication]],"_"),1,2),"")</f>
        <v>All by Fouta</v>
      </c>
      <c r="S183" s="47" t="str">
        <f>IF(mouvementmp[[#This Row],[QR Fabrication]]&lt;&gt;"",INDEX(_xlfn.TEXTSPLIT(mouvementmp[[#This Row],[QR Fabrication]],"_"),1,3),"")</f>
        <v>Stock</v>
      </c>
      <c r="T183" s="47" t="str">
        <f>IF(mouvementmp[[#This Row],[QR Fabrication]]&lt;&gt;"",INDEX(_xlfn.TEXTSPLIT(mouvementmp[[#This Row],[QR Fabrication]],"_"),1,4),"")</f>
        <v>PACKSICHI0507-Q02-32-01</v>
      </c>
      <c r="U183" s="47" t="str">
        <f>IF(mouvementmp[[#This Row],[QR Fabrication]]&lt;&gt;"",INDEX(_xlfn.TEXTSPLIT(mouvementmp[[#This Row],[QR Fabrication]],"_"),1,5),"")</f>
        <v>PACK CHIC</v>
      </c>
      <c r="V183" s="47" t="str">
        <f>IF(mouvementmp[[#This Row],[QR Fabrication]]&lt;&gt;"",_xlfn.TEXTAFTER(mouvementmp[[#This Row],[QR Fabrication]],"_",5),"")</f>
        <v>0507</v>
      </c>
    </row>
    <row r="184" spans="1:22" ht="16.5" thickTop="1" thickBot="1" x14ac:dyDescent="0.3">
      <c r="A184" s="46" t="s">
        <v>2403</v>
      </c>
      <c r="B184" s="54" t="s">
        <v>3921</v>
      </c>
      <c r="C184" s="47" t="s">
        <v>668</v>
      </c>
      <c r="D184" s="47" t="s">
        <v>665</v>
      </c>
      <c r="E184" s="47" t="s">
        <v>669</v>
      </c>
      <c r="F184" s="48">
        <v>0.55000000000000004</v>
      </c>
      <c r="G184" s="47"/>
      <c r="H184" s="47"/>
      <c r="I184" s="47" t="s">
        <v>664</v>
      </c>
      <c r="J184" s="49">
        <v>45908</v>
      </c>
      <c r="K184" s="47" t="str">
        <f>INDEX(_xlfn.TEXTSPLIT(mouvementmp[[#This Row],[QR MP]],"_"),1,1)</f>
        <v>C06</v>
      </c>
      <c r="L184" s="47" t="str">
        <f>INDEX(_xlfn.TEXTSPLIT(mouvementmp[[#This Row],[QR MP]],"_"),1,2)</f>
        <v>GRIS CLAIR</v>
      </c>
      <c r="M184" s="47" t="str">
        <f>INDEX(_xlfn.TEXTSPLIT(mouvementmp[[#This Row],[QR MP]],"_"),1,3)</f>
        <v>NM15-06.00</v>
      </c>
      <c r="N184" s="47" t="str">
        <f>INDEX(_xlfn.TEXTSPLIT(mouvementmp[[#This Row],[QR MP]],"_"),1,4)</f>
        <v>61828</v>
      </c>
      <c r="O184" s="47">
        <f>-mouvementmp[[#This Row],[Poids]]</f>
        <v>-0.55000000000000004</v>
      </c>
      <c r="P184" s="47" t="str">
        <f>IF(
   COUNTIFS($A$2:A184,A184,
             $B$2:B184,B184,
             $C$2:C184,C184,
             $D$2:D184,D184,
             $E$2:E184,E184,
             $F$2:F184,F184,
              $J$2:J184,J184)&gt;1,
   "Doublon",
   "Correcte"
)</f>
        <v>Correcte</v>
      </c>
      <c r="Q184" s="106" t="str">
        <f>IF(mouvementmp[[#This Row],[QR Fabrication]]&lt;&gt;"",INDEX(_xlfn.TEXTSPLIT(mouvementmp[[#This Row],[QR Fabrication]],"_"),1,1),"")</f>
        <v>CA250780</v>
      </c>
      <c r="R184" s="106" t="str">
        <f>IF(mouvementmp[[#This Row],[QR Fabrication]]&lt;&gt;"",INDEX(_xlfn.TEXTSPLIT(mouvementmp[[#This Row],[QR Fabrication]],"_"),1,2),"")</f>
        <v>All by Fouta</v>
      </c>
      <c r="S184" s="47" t="str">
        <f>IF(mouvementmp[[#This Row],[QR Fabrication]]&lt;&gt;"",INDEX(_xlfn.TEXTSPLIT(mouvementmp[[#This Row],[QR Fabrication]],"_"),1,3),"")</f>
        <v>Stock</v>
      </c>
      <c r="T184" s="47" t="str">
        <f>IF(mouvementmp[[#This Row],[QR Fabrication]]&lt;&gt;"",INDEX(_xlfn.TEXTSPLIT(mouvementmp[[#This Row],[QR Fabrication]],"_"),1,4),"")</f>
        <v>PACKSICHI0507-Q02-32-01</v>
      </c>
      <c r="U184" s="47" t="str">
        <f>IF(mouvementmp[[#This Row],[QR Fabrication]]&lt;&gt;"",INDEX(_xlfn.TEXTSPLIT(mouvementmp[[#This Row],[QR Fabrication]],"_"),1,5),"")</f>
        <v>PACK CHIC</v>
      </c>
      <c r="V184" s="47" t="str">
        <f>IF(mouvementmp[[#This Row],[QR Fabrication]]&lt;&gt;"",_xlfn.TEXTAFTER(mouvementmp[[#This Row],[QR Fabrication]],"_",5),"")</f>
        <v>0507</v>
      </c>
    </row>
    <row r="185" spans="1:22" ht="16.5" thickTop="1" thickBot="1" x14ac:dyDescent="0.3">
      <c r="A185" s="46" t="s">
        <v>2404</v>
      </c>
      <c r="B185" s="54" t="s">
        <v>3847</v>
      </c>
      <c r="C185" s="47" t="s">
        <v>668</v>
      </c>
      <c r="D185" s="47" t="s">
        <v>665</v>
      </c>
      <c r="E185" s="47" t="s">
        <v>669</v>
      </c>
      <c r="F185" s="48">
        <v>2.85</v>
      </c>
      <c r="G185" s="47"/>
      <c r="H185" s="47"/>
      <c r="I185" s="47" t="s">
        <v>664</v>
      </c>
      <c r="J185" s="49">
        <v>45908</v>
      </c>
      <c r="K185" s="47" t="str">
        <f>INDEX(_xlfn.TEXTSPLIT(mouvementmp[[#This Row],[QR MP]],"_"),1,1)</f>
        <v>C11</v>
      </c>
      <c r="L185" s="47" t="str">
        <f>INDEX(_xlfn.TEXTSPLIT(mouvementmp[[#This Row],[QR MP]],"_"),1,2)</f>
        <v>BLEU GITANE</v>
      </c>
      <c r="M185" s="47" t="str">
        <f>INDEX(_xlfn.TEXTSPLIT(mouvementmp[[#This Row],[QR MP]],"_"),1,3)</f>
        <v>NM15-11.00</v>
      </c>
      <c r="N185" s="47" t="str">
        <f>INDEX(_xlfn.TEXTSPLIT(mouvementmp[[#This Row],[QR MP]],"_"),1,4)</f>
        <v>61659</v>
      </c>
      <c r="O185" s="47">
        <f>-mouvementmp[[#This Row],[Poids]]</f>
        <v>-2.85</v>
      </c>
      <c r="P185" s="47" t="str">
        <f>IF(
   COUNTIFS($A$2:A185,A185,
             $B$2:B185,B185,
             $C$2:C185,C185,
             $D$2:D185,D185,
             $E$2:E185,E185,
             $F$2:F185,F185,
              $J$2:J185,J185)&gt;1,
   "Doublon",
   "Correcte"
)</f>
        <v>Correcte</v>
      </c>
      <c r="Q185" s="106" t="str">
        <f>IF(mouvementmp[[#This Row],[QR Fabrication]]&lt;&gt;"",INDEX(_xlfn.TEXTSPLIT(mouvementmp[[#This Row],[QR Fabrication]],"_"),1,1),"")</f>
        <v>CA250777</v>
      </c>
      <c r="R185" s="106" t="str">
        <f>IF(mouvementmp[[#This Row],[QR Fabrication]]&lt;&gt;"",INDEX(_xlfn.TEXTSPLIT(mouvementmp[[#This Row],[QR Fabrication]],"_"),1,2),"")</f>
        <v>All by Fouta</v>
      </c>
      <c r="S185" s="47" t="str">
        <f>IF(mouvementmp[[#This Row],[QR Fabrication]]&lt;&gt;"",INDEX(_xlfn.TEXTSPLIT(mouvementmp[[#This Row],[QR Fabrication]],"_"),1,3),"")</f>
        <v>Stock</v>
      </c>
      <c r="T185" s="47" t="str">
        <f>IF(mouvementmp[[#This Row],[QR Fabrication]]&lt;&gt;"",INDEX(_xlfn.TEXTSPLIT(mouvementmp[[#This Row],[QR Fabrication]],"_"),1,4),"")</f>
        <v>PACKSICHI0507-Q10-32-01</v>
      </c>
      <c r="U185" s="47" t="str">
        <f>IF(mouvementmp[[#This Row],[QR Fabrication]]&lt;&gt;"",INDEX(_xlfn.TEXTSPLIT(mouvementmp[[#This Row],[QR Fabrication]],"_"),1,5),"")</f>
        <v>PACK CHIC</v>
      </c>
      <c r="V185" s="47" t="str">
        <f>IF(mouvementmp[[#This Row],[QR Fabrication]]&lt;&gt;"",_xlfn.TEXTAFTER(mouvementmp[[#This Row],[QR Fabrication]],"_",5),"")</f>
        <v>0507</v>
      </c>
    </row>
    <row r="186" spans="1:22" ht="16.5" thickTop="1" thickBot="1" x14ac:dyDescent="0.3">
      <c r="A186" s="46" t="s">
        <v>2404</v>
      </c>
      <c r="B186" s="54" t="s">
        <v>3905</v>
      </c>
      <c r="C186" s="47" t="s">
        <v>668</v>
      </c>
      <c r="D186" s="47" t="s">
        <v>665</v>
      </c>
      <c r="E186" s="47" t="s">
        <v>669</v>
      </c>
      <c r="F186" s="48">
        <v>0.45</v>
      </c>
      <c r="G186" s="47"/>
      <c r="H186" s="47"/>
      <c r="I186" s="47" t="s">
        <v>664</v>
      </c>
      <c r="J186" s="49">
        <v>45908</v>
      </c>
      <c r="K186" s="47" t="str">
        <f>INDEX(_xlfn.TEXTSPLIT(mouvementmp[[#This Row],[QR MP]],"_"),1,1)</f>
        <v>C32</v>
      </c>
      <c r="L186" s="47" t="str">
        <f>INDEX(_xlfn.TEXTSPLIT(mouvementmp[[#This Row],[QR MP]],"_"),1,2)</f>
        <v>VIEUX ROSE</v>
      </c>
      <c r="M186" s="47" t="str">
        <f>INDEX(_xlfn.TEXTSPLIT(mouvementmp[[#This Row],[QR MP]],"_"),1,3)</f>
        <v>NM15-32.00</v>
      </c>
      <c r="N186" s="47" t="str">
        <f>INDEX(_xlfn.TEXTSPLIT(mouvementmp[[#This Row],[QR MP]],"_"),1,4)</f>
        <v>61455</v>
      </c>
      <c r="O186" s="47">
        <f>-mouvementmp[[#This Row],[Poids]]</f>
        <v>-0.45</v>
      </c>
      <c r="P186" s="47" t="str">
        <f>IF(
   COUNTIFS($A$2:A186,A186,
             $B$2:B186,B186,
             $C$2:C186,C186,
             $D$2:D186,D186,
             $E$2:E186,E186,
             $F$2:F186,F186,
              $J$2:J186,J186)&gt;1,
   "Doublon",
   "Correcte"
)</f>
        <v>Correcte</v>
      </c>
      <c r="Q186" s="106" t="str">
        <f>IF(mouvementmp[[#This Row],[QR Fabrication]]&lt;&gt;"",INDEX(_xlfn.TEXTSPLIT(mouvementmp[[#This Row],[QR Fabrication]],"_"),1,1),"")</f>
        <v>CA250777</v>
      </c>
      <c r="R186" s="106" t="str">
        <f>IF(mouvementmp[[#This Row],[QR Fabrication]]&lt;&gt;"",INDEX(_xlfn.TEXTSPLIT(mouvementmp[[#This Row],[QR Fabrication]],"_"),1,2),"")</f>
        <v>All by Fouta</v>
      </c>
      <c r="S186" s="47" t="str">
        <f>IF(mouvementmp[[#This Row],[QR Fabrication]]&lt;&gt;"",INDEX(_xlfn.TEXTSPLIT(mouvementmp[[#This Row],[QR Fabrication]],"_"),1,3),"")</f>
        <v>Stock</v>
      </c>
      <c r="T186" s="47" t="str">
        <f>IF(mouvementmp[[#This Row],[QR Fabrication]]&lt;&gt;"",INDEX(_xlfn.TEXTSPLIT(mouvementmp[[#This Row],[QR Fabrication]],"_"),1,4),"")</f>
        <v>PACKSICHI0507-Q10-32-01</v>
      </c>
      <c r="U186" s="47" t="str">
        <f>IF(mouvementmp[[#This Row],[QR Fabrication]]&lt;&gt;"",INDEX(_xlfn.TEXTSPLIT(mouvementmp[[#This Row],[QR Fabrication]],"_"),1,5),"")</f>
        <v>PACK CHIC</v>
      </c>
      <c r="V186" s="47" t="str">
        <f>IF(mouvementmp[[#This Row],[QR Fabrication]]&lt;&gt;"",_xlfn.TEXTAFTER(mouvementmp[[#This Row],[QR Fabrication]],"_",5),"")</f>
        <v>0507</v>
      </c>
    </row>
    <row r="187" spans="1:22" ht="16.5" thickTop="1" thickBot="1" x14ac:dyDescent="0.3">
      <c r="A187" s="46" t="s">
        <v>2404</v>
      </c>
      <c r="B187" s="54" t="s">
        <v>3921</v>
      </c>
      <c r="C187" s="47" t="s">
        <v>668</v>
      </c>
      <c r="D187" s="47" t="s">
        <v>665</v>
      </c>
      <c r="E187" s="47" t="s">
        <v>669</v>
      </c>
      <c r="F187" s="48">
        <v>0.25</v>
      </c>
      <c r="G187" s="47"/>
      <c r="H187" s="47"/>
      <c r="I187" s="47" t="s">
        <v>664</v>
      </c>
      <c r="J187" s="49">
        <v>45908</v>
      </c>
      <c r="K187" s="47" t="str">
        <f>INDEX(_xlfn.TEXTSPLIT(mouvementmp[[#This Row],[QR MP]],"_"),1,1)</f>
        <v>C06</v>
      </c>
      <c r="L187" s="47" t="str">
        <f>INDEX(_xlfn.TEXTSPLIT(mouvementmp[[#This Row],[QR MP]],"_"),1,2)</f>
        <v>GRIS CLAIR</v>
      </c>
      <c r="M187" s="47" t="str">
        <f>INDEX(_xlfn.TEXTSPLIT(mouvementmp[[#This Row],[QR MP]],"_"),1,3)</f>
        <v>NM15-06.00</v>
      </c>
      <c r="N187" s="47" t="str">
        <f>INDEX(_xlfn.TEXTSPLIT(mouvementmp[[#This Row],[QR MP]],"_"),1,4)</f>
        <v>61828</v>
      </c>
      <c r="O187" s="47">
        <f>-mouvementmp[[#This Row],[Poids]]</f>
        <v>-0.25</v>
      </c>
      <c r="P187" s="47" t="str">
        <f>IF(
   COUNTIFS($A$2:A187,A187,
             $B$2:B187,B187,
             $C$2:C187,C187,
             $D$2:D187,D187,
             $E$2:E187,E187,
             $F$2:F187,F187,
              $J$2:J187,J187)&gt;1,
   "Doublon",
   "Correcte"
)</f>
        <v>Correcte</v>
      </c>
      <c r="Q187" s="106" t="str">
        <f>IF(mouvementmp[[#This Row],[QR Fabrication]]&lt;&gt;"",INDEX(_xlfn.TEXTSPLIT(mouvementmp[[#This Row],[QR Fabrication]],"_"),1,1),"")</f>
        <v>CA250777</v>
      </c>
      <c r="R187" s="106" t="str">
        <f>IF(mouvementmp[[#This Row],[QR Fabrication]]&lt;&gt;"",INDEX(_xlfn.TEXTSPLIT(mouvementmp[[#This Row],[QR Fabrication]],"_"),1,2),"")</f>
        <v>All by Fouta</v>
      </c>
      <c r="S187" s="47" t="str">
        <f>IF(mouvementmp[[#This Row],[QR Fabrication]]&lt;&gt;"",INDEX(_xlfn.TEXTSPLIT(mouvementmp[[#This Row],[QR Fabrication]],"_"),1,3),"")</f>
        <v>Stock</v>
      </c>
      <c r="T187" s="47" t="str">
        <f>IF(mouvementmp[[#This Row],[QR Fabrication]]&lt;&gt;"",INDEX(_xlfn.TEXTSPLIT(mouvementmp[[#This Row],[QR Fabrication]],"_"),1,4),"")</f>
        <v>PACKSICHI0507-Q10-32-01</v>
      </c>
      <c r="U187" s="47" t="str">
        <f>IF(mouvementmp[[#This Row],[QR Fabrication]]&lt;&gt;"",INDEX(_xlfn.TEXTSPLIT(mouvementmp[[#This Row],[QR Fabrication]],"_"),1,5),"")</f>
        <v>PACK CHIC</v>
      </c>
      <c r="V187" s="47" t="str">
        <f>IF(mouvementmp[[#This Row],[QR Fabrication]]&lt;&gt;"",_xlfn.TEXTAFTER(mouvementmp[[#This Row],[QR Fabrication]],"_",5),"")</f>
        <v>0507</v>
      </c>
    </row>
    <row r="188" spans="1:22" ht="16.5" thickTop="1" thickBot="1" x14ac:dyDescent="0.3">
      <c r="A188" s="46" t="s">
        <v>2405</v>
      </c>
      <c r="B188" s="54" t="s">
        <v>3857</v>
      </c>
      <c r="C188" s="47" t="s">
        <v>668</v>
      </c>
      <c r="D188" s="47" t="s">
        <v>665</v>
      </c>
      <c r="E188" s="47" t="s">
        <v>669</v>
      </c>
      <c r="F188" s="48">
        <v>2.85</v>
      </c>
      <c r="G188" s="47"/>
      <c r="H188" s="47"/>
      <c r="I188" s="47" t="s">
        <v>664</v>
      </c>
      <c r="J188" s="49">
        <v>45908</v>
      </c>
      <c r="K188" s="47" t="str">
        <f>INDEX(_xlfn.TEXTSPLIT(mouvementmp[[#This Row],[QR MP]],"_"),1,1)</f>
        <v>C14</v>
      </c>
      <c r="L188" s="47" t="str">
        <f>INDEX(_xlfn.TEXTSPLIT(mouvementmp[[#This Row],[QR MP]],"_"),1,2)</f>
        <v>TURQUOISE</v>
      </c>
      <c r="M188" s="47" t="str">
        <f>INDEX(_xlfn.TEXTSPLIT(mouvementmp[[#This Row],[QR MP]],"_"),1,3)</f>
        <v>NM05-14.00</v>
      </c>
      <c r="N188" s="47" t="str">
        <f>INDEX(_xlfn.TEXTSPLIT(mouvementmp[[#This Row],[QR MP]],"_"),1,4)</f>
        <v>60654</v>
      </c>
      <c r="O188" s="47">
        <f>-mouvementmp[[#This Row],[Poids]]</f>
        <v>-2.85</v>
      </c>
      <c r="P188" s="47" t="str">
        <f>IF(
   COUNTIFS($A$2:A188,A188,
             $B$2:B188,B188,
             $C$2:C188,C188,
             $D$2:D188,D188,
             $E$2:E188,E188,
             $F$2:F188,F188,
              $J$2:J188,J188)&gt;1,
   "Doublon",
   "Correcte"
)</f>
        <v>Correcte</v>
      </c>
      <c r="Q188" s="106" t="str">
        <f>IF(mouvementmp[[#This Row],[QR Fabrication]]&lt;&gt;"",INDEX(_xlfn.TEXTSPLIT(mouvementmp[[#This Row],[QR Fabrication]],"_"),1,1),"")</f>
        <v>CA250783</v>
      </c>
      <c r="R188" s="106" t="str">
        <f>IF(mouvementmp[[#This Row],[QR Fabrication]]&lt;&gt;"",INDEX(_xlfn.TEXTSPLIT(mouvementmp[[#This Row],[QR Fabrication]],"_"),1,2),"")</f>
        <v>All by Fouta</v>
      </c>
      <c r="S188" s="47" t="str">
        <f>IF(mouvementmp[[#This Row],[QR Fabrication]]&lt;&gt;"",INDEX(_xlfn.TEXTSPLIT(mouvementmp[[#This Row],[QR Fabrication]],"_"),1,3),"")</f>
        <v>Stock</v>
      </c>
      <c r="T188" s="47" t="str">
        <f>IF(mouvementmp[[#This Row],[QR Fabrication]]&lt;&gt;"",INDEX(_xlfn.TEXTSPLIT(mouvementmp[[#This Row],[QR Fabrication]],"_"),1,4),"")</f>
        <v>PACKSICHI0507-Q14-10-01</v>
      </c>
      <c r="U188" s="47" t="str">
        <f>IF(mouvementmp[[#This Row],[QR Fabrication]]&lt;&gt;"",INDEX(_xlfn.TEXTSPLIT(mouvementmp[[#This Row],[QR Fabrication]],"_"),1,5),"")</f>
        <v>PACK CHIC</v>
      </c>
      <c r="V188" s="47" t="str">
        <f>IF(mouvementmp[[#This Row],[QR Fabrication]]&lt;&gt;"",_xlfn.TEXTAFTER(mouvementmp[[#This Row],[QR Fabrication]],"_",5),"")</f>
        <v>0507</v>
      </c>
    </row>
    <row r="189" spans="1:22" ht="16.5" thickTop="1" thickBot="1" x14ac:dyDescent="0.3">
      <c r="A189" s="46" t="s">
        <v>2405</v>
      </c>
      <c r="B189" s="54" t="s">
        <v>3847</v>
      </c>
      <c r="C189" s="47" t="s">
        <v>668</v>
      </c>
      <c r="D189" s="47" t="s">
        <v>665</v>
      </c>
      <c r="E189" s="47" t="s">
        <v>669</v>
      </c>
      <c r="F189" s="48">
        <v>0.81</v>
      </c>
      <c r="G189" s="47"/>
      <c r="H189" s="47"/>
      <c r="I189" s="47" t="s">
        <v>664</v>
      </c>
      <c r="J189" s="49">
        <v>45908</v>
      </c>
      <c r="K189" s="47" t="str">
        <f>INDEX(_xlfn.TEXTSPLIT(mouvementmp[[#This Row],[QR MP]],"_"),1,1)</f>
        <v>C11</v>
      </c>
      <c r="L189" s="47" t="str">
        <f>INDEX(_xlfn.TEXTSPLIT(mouvementmp[[#This Row],[QR MP]],"_"),1,2)</f>
        <v>BLEU GITANE</v>
      </c>
      <c r="M189" s="47" t="str">
        <f>INDEX(_xlfn.TEXTSPLIT(mouvementmp[[#This Row],[QR MP]],"_"),1,3)</f>
        <v>NM15-11.00</v>
      </c>
      <c r="N189" s="47" t="str">
        <f>INDEX(_xlfn.TEXTSPLIT(mouvementmp[[#This Row],[QR MP]],"_"),1,4)</f>
        <v>61659</v>
      </c>
      <c r="O189" s="47">
        <f>-mouvementmp[[#This Row],[Poids]]</f>
        <v>-0.81</v>
      </c>
      <c r="P189" s="47" t="str">
        <f>IF(
   COUNTIFS($A$2:A189,A189,
             $B$2:B189,B189,
             $C$2:C189,C189,
             $D$2:D189,D189,
             $E$2:E189,E189,
             $F$2:F189,F189,
              $J$2:J189,J189)&gt;1,
   "Doublon",
   "Correcte"
)</f>
        <v>Correcte</v>
      </c>
      <c r="Q189" s="106" t="str">
        <f>IF(mouvementmp[[#This Row],[QR Fabrication]]&lt;&gt;"",INDEX(_xlfn.TEXTSPLIT(mouvementmp[[#This Row],[QR Fabrication]],"_"),1,1),"")</f>
        <v>CA250783</v>
      </c>
      <c r="R189" s="106" t="str">
        <f>IF(mouvementmp[[#This Row],[QR Fabrication]]&lt;&gt;"",INDEX(_xlfn.TEXTSPLIT(mouvementmp[[#This Row],[QR Fabrication]],"_"),1,2),"")</f>
        <v>All by Fouta</v>
      </c>
      <c r="S189" s="47" t="str">
        <f>IF(mouvementmp[[#This Row],[QR Fabrication]]&lt;&gt;"",INDEX(_xlfn.TEXTSPLIT(mouvementmp[[#This Row],[QR Fabrication]],"_"),1,3),"")</f>
        <v>Stock</v>
      </c>
      <c r="T189" s="47" t="str">
        <f>IF(mouvementmp[[#This Row],[QR Fabrication]]&lt;&gt;"",INDEX(_xlfn.TEXTSPLIT(mouvementmp[[#This Row],[QR Fabrication]],"_"),1,4),"")</f>
        <v>PACKSICHI0507-Q14-10-01</v>
      </c>
      <c r="U189" s="47" t="str">
        <f>IF(mouvementmp[[#This Row],[QR Fabrication]]&lt;&gt;"",INDEX(_xlfn.TEXTSPLIT(mouvementmp[[#This Row],[QR Fabrication]],"_"),1,5),"")</f>
        <v>PACK CHIC</v>
      </c>
      <c r="V189" s="47" t="str">
        <f>IF(mouvementmp[[#This Row],[QR Fabrication]]&lt;&gt;"",_xlfn.TEXTAFTER(mouvementmp[[#This Row],[QR Fabrication]],"_",5),"")</f>
        <v>0507</v>
      </c>
    </row>
    <row r="190" spans="1:22" ht="16.5" thickTop="1" thickBot="1" x14ac:dyDescent="0.3">
      <c r="A190" s="46" t="s">
        <v>2405</v>
      </c>
      <c r="B190" s="54" t="s">
        <v>3838</v>
      </c>
      <c r="C190" s="47" t="s">
        <v>668</v>
      </c>
      <c r="D190" s="47" t="s">
        <v>665</v>
      </c>
      <c r="E190" s="47" t="s">
        <v>669</v>
      </c>
      <c r="F190" s="48">
        <v>1.1499999999999999</v>
      </c>
      <c r="G190" s="47"/>
      <c r="H190" s="47"/>
      <c r="I190" s="47" t="s">
        <v>664</v>
      </c>
      <c r="J190" s="49">
        <v>45908</v>
      </c>
      <c r="K190" s="47" t="str">
        <f>INDEX(_xlfn.TEXTSPLIT(mouvementmp[[#This Row],[QR MP]],"_"),1,1)</f>
        <v>C07</v>
      </c>
      <c r="L190" s="47" t="str">
        <f>INDEX(_xlfn.TEXTSPLIT(mouvementmp[[#This Row],[QR MP]],"_"),1,2)</f>
        <v>GRIS MOYEN</v>
      </c>
      <c r="M190" s="47" t="str">
        <f>INDEX(_xlfn.TEXTSPLIT(mouvementmp[[#This Row],[QR MP]],"_"),1,3)</f>
        <v>NM15-07.00</v>
      </c>
      <c r="N190" s="47" t="str">
        <f>INDEX(_xlfn.TEXTSPLIT(mouvementmp[[#This Row],[QR MP]],"_"),1,4)</f>
        <v>61445</v>
      </c>
      <c r="O190" s="47">
        <f>-mouvementmp[[#This Row],[Poids]]</f>
        <v>-1.1499999999999999</v>
      </c>
      <c r="P190" s="47" t="str">
        <f>IF(
   COUNTIFS($A$2:A190,A190,
             $B$2:B190,B190,
             $C$2:C190,C190,
             $D$2:D190,D190,
             $E$2:E190,E190,
             $F$2:F190,F190,
              $J$2:J190,J190)&gt;1,
   "Doublon",
   "Correcte"
)</f>
        <v>Correcte</v>
      </c>
      <c r="Q190" s="106" t="str">
        <f>IF(mouvementmp[[#This Row],[QR Fabrication]]&lt;&gt;"",INDEX(_xlfn.TEXTSPLIT(mouvementmp[[#This Row],[QR Fabrication]],"_"),1,1),"")</f>
        <v>CA250783</v>
      </c>
      <c r="R190" s="106" t="str">
        <f>IF(mouvementmp[[#This Row],[QR Fabrication]]&lt;&gt;"",INDEX(_xlfn.TEXTSPLIT(mouvementmp[[#This Row],[QR Fabrication]],"_"),1,2),"")</f>
        <v>All by Fouta</v>
      </c>
      <c r="S190" s="47" t="str">
        <f>IF(mouvementmp[[#This Row],[QR Fabrication]]&lt;&gt;"",INDEX(_xlfn.TEXTSPLIT(mouvementmp[[#This Row],[QR Fabrication]],"_"),1,3),"")</f>
        <v>Stock</v>
      </c>
      <c r="T190" s="47" t="str">
        <f>IF(mouvementmp[[#This Row],[QR Fabrication]]&lt;&gt;"",INDEX(_xlfn.TEXTSPLIT(mouvementmp[[#This Row],[QR Fabrication]],"_"),1,4),"")</f>
        <v>PACKSICHI0507-Q14-10-01</v>
      </c>
      <c r="U190" s="47" t="str">
        <f>IF(mouvementmp[[#This Row],[QR Fabrication]]&lt;&gt;"",INDEX(_xlfn.TEXTSPLIT(mouvementmp[[#This Row],[QR Fabrication]],"_"),1,5),"")</f>
        <v>PACK CHIC</v>
      </c>
      <c r="V190" s="47" t="str">
        <f>IF(mouvementmp[[#This Row],[QR Fabrication]]&lt;&gt;"",_xlfn.TEXTAFTER(mouvementmp[[#This Row],[QR Fabrication]],"_",5),"")</f>
        <v>0507</v>
      </c>
    </row>
    <row r="191" spans="1:22" ht="16.5" thickTop="1" thickBot="1" x14ac:dyDescent="0.3">
      <c r="A191" s="46"/>
      <c r="B191" s="54" t="s">
        <v>3910</v>
      </c>
      <c r="C191" s="47" t="s">
        <v>670</v>
      </c>
      <c r="D191" s="47" t="s">
        <v>666</v>
      </c>
      <c r="E191" s="47" t="s">
        <v>671</v>
      </c>
      <c r="F191" s="48">
        <v>414</v>
      </c>
      <c r="G191" s="47"/>
      <c r="H191" s="47"/>
      <c r="I191" s="47" t="s">
        <v>664</v>
      </c>
      <c r="J191" s="49">
        <v>45909</v>
      </c>
      <c r="K191" s="47" t="str">
        <f>INDEX(_xlfn.TEXTSPLIT(mouvementmp[[#This Row],[QR MP]],"_"),1,1)</f>
        <v>CH</v>
      </c>
      <c r="L191" s="47" t="str">
        <f>INDEX(_xlfn.TEXTSPLIT(mouvementmp[[#This Row],[QR MP]],"_"),1,2)</f>
        <v>Ecru</v>
      </c>
      <c r="M191" s="47" t="str">
        <f>INDEX(_xlfn.TEXTSPLIT(mouvementmp[[#This Row],[QR MP]],"_"),1,3)</f>
        <v>CH2/40CE</v>
      </c>
      <c r="N191" s="47" t="str">
        <f>INDEX(_xlfn.TEXTSPLIT(mouvementmp[[#This Row],[QR MP]],"_"),1,4)</f>
        <v>A220324523/2</v>
      </c>
      <c r="O191" s="47">
        <f>-mouvementmp[[#This Row],[Poids]]</f>
        <v>-414</v>
      </c>
      <c r="P191" s="47" t="str">
        <f>IF(
   COUNTIFS($A$2:A191,A191,
             $B$2:B191,B191,
             $C$2:C191,C191,
             $D$2:D191,D191,
             $E$2:E191,E191,
             $F$2:F191,F191,
              $J$2:J191,J191)&gt;1,
   "Doublon",
   "Correcte"
)</f>
        <v>Correcte</v>
      </c>
      <c r="Q191" s="106" t="str">
        <f>IF(mouvementmp[[#This Row],[QR Fabrication]]&lt;&gt;"",INDEX(_xlfn.TEXTSPLIT(mouvementmp[[#This Row],[QR Fabrication]],"_"),1,1),"")</f>
        <v/>
      </c>
      <c r="R191" s="106" t="str">
        <f>IF(mouvementmp[[#This Row],[QR Fabrication]]&lt;&gt;"",INDEX(_xlfn.TEXTSPLIT(mouvementmp[[#This Row],[QR Fabrication]],"_"),1,2),"")</f>
        <v/>
      </c>
      <c r="S191" s="47" t="str">
        <f>IF(mouvementmp[[#This Row],[QR Fabrication]]&lt;&gt;"",INDEX(_xlfn.TEXTSPLIT(mouvementmp[[#This Row],[QR Fabrication]],"_"),1,3),"")</f>
        <v/>
      </c>
      <c r="T191" s="47" t="str">
        <f>IF(mouvementmp[[#This Row],[QR Fabrication]]&lt;&gt;"",INDEX(_xlfn.TEXTSPLIT(mouvementmp[[#This Row],[QR Fabrication]],"_"),1,4),"")</f>
        <v/>
      </c>
      <c r="U191" s="47" t="str">
        <f>IF(mouvementmp[[#This Row],[QR Fabrication]]&lt;&gt;"",INDEX(_xlfn.TEXTSPLIT(mouvementmp[[#This Row],[QR Fabrication]],"_"),1,5),"")</f>
        <v/>
      </c>
      <c r="V191" s="47" t="str">
        <f>IF(mouvementmp[[#This Row],[QR Fabrication]]&lt;&gt;"",_xlfn.TEXTAFTER(mouvementmp[[#This Row],[QR Fabrication]],"_",5),"")</f>
        <v/>
      </c>
    </row>
    <row r="192" spans="1:22" ht="16.5" thickTop="1" thickBot="1" x14ac:dyDescent="0.3">
      <c r="A192" s="46" t="s">
        <v>2406</v>
      </c>
      <c r="B192" s="54" t="s">
        <v>3838</v>
      </c>
      <c r="C192" s="47" t="s">
        <v>668</v>
      </c>
      <c r="D192" s="47" t="s">
        <v>665</v>
      </c>
      <c r="E192" s="47" t="s">
        <v>669</v>
      </c>
      <c r="F192" s="48">
        <v>1.98</v>
      </c>
      <c r="G192" s="47"/>
      <c r="H192" s="47"/>
      <c r="I192" s="47" t="s">
        <v>664</v>
      </c>
      <c r="J192" s="49">
        <v>45912</v>
      </c>
      <c r="K192" s="47" t="str">
        <f>INDEX(_xlfn.TEXTSPLIT(mouvementmp[[#This Row],[QR MP]],"_"),1,1)</f>
        <v>C07</v>
      </c>
      <c r="L192" s="47" t="str">
        <f>INDEX(_xlfn.TEXTSPLIT(mouvementmp[[#This Row],[QR MP]],"_"),1,2)</f>
        <v>GRIS MOYEN</v>
      </c>
      <c r="M192" s="47" t="str">
        <f>INDEX(_xlfn.TEXTSPLIT(mouvementmp[[#This Row],[QR MP]],"_"),1,3)</f>
        <v>NM15-07.00</v>
      </c>
      <c r="N192" s="47" t="str">
        <f>INDEX(_xlfn.TEXTSPLIT(mouvementmp[[#This Row],[QR MP]],"_"),1,4)</f>
        <v>61445</v>
      </c>
      <c r="O192" s="47">
        <f>-mouvementmp[[#This Row],[Poids]]</f>
        <v>-1.98</v>
      </c>
      <c r="P192" s="47" t="str">
        <f>IF(
   COUNTIFS($A$2:A192,A192,
             $B$2:B192,B192,
             $C$2:C192,C192,
             $D$2:D192,D192,
             $E$2:E192,E192,
             $F$2:F192,F192,
              $J$2:J192,J192)&gt;1,
   "Doublon",
   "Correcte"
)</f>
        <v>Correcte</v>
      </c>
      <c r="Q192" s="106" t="str">
        <f>IF(mouvementmp[[#This Row],[QR Fabrication]]&lt;&gt;"",INDEX(_xlfn.TEXTSPLIT(mouvementmp[[#This Row],[QR Fabrication]],"_"),1,1),"")</f>
        <v>OF246824</v>
      </c>
      <c r="R192" s="106" t="str">
        <f>IF(mouvementmp[[#This Row],[QR Fabrication]]&lt;&gt;"",INDEX(_xlfn.TEXTSPLIT(mouvementmp[[#This Row],[QR Fabrication]],"_"),1,2),"")</f>
        <v>CL00300</v>
      </c>
      <c r="S192" s="47" t="str">
        <f>IF(mouvementmp[[#This Row],[QR Fabrication]]&lt;&gt;"",INDEX(_xlfn.TEXTSPLIT(mouvementmp[[#This Row],[QR Fabrication]],"_"),1,3),"")</f>
        <v>CM-FT0116</v>
      </c>
      <c r="T192" s="47" t="str">
        <f>IF(mouvementmp[[#This Row],[QR Fabrication]]&lt;&gt;"",INDEX(_xlfn.TEXTSPLIT(mouvementmp[[#This Row],[QR Fabrication]],"_"),1,4),"")</f>
        <v>AR2020-B06-08</v>
      </c>
      <c r="U192" s="47" t="str">
        <f>IF(mouvementmp[[#This Row],[QR Fabrication]]&lt;&gt;"",INDEX(_xlfn.TEXTSPLIT(mouvementmp[[#This Row],[QR Fabrication]],"_"),1,5),"")</f>
        <v>ARTHUR</v>
      </c>
      <c r="V192" s="47" t="str">
        <f>IF(mouvementmp[[#This Row],[QR Fabrication]]&lt;&gt;"",_xlfn.TEXTAFTER(mouvementmp[[#This Row],[QR Fabrication]],"_",5),"")</f>
        <v>2020</v>
      </c>
    </row>
    <row r="193" spans="1:22" ht="16.5" thickTop="1" thickBot="1" x14ac:dyDescent="0.3">
      <c r="A193" s="46" t="s">
        <v>2406</v>
      </c>
      <c r="B193" s="54" t="s">
        <v>3841</v>
      </c>
      <c r="C193" s="47" t="s">
        <v>668</v>
      </c>
      <c r="D193" s="47" t="s">
        <v>665</v>
      </c>
      <c r="E193" s="47" t="s">
        <v>669</v>
      </c>
      <c r="F193" s="48">
        <v>1.71</v>
      </c>
      <c r="G193" s="47"/>
      <c r="H193" s="47"/>
      <c r="I193" s="47" t="s">
        <v>664</v>
      </c>
      <c r="J193" s="49">
        <v>45912</v>
      </c>
      <c r="K193" s="47" t="str">
        <f>INDEX(_xlfn.TEXTSPLIT(mouvementmp[[#This Row],[QR MP]],"_"),1,1)</f>
        <v>C08</v>
      </c>
      <c r="L193" s="47" t="str">
        <f>INDEX(_xlfn.TEXTSPLIT(mouvementmp[[#This Row],[QR MP]],"_"),1,2)</f>
        <v>GRIS ANTHRACITE</v>
      </c>
      <c r="M193" s="47" t="str">
        <f>INDEX(_xlfn.TEXTSPLIT(mouvementmp[[#This Row],[QR MP]],"_"),1,3)</f>
        <v>NM15-08.00</v>
      </c>
      <c r="N193" s="47" t="str">
        <f>INDEX(_xlfn.TEXTSPLIT(mouvementmp[[#This Row],[QR MP]],"_"),1,4)</f>
        <v>59358</v>
      </c>
      <c r="O193" s="47">
        <f>-mouvementmp[[#This Row],[Poids]]</f>
        <v>-1.71</v>
      </c>
      <c r="P193" s="47" t="str">
        <f>IF(
   COUNTIFS($A$2:A193,A193,
             $B$2:B193,B193,
             $C$2:C193,C193,
             $D$2:D193,D193,
             $E$2:E193,E193,
             $F$2:F193,F193,
              $J$2:J193,J193)&gt;1,
   "Doublon",
   "Correcte"
)</f>
        <v>Correcte</v>
      </c>
      <c r="Q193" s="106" t="str">
        <f>IF(mouvementmp[[#This Row],[QR Fabrication]]&lt;&gt;"",INDEX(_xlfn.TEXTSPLIT(mouvementmp[[#This Row],[QR Fabrication]],"_"),1,1),"")</f>
        <v>OF246824</v>
      </c>
      <c r="R193" s="106" t="str">
        <f>IF(mouvementmp[[#This Row],[QR Fabrication]]&lt;&gt;"",INDEX(_xlfn.TEXTSPLIT(mouvementmp[[#This Row],[QR Fabrication]],"_"),1,2),"")</f>
        <v>CL00300</v>
      </c>
      <c r="S193" s="47" t="str">
        <f>IF(mouvementmp[[#This Row],[QR Fabrication]]&lt;&gt;"",INDEX(_xlfn.TEXTSPLIT(mouvementmp[[#This Row],[QR Fabrication]],"_"),1,3),"")</f>
        <v>CM-FT0116</v>
      </c>
      <c r="T193" s="47" t="str">
        <f>IF(mouvementmp[[#This Row],[QR Fabrication]]&lt;&gt;"",INDEX(_xlfn.TEXTSPLIT(mouvementmp[[#This Row],[QR Fabrication]],"_"),1,4),"")</f>
        <v>AR2020-B06-08</v>
      </c>
      <c r="U193" s="47" t="str">
        <f>IF(mouvementmp[[#This Row],[QR Fabrication]]&lt;&gt;"",INDEX(_xlfn.TEXTSPLIT(mouvementmp[[#This Row],[QR Fabrication]],"_"),1,5),"")</f>
        <v>ARTHUR</v>
      </c>
      <c r="V193" s="47" t="str">
        <f>IF(mouvementmp[[#This Row],[QR Fabrication]]&lt;&gt;"",_xlfn.TEXTAFTER(mouvementmp[[#This Row],[QR Fabrication]],"_",5),"")</f>
        <v>2020</v>
      </c>
    </row>
    <row r="194" spans="1:22" ht="16.5" thickTop="1" thickBot="1" x14ac:dyDescent="0.3">
      <c r="A194" s="46" t="s">
        <v>2407</v>
      </c>
      <c r="B194" s="54" t="s">
        <v>3868</v>
      </c>
      <c r="C194" s="47" t="s">
        <v>668</v>
      </c>
      <c r="D194" s="47" t="s">
        <v>665</v>
      </c>
      <c r="E194" s="47" t="s">
        <v>669</v>
      </c>
      <c r="F194" s="48">
        <v>1.65</v>
      </c>
      <c r="G194" s="47"/>
      <c r="H194" s="47"/>
      <c r="I194" s="47" t="s">
        <v>664</v>
      </c>
      <c r="J194" s="49">
        <v>45912</v>
      </c>
      <c r="K194" s="47" t="str">
        <f>INDEX(_xlfn.TEXTSPLIT(mouvementmp[[#This Row],[QR MP]],"_"),1,1)</f>
        <v>C18</v>
      </c>
      <c r="L194" s="47" t="str">
        <f>INDEX(_xlfn.TEXTSPLIT(mouvementmp[[#This Row],[QR MP]],"_"),1,2)</f>
        <v xml:space="preserve">VERT D'EAU </v>
      </c>
      <c r="M194" s="47" t="str">
        <f>INDEX(_xlfn.TEXTSPLIT(mouvementmp[[#This Row],[QR MP]],"_"),1,3)</f>
        <v>NM15-18.00</v>
      </c>
      <c r="N194" s="47" t="str">
        <f>INDEX(_xlfn.TEXTSPLIT(mouvementmp[[#This Row],[QR MP]],"_"),1,4)</f>
        <v>61535</v>
      </c>
      <c r="O194" s="47">
        <f>-mouvementmp[[#This Row],[Poids]]</f>
        <v>-1.65</v>
      </c>
      <c r="P194" s="47" t="str">
        <f>IF(
   COUNTIFS($A$2:A194,A194,
             $B$2:B194,B194,
             $C$2:C194,C194,
             $D$2:D194,D194,
             $E$2:E194,E194,
             $F$2:F194,F194,
              $J$2:J194,J194)&gt;1,
   "Doublon",
   "Correcte"
)</f>
        <v>Correcte</v>
      </c>
      <c r="Q194" s="106" t="str">
        <f>IF(mouvementmp[[#This Row],[QR Fabrication]]&lt;&gt;"",INDEX(_xlfn.TEXTSPLIT(mouvementmp[[#This Row],[QR Fabrication]],"_"),1,1),"")</f>
        <v>CA250030</v>
      </c>
      <c r="R194" s="106" t="str">
        <f>IF(mouvementmp[[#This Row],[QR Fabrication]]&lt;&gt;"",INDEX(_xlfn.TEXTSPLIT(mouvementmp[[#This Row],[QR Fabrication]],"_"),1,2),"")</f>
        <v>All by Fouta</v>
      </c>
      <c r="S194" s="47" t="str">
        <f>IF(mouvementmp[[#This Row],[QR Fabrication]]&lt;&gt;"",INDEX(_xlfn.TEXTSPLIT(mouvementmp[[#This Row],[QR Fabrication]],"_"),1,3),"")</f>
        <v>Stock</v>
      </c>
      <c r="T194" s="47" t="str">
        <f>IF(mouvementmp[[#This Row],[QR Fabrication]]&lt;&gt;"",INDEX(_xlfn.TEXTSPLIT(mouvementmp[[#This Row],[QR Fabrication]],"_"),1,4),"")</f>
        <v>UNS2020-18</v>
      </c>
      <c r="U194" s="47" t="str">
        <f>IF(mouvementmp[[#This Row],[QR Fabrication]]&lt;&gt;"",INDEX(_xlfn.TEXTSPLIT(mouvementmp[[#This Row],[QR Fabrication]],"_"),1,5),"")</f>
        <v>UNI SURPIQUE</v>
      </c>
      <c r="V194" s="47" t="str">
        <f>IF(mouvementmp[[#This Row],[QR Fabrication]]&lt;&gt;"",_xlfn.TEXTAFTER(mouvementmp[[#This Row],[QR Fabrication]],"_",5),"")</f>
        <v>2020</v>
      </c>
    </row>
    <row r="195" spans="1:22" ht="16.5" thickTop="1" thickBot="1" x14ac:dyDescent="0.3">
      <c r="A195" s="46" t="s">
        <v>2408</v>
      </c>
      <c r="B195" s="54" t="s">
        <v>3892</v>
      </c>
      <c r="C195" s="47" t="s">
        <v>668</v>
      </c>
      <c r="D195" s="47" t="s">
        <v>665</v>
      </c>
      <c r="E195" s="47" t="s">
        <v>669</v>
      </c>
      <c r="F195" s="48">
        <v>0.75</v>
      </c>
      <c r="G195" s="47"/>
      <c r="H195" s="47"/>
      <c r="I195" s="47" t="s">
        <v>664</v>
      </c>
      <c r="J195" s="49">
        <v>45912</v>
      </c>
      <c r="K195" s="47" t="str">
        <f>INDEX(_xlfn.TEXTSPLIT(mouvementmp[[#This Row],[QR MP]],"_"),1,1)</f>
        <v>C26</v>
      </c>
      <c r="L195" s="47" t="str">
        <f>INDEX(_xlfn.TEXTSPLIT(mouvementmp[[#This Row],[QR MP]],"_"),1,2)</f>
        <v>ROUGE FERRARI</v>
      </c>
      <c r="M195" s="47" t="str">
        <f>INDEX(_xlfn.TEXTSPLIT(mouvementmp[[#This Row],[QR MP]],"_"),1,3)</f>
        <v>NM15-26.00</v>
      </c>
      <c r="N195" s="47" t="str">
        <f>INDEX(_xlfn.TEXTSPLIT(mouvementmp[[#This Row],[QR MP]],"_"),1,4)</f>
        <v>61551</v>
      </c>
      <c r="O195" s="47">
        <f>-mouvementmp[[#This Row],[Poids]]</f>
        <v>-0.75</v>
      </c>
      <c r="P195" s="47" t="str">
        <f>IF(
   COUNTIFS($A$2:A195,A195,
             $B$2:B195,B195,
             $C$2:C195,C195,
             $D$2:D195,D195,
             $E$2:E195,E195,
             $F$2:F195,F195,
              $J$2:J195,J195)&gt;1,
   "Doublon",
   "Correcte"
)</f>
        <v>Correcte</v>
      </c>
      <c r="Q195" s="106" t="str">
        <f>IF(mouvementmp[[#This Row],[QR Fabrication]]&lt;&gt;"",INDEX(_xlfn.TEXTSPLIT(mouvementmp[[#This Row],[QR Fabrication]],"_"),1,1),"")</f>
        <v>CA250055</v>
      </c>
      <c r="R195" s="106" t="str">
        <f>IF(mouvementmp[[#This Row],[QR Fabrication]]&lt;&gt;"",INDEX(_xlfn.TEXTSPLIT(mouvementmp[[#This Row],[QR Fabrication]],"_"),1,2),"")</f>
        <v>All by Fouta</v>
      </c>
      <c r="S195" s="47" t="str">
        <f>IF(mouvementmp[[#This Row],[QR Fabrication]]&lt;&gt;"",INDEX(_xlfn.TEXTSPLIT(mouvementmp[[#This Row],[QR Fabrication]],"_"),1,3),"")</f>
        <v>Stock</v>
      </c>
      <c r="T195" s="47" t="str">
        <f>IF(mouvementmp[[#This Row],[QR Fabrication]]&lt;&gt;"",INDEX(_xlfn.TEXTSPLIT(mouvementmp[[#This Row],[QR Fabrication]],"_"),1,4),"")</f>
        <v>UNS1626-26</v>
      </c>
      <c r="U195" s="47" t="str">
        <f>IF(mouvementmp[[#This Row],[QR Fabrication]]&lt;&gt;"",INDEX(_xlfn.TEXTSPLIT(mouvementmp[[#This Row],[QR Fabrication]],"_"),1,5),"")</f>
        <v>UNI SURPIQUE</v>
      </c>
      <c r="V195" s="47" t="str">
        <f>IF(mouvementmp[[#This Row],[QR Fabrication]]&lt;&gt;"",_xlfn.TEXTAFTER(mouvementmp[[#This Row],[QR Fabrication]],"_",5),"")</f>
        <v>1626</v>
      </c>
    </row>
    <row r="196" spans="1:22" ht="16.5" thickTop="1" thickBot="1" x14ac:dyDescent="0.3">
      <c r="A196" s="46" t="s">
        <v>2409</v>
      </c>
      <c r="B196" s="54" t="s">
        <v>3922</v>
      </c>
      <c r="C196" s="47" t="s">
        <v>668</v>
      </c>
      <c r="D196" s="47" t="s">
        <v>665</v>
      </c>
      <c r="E196" s="47" t="s">
        <v>669</v>
      </c>
      <c r="F196" s="48">
        <v>0.79</v>
      </c>
      <c r="G196" s="47"/>
      <c r="H196" s="47"/>
      <c r="I196" s="47" t="s">
        <v>664</v>
      </c>
      <c r="J196" s="49">
        <v>45913</v>
      </c>
      <c r="K196" s="47" t="str">
        <f>INDEX(_xlfn.TEXTSPLIT(mouvementmp[[#This Row],[QR MP]],"_"),1,1)</f>
        <v>C19</v>
      </c>
      <c r="L196" s="47" t="str">
        <f>INDEX(_xlfn.TEXTSPLIT(mouvementmp[[#This Row],[QR MP]],"_"),1,2)</f>
        <v>CEDRE</v>
      </c>
      <c r="M196" s="47" t="str">
        <f>INDEX(_xlfn.TEXTSPLIT(mouvementmp[[#This Row],[QR MP]],"_"),1,3)</f>
        <v>NM15-19.00</v>
      </c>
      <c r="N196" s="47" t="str">
        <f>INDEX(_xlfn.TEXTSPLIT(mouvementmp[[#This Row],[QR MP]],"_"),1,4)</f>
        <v>51471</v>
      </c>
      <c r="O196" s="47">
        <f>-mouvementmp[[#This Row],[Poids]]</f>
        <v>-0.79</v>
      </c>
      <c r="P196" s="47" t="str">
        <f>IF(
   COUNTIFS($A$2:A196,A196,
             $B$2:B196,B196,
             $C$2:C196,C196,
             $D$2:D196,D196,
             $E$2:E196,E196,
             $F$2:F196,F196,
              $J$2:J196,J196)&gt;1,
   "Doublon",
   "Correcte"
)</f>
        <v>Correcte</v>
      </c>
      <c r="Q196" s="106" t="str">
        <f>IF(mouvementmp[[#This Row],[QR Fabrication]]&lt;&gt;"",INDEX(_xlfn.TEXTSPLIT(mouvementmp[[#This Row],[QR Fabrication]],"_"),1,1),"")</f>
        <v>OF244785</v>
      </c>
      <c r="R196" s="106" t="str">
        <f>IF(mouvementmp[[#This Row],[QR Fabrication]]&lt;&gt;"",INDEX(_xlfn.TEXTSPLIT(mouvementmp[[#This Row],[QR Fabrication]],"_"),1,2),"")</f>
        <v>All By Fouta</v>
      </c>
      <c r="S196" s="47" t="str">
        <f>IF(mouvementmp[[#This Row],[QR Fabrication]]&lt;&gt;"",INDEX(_xlfn.TEXTSPLIT(mouvementmp[[#This Row],[QR Fabrication]],"_"),1,3),"")</f>
        <v>Stock</v>
      </c>
      <c r="T196" s="47" t="str">
        <f>IF(mouvementmp[[#This Row],[QR Fabrication]]&lt;&gt;"",INDEX(_xlfn.TEXTSPLIT(mouvementmp[[#This Row],[QR Fabrication]],"_"),1,4),"")</f>
        <v>INS1824-Q19-02-03</v>
      </c>
      <c r="U196" s="47" t="str">
        <f>IF(mouvementmp[[#This Row],[QR Fabrication]]&lt;&gt;"",INDEX(_xlfn.TEXTSPLIT(mouvementmp[[#This Row],[QR Fabrication]],"_"),1,5),"")</f>
        <v xml:space="preserve">INSPIRATION </v>
      </c>
      <c r="V196" s="47" t="str">
        <f>IF(mouvementmp[[#This Row],[QR Fabrication]]&lt;&gt;"",_xlfn.TEXTAFTER(mouvementmp[[#This Row],[QR Fabrication]],"_",5),"")</f>
        <v>1824</v>
      </c>
    </row>
    <row r="197" spans="1:22" ht="16.5" thickTop="1" thickBot="1" x14ac:dyDescent="0.3">
      <c r="A197" s="46" t="s">
        <v>2409</v>
      </c>
      <c r="B197" s="54" t="s">
        <v>3806</v>
      </c>
      <c r="C197" s="47" t="s">
        <v>668</v>
      </c>
      <c r="D197" s="47" t="s">
        <v>665</v>
      </c>
      <c r="E197" s="47" t="s">
        <v>669</v>
      </c>
      <c r="F197" s="48">
        <v>0.55000000000000004</v>
      </c>
      <c r="G197" s="47"/>
      <c r="H197" s="47"/>
      <c r="I197" s="47" t="s">
        <v>664</v>
      </c>
      <c r="J197" s="49">
        <v>45913</v>
      </c>
      <c r="K197" s="47" t="str">
        <f>INDEX(_xlfn.TEXTSPLIT(mouvementmp[[#This Row],[QR MP]],"_"),1,1)</f>
        <v>C02</v>
      </c>
      <c r="L197" s="47" t="str">
        <f>INDEX(_xlfn.TEXTSPLIT(mouvementmp[[#This Row],[QR MP]],"_"),1,2)</f>
        <v>ECRU</v>
      </c>
      <c r="M197" s="47" t="str">
        <f>INDEX(_xlfn.TEXTSPLIT(mouvementmp[[#This Row],[QR MP]],"_"),1,3)</f>
        <v>NM15-02.00</v>
      </c>
      <c r="N197" s="47" t="str">
        <f>INDEX(_xlfn.TEXTSPLIT(mouvementmp[[#This Row],[QR MP]],"_"),1,4)</f>
        <v>61424</v>
      </c>
      <c r="O197" s="47">
        <f>-mouvementmp[[#This Row],[Poids]]</f>
        <v>-0.55000000000000004</v>
      </c>
      <c r="P197" s="47" t="str">
        <f>IF(
   COUNTIFS($A$2:A197,A197,
             $B$2:B197,B197,
             $C$2:C197,C197,
             $D$2:D197,D197,
             $E$2:E197,E197,
             $F$2:F197,F197,
              $J$2:J197,J197)&gt;1,
   "Doublon",
   "Correcte"
)</f>
        <v>Correcte</v>
      </c>
      <c r="Q197" s="106" t="str">
        <f>IF(mouvementmp[[#This Row],[QR Fabrication]]&lt;&gt;"",INDEX(_xlfn.TEXTSPLIT(mouvementmp[[#This Row],[QR Fabrication]],"_"),1,1),"")</f>
        <v>OF244785</v>
      </c>
      <c r="R197" s="106" t="str">
        <f>IF(mouvementmp[[#This Row],[QR Fabrication]]&lt;&gt;"",INDEX(_xlfn.TEXTSPLIT(mouvementmp[[#This Row],[QR Fabrication]],"_"),1,2),"")</f>
        <v>All By Fouta</v>
      </c>
      <c r="S197" s="47" t="str">
        <f>IF(mouvementmp[[#This Row],[QR Fabrication]]&lt;&gt;"",INDEX(_xlfn.TEXTSPLIT(mouvementmp[[#This Row],[QR Fabrication]],"_"),1,3),"")</f>
        <v>Stock</v>
      </c>
      <c r="T197" s="47" t="str">
        <f>IF(mouvementmp[[#This Row],[QR Fabrication]]&lt;&gt;"",INDEX(_xlfn.TEXTSPLIT(mouvementmp[[#This Row],[QR Fabrication]],"_"),1,4),"")</f>
        <v>INS1824-Q19-02-03</v>
      </c>
      <c r="U197" s="47" t="str">
        <f>IF(mouvementmp[[#This Row],[QR Fabrication]]&lt;&gt;"",INDEX(_xlfn.TEXTSPLIT(mouvementmp[[#This Row],[QR Fabrication]],"_"),1,5),"")</f>
        <v xml:space="preserve">INSPIRATION </v>
      </c>
      <c r="V197" s="47" t="str">
        <f>IF(mouvementmp[[#This Row],[QR Fabrication]]&lt;&gt;"",_xlfn.TEXTAFTER(mouvementmp[[#This Row],[QR Fabrication]],"_",5),"")</f>
        <v>1824</v>
      </c>
    </row>
    <row r="198" spans="1:22" ht="16.5" thickTop="1" thickBot="1" x14ac:dyDescent="0.3">
      <c r="A198" s="46" t="s">
        <v>2409</v>
      </c>
      <c r="B198" s="54" t="s">
        <v>3814</v>
      </c>
      <c r="C198" s="47" t="s">
        <v>668</v>
      </c>
      <c r="D198" s="47" t="s">
        <v>665</v>
      </c>
      <c r="E198" s="47" t="s">
        <v>669</v>
      </c>
      <c r="F198" s="48">
        <v>0.75</v>
      </c>
      <c r="G198" s="47"/>
      <c r="H198" s="47"/>
      <c r="I198" s="47" t="s">
        <v>664</v>
      </c>
      <c r="J198" s="49">
        <v>45913</v>
      </c>
      <c r="K198" s="47" t="str">
        <f>INDEX(_xlfn.TEXTSPLIT(mouvementmp[[#This Row],[QR MP]],"_"),1,1)</f>
        <v>C03</v>
      </c>
      <c r="L198" s="47" t="str">
        <f>INDEX(_xlfn.TEXTSPLIT(mouvementmp[[#This Row],[QR MP]],"_"),1,2)</f>
        <v xml:space="preserve">BEIGE </v>
      </c>
      <c r="M198" s="47" t="str">
        <f>INDEX(_xlfn.TEXTSPLIT(mouvementmp[[#This Row],[QR MP]],"_"),1,3)</f>
        <v>NM15-03.01</v>
      </c>
      <c r="N198" s="47" t="str">
        <f>INDEX(_xlfn.TEXTSPLIT(mouvementmp[[#This Row],[QR MP]],"_"),1,4)</f>
        <v>61559</v>
      </c>
      <c r="O198" s="47">
        <f>-mouvementmp[[#This Row],[Poids]]</f>
        <v>-0.75</v>
      </c>
      <c r="P198" s="47" t="str">
        <f>IF(
   COUNTIFS($A$2:A198,A198,
             $B$2:B198,B198,
             $C$2:C198,C198,
             $D$2:D198,D198,
             $E$2:E198,E198,
             $F$2:F198,F198,
              $J$2:J198,J198)&gt;1,
   "Doublon",
   "Correcte"
)</f>
        <v>Correcte</v>
      </c>
      <c r="Q198" s="106" t="str">
        <f>IF(mouvementmp[[#This Row],[QR Fabrication]]&lt;&gt;"",INDEX(_xlfn.TEXTSPLIT(mouvementmp[[#This Row],[QR Fabrication]],"_"),1,1),"")</f>
        <v>OF244785</v>
      </c>
      <c r="R198" s="106" t="str">
        <f>IF(mouvementmp[[#This Row],[QR Fabrication]]&lt;&gt;"",INDEX(_xlfn.TEXTSPLIT(mouvementmp[[#This Row],[QR Fabrication]],"_"),1,2),"")</f>
        <v>All By Fouta</v>
      </c>
      <c r="S198" s="47" t="str">
        <f>IF(mouvementmp[[#This Row],[QR Fabrication]]&lt;&gt;"",INDEX(_xlfn.TEXTSPLIT(mouvementmp[[#This Row],[QR Fabrication]],"_"),1,3),"")</f>
        <v>Stock</v>
      </c>
      <c r="T198" s="47" t="str">
        <f>IF(mouvementmp[[#This Row],[QR Fabrication]]&lt;&gt;"",INDEX(_xlfn.TEXTSPLIT(mouvementmp[[#This Row],[QR Fabrication]],"_"),1,4),"")</f>
        <v>INS1824-Q19-02-03</v>
      </c>
      <c r="U198" s="47" t="str">
        <f>IF(mouvementmp[[#This Row],[QR Fabrication]]&lt;&gt;"",INDEX(_xlfn.TEXTSPLIT(mouvementmp[[#This Row],[QR Fabrication]],"_"),1,5),"")</f>
        <v xml:space="preserve">INSPIRATION </v>
      </c>
      <c r="V198" s="47" t="str">
        <f>IF(mouvementmp[[#This Row],[QR Fabrication]]&lt;&gt;"",_xlfn.TEXTAFTER(mouvementmp[[#This Row],[QR Fabrication]],"_",5),"")</f>
        <v>1824</v>
      </c>
    </row>
    <row r="199" spans="1:22" ht="16.5" thickTop="1" thickBot="1" x14ac:dyDescent="0.3">
      <c r="A199" s="46" t="s">
        <v>2409</v>
      </c>
      <c r="B199" s="54" t="s">
        <v>3874</v>
      </c>
      <c r="C199" s="47" t="s">
        <v>668</v>
      </c>
      <c r="D199" s="47" t="s">
        <v>665</v>
      </c>
      <c r="E199" s="47" t="s">
        <v>669</v>
      </c>
      <c r="F199" s="48">
        <v>1.1399999999999999</v>
      </c>
      <c r="G199" s="47"/>
      <c r="H199" s="47"/>
      <c r="I199" s="47" t="s">
        <v>664</v>
      </c>
      <c r="J199" s="49">
        <v>45913</v>
      </c>
      <c r="K199" s="47" t="str">
        <f>INDEX(_xlfn.TEXTSPLIT(mouvementmp[[#This Row],[QR MP]],"_"),1,1)</f>
        <v>C20</v>
      </c>
      <c r="L199" s="47" t="str">
        <f>INDEX(_xlfn.TEXTSPLIT(mouvementmp[[#This Row],[QR MP]],"_"),1,2)</f>
        <v>VERT OLIVE</v>
      </c>
      <c r="M199" s="47" t="str">
        <f>INDEX(_xlfn.TEXTSPLIT(mouvementmp[[#This Row],[QR MP]],"_"),1,3)</f>
        <v>NM15-20.00</v>
      </c>
      <c r="N199" s="47" t="str">
        <f>INDEX(_xlfn.TEXTSPLIT(mouvementmp[[#This Row],[QR MP]],"_"),1,4)</f>
        <v>S2023</v>
      </c>
      <c r="O199" s="47">
        <f>-mouvementmp[[#This Row],[Poids]]</f>
        <v>-1.1399999999999999</v>
      </c>
      <c r="P199" s="47" t="str">
        <f>IF(
   COUNTIFS($A$2:A199,A199,
             $B$2:B199,B199,
             $C$2:C199,C199,
             $D$2:D199,D199,
             $E$2:E199,E199,
             $F$2:F199,F199,
              $J$2:J199,J199)&gt;1,
   "Doublon",
   "Correcte"
)</f>
        <v>Correcte</v>
      </c>
      <c r="Q199" s="106" t="str">
        <f>IF(mouvementmp[[#This Row],[QR Fabrication]]&lt;&gt;"",INDEX(_xlfn.TEXTSPLIT(mouvementmp[[#This Row],[QR Fabrication]],"_"),1,1),"")</f>
        <v>OF244785</v>
      </c>
      <c r="R199" s="106" t="str">
        <f>IF(mouvementmp[[#This Row],[QR Fabrication]]&lt;&gt;"",INDEX(_xlfn.TEXTSPLIT(mouvementmp[[#This Row],[QR Fabrication]],"_"),1,2),"")</f>
        <v>All By Fouta</v>
      </c>
      <c r="S199" s="47" t="str">
        <f>IF(mouvementmp[[#This Row],[QR Fabrication]]&lt;&gt;"",INDEX(_xlfn.TEXTSPLIT(mouvementmp[[#This Row],[QR Fabrication]],"_"),1,3),"")</f>
        <v>Stock</v>
      </c>
      <c r="T199" s="47" t="str">
        <f>IF(mouvementmp[[#This Row],[QR Fabrication]]&lt;&gt;"",INDEX(_xlfn.TEXTSPLIT(mouvementmp[[#This Row],[QR Fabrication]],"_"),1,4),"")</f>
        <v>INS1824-Q19-02-03</v>
      </c>
      <c r="U199" s="47" t="str">
        <f>IF(mouvementmp[[#This Row],[QR Fabrication]]&lt;&gt;"",INDEX(_xlfn.TEXTSPLIT(mouvementmp[[#This Row],[QR Fabrication]],"_"),1,5),"")</f>
        <v xml:space="preserve">INSPIRATION </v>
      </c>
      <c r="V199" s="47" t="str">
        <f>IF(mouvementmp[[#This Row],[QR Fabrication]]&lt;&gt;"",_xlfn.TEXTAFTER(mouvementmp[[#This Row],[QR Fabrication]],"_",5),"")</f>
        <v>1824</v>
      </c>
    </row>
    <row r="200" spans="1:22" ht="16.5" thickTop="1" thickBot="1" x14ac:dyDescent="0.3">
      <c r="A200" s="46" t="s">
        <v>2410</v>
      </c>
      <c r="B200" s="54" t="s">
        <v>3896</v>
      </c>
      <c r="C200" s="47" t="s">
        <v>668</v>
      </c>
      <c r="D200" s="47" t="s">
        <v>665</v>
      </c>
      <c r="E200" s="47" t="s">
        <v>669</v>
      </c>
      <c r="F200" s="48">
        <v>0.75</v>
      </c>
      <c r="G200" s="47"/>
      <c r="H200" s="47"/>
      <c r="I200" s="47" t="s">
        <v>664</v>
      </c>
      <c r="J200" s="49">
        <v>45913</v>
      </c>
      <c r="K200" s="47" t="str">
        <f>INDEX(_xlfn.TEXTSPLIT(mouvementmp[[#This Row],[QR MP]],"_"),1,1)</f>
        <v>C28</v>
      </c>
      <c r="L200" s="47" t="str">
        <f>INDEX(_xlfn.TEXTSPLIT(mouvementmp[[#This Row],[QR MP]],"_"),1,2)</f>
        <v>FRAMBOISE</v>
      </c>
      <c r="M200" s="47" t="str">
        <f>INDEX(_xlfn.TEXTSPLIT(mouvementmp[[#This Row],[QR MP]],"_"),1,3)</f>
        <v>NM15-28.00</v>
      </c>
      <c r="N200" s="47" t="str">
        <f>INDEX(_xlfn.TEXTSPLIT(mouvementmp[[#This Row],[QR MP]],"_"),1,4)</f>
        <v>S2022</v>
      </c>
      <c r="O200" s="47">
        <f>-mouvementmp[[#This Row],[Poids]]</f>
        <v>-0.75</v>
      </c>
      <c r="P200" s="47" t="str">
        <f>IF(
   COUNTIFS($A$2:A200,A200,
             $B$2:B200,B200,
             $C$2:C200,C200,
             $D$2:D200,D200,
             $E$2:E200,E200,
             $F$2:F200,F200,
              $J$2:J200,J200)&gt;1,
   "Doublon",
   "Correcte"
)</f>
        <v>Correcte</v>
      </c>
      <c r="Q200" s="106" t="str">
        <f>IF(mouvementmp[[#This Row],[QR Fabrication]]&lt;&gt;"",INDEX(_xlfn.TEXTSPLIT(mouvementmp[[#This Row],[QR Fabrication]],"_"),1,1),"")</f>
        <v>OF249842</v>
      </c>
      <c r="R200" s="106" t="str">
        <f>IF(mouvementmp[[#This Row],[QR Fabrication]]&lt;&gt;"",INDEX(_xlfn.TEXTSPLIT(mouvementmp[[#This Row],[QR Fabrication]],"_"),1,2),"")</f>
        <v>CL00884</v>
      </c>
      <c r="S200" s="47" t="str">
        <f>IF(mouvementmp[[#This Row],[QR Fabrication]]&lt;&gt;"",INDEX(_xlfn.TEXTSPLIT(mouvementmp[[#This Row],[QR Fabrication]],"_"),1,3),"")</f>
        <v>CM-FT0119</v>
      </c>
      <c r="T200" s="47" t="str">
        <f>IF(mouvementmp[[#This Row],[QR Fabrication]]&lt;&gt;"",INDEX(_xlfn.TEXTSPLIT(mouvementmp[[#This Row],[QR Fabrication]],"_"),1,4),"")</f>
        <v>FI1020-C28-25-24</v>
      </c>
      <c r="U200" s="47" t="str">
        <f>IF(mouvementmp[[#This Row],[QR Fabrication]]&lt;&gt;"",INDEX(_xlfn.TEXTSPLIT(mouvementmp[[#This Row],[QR Fabrication]],"_"),1,5),"")</f>
        <v>FIVE</v>
      </c>
      <c r="V200" s="47" t="str">
        <f>IF(mouvementmp[[#This Row],[QR Fabrication]]&lt;&gt;"",_xlfn.TEXTAFTER(mouvementmp[[#This Row],[QR Fabrication]],"_",5),"")</f>
        <v>1020</v>
      </c>
    </row>
    <row r="201" spans="1:22" ht="16.5" thickTop="1" thickBot="1" x14ac:dyDescent="0.3">
      <c r="A201" s="46" t="s">
        <v>2410</v>
      </c>
      <c r="B201" s="54" t="s">
        <v>3887</v>
      </c>
      <c r="C201" s="47" t="s">
        <v>668</v>
      </c>
      <c r="D201" s="47" t="s">
        <v>665</v>
      </c>
      <c r="E201" s="47" t="s">
        <v>669</v>
      </c>
      <c r="F201" s="48">
        <v>1.1100000000000001</v>
      </c>
      <c r="G201" s="47"/>
      <c r="H201" s="47"/>
      <c r="I201" s="47" t="s">
        <v>664</v>
      </c>
      <c r="J201" s="49">
        <v>45913</v>
      </c>
      <c r="K201" s="47" t="str">
        <f>INDEX(_xlfn.TEXTSPLIT(mouvementmp[[#This Row],[QR MP]],"_"),1,1)</f>
        <v>C25</v>
      </c>
      <c r="L201" s="47" t="str">
        <f>INDEX(_xlfn.TEXTSPLIT(mouvementmp[[#This Row],[QR MP]],"_"),1,2)</f>
        <v>ORANGE</v>
      </c>
      <c r="M201" s="47" t="str">
        <f>INDEX(_xlfn.TEXTSPLIT(mouvementmp[[#This Row],[QR MP]],"_"),1,3)</f>
        <v>NM15-25.00</v>
      </c>
      <c r="N201" s="47" t="str">
        <f>INDEX(_xlfn.TEXTSPLIT(mouvementmp[[#This Row],[QR MP]],"_"),1,4)</f>
        <v>61729</v>
      </c>
      <c r="O201" s="47">
        <f>-mouvementmp[[#This Row],[Poids]]</f>
        <v>-1.1100000000000001</v>
      </c>
      <c r="P201" s="47" t="str">
        <f>IF(
   COUNTIFS($A$2:A201,A201,
             $B$2:B201,B201,
             $C$2:C201,C201,
             $D$2:D201,D201,
             $E$2:E201,E201,
             $F$2:F201,F201,
              $J$2:J201,J201)&gt;1,
   "Doublon",
   "Correcte"
)</f>
        <v>Correcte</v>
      </c>
      <c r="Q201" s="106" t="str">
        <f>IF(mouvementmp[[#This Row],[QR Fabrication]]&lt;&gt;"",INDEX(_xlfn.TEXTSPLIT(mouvementmp[[#This Row],[QR Fabrication]],"_"),1,1),"")</f>
        <v>OF249842</v>
      </c>
      <c r="R201" s="106" t="str">
        <f>IF(mouvementmp[[#This Row],[QR Fabrication]]&lt;&gt;"",INDEX(_xlfn.TEXTSPLIT(mouvementmp[[#This Row],[QR Fabrication]],"_"),1,2),"")</f>
        <v>CL00884</v>
      </c>
      <c r="S201" s="47" t="str">
        <f>IF(mouvementmp[[#This Row],[QR Fabrication]]&lt;&gt;"",INDEX(_xlfn.TEXTSPLIT(mouvementmp[[#This Row],[QR Fabrication]],"_"),1,3),"")</f>
        <v>CM-FT0119</v>
      </c>
      <c r="T201" s="47" t="str">
        <f>IF(mouvementmp[[#This Row],[QR Fabrication]]&lt;&gt;"",INDEX(_xlfn.TEXTSPLIT(mouvementmp[[#This Row],[QR Fabrication]],"_"),1,4),"")</f>
        <v>FI1020-C28-25-24</v>
      </c>
      <c r="U201" s="47" t="str">
        <f>IF(mouvementmp[[#This Row],[QR Fabrication]]&lt;&gt;"",INDEX(_xlfn.TEXTSPLIT(mouvementmp[[#This Row],[QR Fabrication]],"_"),1,5),"")</f>
        <v>FIVE</v>
      </c>
      <c r="V201" s="47" t="str">
        <f>IF(mouvementmp[[#This Row],[QR Fabrication]]&lt;&gt;"",_xlfn.TEXTAFTER(mouvementmp[[#This Row],[QR Fabrication]],"_",5),"")</f>
        <v>1020</v>
      </c>
    </row>
    <row r="202" spans="1:22" ht="16.5" thickTop="1" thickBot="1" x14ac:dyDescent="0.3">
      <c r="A202" s="46" t="s">
        <v>2410</v>
      </c>
      <c r="B202" s="54" t="s">
        <v>3886</v>
      </c>
      <c r="C202" s="47" t="s">
        <v>668</v>
      </c>
      <c r="D202" s="47" t="s">
        <v>665</v>
      </c>
      <c r="E202" s="47" t="s">
        <v>669</v>
      </c>
      <c r="F202" s="48">
        <v>1.1499999999999999</v>
      </c>
      <c r="G202" s="47"/>
      <c r="H202" s="47"/>
      <c r="I202" s="47" t="s">
        <v>664</v>
      </c>
      <c r="J202" s="49">
        <v>45913</v>
      </c>
      <c r="K202" s="47" t="str">
        <f>INDEX(_xlfn.TEXTSPLIT(mouvementmp[[#This Row],[QR MP]],"_"),1,1)</f>
        <v>C24</v>
      </c>
      <c r="L202" s="47" t="str">
        <f>INDEX(_xlfn.TEXTSPLIT(mouvementmp[[#This Row],[QR MP]],"_"),1,2)</f>
        <v>JAUNE SAFRAN</v>
      </c>
      <c r="M202" s="47" t="str">
        <f>INDEX(_xlfn.TEXTSPLIT(mouvementmp[[#This Row],[QR MP]],"_"),1,3)</f>
        <v>NM15-24.00</v>
      </c>
      <c r="N202" s="47" t="str">
        <f>INDEX(_xlfn.TEXTSPLIT(mouvementmp[[#This Row],[QR MP]],"_"),1,4)</f>
        <v>61554</v>
      </c>
      <c r="O202" s="47">
        <f>-mouvementmp[[#This Row],[Poids]]</f>
        <v>-1.1499999999999999</v>
      </c>
      <c r="P202" s="47" t="str">
        <f>IF(
   COUNTIFS($A$2:A202,A202,
             $B$2:B202,B202,
             $C$2:C202,C202,
             $D$2:D202,D202,
             $E$2:E202,E202,
             $F$2:F202,F202,
              $J$2:J202,J202)&gt;1,
   "Doublon",
   "Correcte"
)</f>
        <v>Correcte</v>
      </c>
      <c r="Q202" s="106" t="str">
        <f>IF(mouvementmp[[#This Row],[QR Fabrication]]&lt;&gt;"",INDEX(_xlfn.TEXTSPLIT(mouvementmp[[#This Row],[QR Fabrication]],"_"),1,1),"")</f>
        <v>OF249842</v>
      </c>
      <c r="R202" s="106" t="str">
        <f>IF(mouvementmp[[#This Row],[QR Fabrication]]&lt;&gt;"",INDEX(_xlfn.TEXTSPLIT(mouvementmp[[#This Row],[QR Fabrication]],"_"),1,2),"")</f>
        <v>CL00884</v>
      </c>
      <c r="S202" s="47" t="str">
        <f>IF(mouvementmp[[#This Row],[QR Fabrication]]&lt;&gt;"",INDEX(_xlfn.TEXTSPLIT(mouvementmp[[#This Row],[QR Fabrication]],"_"),1,3),"")</f>
        <v>CM-FT0119</v>
      </c>
      <c r="T202" s="47" t="str">
        <f>IF(mouvementmp[[#This Row],[QR Fabrication]]&lt;&gt;"",INDEX(_xlfn.TEXTSPLIT(mouvementmp[[#This Row],[QR Fabrication]],"_"),1,4),"")</f>
        <v>FI1020-C28-25-24</v>
      </c>
      <c r="U202" s="47" t="str">
        <f>IF(mouvementmp[[#This Row],[QR Fabrication]]&lt;&gt;"",INDEX(_xlfn.TEXTSPLIT(mouvementmp[[#This Row],[QR Fabrication]],"_"),1,5),"")</f>
        <v>FIVE</v>
      </c>
      <c r="V202" s="47" t="str">
        <f>IF(mouvementmp[[#This Row],[QR Fabrication]]&lt;&gt;"",_xlfn.TEXTAFTER(mouvementmp[[#This Row],[QR Fabrication]],"_",5),"")</f>
        <v>1020</v>
      </c>
    </row>
    <row r="203" spans="1:22" ht="16.5" thickTop="1" thickBot="1" x14ac:dyDescent="0.3">
      <c r="A203" s="46" t="s">
        <v>2410</v>
      </c>
      <c r="B203" s="54" t="s">
        <v>3884</v>
      </c>
      <c r="C203" s="47" t="s">
        <v>668</v>
      </c>
      <c r="D203" s="47" t="s">
        <v>665</v>
      </c>
      <c r="E203" s="47" t="s">
        <v>669</v>
      </c>
      <c r="F203" s="48">
        <v>1.25</v>
      </c>
      <c r="G203" s="47"/>
      <c r="H203" s="47"/>
      <c r="I203" s="47" t="s">
        <v>664</v>
      </c>
      <c r="J203" s="49">
        <v>45913</v>
      </c>
      <c r="K203" s="47" t="str">
        <f>INDEX(_xlfn.TEXTSPLIT(mouvementmp[[#This Row],[QR MP]],"_"),1,1)</f>
        <v>C23</v>
      </c>
      <c r="L203" s="47" t="str">
        <f>INDEX(_xlfn.TEXTSPLIT(mouvementmp[[#This Row],[QR MP]],"_"),1,2)</f>
        <v>OR</v>
      </c>
      <c r="M203" s="47" t="str">
        <f>INDEX(_xlfn.TEXTSPLIT(mouvementmp[[#This Row],[QR MP]],"_"),1,3)</f>
        <v>NM15-23.00</v>
      </c>
      <c r="N203" s="47" t="str">
        <f>INDEX(_xlfn.TEXTSPLIT(mouvementmp[[#This Row],[QR MP]],"_"),1,4)</f>
        <v>61566</v>
      </c>
      <c r="O203" s="47">
        <f>-mouvementmp[[#This Row],[Poids]]</f>
        <v>-1.25</v>
      </c>
      <c r="P203" s="47" t="str">
        <f>IF(
   COUNTIFS($A$2:A203,A203,
             $B$2:B203,B203,
             $C$2:C203,C203,
             $D$2:D203,D203,
             $E$2:E203,E203,
             $F$2:F203,F203,
              $J$2:J203,J203)&gt;1,
   "Doublon",
   "Correcte"
)</f>
        <v>Correcte</v>
      </c>
      <c r="Q203" s="106" t="str">
        <f>IF(mouvementmp[[#This Row],[QR Fabrication]]&lt;&gt;"",INDEX(_xlfn.TEXTSPLIT(mouvementmp[[#This Row],[QR Fabrication]],"_"),1,1),"")</f>
        <v>OF249842</v>
      </c>
      <c r="R203" s="106" t="str">
        <f>IF(mouvementmp[[#This Row],[QR Fabrication]]&lt;&gt;"",INDEX(_xlfn.TEXTSPLIT(mouvementmp[[#This Row],[QR Fabrication]],"_"),1,2),"")</f>
        <v>CL00884</v>
      </c>
      <c r="S203" s="47" t="str">
        <f>IF(mouvementmp[[#This Row],[QR Fabrication]]&lt;&gt;"",INDEX(_xlfn.TEXTSPLIT(mouvementmp[[#This Row],[QR Fabrication]],"_"),1,3),"")</f>
        <v>CM-FT0119</v>
      </c>
      <c r="T203" s="47" t="str">
        <f>IF(mouvementmp[[#This Row],[QR Fabrication]]&lt;&gt;"",INDEX(_xlfn.TEXTSPLIT(mouvementmp[[#This Row],[QR Fabrication]],"_"),1,4),"")</f>
        <v>FI1020-C28-25-24</v>
      </c>
      <c r="U203" s="47" t="str">
        <f>IF(mouvementmp[[#This Row],[QR Fabrication]]&lt;&gt;"",INDEX(_xlfn.TEXTSPLIT(mouvementmp[[#This Row],[QR Fabrication]],"_"),1,5),"")</f>
        <v>FIVE</v>
      </c>
      <c r="V203" s="47" t="str">
        <f>IF(mouvementmp[[#This Row],[QR Fabrication]]&lt;&gt;"",_xlfn.TEXTAFTER(mouvementmp[[#This Row],[QR Fabrication]],"_",5),"")</f>
        <v>1020</v>
      </c>
    </row>
    <row r="204" spans="1:22" ht="16.5" thickTop="1" thickBot="1" x14ac:dyDescent="0.3">
      <c r="A204" s="46" t="s">
        <v>2410</v>
      </c>
      <c r="B204" s="54" t="s">
        <v>3881</v>
      </c>
      <c r="C204" s="47" t="s">
        <v>668</v>
      </c>
      <c r="D204" s="47" t="s">
        <v>665</v>
      </c>
      <c r="E204" s="47" t="s">
        <v>669</v>
      </c>
      <c r="F204" s="48">
        <v>1.71</v>
      </c>
      <c r="G204" s="47"/>
      <c r="H204" s="47"/>
      <c r="I204" s="47" t="s">
        <v>664</v>
      </c>
      <c r="J204" s="49">
        <v>45913</v>
      </c>
      <c r="K204" s="47" t="str">
        <f>INDEX(_xlfn.TEXTSPLIT(mouvementmp[[#This Row],[QR MP]],"_"),1,1)</f>
        <v>C22</v>
      </c>
      <c r="L204" s="47" t="str">
        <f>INDEX(_xlfn.TEXTSPLIT(mouvementmp[[#This Row],[QR MP]],"_"),1,2)</f>
        <v>JAUNE FLUO</v>
      </c>
      <c r="M204" s="47" t="str">
        <f>INDEX(_xlfn.TEXTSPLIT(mouvementmp[[#This Row],[QR MP]],"_"),1,3)</f>
        <v>NM15-22.00</v>
      </c>
      <c r="N204" s="47" t="str">
        <f>INDEX(_xlfn.TEXTSPLIT(mouvementmp[[#This Row],[QR MP]],"_"),1,4)</f>
        <v>61540</v>
      </c>
      <c r="O204" s="47">
        <f>-mouvementmp[[#This Row],[Poids]]</f>
        <v>-1.71</v>
      </c>
      <c r="P204" s="47" t="str">
        <f>IF(
   COUNTIFS($A$2:A204,A204,
             $B$2:B204,B204,
             $C$2:C204,C204,
             $D$2:D204,D204,
             $E$2:E204,E204,
             $F$2:F204,F204,
              $J$2:J204,J204)&gt;1,
   "Doublon",
   "Correcte"
)</f>
        <v>Correcte</v>
      </c>
      <c r="Q204" s="106" t="str">
        <f>IF(mouvementmp[[#This Row],[QR Fabrication]]&lt;&gt;"",INDEX(_xlfn.TEXTSPLIT(mouvementmp[[#This Row],[QR Fabrication]],"_"),1,1),"")</f>
        <v>OF249842</v>
      </c>
      <c r="R204" s="106" t="str">
        <f>IF(mouvementmp[[#This Row],[QR Fabrication]]&lt;&gt;"",INDEX(_xlfn.TEXTSPLIT(mouvementmp[[#This Row],[QR Fabrication]],"_"),1,2),"")</f>
        <v>CL00884</v>
      </c>
      <c r="S204" s="47" t="str">
        <f>IF(mouvementmp[[#This Row],[QR Fabrication]]&lt;&gt;"",INDEX(_xlfn.TEXTSPLIT(mouvementmp[[#This Row],[QR Fabrication]],"_"),1,3),"")</f>
        <v>CM-FT0119</v>
      </c>
      <c r="T204" s="47" t="str">
        <f>IF(mouvementmp[[#This Row],[QR Fabrication]]&lt;&gt;"",INDEX(_xlfn.TEXTSPLIT(mouvementmp[[#This Row],[QR Fabrication]],"_"),1,4),"")</f>
        <v>FI1020-C28-25-24</v>
      </c>
      <c r="U204" s="47" t="str">
        <f>IF(mouvementmp[[#This Row],[QR Fabrication]]&lt;&gt;"",INDEX(_xlfn.TEXTSPLIT(mouvementmp[[#This Row],[QR Fabrication]],"_"),1,5),"")</f>
        <v>FIVE</v>
      </c>
      <c r="V204" s="47" t="str">
        <f>IF(mouvementmp[[#This Row],[QR Fabrication]]&lt;&gt;"",_xlfn.TEXTAFTER(mouvementmp[[#This Row],[QR Fabrication]],"_",5),"")</f>
        <v>1020</v>
      </c>
    </row>
    <row r="205" spans="1:22" ht="16.5" thickTop="1" thickBot="1" x14ac:dyDescent="0.3">
      <c r="A205" s="46" t="s">
        <v>2411</v>
      </c>
      <c r="B205" s="54" t="s">
        <v>3921</v>
      </c>
      <c r="C205" s="47" t="s">
        <v>668</v>
      </c>
      <c r="D205" s="47" t="s">
        <v>665</v>
      </c>
      <c r="E205" s="47" t="s">
        <v>669</v>
      </c>
      <c r="F205" s="48">
        <v>1.1499999999999999</v>
      </c>
      <c r="G205" s="47"/>
      <c r="H205" s="47"/>
      <c r="I205" s="47" t="s">
        <v>664</v>
      </c>
      <c r="J205" s="49">
        <v>45913</v>
      </c>
      <c r="K205" s="47" t="str">
        <f>INDEX(_xlfn.TEXTSPLIT(mouvementmp[[#This Row],[QR MP]],"_"),1,1)</f>
        <v>C06</v>
      </c>
      <c r="L205" s="47" t="str">
        <f>INDEX(_xlfn.TEXTSPLIT(mouvementmp[[#This Row],[QR MP]],"_"),1,2)</f>
        <v>GRIS CLAIR</v>
      </c>
      <c r="M205" s="47" t="str">
        <f>INDEX(_xlfn.TEXTSPLIT(mouvementmp[[#This Row],[QR MP]],"_"),1,3)</f>
        <v>NM15-06.00</v>
      </c>
      <c r="N205" s="47" t="str">
        <f>INDEX(_xlfn.TEXTSPLIT(mouvementmp[[#This Row],[QR MP]],"_"),1,4)</f>
        <v>61828</v>
      </c>
      <c r="O205" s="47">
        <f>-mouvementmp[[#This Row],[Poids]]</f>
        <v>-1.1499999999999999</v>
      </c>
      <c r="P205" s="47" t="str">
        <f>IF(
   COUNTIFS($A$2:A205,A205,
             $B$2:B205,B205,
             $C$2:C205,C205,
             $D$2:D205,D205,
             $E$2:E205,E205,
             $F$2:F205,F205,
              $J$2:J205,J205)&gt;1,
   "Doublon",
   "Correcte"
)</f>
        <v>Correcte</v>
      </c>
      <c r="Q205" s="106" t="str">
        <f>IF(mouvementmp[[#This Row],[QR Fabrication]]&lt;&gt;"",INDEX(_xlfn.TEXTSPLIT(mouvementmp[[#This Row],[QR Fabrication]],"_"),1,1),"")</f>
        <v>CA250474</v>
      </c>
      <c r="R205" s="106" t="str">
        <f>IF(mouvementmp[[#This Row],[QR Fabrication]]&lt;&gt;"",INDEX(_xlfn.TEXTSPLIT(mouvementmp[[#This Row],[QR Fabrication]],"_"),1,2),"")</f>
        <v>All by Fouta</v>
      </c>
      <c r="S205" s="47" t="str">
        <f>IF(mouvementmp[[#This Row],[QR Fabrication]]&lt;&gt;"",INDEX(_xlfn.TEXTSPLIT(mouvementmp[[#This Row],[QR Fabrication]],"_"),1,3),"")</f>
        <v>Stock</v>
      </c>
      <c r="T205" s="47" t="str">
        <f>IF(mouvementmp[[#This Row],[QR Fabrication]]&lt;&gt;"",INDEX(_xlfn.TEXTSPLIT(mouvementmp[[#This Row],[QR Fabrication]],"_"),1,4),"")</f>
        <v>FAF1020-B06-08</v>
      </c>
      <c r="U205" s="47" t="str">
        <f>IF(mouvementmp[[#This Row],[QR Fabrication]]&lt;&gt;"",INDEX(_xlfn.TEXTSPLIT(mouvementmp[[#This Row],[QR Fabrication]],"_"),1,5),"")</f>
        <v>FIL A FIL</v>
      </c>
      <c r="V205" s="47" t="str">
        <f>IF(mouvementmp[[#This Row],[QR Fabrication]]&lt;&gt;"",_xlfn.TEXTAFTER(mouvementmp[[#This Row],[QR Fabrication]],"_",5),"")</f>
        <v>1020</v>
      </c>
    </row>
    <row r="206" spans="1:22" ht="16.5" thickTop="1" thickBot="1" x14ac:dyDescent="0.3">
      <c r="A206" s="46" t="s">
        <v>2411</v>
      </c>
      <c r="B206" s="54" t="s">
        <v>3841</v>
      </c>
      <c r="C206" s="47" t="s">
        <v>668</v>
      </c>
      <c r="D206" s="47" t="s">
        <v>665</v>
      </c>
      <c r="E206" s="47" t="s">
        <v>669</v>
      </c>
      <c r="F206" s="48">
        <v>1.75</v>
      </c>
      <c r="G206" s="47"/>
      <c r="H206" s="47"/>
      <c r="I206" s="47" t="s">
        <v>664</v>
      </c>
      <c r="J206" s="49">
        <v>45913</v>
      </c>
      <c r="K206" s="47" t="str">
        <f>INDEX(_xlfn.TEXTSPLIT(mouvementmp[[#This Row],[QR MP]],"_"),1,1)</f>
        <v>C08</v>
      </c>
      <c r="L206" s="47" t="str">
        <f>INDEX(_xlfn.TEXTSPLIT(mouvementmp[[#This Row],[QR MP]],"_"),1,2)</f>
        <v>GRIS ANTHRACITE</v>
      </c>
      <c r="M206" s="47" t="str">
        <f>INDEX(_xlfn.TEXTSPLIT(mouvementmp[[#This Row],[QR MP]],"_"),1,3)</f>
        <v>NM15-08.00</v>
      </c>
      <c r="N206" s="47" t="str">
        <f>INDEX(_xlfn.TEXTSPLIT(mouvementmp[[#This Row],[QR MP]],"_"),1,4)</f>
        <v>59358</v>
      </c>
      <c r="O206" s="47">
        <f>-mouvementmp[[#This Row],[Poids]]</f>
        <v>-1.75</v>
      </c>
      <c r="P206" s="47" t="str">
        <f>IF(
   COUNTIFS($A$2:A206,A206,
             $B$2:B206,B206,
             $C$2:C206,C206,
             $D$2:D206,D206,
             $E$2:E206,E206,
             $F$2:F206,F206,
              $J$2:J206,J206)&gt;1,
   "Doublon",
   "Correcte"
)</f>
        <v>Correcte</v>
      </c>
      <c r="Q206" s="106" t="str">
        <f>IF(mouvementmp[[#This Row],[QR Fabrication]]&lt;&gt;"",INDEX(_xlfn.TEXTSPLIT(mouvementmp[[#This Row],[QR Fabrication]],"_"),1,1),"")</f>
        <v>CA250474</v>
      </c>
      <c r="R206" s="106" t="str">
        <f>IF(mouvementmp[[#This Row],[QR Fabrication]]&lt;&gt;"",INDEX(_xlfn.TEXTSPLIT(mouvementmp[[#This Row],[QR Fabrication]],"_"),1,2),"")</f>
        <v>All by Fouta</v>
      </c>
      <c r="S206" s="47" t="str">
        <f>IF(mouvementmp[[#This Row],[QR Fabrication]]&lt;&gt;"",INDEX(_xlfn.TEXTSPLIT(mouvementmp[[#This Row],[QR Fabrication]],"_"),1,3),"")</f>
        <v>Stock</v>
      </c>
      <c r="T206" s="47" t="str">
        <f>IF(mouvementmp[[#This Row],[QR Fabrication]]&lt;&gt;"",INDEX(_xlfn.TEXTSPLIT(mouvementmp[[#This Row],[QR Fabrication]],"_"),1,4),"")</f>
        <v>FAF1020-B06-08</v>
      </c>
      <c r="U206" s="47" t="str">
        <f>IF(mouvementmp[[#This Row],[QR Fabrication]]&lt;&gt;"",INDEX(_xlfn.TEXTSPLIT(mouvementmp[[#This Row],[QR Fabrication]],"_"),1,5),"")</f>
        <v>FIL A FIL</v>
      </c>
      <c r="V206" s="47" t="str">
        <f>IF(mouvementmp[[#This Row],[QR Fabrication]]&lt;&gt;"",_xlfn.TEXTAFTER(mouvementmp[[#This Row],[QR Fabrication]],"_",5),"")</f>
        <v>1020</v>
      </c>
    </row>
    <row r="207" spans="1:22" ht="16.5" thickTop="1" thickBot="1" x14ac:dyDescent="0.3">
      <c r="A207" s="46" t="s">
        <v>2412</v>
      </c>
      <c r="B207" s="54" t="s">
        <v>3892</v>
      </c>
      <c r="C207" s="47" t="s">
        <v>668</v>
      </c>
      <c r="D207" s="47" t="s">
        <v>665</v>
      </c>
      <c r="E207" s="47" t="s">
        <v>669</v>
      </c>
      <c r="F207" s="48">
        <v>1.1499999999999999</v>
      </c>
      <c r="G207" s="47"/>
      <c r="H207" s="47"/>
      <c r="I207" s="47" t="s">
        <v>664</v>
      </c>
      <c r="J207" s="49">
        <v>45913</v>
      </c>
      <c r="K207" s="47" t="str">
        <f>INDEX(_xlfn.TEXTSPLIT(mouvementmp[[#This Row],[QR MP]],"_"),1,1)</f>
        <v>C26</v>
      </c>
      <c r="L207" s="47" t="str">
        <f>INDEX(_xlfn.TEXTSPLIT(mouvementmp[[#This Row],[QR MP]],"_"),1,2)</f>
        <v>ROUGE FERRARI</v>
      </c>
      <c r="M207" s="47" t="str">
        <f>INDEX(_xlfn.TEXTSPLIT(mouvementmp[[#This Row],[QR MP]],"_"),1,3)</f>
        <v>NM15-26.00</v>
      </c>
      <c r="N207" s="47" t="str">
        <f>INDEX(_xlfn.TEXTSPLIT(mouvementmp[[#This Row],[QR MP]],"_"),1,4)</f>
        <v>61551</v>
      </c>
      <c r="O207" s="47">
        <f>-mouvementmp[[#This Row],[Poids]]</f>
        <v>-1.1499999999999999</v>
      </c>
      <c r="P207" s="47" t="str">
        <f>IF(
   COUNTIFS($A$2:A207,A207,
             $B$2:B207,B207,
             $C$2:C207,C207,
             $D$2:D207,D207,
             $E$2:E207,E207,
             $F$2:F207,F207,
              $J$2:J207,J207)&gt;1,
   "Doublon",
   "Correcte"
)</f>
        <v>Correcte</v>
      </c>
      <c r="Q207" s="106" t="str">
        <f>IF(mouvementmp[[#This Row],[QR Fabrication]]&lt;&gt;"",INDEX(_xlfn.TEXTSPLIT(mouvementmp[[#This Row],[QR Fabrication]],"_"),1,1),"")</f>
        <v>OF244802</v>
      </c>
      <c r="R207" s="106" t="str">
        <f>IF(mouvementmp[[#This Row],[QR Fabrication]]&lt;&gt;"",INDEX(_xlfn.TEXTSPLIT(mouvementmp[[#This Row],[QR Fabrication]],"_"),1,2),"")</f>
        <v>All By Fouta</v>
      </c>
      <c r="S207" s="47" t="str">
        <f>IF(mouvementmp[[#This Row],[QR Fabrication]]&lt;&gt;"",INDEX(_xlfn.TEXTSPLIT(mouvementmp[[#This Row],[QR Fabrication]],"_"),1,3),"")</f>
        <v>Stock</v>
      </c>
      <c r="T207" s="47" t="str">
        <f>IF(mouvementmp[[#This Row],[QR Fabrication]]&lt;&gt;"",INDEX(_xlfn.TEXTSPLIT(mouvementmp[[#This Row],[QR Fabrication]],"_"),1,4),"")</f>
        <v>PACKSICL0507-B26-01</v>
      </c>
      <c r="U207" s="47" t="str">
        <f>IF(mouvementmp[[#This Row],[QR Fabrication]]&lt;&gt;"",INDEX(_xlfn.TEXTSPLIT(mouvementmp[[#This Row],[QR Fabrication]],"_"),1,5),"")</f>
        <v>PACK CLASSIQUE</v>
      </c>
      <c r="V207" s="47" t="str">
        <f>IF(mouvementmp[[#This Row],[QR Fabrication]]&lt;&gt;"",_xlfn.TEXTAFTER(mouvementmp[[#This Row],[QR Fabrication]],"_",5),"")</f>
        <v>0507</v>
      </c>
    </row>
    <row r="208" spans="1:22" ht="16.5" thickTop="1" thickBot="1" x14ac:dyDescent="0.3">
      <c r="A208" s="46" t="s">
        <v>2412</v>
      </c>
      <c r="B208" s="54" t="s">
        <v>3920</v>
      </c>
      <c r="C208" s="47" t="s">
        <v>668</v>
      </c>
      <c r="D208" s="47" t="s">
        <v>665</v>
      </c>
      <c r="E208" s="47" t="s">
        <v>669</v>
      </c>
      <c r="F208" s="48">
        <v>1.95</v>
      </c>
      <c r="G208" s="47"/>
      <c r="H208" s="47"/>
      <c r="I208" s="47" t="s">
        <v>664</v>
      </c>
      <c r="J208" s="49">
        <v>45913</v>
      </c>
      <c r="K208" s="47" t="str">
        <f>INDEX(_xlfn.TEXTSPLIT(mouvementmp[[#This Row],[QR MP]],"_"),1,1)</f>
        <v>C01</v>
      </c>
      <c r="L208" s="47" t="str">
        <f>INDEX(_xlfn.TEXTSPLIT(mouvementmp[[#This Row],[QR MP]],"_"),1,2)</f>
        <v>BLANC</v>
      </c>
      <c r="M208" s="47" t="str">
        <f>INDEX(_xlfn.TEXTSPLIT(mouvementmp[[#This Row],[QR MP]],"_"),1,3)</f>
        <v>NM15-01.00</v>
      </c>
      <c r="N208" s="47" t="str">
        <f>INDEX(_xlfn.TEXTSPLIT(mouvementmp[[#This Row],[QR MP]],"_"),1,4)</f>
        <v>62721</v>
      </c>
      <c r="O208" s="47">
        <f>-mouvementmp[[#This Row],[Poids]]</f>
        <v>-1.95</v>
      </c>
      <c r="P208" s="47" t="str">
        <f>IF(
   COUNTIFS($A$2:A208,A208,
             $B$2:B208,B208,
             $C$2:C208,C208,
             $D$2:D208,D208,
             $E$2:E208,E208,
             $F$2:F208,F208,
              $J$2:J208,J208)&gt;1,
   "Doublon",
   "Correcte"
)</f>
        <v>Correcte</v>
      </c>
      <c r="Q208" s="106" t="str">
        <f>IF(mouvementmp[[#This Row],[QR Fabrication]]&lt;&gt;"",INDEX(_xlfn.TEXTSPLIT(mouvementmp[[#This Row],[QR Fabrication]],"_"),1,1),"")</f>
        <v>OF244802</v>
      </c>
      <c r="R208" s="106" t="str">
        <f>IF(mouvementmp[[#This Row],[QR Fabrication]]&lt;&gt;"",INDEX(_xlfn.TEXTSPLIT(mouvementmp[[#This Row],[QR Fabrication]],"_"),1,2),"")</f>
        <v>All By Fouta</v>
      </c>
      <c r="S208" s="47" t="str">
        <f>IF(mouvementmp[[#This Row],[QR Fabrication]]&lt;&gt;"",INDEX(_xlfn.TEXTSPLIT(mouvementmp[[#This Row],[QR Fabrication]],"_"),1,3),"")</f>
        <v>Stock</v>
      </c>
      <c r="T208" s="47" t="str">
        <f>IF(mouvementmp[[#This Row],[QR Fabrication]]&lt;&gt;"",INDEX(_xlfn.TEXTSPLIT(mouvementmp[[#This Row],[QR Fabrication]],"_"),1,4),"")</f>
        <v>PACKSICL0507-B26-01</v>
      </c>
      <c r="U208" s="47" t="str">
        <f>IF(mouvementmp[[#This Row],[QR Fabrication]]&lt;&gt;"",INDEX(_xlfn.TEXTSPLIT(mouvementmp[[#This Row],[QR Fabrication]],"_"),1,5),"")</f>
        <v>PACK CLASSIQUE</v>
      </c>
      <c r="V208" s="47" t="str">
        <f>IF(mouvementmp[[#This Row],[QR Fabrication]]&lt;&gt;"",_xlfn.TEXTAFTER(mouvementmp[[#This Row],[QR Fabrication]],"_",5),"")</f>
        <v>0507</v>
      </c>
    </row>
    <row r="209" spans="1:22" ht="16.5" thickTop="1" thickBot="1" x14ac:dyDescent="0.3">
      <c r="A209" s="46" t="s">
        <v>2413</v>
      </c>
      <c r="B209" s="54" t="s">
        <v>3858</v>
      </c>
      <c r="C209" s="47" t="s">
        <v>668</v>
      </c>
      <c r="D209" s="47" t="s">
        <v>665</v>
      </c>
      <c r="E209" s="47" t="s">
        <v>669</v>
      </c>
      <c r="F209" s="48">
        <v>1.71</v>
      </c>
      <c r="G209" s="47"/>
      <c r="H209" s="47"/>
      <c r="I209" s="47" t="s">
        <v>664</v>
      </c>
      <c r="J209" s="49">
        <v>45913</v>
      </c>
      <c r="K209" s="47" t="str">
        <f>INDEX(_xlfn.TEXTSPLIT(mouvementmp[[#This Row],[QR MP]],"_"),1,1)</f>
        <v>C14</v>
      </c>
      <c r="L209" s="47" t="str">
        <f>INDEX(_xlfn.TEXTSPLIT(mouvementmp[[#This Row],[QR MP]],"_"),1,2)</f>
        <v>BLEU TURQUOISE</v>
      </c>
      <c r="M209" s="47" t="str">
        <f>INDEX(_xlfn.TEXTSPLIT(mouvementmp[[#This Row],[QR MP]],"_"),1,3)</f>
        <v>NM15-14.00</v>
      </c>
      <c r="N209" s="47" t="str">
        <f>INDEX(_xlfn.TEXTSPLIT(mouvementmp[[#This Row],[QR MP]],"_"),1,4)</f>
        <v>61597</v>
      </c>
      <c r="O209" s="47">
        <f>-mouvementmp[[#This Row],[Poids]]</f>
        <v>-1.71</v>
      </c>
      <c r="P209" s="47" t="str">
        <f>IF(
   COUNTIFS($A$2:A209,A209,
             $B$2:B209,B209,
             $C$2:C209,C209,
             $D$2:D209,D209,
             $E$2:E209,E209,
             $F$2:F209,F209,
              $J$2:J209,J209)&gt;1,
   "Doublon",
   "Correcte"
)</f>
        <v>Correcte</v>
      </c>
      <c r="Q209" s="106" t="str">
        <f>IF(mouvementmp[[#This Row],[QR Fabrication]]&lt;&gt;"",INDEX(_xlfn.TEXTSPLIT(mouvementmp[[#This Row],[QR Fabrication]],"_"),1,1),"")</f>
        <v>OF244801</v>
      </c>
      <c r="R209" s="106" t="str">
        <f>IF(mouvementmp[[#This Row],[QR Fabrication]]&lt;&gt;"",INDEX(_xlfn.TEXTSPLIT(mouvementmp[[#This Row],[QR Fabrication]],"_"),1,2),"")</f>
        <v>All By Fouta</v>
      </c>
      <c r="S209" s="47" t="str">
        <f>IF(mouvementmp[[#This Row],[QR Fabrication]]&lt;&gt;"",INDEX(_xlfn.TEXTSPLIT(mouvementmp[[#This Row],[QR Fabrication]],"_"),1,3),"")</f>
        <v>Stock</v>
      </c>
      <c r="T209" s="47" t="str">
        <f>IF(mouvementmp[[#This Row],[QR Fabrication]]&lt;&gt;"",INDEX(_xlfn.TEXTSPLIT(mouvementmp[[#This Row],[QR Fabrication]],"_"),1,4),"")</f>
        <v>PACKSICL0507-B14-13</v>
      </c>
      <c r="U209" s="47" t="str">
        <f>IF(mouvementmp[[#This Row],[QR Fabrication]]&lt;&gt;"",INDEX(_xlfn.TEXTSPLIT(mouvementmp[[#This Row],[QR Fabrication]],"_"),1,5),"")</f>
        <v>PACK CLASSIQUE</v>
      </c>
      <c r="V209" s="47" t="str">
        <f>IF(mouvementmp[[#This Row],[QR Fabrication]]&lt;&gt;"",_xlfn.TEXTAFTER(mouvementmp[[#This Row],[QR Fabrication]],"_",5),"")</f>
        <v>0507</v>
      </c>
    </row>
    <row r="210" spans="1:22" ht="16.5" thickTop="1" thickBot="1" x14ac:dyDescent="0.3">
      <c r="A210" s="46" t="s">
        <v>2413</v>
      </c>
      <c r="B210" s="54" t="s">
        <v>3856</v>
      </c>
      <c r="C210" s="47" t="s">
        <v>668</v>
      </c>
      <c r="D210" s="47" t="s">
        <v>665</v>
      </c>
      <c r="E210" s="47" t="s">
        <v>669</v>
      </c>
      <c r="F210" s="48">
        <v>0.95</v>
      </c>
      <c r="G210" s="47"/>
      <c r="H210" s="47"/>
      <c r="I210" s="47" t="s">
        <v>664</v>
      </c>
      <c r="J210" s="49">
        <v>45913</v>
      </c>
      <c r="K210" s="47" t="str">
        <f>INDEX(_xlfn.TEXTSPLIT(mouvementmp[[#This Row],[QR MP]],"_"),1,1)</f>
        <v>C13</v>
      </c>
      <c r="L210" s="47" t="str">
        <f>INDEX(_xlfn.TEXTSPLIT(mouvementmp[[#This Row],[QR MP]],"_"),1,2)</f>
        <v>BLEU ROI</v>
      </c>
      <c r="M210" s="47" t="str">
        <f>INDEX(_xlfn.TEXTSPLIT(mouvementmp[[#This Row],[QR MP]],"_"),1,3)</f>
        <v>NM20-13.00</v>
      </c>
      <c r="N210" s="47" t="str">
        <f>INDEX(_xlfn.TEXTSPLIT(mouvementmp[[#This Row],[QR MP]],"_"),1,4)</f>
        <v>S2023</v>
      </c>
      <c r="O210" s="47">
        <f>-mouvementmp[[#This Row],[Poids]]</f>
        <v>-0.95</v>
      </c>
      <c r="P210" s="47" t="str">
        <f>IF(
   COUNTIFS($A$2:A210,A210,
             $B$2:B210,B210,
             $C$2:C210,C210,
             $D$2:D210,D210,
             $E$2:E210,E210,
             $F$2:F210,F210,
              $J$2:J210,J210)&gt;1,
   "Doublon",
   "Correcte"
)</f>
        <v>Correcte</v>
      </c>
      <c r="Q210" s="106" t="str">
        <f>IF(mouvementmp[[#This Row],[QR Fabrication]]&lt;&gt;"",INDEX(_xlfn.TEXTSPLIT(mouvementmp[[#This Row],[QR Fabrication]],"_"),1,1),"")</f>
        <v>OF244801</v>
      </c>
      <c r="R210" s="106" t="str">
        <f>IF(mouvementmp[[#This Row],[QR Fabrication]]&lt;&gt;"",INDEX(_xlfn.TEXTSPLIT(mouvementmp[[#This Row],[QR Fabrication]],"_"),1,2),"")</f>
        <v>All By Fouta</v>
      </c>
      <c r="S210" s="47" t="str">
        <f>IF(mouvementmp[[#This Row],[QR Fabrication]]&lt;&gt;"",INDEX(_xlfn.TEXTSPLIT(mouvementmp[[#This Row],[QR Fabrication]],"_"),1,3),"")</f>
        <v>Stock</v>
      </c>
      <c r="T210" s="47" t="str">
        <f>IF(mouvementmp[[#This Row],[QR Fabrication]]&lt;&gt;"",INDEX(_xlfn.TEXTSPLIT(mouvementmp[[#This Row],[QR Fabrication]],"_"),1,4),"")</f>
        <v>PACKSICL0507-B14-13</v>
      </c>
      <c r="U210" s="47" t="str">
        <f>IF(mouvementmp[[#This Row],[QR Fabrication]]&lt;&gt;"",INDEX(_xlfn.TEXTSPLIT(mouvementmp[[#This Row],[QR Fabrication]],"_"),1,5),"")</f>
        <v>PACK CLASSIQUE</v>
      </c>
      <c r="V210" s="47" t="str">
        <f>IF(mouvementmp[[#This Row],[QR Fabrication]]&lt;&gt;"",_xlfn.TEXTAFTER(mouvementmp[[#This Row],[QR Fabrication]],"_",5),"")</f>
        <v>0507</v>
      </c>
    </row>
    <row r="211" spans="1:22" ht="16.5" thickTop="1" thickBot="1" x14ac:dyDescent="0.3">
      <c r="A211" s="46" t="s">
        <v>2414</v>
      </c>
      <c r="B211" s="54" t="s">
        <v>3847</v>
      </c>
      <c r="C211" s="47" t="s">
        <v>668</v>
      </c>
      <c r="D211" s="47" t="s">
        <v>665</v>
      </c>
      <c r="E211" s="47" t="s">
        <v>669</v>
      </c>
      <c r="F211" s="48">
        <v>0.56999999999999995</v>
      </c>
      <c r="G211" s="47"/>
      <c r="H211" s="47"/>
      <c r="I211" s="47" t="s">
        <v>664</v>
      </c>
      <c r="J211" s="49">
        <v>45913</v>
      </c>
      <c r="K211" s="47" t="str">
        <f>INDEX(_xlfn.TEXTSPLIT(mouvementmp[[#This Row],[QR MP]],"_"),1,1)</f>
        <v>C11</v>
      </c>
      <c r="L211" s="47" t="str">
        <f>INDEX(_xlfn.TEXTSPLIT(mouvementmp[[#This Row],[QR MP]],"_"),1,2)</f>
        <v>BLEU GITANE</v>
      </c>
      <c r="M211" s="47" t="str">
        <f>INDEX(_xlfn.TEXTSPLIT(mouvementmp[[#This Row],[QR MP]],"_"),1,3)</f>
        <v>NM15-11.00</v>
      </c>
      <c r="N211" s="47" t="str">
        <f>INDEX(_xlfn.TEXTSPLIT(mouvementmp[[#This Row],[QR MP]],"_"),1,4)</f>
        <v>61659</v>
      </c>
      <c r="O211" s="47">
        <f>-mouvementmp[[#This Row],[Poids]]</f>
        <v>-0.56999999999999995</v>
      </c>
      <c r="P211" s="47" t="str">
        <f>IF(
   COUNTIFS($A$2:A211,A211,
             $B$2:B211,B211,
             $C$2:C211,C211,
             $D$2:D211,D211,
             $E$2:E211,E211,
             $F$2:F211,F211,
              $J$2:J211,J211)&gt;1,
   "Doublon",
   "Correcte"
)</f>
        <v>Correcte</v>
      </c>
      <c r="Q211" s="106" t="str">
        <f>IF(mouvementmp[[#This Row],[QR Fabrication]]&lt;&gt;"",INDEX(_xlfn.TEXTSPLIT(mouvementmp[[#This Row],[QR Fabrication]],"_"),1,1),"")</f>
        <v>CA250778</v>
      </c>
      <c r="R211" s="106" t="str">
        <f>IF(mouvementmp[[#This Row],[QR Fabrication]]&lt;&gt;"",INDEX(_xlfn.TEXTSPLIT(mouvementmp[[#This Row],[QR Fabrication]],"_"),1,2),"")</f>
        <v>All by Fouta</v>
      </c>
      <c r="S211" s="47" t="str">
        <f>IF(mouvementmp[[#This Row],[QR Fabrication]]&lt;&gt;"",INDEX(_xlfn.TEXTSPLIT(mouvementmp[[#This Row],[QR Fabrication]],"_"),1,3),"")</f>
        <v>Stock</v>
      </c>
      <c r="T211" s="47" t="str">
        <f>IF(mouvementmp[[#This Row],[QR Fabrication]]&lt;&gt;"",INDEX(_xlfn.TEXTSPLIT(mouvementmp[[#This Row],[QR Fabrication]],"_"),1,4),"")</f>
        <v>PACKSICHI0507-Q10-29-01</v>
      </c>
      <c r="U211" s="47" t="str">
        <f>IF(mouvementmp[[#This Row],[QR Fabrication]]&lt;&gt;"",INDEX(_xlfn.TEXTSPLIT(mouvementmp[[#This Row],[QR Fabrication]],"_"),1,5),"")</f>
        <v>PACK CHIC</v>
      </c>
      <c r="V211" s="47" t="str">
        <f>IF(mouvementmp[[#This Row],[QR Fabrication]]&lt;&gt;"",_xlfn.TEXTAFTER(mouvementmp[[#This Row],[QR Fabrication]],"_",5),"")</f>
        <v>0507</v>
      </c>
    </row>
    <row r="212" spans="1:22" ht="16.5" thickTop="1" thickBot="1" x14ac:dyDescent="0.3">
      <c r="A212" s="46" t="s">
        <v>2414</v>
      </c>
      <c r="B212" s="54" t="s">
        <v>3898</v>
      </c>
      <c r="C212" s="47" t="s">
        <v>668</v>
      </c>
      <c r="D212" s="47" t="s">
        <v>665</v>
      </c>
      <c r="E212" s="47" t="s">
        <v>669</v>
      </c>
      <c r="F212" s="48">
        <v>0.75</v>
      </c>
      <c r="G212" s="47"/>
      <c r="H212" s="47"/>
      <c r="I212" s="47" t="s">
        <v>664</v>
      </c>
      <c r="J212" s="49">
        <v>45913</v>
      </c>
      <c r="K212" s="47" t="str">
        <f>INDEX(_xlfn.TEXTSPLIT(mouvementmp[[#This Row],[QR MP]],"_"),1,1)</f>
        <v>C29</v>
      </c>
      <c r="L212" s="47" t="str">
        <f>INDEX(_xlfn.TEXTSPLIT(mouvementmp[[#This Row],[QR MP]],"_"),1,2)</f>
        <v>FUSHIA</v>
      </c>
      <c r="M212" s="47" t="str">
        <f>INDEX(_xlfn.TEXTSPLIT(mouvementmp[[#This Row],[QR MP]],"_"),1,3)</f>
        <v>NM15-29.00</v>
      </c>
      <c r="N212" s="47" t="str">
        <f>INDEX(_xlfn.TEXTSPLIT(mouvementmp[[#This Row],[QR MP]],"_"),1,4)</f>
        <v>61549</v>
      </c>
      <c r="O212" s="47">
        <f>-mouvementmp[[#This Row],[Poids]]</f>
        <v>-0.75</v>
      </c>
      <c r="P212" s="47" t="str">
        <f>IF(
   COUNTIFS($A$2:A212,A212,
             $B$2:B212,B212,
             $C$2:C212,C212,
             $D$2:D212,D212,
             $E$2:E212,E212,
             $F$2:F212,F212,
              $J$2:J212,J212)&gt;1,
   "Doublon",
   "Correcte"
)</f>
        <v>Correcte</v>
      </c>
      <c r="Q212" s="106" t="str">
        <f>IF(mouvementmp[[#This Row],[QR Fabrication]]&lt;&gt;"",INDEX(_xlfn.TEXTSPLIT(mouvementmp[[#This Row],[QR Fabrication]],"_"),1,1),"")</f>
        <v>CA250778</v>
      </c>
      <c r="R212" s="106" t="str">
        <f>IF(mouvementmp[[#This Row],[QR Fabrication]]&lt;&gt;"",INDEX(_xlfn.TEXTSPLIT(mouvementmp[[#This Row],[QR Fabrication]],"_"),1,2),"")</f>
        <v>All by Fouta</v>
      </c>
      <c r="S212" s="47" t="str">
        <f>IF(mouvementmp[[#This Row],[QR Fabrication]]&lt;&gt;"",INDEX(_xlfn.TEXTSPLIT(mouvementmp[[#This Row],[QR Fabrication]],"_"),1,3),"")</f>
        <v>Stock</v>
      </c>
      <c r="T212" s="47" t="str">
        <f>IF(mouvementmp[[#This Row],[QR Fabrication]]&lt;&gt;"",INDEX(_xlfn.TEXTSPLIT(mouvementmp[[#This Row],[QR Fabrication]],"_"),1,4),"")</f>
        <v>PACKSICHI0507-Q10-29-01</v>
      </c>
      <c r="U212" s="47" t="str">
        <f>IF(mouvementmp[[#This Row],[QR Fabrication]]&lt;&gt;"",INDEX(_xlfn.TEXTSPLIT(mouvementmp[[#This Row],[QR Fabrication]],"_"),1,5),"")</f>
        <v>PACK CHIC</v>
      </c>
      <c r="V212" s="47" t="str">
        <f>IF(mouvementmp[[#This Row],[QR Fabrication]]&lt;&gt;"",_xlfn.TEXTAFTER(mouvementmp[[#This Row],[QR Fabrication]],"_",5),"")</f>
        <v>0507</v>
      </c>
    </row>
    <row r="213" spans="1:22" ht="16.5" thickTop="1" thickBot="1" x14ac:dyDescent="0.3">
      <c r="A213" s="46" t="s">
        <v>2414</v>
      </c>
      <c r="B213" s="54" t="s">
        <v>3920</v>
      </c>
      <c r="C213" s="47" t="s">
        <v>668</v>
      </c>
      <c r="D213" s="47" t="s">
        <v>665</v>
      </c>
      <c r="E213" s="47" t="s">
        <v>669</v>
      </c>
      <c r="F213" s="48">
        <v>0.55000000000000004</v>
      </c>
      <c r="G213" s="47"/>
      <c r="H213" s="47"/>
      <c r="I213" s="47" t="s">
        <v>664</v>
      </c>
      <c r="J213" s="49">
        <v>45913</v>
      </c>
      <c r="K213" s="47" t="str">
        <f>INDEX(_xlfn.TEXTSPLIT(mouvementmp[[#This Row],[QR MP]],"_"),1,1)</f>
        <v>C01</v>
      </c>
      <c r="L213" s="47" t="str">
        <f>INDEX(_xlfn.TEXTSPLIT(mouvementmp[[#This Row],[QR MP]],"_"),1,2)</f>
        <v>BLANC</v>
      </c>
      <c r="M213" s="47" t="str">
        <f>INDEX(_xlfn.TEXTSPLIT(mouvementmp[[#This Row],[QR MP]],"_"),1,3)</f>
        <v>NM15-01.00</v>
      </c>
      <c r="N213" s="47" t="str">
        <f>INDEX(_xlfn.TEXTSPLIT(mouvementmp[[#This Row],[QR MP]],"_"),1,4)</f>
        <v>62721</v>
      </c>
      <c r="O213" s="47">
        <f>-mouvementmp[[#This Row],[Poids]]</f>
        <v>-0.55000000000000004</v>
      </c>
      <c r="P213" s="47" t="str">
        <f>IF(
   COUNTIFS($A$2:A213,A213,
             $B$2:B213,B213,
             $C$2:C213,C213,
             $D$2:D213,D213,
             $E$2:E213,E213,
             $F$2:F213,F213,
              $J$2:J213,J213)&gt;1,
   "Doublon",
   "Correcte"
)</f>
        <v>Correcte</v>
      </c>
      <c r="Q213" s="106" t="str">
        <f>IF(mouvementmp[[#This Row],[QR Fabrication]]&lt;&gt;"",INDEX(_xlfn.TEXTSPLIT(mouvementmp[[#This Row],[QR Fabrication]],"_"),1,1),"")</f>
        <v>CA250778</v>
      </c>
      <c r="R213" s="106" t="str">
        <f>IF(mouvementmp[[#This Row],[QR Fabrication]]&lt;&gt;"",INDEX(_xlfn.TEXTSPLIT(mouvementmp[[#This Row],[QR Fabrication]],"_"),1,2),"")</f>
        <v>All by Fouta</v>
      </c>
      <c r="S213" s="47" t="str">
        <f>IF(mouvementmp[[#This Row],[QR Fabrication]]&lt;&gt;"",INDEX(_xlfn.TEXTSPLIT(mouvementmp[[#This Row],[QR Fabrication]],"_"),1,3),"")</f>
        <v>Stock</v>
      </c>
      <c r="T213" s="47" t="str">
        <f>IF(mouvementmp[[#This Row],[QR Fabrication]]&lt;&gt;"",INDEX(_xlfn.TEXTSPLIT(mouvementmp[[#This Row],[QR Fabrication]],"_"),1,4),"")</f>
        <v>PACKSICHI0507-Q10-29-01</v>
      </c>
      <c r="U213" s="47" t="str">
        <f>IF(mouvementmp[[#This Row],[QR Fabrication]]&lt;&gt;"",INDEX(_xlfn.TEXTSPLIT(mouvementmp[[#This Row],[QR Fabrication]],"_"),1,5),"")</f>
        <v>PACK CHIC</v>
      </c>
      <c r="V213" s="47" t="str">
        <f>IF(mouvementmp[[#This Row],[QR Fabrication]]&lt;&gt;"",_xlfn.TEXTAFTER(mouvementmp[[#This Row],[QR Fabrication]],"_",5),"")</f>
        <v>0507</v>
      </c>
    </row>
    <row r="214" spans="1:22" ht="16.5" thickTop="1" thickBot="1" x14ac:dyDescent="0.3">
      <c r="A214" s="46" t="s">
        <v>2414</v>
      </c>
      <c r="B214" s="54" t="s">
        <v>3921</v>
      </c>
      <c r="C214" s="47" t="s">
        <v>668</v>
      </c>
      <c r="D214" s="47" t="s">
        <v>665</v>
      </c>
      <c r="E214" s="47" t="s">
        <v>669</v>
      </c>
      <c r="F214" s="48">
        <v>0.71</v>
      </c>
      <c r="G214" s="47"/>
      <c r="H214" s="47"/>
      <c r="I214" s="47" t="s">
        <v>664</v>
      </c>
      <c r="J214" s="49">
        <v>45913</v>
      </c>
      <c r="K214" s="47" t="str">
        <f>INDEX(_xlfn.TEXTSPLIT(mouvementmp[[#This Row],[QR MP]],"_"),1,1)</f>
        <v>C06</v>
      </c>
      <c r="L214" s="47" t="str">
        <f>INDEX(_xlfn.TEXTSPLIT(mouvementmp[[#This Row],[QR MP]],"_"),1,2)</f>
        <v>GRIS CLAIR</v>
      </c>
      <c r="M214" s="47" t="str">
        <f>INDEX(_xlfn.TEXTSPLIT(mouvementmp[[#This Row],[QR MP]],"_"),1,3)</f>
        <v>NM15-06.00</v>
      </c>
      <c r="N214" s="47" t="str">
        <f>INDEX(_xlfn.TEXTSPLIT(mouvementmp[[#This Row],[QR MP]],"_"),1,4)</f>
        <v>61828</v>
      </c>
      <c r="O214" s="47">
        <f>-mouvementmp[[#This Row],[Poids]]</f>
        <v>-0.71</v>
      </c>
      <c r="P214" s="47" t="str">
        <f>IF(
   COUNTIFS($A$2:A214,A214,
             $B$2:B214,B214,
             $C$2:C214,C214,
             $D$2:D214,D214,
             $E$2:E214,E214,
             $F$2:F214,F214,
              $J$2:J214,J214)&gt;1,
   "Doublon",
   "Correcte"
)</f>
        <v>Correcte</v>
      </c>
      <c r="Q214" s="106" t="str">
        <f>IF(mouvementmp[[#This Row],[QR Fabrication]]&lt;&gt;"",INDEX(_xlfn.TEXTSPLIT(mouvementmp[[#This Row],[QR Fabrication]],"_"),1,1),"")</f>
        <v>CA250778</v>
      </c>
      <c r="R214" s="106" t="str">
        <f>IF(mouvementmp[[#This Row],[QR Fabrication]]&lt;&gt;"",INDEX(_xlfn.TEXTSPLIT(mouvementmp[[#This Row],[QR Fabrication]],"_"),1,2),"")</f>
        <v>All by Fouta</v>
      </c>
      <c r="S214" s="47" t="str">
        <f>IF(mouvementmp[[#This Row],[QR Fabrication]]&lt;&gt;"",INDEX(_xlfn.TEXTSPLIT(mouvementmp[[#This Row],[QR Fabrication]],"_"),1,3),"")</f>
        <v>Stock</v>
      </c>
      <c r="T214" s="47" t="str">
        <f>IF(mouvementmp[[#This Row],[QR Fabrication]]&lt;&gt;"",INDEX(_xlfn.TEXTSPLIT(mouvementmp[[#This Row],[QR Fabrication]],"_"),1,4),"")</f>
        <v>PACKSICHI0507-Q10-29-01</v>
      </c>
      <c r="U214" s="47" t="str">
        <f>IF(mouvementmp[[#This Row],[QR Fabrication]]&lt;&gt;"",INDEX(_xlfn.TEXTSPLIT(mouvementmp[[#This Row],[QR Fabrication]],"_"),1,5),"")</f>
        <v>PACK CHIC</v>
      </c>
      <c r="V214" s="47" t="str">
        <f>IF(mouvementmp[[#This Row],[QR Fabrication]]&lt;&gt;"",_xlfn.TEXTAFTER(mouvementmp[[#This Row],[QR Fabrication]],"_",5),"")</f>
        <v>0507</v>
      </c>
    </row>
    <row r="215" spans="1:22" ht="16.5" thickTop="1" thickBot="1" x14ac:dyDescent="0.3">
      <c r="A215" s="46" t="s">
        <v>2415</v>
      </c>
      <c r="B215" s="54" t="s">
        <v>3847</v>
      </c>
      <c r="C215" s="47" t="s">
        <v>668</v>
      </c>
      <c r="D215" s="47" t="s">
        <v>665</v>
      </c>
      <c r="E215" s="47" t="s">
        <v>669</v>
      </c>
      <c r="F215" s="48">
        <v>0.55000000000000004</v>
      </c>
      <c r="G215" s="47"/>
      <c r="H215" s="47"/>
      <c r="I215" s="47" t="s">
        <v>664</v>
      </c>
      <c r="J215" s="49">
        <v>45913</v>
      </c>
      <c r="K215" s="47" t="str">
        <f>INDEX(_xlfn.TEXTSPLIT(mouvementmp[[#This Row],[QR MP]],"_"),1,1)</f>
        <v>C11</v>
      </c>
      <c r="L215" s="47" t="str">
        <f>INDEX(_xlfn.TEXTSPLIT(mouvementmp[[#This Row],[QR MP]],"_"),1,2)</f>
        <v>BLEU GITANE</v>
      </c>
      <c r="M215" s="47" t="str">
        <f>INDEX(_xlfn.TEXTSPLIT(mouvementmp[[#This Row],[QR MP]],"_"),1,3)</f>
        <v>NM15-11.00</v>
      </c>
      <c r="N215" s="47" t="str">
        <f>INDEX(_xlfn.TEXTSPLIT(mouvementmp[[#This Row],[QR MP]],"_"),1,4)</f>
        <v>61659</v>
      </c>
      <c r="O215" s="47">
        <f>-mouvementmp[[#This Row],[Poids]]</f>
        <v>-0.55000000000000004</v>
      </c>
      <c r="P215" s="47" t="str">
        <f>IF(
   COUNTIFS($A$2:A215,A215,
             $B$2:B215,B215,
             $C$2:C215,C215,
             $D$2:D215,D215,
             $E$2:E215,E215,
             $F$2:F215,F215,
              $J$2:J215,J215)&gt;1,
   "Doublon",
   "Correcte"
)</f>
        <v>Correcte</v>
      </c>
      <c r="Q215" s="106" t="str">
        <f>IF(mouvementmp[[#This Row],[QR Fabrication]]&lt;&gt;"",INDEX(_xlfn.TEXTSPLIT(mouvementmp[[#This Row],[QR Fabrication]],"_"),1,1),"")</f>
        <v>OF244786</v>
      </c>
      <c r="R215" s="106" t="str">
        <f>IF(mouvementmp[[#This Row],[QR Fabrication]]&lt;&gt;"",INDEX(_xlfn.TEXTSPLIT(mouvementmp[[#This Row],[QR Fabrication]],"_"),1,2),"")</f>
        <v>All By Fouta</v>
      </c>
      <c r="S215" s="47" t="str">
        <f>IF(mouvementmp[[#This Row],[QR Fabrication]]&lt;&gt;"",INDEX(_xlfn.TEXTSPLIT(mouvementmp[[#This Row],[QR Fabrication]],"_"),1,3),"")</f>
        <v>Stock</v>
      </c>
      <c r="T215" s="47" t="str">
        <f>IF(mouvementmp[[#This Row],[QR Fabrication]]&lt;&gt;"",INDEX(_xlfn.TEXTSPLIT(mouvementmp[[#This Row],[QR Fabrication]],"_"),1,4),"")</f>
        <v>INS1824-Q11-01-14</v>
      </c>
      <c r="U215" s="47" t="str">
        <f>IF(mouvementmp[[#This Row],[QR Fabrication]]&lt;&gt;"",INDEX(_xlfn.TEXTSPLIT(mouvementmp[[#This Row],[QR Fabrication]],"_"),1,5),"")</f>
        <v xml:space="preserve">INSPIRATION </v>
      </c>
      <c r="V215" s="47" t="str">
        <f>IF(mouvementmp[[#This Row],[QR Fabrication]]&lt;&gt;"",_xlfn.TEXTAFTER(mouvementmp[[#This Row],[QR Fabrication]],"_",5),"")</f>
        <v>1824</v>
      </c>
    </row>
    <row r="216" spans="1:22" ht="16.5" thickTop="1" thickBot="1" x14ac:dyDescent="0.3">
      <c r="A216" s="46" t="s">
        <v>2415</v>
      </c>
      <c r="B216" s="54" t="s">
        <v>3920</v>
      </c>
      <c r="C216" s="47" t="s">
        <v>668</v>
      </c>
      <c r="D216" s="47" t="s">
        <v>665</v>
      </c>
      <c r="E216" s="47" t="s">
        <v>669</v>
      </c>
      <c r="F216" s="48">
        <v>0.98</v>
      </c>
      <c r="G216" s="47"/>
      <c r="H216" s="47"/>
      <c r="I216" s="47" t="s">
        <v>664</v>
      </c>
      <c r="J216" s="49">
        <v>45913</v>
      </c>
      <c r="K216" s="47" t="str">
        <f>INDEX(_xlfn.TEXTSPLIT(mouvementmp[[#This Row],[QR MP]],"_"),1,1)</f>
        <v>C01</v>
      </c>
      <c r="L216" s="47" t="str">
        <f>INDEX(_xlfn.TEXTSPLIT(mouvementmp[[#This Row],[QR MP]],"_"),1,2)</f>
        <v>BLANC</v>
      </c>
      <c r="M216" s="47" t="str">
        <f>INDEX(_xlfn.TEXTSPLIT(mouvementmp[[#This Row],[QR MP]],"_"),1,3)</f>
        <v>NM15-01.00</v>
      </c>
      <c r="N216" s="47" t="str">
        <f>INDEX(_xlfn.TEXTSPLIT(mouvementmp[[#This Row],[QR MP]],"_"),1,4)</f>
        <v>62721</v>
      </c>
      <c r="O216" s="47">
        <f>-mouvementmp[[#This Row],[Poids]]</f>
        <v>-0.98</v>
      </c>
      <c r="P216" s="47" t="str">
        <f>IF(
   COUNTIFS($A$2:A216,A216,
             $B$2:B216,B216,
             $C$2:C216,C216,
             $D$2:D216,D216,
             $E$2:E216,E216,
             $F$2:F216,F216,
              $J$2:J216,J216)&gt;1,
   "Doublon",
   "Correcte"
)</f>
        <v>Correcte</v>
      </c>
      <c r="Q216" s="106" t="str">
        <f>IF(mouvementmp[[#This Row],[QR Fabrication]]&lt;&gt;"",INDEX(_xlfn.TEXTSPLIT(mouvementmp[[#This Row],[QR Fabrication]],"_"),1,1),"")</f>
        <v>OF244786</v>
      </c>
      <c r="R216" s="106" t="str">
        <f>IF(mouvementmp[[#This Row],[QR Fabrication]]&lt;&gt;"",INDEX(_xlfn.TEXTSPLIT(mouvementmp[[#This Row],[QR Fabrication]],"_"),1,2),"")</f>
        <v>All By Fouta</v>
      </c>
      <c r="S216" s="47" t="str">
        <f>IF(mouvementmp[[#This Row],[QR Fabrication]]&lt;&gt;"",INDEX(_xlfn.TEXTSPLIT(mouvementmp[[#This Row],[QR Fabrication]],"_"),1,3),"")</f>
        <v>Stock</v>
      </c>
      <c r="T216" s="47" t="str">
        <f>IF(mouvementmp[[#This Row],[QR Fabrication]]&lt;&gt;"",INDEX(_xlfn.TEXTSPLIT(mouvementmp[[#This Row],[QR Fabrication]],"_"),1,4),"")</f>
        <v>INS1824-Q11-01-14</v>
      </c>
      <c r="U216" s="47" t="str">
        <f>IF(mouvementmp[[#This Row],[QR Fabrication]]&lt;&gt;"",INDEX(_xlfn.TEXTSPLIT(mouvementmp[[#This Row],[QR Fabrication]],"_"),1,5),"")</f>
        <v xml:space="preserve">INSPIRATION </v>
      </c>
      <c r="V216" s="47" t="str">
        <f>IF(mouvementmp[[#This Row],[QR Fabrication]]&lt;&gt;"",_xlfn.TEXTAFTER(mouvementmp[[#This Row],[QR Fabrication]],"_",5),"")</f>
        <v>1824</v>
      </c>
    </row>
    <row r="217" spans="1:22" ht="16.5" thickTop="1" thickBot="1" x14ac:dyDescent="0.3">
      <c r="A217" s="46" t="s">
        <v>2415</v>
      </c>
      <c r="B217" s="54" t="s">
        <v>3858</v>
      </c>
      <c r="C217" s="47" t="s">
        <v>668</v>
      </c>
      <c r="D217" s="47" t="s">
        <v>665</v>
      </c>
      <c r="E217" s="47" t="s">
        <v>669</v>
      </c>
      <c r="F217" s="48">
        <v>0.71</v>
      </c>
      <c r="G217" s="47"/>
      <c r="H217" s="47"/>
      <c r="I217" s="47" t="s">
        <v>664</v>
      </c>
      <c r="J217" s="49">
        <v>45913</v>
      </c>
      <c r="K217" s="47" t="str">
        <f>INDEX(_xlfn.TEXTSPLIT(mouvementmp[[#This Row],[QR MP]],"_"),1,1)</f>
        <v>C14</v>
      </c>
      <c r="L217" s="47" t="str">
        <f>INDEX(_xlfn.TEXTSPLIT(mouvementmp[[#This Row],[QR MP]],"_"),1,2)</f>
        <v>BLEU TURQUOISE</v>
      </c>
      <c r="M217" s="47" t="str">
        <f>INDEX(_xlfn.TEXTSPLIT(mouvementmp[[#This Row],[QR MP]],"_"),1,3)</f>
        <v>NM15-14.00</v>
      </c>
      <c r="N217" s="47" t="str">
        <f>INDEX(_xlfn.TEXTSPLIT(mouvementmp[[#This Row],[QR MP]],"_"),1,4)</f>
        <v>61597</v>
      </c>
      <c r="O217" s="47">
        <f>-mouvementmp[[#This Row],[Poids]]</f>
        <v>-0.71</v>
      </c>
      <c r="P217" s="47" t="str">
        <f>IF(
   COUNTIFS($A$2:A217,A217,
             $B$2:B217,B217,
             $C$2:C217,C217,
             $D$2:D217,D217,
             $E$2:E217,E217,
             $F$2:F217,F217,
              $J$2:J217,J217)&gt;1,
   "Doublon",
   "Correcte"
)</f>
        <v>Correcte</v>
      </c>
      <c r="Q217" s="106" t="str">
        <f>IF(mouvementmp[[#This Row],[QR Fabrication]]&lt;&gt;"",INDEX(_xlfn.TEXTSPLIT(mouvementmp[[#This Row],[QR Fabrication]],"_"),1,1),"")</f>
        <v>OF244786</v>
      </c>
      <c r="R217" s="106" t="str">
        <f>IF(mouvementmp[[#This Row],[QR Fabrication]]&lt;&gt;"",INDEX(_xlfn.TEXTSPLIT(mouvementmp[[#This Row],[QR Fabrication]],"_"),1,2),"")</f>
        <v>All By Fouta</v>
      </c>
      <c r="S217" s="47" t="str">
        <f>IF(mouvementmp[[#This Row],[QR Fabrication]]&lt;&gt;"",INDEX(_xlfn.TEXTSPLIT(mouvementmp[[#This Row],[QR Fabrication]],"_"),1,3),"")</f>
        <v>Stock</v>
      </c>
      <c r="T217" s="47" t="str">
        <f>IF(mouvementmp[[#This Row],[QR Fabrication]]&lt;&gt;"",INDEX(_xlfn.TEXTSPLIT(mouvementmp[[#This Row],[QR Fabrication]],"_"),1,4),"")</f>
        <v>INS1824-Q11-01-14</v>
      </c>
      <c r="U217" s="47" t="str">
        <f>IF(mouvementmp[[#This Row],[QR Fabrication]]&lt;&gt;"",INDEX(_xlfn.TEXTSPLIT(mouvementmp[[#This Row],[QR Fabrication]],"_"),1,5),"")</f>
        <v xml:space="preserve">INSPIRATION </v>
      </c>
      <c r="V217" s="47" t="str">
        <f>IF(mouvementmp[[#This Row],[QR Fabrication]]&lt;&gt;"",_xlfn.TEXTAFTER(mouvementmp[[#This Row],[QR Fabrication]],"_",5),"")</f>
        <v>1824</v>
      </c>
    </row>
    <row r="218" spans="1:22" ht="16.5" thickTop="1" thickBot="1" x14ac:dyDescent="0.3">
      <c r="A218" s="46" t="s">
        <v>2415</v>
      </c>
      <c r="B218" s="54" t="s">
        <v>3923</v>
      </c>
      <c r="C218" s="47" t="s">
        <v>668</v>
      </c>
      <c r="D218" s="47" t="s">
        <v>665</v>
      </c>
      <c r="E218" s="47" t="s">
        <v>669</v>
      </c>
      <c r="F218" s="48">
        <v>1.1499999999999999</v>
      </c>
      <c r="G218" s="47"/>
      <c r="H218" s="47"/>
      <c r="I218" s="47" t="s">
        <v>664</v>
      </c>
      <c r="J218" s="49">
        <v>45913</v>
      </c>
      <c r="K218" s="47" t="str">
        <f>INDEX(_xlfn.TEXTSPLIT(mouvementmp[[#This Row],[QR MP]],"_"),1,1)</f>
        <v>C16</v>
      </c>
      <c r="L218" s="47" t="str">
        <f>INDEX(_xlfn.TEXTSPLIT(mouvementmp[[#This Row],[QR MP]],"_"),1,2)</f>
        <v>BLEU CIEL</v>
      </c>
      <c r="M218" s="47" t="str">
        <f>INDEX(_xlfn.TEXTSPLIT(mouvementmp[[#This Row],[QR MP]],"_"),1,3)</f>
        <v>NM15-16.00</v>
      </c>
      <c r="N218" s="47" t="str">
        <f>INDEX(_xlfn.TEXTSPLIT(mouvementmp[[#This Row],[QR MP]],"_"),1,4)</f>
        <v>61532</v>
      </c>
      <c r="O218" s="47">
        <f>-mouvementmp[[#This Row],[Poids]]</f>
        <v>-1.1499999999999999</v>
      </c>
      <c r="P218" s="47" t="str">
        <f>IF(
   COUNTIFS($A$2:A218,A218,
             $B$2:B218,B218,
             $C$2:C218,C218,
             $D$2:D218,D218,
             $E$2:E218,E218,
             $F$2:F218,F218,
              $J$2:J218,J218)&gt;1,
   "Doublon",
   "Correcte"
)</f>
        <v>Correcte</v>
      </c>
      <c r="Q218" s="106" t="str">
        <f>IF(mouvementmp[[#This Row],[QR Fabrication]]&lt;&gt;"",INDEX(_xlfn.TEXTSPLIT(mouvementmp[[#This Row],[QR Fabrication]],"_"),1,1),"")</f>
        <v>OF244786</v>
      </c>
      <c r="R218" s="106" t="str">
        <f>IF(mouvementmp[[#This Row],[QR Fabrication]]&lt;&gt;"",INDEX(_xlfn.TEXTSPLIT(mouvementmp[[#This Row],[QR Fabrication]],"_"),1,2),"")</f>
        <v>All By Fouta</v>
      </c>
      <c r="S218" s="47" t="str">
        <f>IF(mouvementmp[[#This Row],[QR Fabrication]]&lt;&gt;"",INDEX(_xlfn.TEXTSPLIT(mouvementmp[[#This Row],[QR Fabrication]],"_"),1,3),"")</f>
        <v>Stock</v>
      </c>
      <c r="T218" s="47" t="str">
        <f>IF(mouvementmp[[#This Row],[QR Fabrication]]&lt;&gt;"",INDEX(_xlfn.TEXTSPLIT(mouvementmp[[#This Row],[QR Fabrication]],"_"),1,4),"")</f>
        <v>INS1824-Q11-01-14</v>
      </c>
      <c r="U218" s="47" t="str">
        <f>IF(mouvementmp[[#This Row],[QR Fabrication]]&lt;&gt;"",INDEX(_xlfn.TEXTSPLIT(mouvementmp[[#This Row],[QR Fabrication]],"_"),1,5),"")</f>
        <v xml:space="preserve">INSPIRATION </v>
      </c>
      <c r="V218" s="47" t="str">
        <f>IF(mouvementmp[[#This Row],[QR Fabrication]]&lt;&gt;"",_xlfn.TEXTAFTER(mouvementmp[[#This Row],[QR Fabrication]],"_",5),"")</f>
        <v>1824</v>
      </c>
    </row>
    <row r="219" spans="1:22" ht="16.5" thickTop="1" thickBot="1" x14ac:dyDescent="0.3">
      <c r="A219" s="46" t="s">
        <v>2416</v>
      </c>
      <c r="B219" s="54" t="s">
        <v>3865</v>
      </c>
      <c r="C219" s="47" t="s">
        <v>668</v>
      </c>
      <c r="D219" s="47" t="s">
        <v>665</v>
      </c>
      <c r="E219" s="47" t="s">
        <v>669</v>
      </c>
      <c r="F219" s="48">
        <v>0.71</v>
      </c>
      <c r="G219" s="47"/>
      <c r="H219" s="47"/>
      <c r="I219" s="47" t="s">
        <v>664</v>
      </c>
      <c r="J219" s="49">
        <v>45913</v>
      </c>
      <c r="K219" s="47" t="str">
        <f>INDEX(_xlfn.TEXTSPLIT(mouvementmp[[#This Row],[QR MP]],"_"),1,1)</f>
        <v>C17</v>
      </c>
      <c r="L219" s="47" t="str">
        <f>INDEX(_xlfn.TEXTSPLIT(mouvementmp[[#This Row],[QR MP]],"_"),1,2)</f>
        <v>EMAURAUDE</v>
      </c>
      <c r="M219" s="47" t="str">
        <f>INDEX(_xlfn.TEXTSPLIT(mouvementmp[[#This Row],[QR MP]],"_"),1,3)</f>
        <v>NM15-17.00</v>
      </c>
      <c r="N219" s="47" t="str">
        <f>INDEX(_xlfn.TEXTSPLIT(mouvementmp[[#This Row],[QR MP]],"_"),1,4)</f>
        <v>61571</v>
      </c>
      <c r="O219" s="47">
        <f>-mouvementmp[[#This Row],[Poids]]</f>
        <v>-0.71</v>
      </c>
      <c r="P219" s="47" t="str">
        <f>IF(
   COUNTIFS($A$2:A219,A219,
             $B$2:B219,B219,
             $C$2:C219,C219,
             $D$2:D219,D219,
             $E$2:E219,E219,
             $F$2:F219,F219,
              $J$2:J219,J219)&gt;1,
   "Doublon",
   "Correcte"
)</f>
        <v>Correcte</v>
      </c>
      <c r="Q219" s="106" t="str">
        <f>IF(mouvementmp[[#This Row],[QR Fabrication]]&lt;&gt;"",INDEX(_xlfn.TEXTSPLIT(mouvementmp[[#This Row],[QR Fabrication]],"_"),1,1),"")</f>
        <v>CA250009</v>
      </c>
      <c r="R219" s="106" t="str">
        <f>IF(mouvementmp[[#This Row],[QR Fabrication]]&lt;&gt;"",INDEX(_xlfn.TEXTSPLIT(mouvementmp[[#This Row],[QR Fabrication]],"_"),1,2),"")</f>
        <v>All by Fouta</v>
      </c>
      <c r="S219" s="47" t="str">
        <f>IF(mouvementmp[[#This Row],[QR Fabrication]]&lt;&gt;"",INDEX(_xlfn.TEXTSPLIT(mouvementmp[[#This Row],[QR Fabrication]],"_"),1,3),"")</f>
        <v>Stock</v>
      </c>
      <c r="T219" s="47" t="str">
        <f>IF(mouvementmp[[#This Row],[QR Fabrication]]&lt;&gt;"",INDEX(_xlfn.TEXTSPLIT(mouvementmp[[#This Row],[QR Fabrication]],"_"),1,4),"")</f>
        <v>UNS1020-17</v>
      </c>
      <c r="U219" s="47" t="str">
        <f>IF(mouvementmp[[#This Row],[QR Fabrication]]&lt;&gt;"",INDEX(_xlfn.TEXTSPLIT(mouvementmp[[#This Row],[QR Fabrication]],"_"),1,5),"")</f>
        <v>UNI SURPIQUE</v>
      </c>
      <c r="V219" s="47" t="str">
        <f>IF(mouvementmp[[#This Row],[QR Fabrication]]&lt;&gt;"",_xlfn.TEXTAFTER(mouvementmp[[#This Row],[QR Fabrication]],"_",5),"")</f>
        <v>1020</v>
      </c>
    </row>
    <row r="220" spans="1:22" ht="16.5" thickTop="1" thickBot="1" x14ac:dyDescent="0.3">
      <c r="A220" s="46" t="s">
        <v>1313</v>
      </c>
      <c r="B220" s="54" t="s">
        <v>3901</v>
      </c>
      <c r="C220" s="47" t="s">
        <v>668</v>
      </c>
      <c r="D220" s="47" t="s">
        <v>665</v>
      </c>
      <c r="E220" s="47" t="s">
        <v>669</v>
      </c>
      <c r="F220" s="48">
        <v>0.55000000000000004</v>
      </c>
      <c r="G220" s="47"/>
      <c r="H220" s="47"/>
      <c r="I220" s="47" t="s">
        <v>664</v>
      </c>
      <c r="J220" s="49">
        <v>45913</v>
      </c>
      <c r="K220" s="47" t="str">
        <f>INDEX(_xlfn.TEXTSPLIT(mouvementmp[[#This Row],[QR MP]],"_"),1,1)</f>
        <v>C30</v>
      </c>
      <c r="L220" s="47" t="str">
        <f>INDEX(_xlfn.TEXTSPLIT(mouvementmp[[#This Row],[QR MP]],"_"),1,2)</f>
        <v>PRALINE</v>
      </c>
      <c r="M220" s="47" t="str">
        <f>INDEX(_xlfn.TEXTSPLIT(mouvementmp[[#This Row],[QR MP]],"_"),1,3)</f>
        <v>NM15-30.00</v>
      </c>
      <c r="N220" s="47" t="str">
        <f>INDEX(_xlfn.TEXTSPLIT(mouvementmp[[#This Row],[QR MP]],"_"),1,4)</f>
        <v>61570</v>
      </c>
      <c r="O220" s="47">
        <f>-mouvementmp[[#This Row],[Poids]]</f>
        <v>-0.55000000000000004</v>
      </c>
      <c r="P220" s="47" t="str">
        <f>IF(
   COUNTIFS($A$2:A220,A220,
             $B$2:B220,B220,
             $C$2:C220,C220,
             $D$2:D220,D220,
             $E$2:E220,E220,
             $F$2:F220,F220,
              $J$2:J220,J220)&gt;1,
   "Doublon",
   "Correcte"
)</f>
        <v>Correcte</v>
      </c>
      <c r="Q220" s="106" t="str">
        <f>IF(mouvementmp[[#This Row],[QR Fabrication]]&lt;&gt;"",INDEX(_xlfn.TEXTSPLIT(mouvementmp[[#This Row],[QR Fabrication]],"_"),1,1),"")</f>
        <v>CA250077</v>
      </c>
      <c r="R220" s="106" t="str">
        <f>IF(mouvementmp[[#This Row],[QR Fabrication]]&lt;&gt;"",INDEX(_xlfn.TEXTSPLIT(mouvementmp[[#This Row],[QR Fabrication]],"_"),1,2),"")</f>
        <v>All by Fouta</v>
      </c>
      <c r="S220" s="47" t="str">
        <f>IF(mouvementmp[[#This Row],[QR Fabrication]]&lt;&gt;"",INDEX(_xlfn.TEXTSPLIT(mouvementmp[[#This Row],[QR Fabrication]],"_"),1,3),"")</f>
        <v>Stock</v>
      </c>
      <c r="T220" s="47" t="str">
        <f>IF(mouvementmp[[#This Row],[QR Fabrication]]&lt;&gt;"",INDEX(_xlfn.TEXTSPLIT(mouvementmp[[#This Row],[QR Fabrication]],"_"),1,4),"")</f>
        <v>UNS2030-30</v>
      </c>
      <c r="U220" s="47" t="str">
        <f>IF(mouvementmp[[#This Row],[QR Fabrication]]&lt;&gt;"",INDEX(_xlfn.TEXTSPLIT(mouvementmp[[#This Row],[QR Fabrication]],"_"),1,5),"")</f>
        <v>UNI SURPIQUE</v>
      </c>
      <c r="V220" s="47" t="str">
        <f>IF(mouvementmp[[#This Row],[QR Fabrication]]&lt;&gt;"",_xlfn.TEXTAFTER(mouvementmp[[#This Row],[QR Fabrication]],"_",5),"")</f>
        <v>2030</v>
      </c>
    </row>
    <row r="221" spans="1:22" ht="16.5" thickTop="1" thickBot="1" x14ac:dyDescent="0.3">
      <c r="A221" s="46" t="s">
        <v>2417</v>
      </c>
      <c r="B221" s="54" t="s">
        <v>3921</v>
      </c>
      <c r="C221" s="47" t="s">
        <v>668</v>
      </c>
      <c r="D221" s="47" t="s">
        <v>665</v>
      </c>
      <c r="E221" s="47" t="s">
        <v>669</v>
      </c>
      <c r="F221" s="48">
        <v>0.42</v>
      </c>
      <c r="G221" s="47"/>
      <c r="H221" s="47"/>
      <c r="I221" s="47" t="s">
        <v>664</v>
      </c>
      <c r="J221" s="49">
        <v>45913</v>
      </c>
      <c r="K221" s="47" t="str">
        <f>INDEX(_xlfn.TEXTSPLIT(mouvementmp[[#This Row],[QR MP]],"_"),1,1)</f>
        <v>C06</v>
      </c>
      <c r="L221" s="47" t="str">
        <f>INDEX(_xlfn.TEXTSPLIT(mouvementmp[[#This Row],[QR MP]],"_"),1,2)</f>
        <v>GRIS CLAIR</v>
      </c>
      <c r="M221" s="47" t="str">
        <f>INDEX(_xlfn.TEXTSPLIT(mouvementmp[[#This Row],[QR MP]],"_"),1,3)</f>
        <v>NM15-06.00</v>
      </c>
      <c r="N221" s="47" t="str">
        <f>INDEX(_xlfn.TEXTSPLIT(mouvementmp[[#This Row],[QR MP]],"_"),1,4)</f>
        <v>61828</v>
      </c>
      <c r="O221" s="47">
        <f>-mouvementmp[[#This Row],[Poids]]</f>
        <v>-0.42</v>
      </c>
      <c r="P221" s="47" t="str">
        <f>IF(
   COUNTIFS($A$2:A221,A221,
             $B$2:B221,B221,
             $C$2:C221,C221,
             $D$2:D221,D221,
             $E$2:E221,E221,
             $F$2:F221,F221,
              $J$2:J221,J221)&gt;1,
   "Doublon",
   "Correcte"
)</f>
        <v>Correcte</v>
      </c>
      <c r="Q221" s="106" t="str">
        <f>IF(mouvementmp[[#This Row],[QR Fabrication]]&lt;&gt;"",INDEX(_xlfn.TEXTSPLIT(mouvementmp[[#This Row],[QR Fabrication]],"_"),1,1),"")</f>
        <v>CA250023</v>
      </c>
      <c r="R221" s="106" t="str">
        <f>IF(mouvementmp[[#This Row],[QR Fabrication]]&lt;&gt;"",INDEX(_xlfn.TEXTSPLIT(mouvementmp[[#This Row],[QR Fabrication]],"_"),1,2),"")</f>
        <v>All by Fouta</v>
      </c>
      <c r="S221" s="47" t="str">
        <f>IF(mouvementmp[[#This Row],[QR Fabrication]]&lt;&gt;"",INDEX(_xlfn.TEXTSPLIT(mouvementmp[[#This Row],[QR Fabrication]],"_"),1,3),"")</f>
        <v>Stock</v>
      </c>
      <c r="T221" s="47" t="str">
        <f>IF(mouvementmp[[#This Row],[QR Fabrication]]&lt;&gt;"",INDEX(_xlfn.TEXTSPLIT(mouvementmp[[#This Row],[QR Fabrication]],"_"),1,4),"")</f>
        <v>UNS2020-06</v>
      </c>
      <c r="U221" s="47" t="str">
        <f>IF(mouvementmp[[#This Row],[QR Fabrication]]&lt;&gt;"",INDEX(_xlfn.TEXTSPLIT(mouvementmp[[#This Row],[QR Fabrication]],"_"),1,5),"")</f>
        <v>UNI SURPIQUE</v>
      </c>
      <c r="V221" s="47" t="str">
        <f>IF(mouvementmp[[#This Row],[QR Fabrication]]&lt;&gt;"",_xlfn.TEXTAFTER(mouvementmp[[#This Row],[QR Fabrication]],"_",5),"")</f>
        <v>2020</v>
      </c>
    </row>
    <row r="222" spans="1:22" ht="16.5" thickTop="1" thickBot="1" x14ac:dyDescent="0.3">
      <c r="A222" s="46" t="s">
        <v>2418</v>
      </c>
      <c r="B222" s="54" t="s">
        <v>3851</v>
      </c>
      <c r="C222" s="47" t="s">
        <v>668</v>
      </c>
      <c r="D222" s="47" t="s">
        <v>665</v>
      </c>
      <c r="E222" s="47" t="s">
        <v>669</v>
      </c>
      <c r="F222" s="48">
        <v>0.55000000000000004</v>
      </c>
      <c r="G222" s="47"/>
      <c r="H222" s="47"/>
      <c r="I222" s="47" t="s">
        <v>664</v>
      </c>
      <c r="J222" s="49">
        <v>45913</v>
      </c>
      <c r="K222" s="47" t="str">
        <f>INDEX(_xlfn.TEXTSPLIT(mouvementmp[[#This Row],[QR MP]],"_"),1,1)</f>
        <v>C12</v>
      </c>
      <c r="L222" s="47" t="str">
        <f>INDEX(_xlfn.TEXTSPLIT(mouvementmp[[#This Row],[QR MP]],"_"),1,2)</f>
        <v>BLEU DJEAN</v>
      </c>
      <c r="M222" s="47" t="str">
        <f>INDEX(_xlfn.TEXTSPLIT(mouvementmp[[#This Row],[QR MP]],"_"),1,3)</f>
        <v>NM15-12.00</v>
      </c>
      <c r="N222" s="47" t="str">
        <f>INDEX(_xlfn.TEXTSPLIT(mouvementmp[[#This Row],[QR MP]],"_"),1,4)</f>
        <v>S2023</v>
      </c>
      <c r="O222" s="47">
        <f>-mouvementmp[[#This Row],[Poids]]</f>
        <v>-0.55000000000000004</v>
      </c>
      <c r="P222" s="47" t="str">
        <f>IF(
   COUNTIFS($A$2:A222,A222,
             $B$2:B222,B222,
             $C$2:C222,C222,
             $D$2:D222,D222,
             $E$2:E222,E222,
             $F$2:F222,F222,
              $J$2:J222,J222)&gt;1,
   "Doublon",
   "Correcte"
)</f>
        <v>Correcte</v>
      </c>
      <c r="Q222" s="106" t="str">
        <f>IF(mouvementmp[[#This Row],[QR Fabrication]]&lt;&gt;"",INDEX(_xlfn.TEXTSPLIT(mouvementmp[[#This Row],[QR Fabrication]],"_"),1,1),"")</f>
        <v>CA250046</v>
      </c>
      <c r="R222" s="106" t="str">
        <f>IF(mouvementmp[[#This Row],[QR Fabrication]]&lt;&gt;"",INDEX(_xlfn.TEXTSPLIT(mouvementmp[[#This Row],[QR Fabrication]],"_"),1,2),"")</f>
        <v>All by Fouta</v>
      </c>
      <c r="S222" s="47" t="str">
        <f>IF(mouvementmp[[#This Row],[QR Fabrication]]&lt;&gt;"",INDEX(_xlfn.TEXTSPLIT(mouvementmp[[#This Row],[QR Fabrication]],"_"),1,3),"")</f>
        <v>Stock</v>
      </c>
      <c r="T222" s="47" t="str">
        <f>IF(mouvementmp[[#This Row],[QR Fabrication]]&lt;&gt;"",INDEX(_xlfn.TEXTSPLIT(mouvementmp[[#This Row],[QR Fabrication]],"_"),1,4),"")</f>
        <v>UNS1626-12</v>
      </c>
      <c r="U222" s="47" t="str">
        <f>IF(mouvementmp[[#This Row],[QR Fabrication]]&lt;&gt;"",INDEX(_xlfn.TEXTSPLIT(mouvementmp[[#This Row],[QR Fabrication]],"_"),1,5),"")</f>
        <v>UNI SURPIQUE</v>
      </c>
      <c r="V222" s="47" t="str">
        <f>IF(mouvementmp[[#This Row],[QR Fabrication]]&lt;&gt;"",_xlfn.TEXTAFTER(mouvementmp[[#This Row],[QR Fabrication]],"_",5),"")</f>
        <v>1626</v>
      </c>
    </row>
    <row r="223" spans="1:22" ht="16.5" thickTop="1" thickBot="1" x14ac:dyDescent="0.3">
      <c r="A223" s="46" t="s">
        <v>2419</v>
      </c>
      <c r="B223" s="54" t="s">
        <v>3860</v>
      </c>
      <c r="C223" s="47" t="s">
        <v>668</v>
      </c>
      <c r="D223" s="47" t="s">
        <v>665</v>
      </c>
      <c r="E223" s="47" t="s">
        <v>669</v>
      </c>
      <c r="F223" s="48">
        <v>1.45</v>
      </c>
      <c r="G223" s="47"/>
      <c r="H223" s="47"/>
      <c r="I223" s="47" t="s">
        <v>664</v>
      </c>
      <c r="J223" s="49">
        <v>45913</v>
      </c>
      <c r="K223" s="47" t="str">
        <f>INDEX(_xlfn.TEXTSPLIT(mouvementmp[[#This Row],[QR MP]],"_"),1,1)</f>
        <v>C15</v>
      </c>
      <c r="L223" s="47" t="str">
        <f>INDEX(_xlfn.TEXTSPLIT(mouvementmp[[#This Row],[QR MP]],"_"),1,2)</f>
        <v>LAGON</v>
      </c>
      <c r="M223" s="47" t="str">
        <f>INDEX(_xlfn.TEXTSPLIT(mouvementmp[[#This Row],[QR MP]],"_"),1,3)</f>
        <v>NM15-15.00</v>
      </c>
      <c r="N223" s="47" t="str">
        <f>INDEX(_xlfn.TEXTSPLIT(mouvementmp[[#This Row],[QR MP]],"_"),1,4)</f>
        <v>61645</v>
      </c>
      <c r="O223" s="47">
        <f>-mouvementmp[[#This Row],[Poids]]</f>
        <v>-1.45</v>
      </c>
      <c r="P223" s="47" t="str">
        <f>IF(
   COUNTIFS($A$2:A223,A223,
             $B$2:B223,B223,
             $C$2:C223,C223,
             $D$2:D223,D223,
             $E$2:E223,E223,
             $F$2:F223,F223,
              $J$2:J223,J223)&gt;1,
   "Doublon",
   "Correcte"
)</f>
        <v>Correcte</v>
      </c>
      <c r="Q223" s="106" t="str">
        <f>IF(mouvementmp[[#This Row],[QR Fabrication]]&lt;&gt;"",INDEX(_xlfn.TEXTSPLIT(mouvementmp[[#This Row],[QR Fabrication]],"_"),1,1),"")</f>
        <v>CA250008</v>
      </c>
      <c r="R223" s="106" t="str">
        <f>IF(mouvementmp[[#This Row],[QR Fabrication]]&lt;&gt;"",INDEX(_xlfn.TEXTSPLIT(mouvementmp[[#This Row],[QR Fabrication]],"_"),1,2),"")</f>
        <v>All by Fouta</v>
      </c>
      <c r="S223" s="47" t="str">
        <f>IF(mouvementmp[[#This Row],[QR Fabrication]]&lt;&gt;"",INDEX(_xlfn.TEXTSPLIT(mouvementmp[[#This Row],[QR Fabrication]],"_"),1,3),"")</f>
        <v>Stock</v>
      </c>
      <c r="T223" s="47" t="str">
        <f>IF(mouvementmp[[#This Row],[QR Fabrication]]&lt;&gt;"",INDEX(_xlfn.TEXTSPLIT(mouvementmp[[#This Row],[QR Fabrication]],"_"),1,4),"")</f>
        <v>UNS1020-15</v>
      </c>
      <c r="U223" s="47" t="str">
        <f>IF(mouvementmp[[#This Row],[QR Fabrication]]&lt;&gt;"",INDEX(_xlfn.TEXTSPLIT(mouvementmp[[#This Row],[QR Fabrication]],"_"),1,5),"")</f>
        <v>UNI SURPIQUE</v>
      </c>
      <c r="V223" s="47" t="str">
        <f>IF(mouvementmp[[#This Row],[QR Fabrication]]&lt;&gt;"",_xlfn.TEXTAFTER(mouvementmp[[#This Row],[QR Fabrication]],"_",5),"")</f>
        <v>1020</v>
      </c>
    </row>
    <row r="224" spans="1:22" ht="16.5" thickTop="1" thickBot="1" x14ac:dyDescent="0.3">
      <c r="A224" s="46" t="s">
        <v>2420</v>
      </c>
      <c r="B224" s="54" t="s">
        <v>3819</v>
      </c>
      <c r="C224" s="47" t="s">
        <v>668</v>
      </c>
      <c r="D224" s="47" t="s">
        <v>665</v>
      </c>
      <c r="E224" s="47" t="s">
        <v>669</v>
      </c>
      <c r="F224" s="48">
        <v>0.45</v>
      </c>
      <c r="G224" s="47"/>
      <c r="H224" s="47"/>
      <c r="I224" s="47" t="s">
        <v>664</v>
      </c>
      <c r="J224" s="49">
        <v>45913</v>
      </c>
      <c r="K224" s="47" t="str">
        <f>INDEX(_xlfn.TEXTSPLIT(mouvementmp[[#This Row],[QR MP]],"_"),1,1)</f>
        <v>C04</v>
      </c>
      <c r="L224" s="47" t="str">
        <f>INDEX(_xlfn.TEXTSPLIT(mouvementmp[[#This Row],[QR MP]],"_"),1,2)</f>
        <v>TAUPE</v>
      </c>
      <c r="M224" s="47" t="str">
        <f>INDEX(_xlfn.TEXTSPLIT(mouvementmp[[#This Row],[QR MP]],"_"),1,3)</f>
        <v>NM15-04.00</v>
      </c>
      <c r="N224" s="47" t="str">
        <f>INDEX(_xlfn.TEXTSPLIT(mouvementmp[[#This Row],[QR MP]],"_"),1,4)</f>
        <v>S2023</v>
      </c>
      <c r="O224" s="47">
        <f>-mouvementmp[[#This Row],[Poids]]</f>
        <v>-0.45</v>
      </c>
      <c r="P224" s="47" t="str">
        <f>IF(
   COUNTIFS($A$2:A224,A224,
             $B$2:B224,B224,
             $C$2:C224,C224,
             $D$2:D224,D224,
             $E$2:E224,E224,
             $F$2:F224,F224,
              $J$2:J224,J224)&gt;1,
   "Doublon",
   "Correcte"
)</f>
        <v>Correcte</v>
      </c>
      <c r="Q224" s="106" t="str">
        <f>IF(mouvementmp[[#This Row],[QR Fabrication]]&lt;&gt;"",INDEX(_xlfn.TEXTSPLIT(mouvementmp[[#This Row],[QR Fabrication]],"_"),1,1),"")</f>
        <v>CA250469</v>
      </c>
      <c r="R224" s="106" t="str">
        <f>IF(mouvementmp[[#This Row],[QR Fabrication]]&lt;&gt;"",INDEX(_xlfn.TEXTSPLIT(mouvementmp[[#This Row],[QR Fabrication]],"_"),1,2),"")</f>
        <v>All by Fouta</v>
      </c>
      <c r="S224" s="47" t="str">
        <f>IF(mouvementmp[[#This Row],[QR Fabrication]]&lt;&gt;"",INDEX(_xlfn.TEXTSPLIT(mouvementmp[[#This Row],[QR Fabrication]],"_"),1,3),"")</f>
        <v>Stock</v>
      </c>
      <c r="T224" s="47" t="str">
        <f>IF(mouvementmp[[#This Row],[QR Fabrication]]&lt;&gt;"",INDEX(_xlfn.TEXTSPLIT(mouvementmp[[#This Row],[QR Fabrication]],"_"),1,4),"")</f>
        <v>FAF1020-B04-02</v>
      </c>
      <c r="U224" s="47" t="str">
        <f>IF(mouvementmp[[#This Row],[QR Fabrication]]&lt;&gt;"",INDEX(_xlfn.TEXTSPLIT(mouvementmp[[#This Row],[QR Fabrication]],"_"),1,5),"")</f>
        <v>FIL A FIL</v>
      </c>
      <c r="V224" s="47" t="str">
        <f>IF(mouvementmp[[#This Row],[QR Fabrication]]&lt;&gt;"",_xlfn.TEXTAFTER(mouvementmp[[#This Row],[QR Fabrication]],"_",5),"")</f>
        <v>1020</v>
      </c>
    </row>
    <row r="225" spans="1:22" ht="16.5" thickTop="1" thickBot="1" x14ac:dyDescent="0.3">
      <c r="A225" s="46" t="s">
        <v>2420</v>
      </c>
      <c r="B225" s="54" t="s">
        <v>3808</v>
      </c>
      <c r="C225" s="47" t="s">
        <v>668</v>
      </c>
      <c r="D225" s="47" t="s">
        <v>665</v>
      </c>
      <c r="E225" s="47" t="s">
        <v>669</v>
      </c>
      <c r="F225" s="48">
        <v>0.95</v>
      </c>
      <c r="G225" s="47"/>
      <c r="H225" s="47"/>
      <c r="I225" s="47" t="s">
        <v>664</v>
      </c>
      <c r="J225" s="49">
        <v>45913</v>
      </c>
      <c r="K225" s="47" t="str">
        <f>INDEX(_xlfn.TEXTSPLIT(mouvementmp[[#This Row],[QR MP]],"_"),1,1)</f>
        <v>C02</v>
      </c>
      <c r="L225" s="47" t="str">
        <f>INDEX(_xlfn.TEXTSPLIT(mouvementmp[[#This Row],[QR MP]],"_"),1,2)</f>
        <v>ECRU</v>
      </c>
      <c r="M225" s="47" t="str">
        <f>INDEX(_xlfn.TEXTSPLIT(mouvementmp[[#This Row],[QR MP]],"_"),1,3)</f>
        <v>NM34-02.00</v>
      </c>
      <c r="N225" s="47" t="str">
        <f>INDEX(_xlfn.TEXTSPLIT(mouvementmp[[#This Row],[QR MP]],"_"),1,4)</f>
        <v>S2024</v>
      </c>
      <c r="O225" s="47">
        <f>-mouvementmp[[#This Row],[Poids]]</f>
        <v>-0.95</v>
      </c>
      <c r="P225" s="47" t="str">
        <f>IF(
   COUNTIFS($A$2:A225,A225,
             $B$2:B225,B225,
             $C$2:C225,C225,
             $D$2:D225,D225,
             $E$2:E225,E225,
             $F$2:F225,F225,
              $J$2:J225,J225)&gt;1,
   "Doublon",
   "Correcte"
)</f>
        <v>Correcte</v>
      </c>
      <c r="Q225" s="106" t="str">
        <f>IF(mouvementmp[[#This Row],[QR Fabrication]]&lt;&gt;"",INDEX(_xlfn.TEXTSPLIT(mouvementmp[[#This Row],[QR Fabrication]],"_"),1,1),"")</f>
        <v>CA250469</v>
      </c>
      <c r="R225" s="106" t="str">
        <f>IF(mouvementmp[[#This Row],[QR Fabrication]]&lt;&gt;"",INDEX(_xlfn.TEXTSPLIT(mouvementmp[[#This Row],[QR Fabrication]],"_"),1,2),"")</f>
        <v>All by Fouta</v>
      </c>
      <c r="S225" s="47" t="str">
        <f>IF(mouvementmp[[#This Row],[QR Fabrication]]&lt;&gt;"",INDEX(_xlfn.TEXTSPLIT(mouvementmp[[#This Row],[QR Fabrication]],"_"),1,3),"")</f>
        <v>Stock</v>
      </c>
      <c r="T225" s="47" t="str">
        <f>IF(mouvementmp[[#This Row],[QR Fabrication]]&lt;&gt;"",INDEX(_xlfn.TEXTSPLIT(mouvementmp[[#This Row],[QR Fabrication]],"_"),1,4),"")</f>
        <v>FAF1020-B04-02</v>
      </c>
      <c r="U225" s="47" t="str">
        <f>IF(mouvementmp[[#This Row],[QR Fabrication]]&lt;&gt;"",INDEX(_xlfn.TEXTSPLIT(mouvementmp[[#This Row],[QR Fabrication]],"_"),1,5),"")</f>
        <v>FIL A FIL</v>
      </c>
      <c r="V225" s="47" t="str">
        <f>IF(mouvementmp[[#This Row],[QR Fabrication]]&lt;&gt;"",_xlfn.TEXTAFTER(mouvementmp[[#This Row],[QR Fabrication]],"_",5),"")</f>
        <v>1020</v>
      </c>
    </row>
    <row r="226" spans="1:22" ht="16.5" thickTop="1" thickBot="1" x14ac:dyDescent="0.3">
      <c r="A226" s="46" t="s">
        <v>1309</v>
      </c>
      <c r="B226" s="54" t="s">
        <v>3884</v>
      </c>
      <c r="C226" s="47" t="s">
        <v>668</v>
      </c>
      <c r="D226" s="47" t="s">
        <v>665</v>
      </c>
      <c r="E226" s="47" t="s">
        <v>669</v>
      </c>
      <c r="F226" s="48">
        <v>0.85</v>
      </c>
      <c r="G226" s="47"/>
      <c r="H226" s="47"/>
      <c r="I226" s="47" t="s">
        <v>664</v>
      </c>
      <c r="J226" s="49">
        <v>45913</v>
      </c>
      <c r="K226" s="47" t="str">
        <f>INDEX(_xlfn.TEXTSPLIT(mouvementmp[[#This Row],[QR MP]],"_"),1,1)</f>
        <v>C23</v>
      </c>
      <c r="L226" s="47" t="str">
        <f>INDEX(_xlfn.TEXTSPLIT(mouvementmp[[#This Row],[QR MP]],"_"),1,2)</f>
        <v>OR</v>
      </c>
      <c r="M226" s="47" t="str">
        <f>INDEX(_xlfn.TEXTSPLIT(mouvementmp[[#This Row],[QR MP]],"_"),1,3)</f>
        <v>NM15-23.00</v>
      </c>
      <c r="N226" s="47" t="str">
        <f>INDEX(_xlfn.TEXTSPLIT(mouvementmp[[#This Row],[QR MP]],"_"),1,4)</f>
        <v>61566</v>
      </c>
      <c r="O226" s="47">
        <f>-mouvementmp[[#This Row],[Poids]]</f>
        <v>-0.85</v>
      </c>
      <c r="P226" s="47" t="str">
        <f>IF(
   COUNTIFS($A$2:A226,A226,
             $B$2:B226,B226,
             $C$2:C226,C226,
             $D$2:D226,D226,
             $E$2:E226,E226,
             $F$2:F226,F226,
              $J$2:J226,J226)&gt;1,
   "Doublon",
   "Correcte"
)</f>
        <v>Correcte</v>
      </c>
      <c r="Q226" s="106" t="str">
        <f>IF(mouvementmp[[#This Row],[QR Fabrication]]&lt;&gt;"",INDEX(_xlfn.TEXTSPLIT(mouvementmp[[#This Row],[QR Fabrication]],"_"),1,1),"")</f>
        <v>CA250013</v>
      </c>
      <c r="R226" s="106" t="str">
        <f>IF(mouvementmp[[#This Row],[QR Fabrication]]&lt;&gt;"",INDEX(_xlfn.TEXTSPLIT(mouvementmp[[#This Row],[QR Fabrication]],"_"),1,2),"")</f>
        <v>All by Fouta</v>
      </c>
      <c r="S226" s="47" t="str">
        <f>IF(mouvementmp[[#This Row],[QR Fabrication]]&lt;&gt;"",INDEX(_xlfn.TEXTSPLIT(mouvementmp[[#This Row],[QR Fabrication]],"_"),1,3),"")</f>
        <v>Stock</v>
      </c>
      <c r="T226" s="47" t="str">
        <f>IF(mouvementmp[[#This Row],[QR Fabrication]]&lt;&gt;"",INDEX(_xlfn.TEXTSPLIT(mouvementmp[[#This Row],[QR Fabrication]],"_"),1,4),"")</f>
        <v>UNS1020-23</v>
      </c>
      <c r="U226" s="47" t="str">
        <f>IF(mouvementmp[[#This Row],[QR Fabrication]]&lt;&gt;"",INDEX(_xlfn.TEXTSPLIT(mouvementmp[[#This Row],[QR Fabrication]],"_"),1,5),"")</f>
        <v>UNI SURPIQUE</v>
      </c>
      <c r="V226" s="47" t="str">
        <f>IF(mouvementmp[[#This Row],[QR Fabrication]]&lt;&gt;"",_xlfn.TEXTAFTER(mouvementmp[[#This Row],[QR Fabrication]],"_",5),"")</f>
        <v>1020</v>
      </c>
    </row>
    <row r="227" spans="1:22" ht="16.5" thickTop="1" thickBot="1" x14ac:dyDescent="0.3">
      <c r="A227" s="46" t="s">
        <v>2421</v>
      </c>
      <c r="B227" s="54" t="s">
        <v>3819</v>
      </c>
      <c r="C227" s="47" t="s">
        <v>668</v>
      </c>
      <c r="D227" s="47" t="s">
        <v>665</v>
      </c>
      <c r="E227" s="47" t="s">
        <v>669</v>
      </c>
      <c r="F227" s="48">
        <v>0.75</v>
      </c>
      <c r="G227" s="47"/>
      <c r="H227" s="47"/>
      <c r="I227" s="47" t="s">
        <v>664</v>
      </c>
      <c r="J227" s="49">
        <v>45913</v>
      </c>
      <c r="K227" s="47" t="str">
        <f>INDEX(_xlfn.TEXTSPLIT(mouvementmp[[#This Row],[QR MP]],"_"),1,1)</f>
        <v>C04</v>
      </c>
      <c r="L227" s="47" t="str">
        <f>INDEX(_xlfn.TEXTSPLIT(mouvementmp[[#This Row],[QR MP]],"_"),1,2)</f>
        <v>TAUPE</v>
      </c>
      <c r="M227" s="47" t="str">
        <f>INDEX(_xlfn.TEXTSPLIT(mouvementmp[[#This Row],[QR MP]],"_"),1,3)</f>
        <v>NM15-04.00</v>
      </c>
      <c r="N227" s="47" t="str">
        <f>INDEX(_xlfn.TEXTSPLIT(mouvementmp[[#This Row],[QR MP]],"_"),1,4)</f>
        <v>S2023</v>
      </c>
      <c r="O227" s="47">
        <f>-mouvementmp[[#This Row],[Poids]]</f>
        <v>-0.75</v>
      </c>
      <c r="P227" s="47" t="str">
        <f>IF(
   COUNTIFS($A$2:A227,A227,
             $B$2:B227,B227,
             $C$2:C227,C227,
             $D$2:D227,D227,
             $E$2:E227,E227,
             $F$2:F227,F227,
              $J$2:J227,J227)&gt;1,
   "Doublon",
   "Correcte"
)</f>
        <v>Correcte</v>
      </c>
      <c r="Q227" s="106" t="str">
        <f>IF(mouvementmp[[#This Row],[QR Fabrication]]&lt;&gt;"",INDEX(_xlfn.TEXTSPLIT(mouvementmp[[#This Row],[QR Fabrication]],"_"),1,1),"")</f>
        <v>OF244793</v>
      </c>
      <c r="R227" s="106" t="str">
        <f>IF(mouvementmp[[#This Row],[QR Fabrication]]&lt;&gt;"",INDEX(_xlfn.TEXTSPLIT(mouvementmp[[#This Row],[QR Fabrication]],"_"),1,2),"")</f>
        <v>All By Fouta</v>
      </c>
      <c r="S227" s="47" t="str">
        <f>IF(mouvementmp[[#This Row],[QR Fabrication]]&lt;&gt;"",INDEX(_xlfn.TEXTSPLIT(mouvementmp[[#This Row],[QR Fabrication]],"_"),1,3),"")</f>
        <v>Stock</v>
      </c>
      <c r="T227" s="47" t="str">
        <f>IF(mouvementmp[[#This Row],[QR Fabrication]]&lt;&gt;"",INDEX(_xlfn.TEXTSPLIT(mouvementmp[[#This Row],[QR Fabrication]],"_"),1,4),"")</f>
        <v>PACKSICL0507-B04-02</v>
      </c>
      <c r="U227" s="47" t="str">
        <f>IF(mouvementmp[[#This Row],[QR Fabrication]]&lt;&gt;"",INDEX(_xlfn.TEXTSPLIT(mouvementmp[[#This Row],[QR Fabrication]],"_"),1,5),"")</f>
        <v>PACK CLASSIQUE</v>
      </c>
      <c r="V227" s="47" t="str">
        <f>IF(mouvementmp[[#This Row],[QR Fabrication]]&lt;&gt;"",_xlfn.TEXTAFTER(mouvementmp[[#This Row],[QR Fabrication]],"_",5),"")</f>
        <v>0507</v>
      </c>
    </row>
    <row r="228" spans="1:22" ht="16.5" thickTop="1" thickBot="1" x14ac:dyDescent="0.3">
      <c r="A228" s="46" t="s">
        <v>2421</v>
      </c>
      <c r="B228" s="54" t="s">
        <v>3806</v>
      </c>
      <c r="C228" s="47" t="s">
        <v>668</v>
      </c>
      <c r="D228" s="47" t="s">
        <v>665</v>
      </c>
      <c r="E228" s="47" t="s">
        <v>669</v>
      </c>
      <c r="F228" s="48">
        <v>0.95</v>
      </c>
      <c r="G228" s="47"/>
      <c r="H228" s="47"/>
      <c r="I228" s="47" t="s">
        <v>664</v>
      </c>
      <c r="J228" s="49">
        <v>45913</v>
      </c>
      <c r="K228" s="47" t="str">
        <f>INDEX(_xlfn.TEXTSPLIT(mouvementmp[[#This Row],[QR MP]],"_"),1,1)</f>
        <v>C02</v>
      </c>
      <c r="L228" s="47" t="str">
        <f>INDEX(_xlfn.TEXTSPLIT(mouvementmp[[#This Row],[QR MP]],"_"),1,2)</f>
        <v>ECRU</v>
      </c>
      <c r="M228" s="47" t="str">
        <f>INDEX(_xlfn.TEXTSPLIT(mouvementmp[[#This Row],[QR MP]],"_"),1,3)</f>
        <v>NM15-02.00</v>
      </c>
      <c r="N228" s="47" t="str">
        <f>INDEX(_xlfn.TEXTSPLIT(mouvementmp[[#This Row],[QR MP]],"_"),1,4)</f>
        <v>61424</v>
      </c>
      <c r="O228" s="47">
        <f>-mouvementmp[[#This Row],[Poids]]</f>
        <v>-0.95</v>
      </c>
      <c r="P228" s="47" t="str">
        <f>IF(
   COUNTIFS($A$2:A228,A228,
             $B$2:B228,B228,
             $C$2:C228,C228,
             $D$2:D228,D228,
             $E$2:E228,E228,
             $F$2:F228,F228,
              $J$2:J228,J228)&gt;1,
   "Doublon",
   "Correcte"
)</f>
        <v>Correcte</v>
      </c>
      <c r="Q228" s="106" t="str">
        <f>IF(mouvementmp[[#This Row],[QR Fabrication]]&lt;&gt;"",INDEX(_xlfn.TEXTSPLIT(mouvementmp[[#This Row],[QR Fabrication]],"_"),1,1),"")</f>
        <v>OF244793</v>
      </c>
      <c r="R228" s="106" t="str">
        <f>IF(mouvementmp[[#This Row],[QR Fabrication]]&lt;&gt;"",INDEX(_xlfn.TEXTSPLIT(mouvementmp[[#This Row],[QR Fabrication]],"_"),1,2),"")</f>
        <v>All By Fouta</v>
      </c>
      <c r="S228" s="47" t="str">
        <f>IF(mouvementmp[[#This Row],[QR Fabrication]]&lt;&gt;"",INDEX(_xlfn.TEXTSPLIT(mouvementmp[[#This Row],[QR Fabrication]],"_"),1,3),"")</f>
        <v>Stock</v>
      </c>
      <c r="T228" s="47" t="str">
        <f>IF(mouvementmp[[#This Row],[QR Fabrication]]&lt;&gt;"",INDEX(_xlfn.TEXTSPLIT(mouvementmp[[#This Row],[QR Fabrication]],"_"),1,4),"")</f>
        <v>PACKSICL0507-B04-02</v>
      </c>
      <c r="U228" s="47" t="str">
        <f>IF(mouvementmp[[#This Row],[QR Fabrication]]&lt;&gt;"",INDEX(_xlfn.TEXTSPLIT(mouvementmp[[#This Row],[QR Fabrication]],"_"),1,5),"")</f>
        <v>PACK CLASSIQUE</v>
      </c>
      <c r="V228" s="47" t="str">
        <f>IF(mouvementmp[[#This Row],[QR Fabrication]]&lt;&gt;"",_xlfn.TEXTAFTER(mouvementmp[[#This Row],[QR Fabrication]],"_",5),"")</f>
        <v>0507</v>
      </c>
    </row>
    <row r="229" spans="1:22" ht="16.5" thickTop="1" thickBot="1" x14ac:dyDescent="0.3">
      <c r="A229" s="46" t="s">
        <v>2422</v>
      </c>
      <c r="B229" s="54" t="s">
        <v>3827</v>
      </c>
      <c r="C229" s="47" t="s">
        <v>668</v>
      </c>
      <c r="D229" s="47" t="s">
        <v>665</v>
      </c>
      <c r="E229" s="47" t="s">
        <v>669</v>
      </c>
      <c r="F229" s="48">
        <v>0.5</v>
      </c>
      <c r="G229" s="47"/>
      <c r="H229" s="47"/>
      <c r="I229" s="47" t="s">
        <v>664</v>
      </c>
      <c r="J229" s="49">
        <v>45913</v>
      </c>
      <c r="K229" s="47" t="str">
        <f>INDEX(_xlfn.TEXTSPLIT(mouvementmp[[#This Row],[QR MP]],"_"),1,1)</f>
        <v>C05</v>
      </c>
      <c r="L229" s="47" t="str">
        <f>INDEX(_xlfn.TEXTSPLIT(mouvementmp[[#This Row],[QR MP]],"_"),1,2)</f>
        <v>TERRA</v>
      </c>
      <c r="M229" s="47" t="str">
        <f>INDEX(_xlfn.TEXTSPLIT(mouvementmp[[#This Row],[QR MP]],"_"),1,3)</f>
        <v>NM15-05.01</v>
      </c>
      <c r="N229" s="47" t="str">
        <f>INDEX(_xlfn.TEXTSPLIT(mouvementmp[[#This Row],[QR MP]],"_"),1,4)</f>
        <v>61561</v>
      </c>
      <c r="O229" s="47">
        <f>-mouvementmp[[#This Row],[Poids]]</f>
        <v>-0.5</v>
      </c>
      <c r="P229" s="47" t="str">
        <f>IF(
   COUNTIFS($A$2:A229,A229,
             $B$2:B229,B229,
             $C$2:C229,C229,
             $D$2:D229,D229,
             $E$2:E229,E229,
             $F$2:F229,F229,
              $J$2:J229,J229)&gt;1,
   "Doublon",
   "Correcte"
)</f>
        <v>Correcte</v>
      </c>
      <c r="Q229" s="106" t="str">
        <f>IF(mouvementmp[[#This Row],[QR Fabrication]]&lt;&gt;"",INDEX(_xlfn.TEXTSPLIT(mouvementmp[[#This Row],[QR Fabrication]],"_"),1,1),"")</f>
        <v>OF244794</v>
      </c>
      <c r="R229" s="106" t="str">
        <f>IF(mouvementmp[[#This Row],[QR Fabrication]]&lt;&gt;"",INDEX(_xlfn.TEXTSPLIT(mouvementmp[[#This Row],[QR Fabrication]],"_"),1,2),"")</f>
        <v>All By Fouta</v>
      </c>
      <c r="S229" s="47" t="str">
        <f>IF(mouvementmp[[#This Row],[QR Fabrication]]&lt;&gt;"",INDEX(_xlfn.TEXTSPLIT(mouvementmp[[#This Row],[QR Fabrication]],"_"),1,3),"")</f>
        <v>Stock</v>
      </c>
      <c r="T229" s="47" t="str">
        <f>IF(mouvementmp[[#This Row],[QR Fabrication]]&lt;&gt;"",INDEX(_xlfn.TEXTSPLIT(mouvementmp[[#This Row],[QR Fabrication]],"_"),1,4),"")</f>
        <v>PACKSICL0507-B05-03</v>
      </c>
      <c r="U229" s="47" t="str">
        <f>IF(mouvementmp[[#This Row],[QR Fabrication]]&lt;&gt;"",INDEX(_xlfn.TEXTSPLIT(mouvementmp[[#This Row],[QR Fabrication]],"_"),1,5),"")</f>
        <v>PACK CLASSIQUE</v>
      </c>
      <c r="V229" s="47" t="str">
        <f>IF(mouvementmp[[#This Row],[QR Fabrication]]&lt;&gt;"",_xlfn.TEXTAFTER(mouvementmp[[#This Row],[QR Fabrication]],"_",5),"")</f>
        <v>0507</v>
      </c>
    </row>
    <row r="230" spans="1:22" ht="16.5" thickTop="1" thickBot="1" x14ac:dyDescent="0.3">
      <c r="A230" s="46" t="s">
        <v>2422</v>
      </c>
      <c r="B230" s="54" t="s">
        <v>3814</v>
      </c>
      <c r="C230" s="47" t="s">
        <v>668</v>
      </c>
      <c r="D230" s="47" t="s">
        <v>665</v>
      </c>
      <c r="E230" s="47" t="s">
        <v>669</v>
      </c>
      <c r="F230" s="48">
        <v>1.41</v>
      </c>
      <c r="G230" s="47"/>
      <c r="H230" s="47"/>
      <c r="I230" s="47" t="s">
        <v>664</v>
      </c>
      <c r="J230" s="49">
        <v>45913</v>
      </c>
      <c r="K230" s="47" t="str">
        <f>INDEX(_xlfn.TEXTSPLIT(mouvementmp[[#This Row],[QR MP]],"_"),1,1)</f>
        <v>C03</v>
      </c>
      <c r="L230" s="47" t="str">
        <f>INDEX(_xlfn.TEXTSPLIT(mouvementmp[[#This Row],[QR MP]],"_"),1,2)</f>
        <v xml:space="preserve">BEIGE </v>
      </c>
      <c r="M230" s="47" t="str">
        <f>INDEX(_xlfn.TEXTSPLIT(mouvementmp[[#This Row],[QR MP]],"_"),1,3)</f>
        <v>NM15-03.01</v>
      </c>
      <c r="N230" s="47" t="str">
        <f>INDEX(_xlfn.TEXTSPLIT(mouvementmp[[#This Row],[QR MP]],"_"),1,4)</f>
        <v>61559</v>
      </c>
      <c r="O230" s="47">
        <f>-mouvementmp[[#This Row],[Poids]]</f>
        <v>-1.41</v>
      </c>
      <c r="P230" s="47" t="str">
        <f>IF(
   COUNTIFS($A$2:A230,A230,
             $B$2:B230,B230,
             $C$2:C230,C230,
             $D$2:D230,D230,
             $E$2:E230,E230,
             $F$2:F230,F230,
              $J$2:J230,J230)&gt;1,
   "Doublon",
   "Correcte"
)</f>
        <v>Correcte</v>
      </c>
      <c r="Q230" s="106" t="str">
        <f>IF(mouvementmp[[#This Row],[QR Fabrication]]&lt;&gt;"",INDEX(_xlfn.TEXTSPLIT(mouvementmp[[#This Row],[QR Fabrication]],"_"),1,1),"")</f>
        <v>OF244794</v>
      </c>
      <c r="R230" s="106" t="str">
        <f>IF(mouvementmp[[#This Row],[QR Fabrication]]&lt;&gt;"",INDEX(_xlfn.TEXTSPLIT(mouvementmp[[#This Row],[QR Fabrication]],"_"),1,2),"")</f>
        <v>All By Fouta</v>
      </c>
      <c r="S230" s="47" t="str">
        <f>IF(mouvementmp[[#This Row],[QR Fabrication]]&lt;&gt;"",INDEX(_xlfn.TEXTSPLIT(mouvementmp[[#This Row],[QR Fabrication]],"_"),1,3),"")</f>
        <v>Stock</v>
      </c>
      <c r="T230" s="47" t="str">
        <f>IF(mouvementmp[[#This Row],[QR Fabrication]]&lt;&gt;"",INDEX(_xlfn.TEXTSPLIT(mouvementmp[[#This Row],[QR Fabrication]],"_"),1,4),"")</f>
        <v>PACKSICL0507-B05-03</v>
      </c>
      <c r="U230" s="47" t="str">
        <f>IF(mouvementmp[[#This Row],[QR Fabrication]]&lt;&gt;"",INDEX(_xlfn.TEXTSPLIT(mouvementmp[[#This Row],[QR Fabrication]],"_"),1,5),"")</f>
        <v>PACK CLASSIQUE</v>
      </c>
      <c r="V230" s="47" t="str">
        <f>IF(mouvementmp[[#This Row],[QR Fabrication]]&lt;&gt;"",_xlfn.TEXTAFTER(mouvementmp[[#This Row],[QR Fabrication]],"_",5),"")</f>
        <v>0507</v>
      </c>
    </row>
    <row r="231" spans="1:22" ht="16.5" thickTop="1" thickBot="1" x14ac:dyDescent="0.3">
      <c r="A231" s="46" t="s">
        <v>1307</v>
      </c>
      <c r="B231" s="54" t="s">
        <v>3886</v>
      </c>
      <c r="C231" s="47" t="s">
        <v>668</v>
      </c>
      <c r="D231" s="47" t="s">
        <v>665</v>
      </c>
      <c r="E231" s="47" t="s">
        <v>669</v>
      </c>
      <c r="F231" s="48">
        <v>0.9</v>
      </c>
      <c r="G231" s="47"/>
      <c r="H231" s="47"/>
      <c r="I231" s="47" t="s">
        <v>664</v>
      </c>
      <c r="J231" s="49">
        <v>45913</v>
      </c>
      <c r="K231" s="47" t="str">
        <f>INDEX(_xlfn.TEXTSPLIT(mouvementmp[[#This Row],[QR MP]],"_"),1,1)</f>
        <v>C24</v>
      </c>
      <c r="L231" s="47" t="str">
        <f>INDEX(_xlfn.TEXTSPLIT(mouvementmp[[#This Row],[QR MP]],"_"),1,2)</f>
        <v>JAUNE SAFRAN</v>
      </c>
      <c r="M231" s="47" t="str">
        <f>INDEX(_xlfn.TEXTSPLIT(mouvementmp[[#This Row],[QR MP]],"_"),1,3)</f>
        <v>NM15-24.00</v>
      </c>
      <c r="N231" s="47" t="str">
        <f>INDEX(_xlfn.TEXTSPLIT(mouvementmp[[#This Row],[QR MP]],"_"),1,4)</f>
        <v>61554</v>
      </c>
      <c r="O231" s="47">
        <f>-mouvementmp[[#This Row],[Poids]]</f>
        <v>-0.9</v>
      </c>
      <c r="P231" s="47" t="str">
        <f>IF(
   COUNTIFS($A$2:A231,A231,
             $B$2:B231,B231,
             $C$2:C231,C231,
             $D$2:D231,D231,
             $E$2:E231,E231,
             $F$2:F231,F231,
              $J$2:J231,J231)&gt;1,
   "Doublon",
   "Correcte"
)</f>
        <v>Correcte</v>
      </c>
      <c r="Q231" s="106" t="str">
        <f>IF(mouvementmp[[#This Row],[QR Fabrication]]&lt;&gt;"",INDEX(_xlfn.TEXTSPLIT(mouvementmp[[#This Row],[QR Fabrication]],"_"),1,1),"")</f>
        <v>CA250014</v>
      </c>
      <c r="R231" s="106" t="str">
        <f>IF(mouvementmp[[#This Row],[QR Fabrication]]&lt;&gt;"",INDEX(_xlfn.TEXTSPLIT(mouvementmp[[#This Row],[QR Fabrication]],"_"),1,2),"")</f>
        <v>All by Fouta</v>
      </c>
      <c r="S231" s="47" t="str">
        <f>IF(mouvementmp[[#This Row],[QR Fabrication]]&lt;&gt;"",INDEX(_xlfn.TEXTSPLIT(mouvementmp[[#This Row],[QR Fabrication]],"_"),1,3),"")</f>
        <v>Stock</v>
      </c>
      <c r="T231" s="47" t="str">
        <f>IF(mouvementmp[[#This Row],[QR Fabrication]]&lt;&gt;"",INDEX(_xlfn.TEXTSPLIT(mouvementmp[[#This Row],[QR Fabrication]],"_"),1,4),"")</f>
        <v>UNS1020-24</v>
      </c>
      <c r="U231" s="47" t="str">
        <f>IF(mouvementmp[[#This Row],[QR Fabrication]]&lt;&gt;"",INDEX(_xlfn.TEXTSPLIT(mouvementmp[[#This Row],[QR Fabrication]],"_"),1,5),"")</f>
        <v>UNI SURPIQUE</v>
      </c>
      <c r="V231" s="47" t="str">
        <f>IF(mouvementmp[[#This Row],[QR Fabrication]]&lt;&gt;"",_xlfn.TEXTAFTER(mouvementmp[[#This Row],[QR Fabrication]],"_",5),"")</f>
        <v>1020</v>
      </c>
    </row>
    <row r="232" spans="1:22" ht="16.5" thickTop="1" thickBot="1" x14ac:dyDescent="0.3">
      <c r="A232" s="46" t="s">
        <v>2423</v>
      </c>
      <c r="B232" s="54" t="s">
        <v>3875</v>
      </c>
      <c r="C232" s="47" t="s">
        <v>668</v>
      </c>
      <c r="D232" s="47" t="s">
        <v>665</v>
      </c>
      <c r="E232" s="47" t="s">
        <v>669</v>
      </c>
      <c r="F232" s="48">
        <v>0.55000000000000004</v>
      </c>
      <c r="G232" s="47"/>
      <c r="H232" s="47"/>
      <c r="I232" s="47" t="s">
        <v>664</v>
      </c>
      <c r="J232" s="49">
        <v>45913</v>
      </c>
      <c r="K232" s="47" t="str">
        <f>INDEX(_xlfn.TEXTSPLIT(mouvementmp[[#This Row],[QR MP]],"_"),1,1)</f>
        <v>C20</v>
      </c>
      <c r="L232" s="47" t="str">
        <f>INDEX(_xlfn.TEXTSPLIT(mouvementmp[[#This Row],[QR MP]],"_"),1,2)</f>
        <v>VERT OLIVE</v>
      </c>
      <c r="M232" s="47" t="str">
        <f>INDEX(_xlfn.TEXTSPLIT(mouvementmp[[#This Row],[QR MP]],"_"),1,3)</f>
        <v>NM15-20.01</v>
      </c>
      <c r="N232" s="47" t="str">
        <f>INDEX(_xlfn.TEXTSPLIT(mouvementmp[[#This Row],[QR MP]],"_"),1,4)</f>
        <v>61652</v>
      </c>
      <c r="O232" s="47">
        <f>-mouvementmp[[#This Row],[Poids]]</f>
        <v>-0.55000000000000004</v>
      </c>
      <c r="P232" s="47" t="str">
        <f>IF(
   COUNTIFS($A$2:A232,A232,
             $B$2:B232,B232,
             $C$2:C232,C232,
             $D$2:D232,D232,
             $E$2:E232,E232,
             $F$2:F232,F232,
              $J$2:J232,J232)&gt;1,
   "Doublon",
   "Correcte"
)</f>
        <v>Correcte</v>
      </c>
      <c r="Q232" s="106" t="str">
        <f>IF(mouvementmp[[#This Row],[QR Fabrication]]&lt;&gt;"",INDEX(_xlfn.TEXTSPLIT(mouvementmp[[#This Row],[QR Fabrication]],"_"),1,1),"")</f>
        <v>CA250012</v>
      </c>
      <c r="R232" s="106" t="str">
        <f>IF(mouvementmp[[#This Row],[QR Fabrication]]&lt;&gt;"",INDEX(_xlfn.TEXTSPLIT(mouvementmp[[#This Row],[QR Fabrication]],"_"),1,2),"")</f>
        <v>All by Fouta</v>
      </c>
      <c r="S232" s="47" t="str">
        <f>IF(mouvementmp[[#This Row],[QR Fabrication]]&lt;&gt;"",INDEX(_xlfn.TEXTSPLIT(mouvementmp[[#This Row],[QR Fabrication]],"_"),1,3),"")</f>
        <v>Stock</v>
      </c>
      <c r="T232" s="47" t="str">
        <f>IF(mouvementmp[[#This Row],[QR Fabrication]]&lt;&gt;"",INDEX(_xlfn.TEXTSPLIT(mouvementmp[[#This Row],[QR Fabrication]],"_"),1,4),"")</f>
        <v>UNS1020-20</v>
      </c>
      <c r="U232" s="47" t="str">
        <f>IF(mouvementmp[[#This Row],[QR Fabrication]]&lt;&gt;"",INDEX(_xlfn.TEXTSPLIT(mouvementmp[[#This Row],[QR Fabrication]],"_"),1,5),"")</f>
        <v>UNI SURPIQUE</v>
      </c>
      <c r="V232" s="47" t="str">
        <f>IF(mouvementmp[[#This Row],[QR Fabrication]]&lt;&gt;"",_xlfn.TEXTAFTER(mouvementmp[[#This Row],[QR Fabrication]],"_",5),"")</f>
        <v>1020</v>
      </c>
    </row>
    <row r="233" spans="1:22" ht="16.5" thickTop="1" thickBot="1" x14ac:dyDescent="0.3">
      <c r="A233" s="46" t="s">
        <v>2424</v>
      </c>
      <c r="B233" s="54" t="s">
        <v>3902</v>
      </c>
      <c r="C233" s="47" t="s">
        <v>668</v>
      </c>
      <c r="D233" s="47" t="s">
        <v>665</v>
      </c>
      <c r="E233" s="47" t="s">
        <v>669</v>
      </c>
      <c r="F233" s="48">
        <v>1.25</v>
      </c>
      <c r="G233" s="47"/>
      <c r="H233" s="47"/>
      <c r="I233" s="47" t="s">
        <v>664</v>
      </c>
      <c r="J233" s="49">
        <v>45913</v>
      </c>
      <c r="K233" s="47" t="str">
        <f>INDEX(_xlfn.TEXTSPLIT(mouvementmp[[#This Row],[QR MP]],"_"),1,1)</f>
        <v>C31</v>
      </c>
      <c r="L233" s="47" t="str">
        <f>INDEX(_xlfn.TEXTSPLIT(mouvementmp[[#This Row],[QR MP]],"_"),1,2)</f>
        <v>SAUMON</v>
      </c>
      <c r="M233" s="47" t="str">
        <f>INDEX(_xlfn.TEXTSPLIT(mouvementmp[[#This Row],[QR MP]],"_"),1,3)</f>
        <v>NM15-31.00</v>
      </c>
      <c r="N233" s="47" t="str">
        <f>INDEX(_xlfn.TEXTSPLIT(mouvementmp[[#This Row],[QR MP]],"_"),1,4)</f>
        <v>61434</v>
      </c>
      <c r="O233" s="47">
        <f>-mouvementmp[[#This Row],[Poids]]</f>
        <v>-1.25</v>
      </c>
      <c r="P233" s="47" t="str">
        <f>IF(
   COUNTIFS($A$2:A233,A233,
             $B$2:B233,B233,
             $C$2:C233,C233,
             $D$2:D233,D233,
             $E$2:E233,E233,
             $F$2:F233,F233,
              $J$2:J233,J233)&gt;1,
   "Doublon",
   "Correcte"
)</f>
        <v>Correcte</v>
      </c>
      <c r="Q233" s="106" t="str">
        <f>IF(mouvementmp[[#This Row],[QR Fabrication]]&lt;&gt;"",INDEX(_xlfn.TEXTSPLIT(mouvementmp[[#This Row],[QR Fabrication]],"_"),1,1),"")</f>
        <v>CA250058</v>
      </c>
      <c r="R233" s="106" t="str">
        <f>IF(mouvementmp[[#This Row],[QR Fabrication]]&lt;&gt;"",INDEX(_xlfn.TEXTSPLIT(mouvementmp[[#This Row],[QR Fabrication]],"_"),1,2),"")</f>
        <v>All by Fouta</v>
      </c>
      <c r="S233" s="47" t="str">
        <f>IF(mouvementmp[[#This Row],[QR Fabrication]]&lt;&gt;"",INDEX(_xlfn.TEXTSPLIT(mouvementmp[[#This Row],[QR Fabrication]],"_"),1,3),"")</f>
        <v>Stock</v>
      </c>
      <c r="T233" s="47" t="str">
        <f>IF(mouvementmp[[#This Row],[QR Fabrication]]&lt;&gt;"",INDEX(_xlfn.TEXTSPLIT(mouvementmp[[#This Row],[QR Fabrication]],"_"),1,4),"")</f>
        <v>UNS1626-31</v>
      </c>
      <c r="U233" s="47" t="str">
        <f>IF(mouvementmp[[#This Row],[QR Fabrication]]&lt;&gt;"",INDEX(_xlfn.TEXTSPLIT(mouvementmp[[#This Row],[QR Fabrication]],"_"),1,5),"")</f>
        <v>UNI SURPIQUE</v>
      </c>
      <c r="V233" s="47" t="str">
        <f>IF(mouvementmp[[#This Row],[QR Fabrication]]&lt;&gt;"",_xlfn.TEXTAFTER(mouvementmp[[#This Row],[QR Fabrication]],"_",5),"")</f>
        <v>1626</v>
      </c>
    </row>
    <row r="234" spans="1:22" ht="16.5" thickTop="1" thickBot="1" x14ac:dyDescent="0.3">
      <c r="A234" s="46" t="s">
        <v>2425</v>
      </c>
      <c r="B234" s="54" t="s">
        <v>3921</v>
      </c>
      <c r="C234" s="47" t="s">
        <v>668</v>
      </c>
      <c r="D234" s="47" t="s">
        <v>665</v>
      </c>
      <c r="E234" s="47" t="s">
        <v>669</v>
      </c>
      <c r="F234" s="48">
        <v>1.1499999999999999</v>
      </c>
      <c r="G234" s="47"/>
      <c r="H234" s="47"/>
      <c r="I234" s="47" t="s">
        <v>664</v>
      </c>
      <c r="J234" s="49">
        <v>45913</v>
      </c>
      <c r="K234" s="47" t="str">
        <f>INDEX(_xlfn.TEXTSPLIT(mouvementmp[[#This Row],[QR MP]],"_"),1,1)</f>
        <v>C06</v>
      </c>
      <c r="L234" s="47" t="str">
        <f>INDEX(_xlfn.TEXTSPLIT(mouvementmp[[#This Row],[QR MP]],"_"),1,2)</f>
        <v>GRIS CLAIR</v>
      </c>
      <c r="M234" s="47" t="str">
        <f>INDEX(_xlfn.TEXTSPLIT(mouvementmp[[#This Row],[QR MP]],"_"),1,3)</f>
        <v>NM15-06.00</v>
      </c>
      <c r="N234" s="47" t="str">
        <f>INDEX(_xlfn.TEXTSPLIT(mouvementmp[[#This Row],[QR MP]],"_"),1,4)</f>
        <v>61828</v>
      </c>
      <c r="O234" s="47">
        <f>-mouvementmp[[#This Row],[Poids]]</f>
        <v>-1.1499999999999999</v>
      </c>
      <c r="P234" s="47" t="str">
        <f>IF(
   COUNTIFS($A$2:A234,A234,
             $B$2:B234,B234,
             $C$2:C234,C234,
             $D$2:D234,D234,
             $E$2:E234,E234,
             $F$2:F234,F234,
              $J$2:J234,J234)&gt;1,
   "Doublon",
   "Correcte"
)</f>
        <v>Correcte</v>
      </c>
      <c r="Q234" s="106" t="str">
        <f>IF(mouvementmp[[#This Row],[QR Fabrication]]&lt;&gt;"",INDEX(_xlfn.TEXTSPLIT(mouvementmp[[#This Row],[QR Fabrication]],"_"),1,1),"")</f>
        <v>CA250043</v>
      </c>
      <c r="R234" s="106" t="str">
        <f>IF(mouvementmp[[#This Row],[QR Fabrication]]&lt;&gt;"",INDEX(_xlfn.TEXTSPLIT(mouvementmp[[#This Row],[QR Fabrication]],"_"),1,2),"")</f>
        <v>All by Fouta</v>
      </c>
      <c r="S234" s="47" t="str">
        <f>IF(mouvementmp[[#This Row],[QR Fabrication]]&lt;&gt;"",INDEX(_xlfn.TEXTSPLIT(mouvementmp[[#This Row],[QR Fabrication]],"_"),1,3),"")</f>
        <v>Stock</v>
      </c>
      <c r="T234" s="47" t="str">
        <f>IF(mouvementmp[[#This Row],[QR Fabrication]]&lt;&gt;"",INDEX(_xlfn.TEXTSPLIT(mouvementmp[[#This Row],[QR Fabrication]],"_"),1,4),"")</f>
        <v>UNS1626-06</v>
      </c>
      <c r="U234" s="47" t="str">
        <f>IF(mouvementmp[[#This Row],[QR Fabrication]]&lt;&gt;"",INDEX(_xlfn.TEXTSPLIT(mouvementmp[[#This Row],[QR Fabrication]],"_"),1,5),"")</f>
        <v>UNI SURPIQUE</v>
      </c>
      <c r="V234" s="47" t="str">
        <f>IF(mouvementmp[[#This Row],[QR Fabrication]]&lt;&gt;"",_xlfn.TEXTAFTER(mouvementmp[[#This Row],[QR Fabrication]],"_",5),"")</f>
        <v>1626</v>
      </c>
    </row>
    <row r="235" spans="1:22" ht="16.5" thickTop="1" thickBot="1" x14ac:dyDescent="0.3">
      <c r="A235" s="46" t="s">
        <v>2426</v>
      </c>
      <c r="B235" s="54" t="s">
        <v>3894</v>
      </c>
      <c r="C235" s="47" t="s">
        <v>668</v>
      </c>
      <c r="D235" s="47" t="s">
        <v>665</v>
      </c>
      <c r="E235" s="47" t="s">
        <v>669</v>
      </c>
      <c r="F235" s="48">
        <v>0.75</v>
      </c>
      <c r="G235" s="47"/>
      <c r="H235" s="47"/>
      <c r="I235" s="47" t="s">
        <v>664</v>
      </c>
      <c r="J235" s="49">
        <v>45913</v>
      </c>
      <c r="K235" s="47" t="str">
        <f>INDEX(_xlfn.TEXTSPLIT(mouvementmp[[#This Row],[QR MP]],"_"),1,1)</f>
        <v>C27</v>
      </c>
      <c r="L235" s="47" t="str">
        <f>INDEX(_xlfn.TEXTSPLIT(mouvementmp[[#This Row],[QR MP]],"_"),1,2)</f>
        <v>ROUGE BORDEAU</v>
      </c>
      <c r="M235" s="47" t="str">
        <f>INDEX(_xlfn.TEXTSPLIT(mouvementmp[[#This Row],[QR MP]],"_"),1,3)</f>
        <v>NM15-27.00</v>
      </c>
      <c r="N235" s="47" t="str">
        <f>INDEX(_xlfn.TEXTSPLIT(mouvementmp[[#This Row],[QR MP]],"_"),1,4)</f>
        <v>61518</v>
      </c>
      <c r="O235" s="47">
        <f>-mouvementmp[[#This Row],[Poids]]</f>
        <v>-0.75</v>
      </c>
      <c r="P235" s="47" t="str">
        <f>IF(
   COUNTIFS($A$2:A235,A235,
             $B$2:B235,B235,
             $C$2:C235,C235,
             $D$2:D235,D235,
             $E$2:E235,E235,
             $F$2:F235,F235,
              $J$2:J235,J235)&gt;1,
   "Doublon",
   "Correcte"
)</f>
        <v>Correcte</v>
      </c>
      <c r="Q235" s="106" t="str">
        <f>IF(mouvementmp[[#This Row],[QR Fabrication]]&lt;&gt;"",INDEX(_xlfn.TEXTSPLIT(mouvementmp[[#This Row],[QR Fabrication]],"_"),1,1),"")</f>
        <v>CA250076</v>
      </c>
      <c r="R235" s="106" t="str">
        <f>IF(mouvementmp[[#This Row],[QR Fabrication]]&lt;&gt;"",INDEX(_xlfn.TEXTSPLIT(mouvementmp[[#This Row],[QR Fabrication]],"_"),1,2),"")</f>
        <v>All by Fouta</v>
      </c>
      <c r="S235" s="47" t="str">
        <f>IF(mouvementmp[[#This Row],[QR Fabrication]]&lt;&gt;"",INDEX(_xlfn.TEXTSPLIT(mouvementmp[[#This Row],[QR Fabrication]],"_"),1,3),"")</f>
        <v>Stock</v>
      </c>
      <c r="T235" s="47" t="str">
        <f>IF(mouvementmp[[#This Row],[QR Fabrication]]&lt;&gt;"",INDEX(_xlfn.TEXTSPLIT(mouvementmp[[#This Row],[QR Fabrication]],"_"),1,4),"")</f>
        <v>UNS2030-27</v>
      </c>
      <c r="U235" s="47" t="str">
        <f>IF(mouvementmp[[#This Row],[QR Fabrication]]&lt;&gt;"",INDEX(_xlfn.TEXTSPLIT(mouvementmp[[#This Row],[QR Fabrication]],"_"),1,5),"")</f>
        <v>UNI SURPIQUE</v>
      </c>
      <c r="V235" s="47" t="str">
        <f>IF(mouvementmp[[#This Row],[QR Fabrication]]&lt;&gt;"",_xlfn.TEXTAFTER(mouvementmp[[#This Row],[QR Fabrication]],"_",5),"")</f>
        <v>2030</v>
      </c>
    </row>
    <row r="236" spans="1:22" ht="16.5" thickTop="1" thickBot="1" x14ac:dyDescent="0.3">
      <c r="A236" s="46" t="s">
        <v>2427</v>
      </c>
      <c r="B236" s="54" t="s">
        <v>3905</v>
      </c>
      <c r="C236" s="47" t="s">
        <v>668</v>
      </c>
      <c r="D236" s="47" t="s">
        <v>665</v>
      </c>
      <c r="E236" s="47" t="s">
        <v>669</v>
      </c>
      <c r="F236" s="48">
        <v>1.1499999999999999</v>
      </c>
      <c r="G236" s="47"/>
      <c r="H236" s="47"/>
      <c r="I236" s="47" t="s">
        <v>664</v>
      </c>
      <c r="J236" s="49">
        <v>45913</v>
      </c>
      <c r="K236" s="47" t="str">
        <f>INDEX(_xlfn.TEXTSPLIT(mouvementmp[[#This Row],[QR MP]],"_"),1,1)</f>
        <v>C32</v>
      </c>
      <c r="L236" s="47" t="str">
        <f>INDEX(_xlfn.TEXTSPLIT(mouvementmp[[#This Row],[QR MP]],"_"),1,2)</f>
        <v>VIEUX ROSE</v>
      </c>
      <c r="M236" s="47" t="str">
        <f>INDEX(_xlfn.TEXTSPLIT(mouvementmp[[#This Row],[QR MP]],"_"),1,3)</f>
        <v>NM15-32.00</v>
      </c>
      <c r="N236" s="47" t="str">
        <f>INDEX(_xlfn.TEXTSPLIT(mouvementmp[[#This Row],[QR MP]],"_"),1,4)</f>
        <v>61455</v>
      </c>
      <c r="O236" s="47">
        <f>-mouvementmp[[#This Row],[Poids]]</f>
        <v>-1.1499999999999999</v>
      </c>
      <c r="P236" s="47" t="str">
        <f>IF(
   COUNTIFS($A$2:A236,A236,
             $B$2:B236,B236,
             $C$2:C236,C236,
             $D$2:D236,D236,
             $E$2:E236,E236,
             $F$2:F236,F236,
              $J$2:J236,J236)&gt;1,
   "Doublon",
   "Correcte"
)</f>
        <v>Correcte</v>
      </c>
      <c r="Q236" s="106" t="str">
        <f>IF(mouvementmp[[#This Row],[QR Fabrication]]&lt;&gt;"",INDEX(_xlfn.TEXTSPLIT(mouvementmp[[#This Row],[QR Fabrication]],"_"),1,1),"")</f>
        <v>CA250079</v>
      </c>
      <c r="R236" s="106" t="str">
        <f>IF(mouvementmp[[#This Row],[QR Fabrication]]&lt;&gt;"",INDEX(_xlfn.TEXTSPLIT(mouvementmp[[#This Row],[QR Fabrication]],"_"),1,2),"")</f>
        <v>All by Fouta</v>
      </c>
      <c r="S236" s="47" t="str">
        <f>IF(mouvementmp[[#This Row],[QR Fabrication]]&lt;&gt;"",INDEX(_xlfn.TEXTSPLIT(mouvementmp[[#This Row],[QR Fabrication]],"_"),1,3),"")</f>
        <v>Stock</v>
      </c>
      <c r="T236" s="47" t="str">
        <f>IF(mouvementmp[[#This Row],[QR Fabrication]]&lt;&gt;"",INDEX(_xlfn.TEXTSPLIT(mouvementmp[[#This Row],[QR Fabrication]],"_"),1,4),"")</f>
        <v>UNS2030-32</v>
      </c>
      <c r="U236" s="47" t="str">
        <f>IF(mouvementmp[[#This Row],[QR Fabrication]]&lt;&gt;"",INDEX(_xlfn.TEXTSPLIT(mouvementmp[[#This Row],[QR Fabrication]],"_"),1,5),"")</f>
        <v>UNI SURPIQUE</v>
      </c>
      <c r="V236" s="47" t="str">
        <f>IF(mouvementmp[[#This Row],[QR Fabrication]]&lt;&gt;"",_xlfn.TEXTAFTER(mouvementmp[[#This Row],[QR Fabrication]],"_",5),"")</f>
        <v>2030</v>
      </c>
    </row>
    <row r="237" spans="1:22" ht="16.5" thickTop="1" thickBot="1" x14ac:dyDescent="0.3">
      <c r="A237" s="46" t="s">
        <v>2428</v>
      </c>
      <c r="B237" s="54" t="s">
        <v>3901</v>
      </c>
      <c r="C237" s="47" t="s">
        <v>668</v>
      </c>
      <c r="D237" s="47" t="s">
        <v>665</v>
      </c>
      <c r="E237" s="47" t="s">
        <v>669</v>
      </c>
      <c r="F237" s="48">
        <v>0.75</v>
      </c>
      <c r="G237" s="47"/>
      <c r="H237" s="47"/>
      <c r="I237" s="47" t="s">
        <v>664</v>
      </c>
      <c r="J237" s="49">
        <v>45913</v>
      </c>
      <c r="K237" s="47" t="str">
        <f>INDEX(_xlfn.TEXTSPLIT(mouvementmp[[#This Row],[QR MP]],"_"),1,1)</f>
        <v>C30</v>
      </c>
      <c r="L237" s="47" t="str">
        <f>INDEX(_xlfn.TEXTSPLIT(mouvementmp[[#This Row],[QR MP]],"_"),1,2)</f>
        <v>PRALINE</v>
      </c>
      <c r="M237" s="47" t="str">
        <f>INDEX(_xlfn.TEXTSPLIT(mouvementmp[[#This Row],[QR MP]],"_"),1,3)</f>
        <v>NM15-30.00</v>
      </c>
      <c r="N237" s="47" t="str">
        <f>INDEX(_xlfn.TEXTSPLIT(mouvementmp[[#This Row],[QR MP]],"_"),1,4)</f>
        <v>61570</v>
      </c>
      <c r="O237" s="47">
        <f>-mouvementmp[[#This Row],[Poids]]</f>
        <v>-0.75</v>
      </c>
      <c r="P237" s="47" t="str">
        <f>IF(
   COUNTIFS($A$2:A237,A237,
             $B$2:B237,B237,
             $C$2:C237,C237,
             $D$2:D237,D237,
             $E$2:E237,E237,
             $F$2:F237,F237,
              $J$2:J237,J237)&gt;1,
   "Doublon",
   "Correcte"
)</f>
        <v>Correcte</v>
      </c>
      <c r="Q237" s="106" t="str">
        <f>IF(mouvementmp[[#This Row],[QR Fabrication]]&lt;&gt;"",INDEX(_xlfn.TEXTSPLIT(mouvementmp[[#This Row],[QR Fabrication]],"_"),1,1),"")</f>
        <v>CA250017</v>
      </c>
      <c r="R237" s="106" t="str">
        <f>IF(mouvementmp[[#This Row],[QR Fabrication]]&lt;&gt;"",INDEX(_xlfn.TEXTSPLIT(mouvementmp[[#This Row],[QR Fabrication]],"_"),1,2),"")</f>
        <v>All by Fouta</v>
      </c>
      <c r="S237" s="47" t="str">
        <f>IF(mouvementmp[[#This Row],[QR Fabrication]]&lt;&gt;"",INDEX(_xlfn.TEXTSPLIT(mouvementmp[[#This Row],[QR Fabrication]],"_"),1,3),"")</f>
        <v>Stock</v>
      </c>
      <c r="T237" s="47" t="str">
        <f>IF(mouvementmp[[#This Row],[QR Fabrication]]&lt;&gt;"",INDEX(_xlfn.TEXTSPLIT(mouvementmp[[#This Row],[QR Fabrication]],"_"),1,4),"")</f>
        <v>UNS1020-30</v>
      </c>
      <c r="U237" s="47" t="str">
        <f>IF(mouvementmp[[#This Row],[QR Fabrication]]&lt;&gt;"",INDEX(_xlfn.TEXTSPLIT(mouvementmp[[#This Row],[QR Fabrication]],"_"),1,5),"")</f>
        <v>UNI SURPIQUE</v>
      </c>
      <c r="V237" s="47" t="str">
        <f>IF(mouvementmp[[#This Row],[QR Fabrication]]&lt;&gt;"",_xlfn.TEXTAFTER(mouvementmp[[#This Row],[QR Fabrication]],"_",5),"")</f>
        <v>1020</v>
      </c>
    </row>
    <row r="238" spans="1:22" ht="16.5" thickTop="1" thickBot="1" x14ac:dyDescent="0.3">
      <c r="A238" s="46" t="s">
        <v>2429</v>
      </c>
      <c r="B238" s="54" t="s">
        <v>3884</v>
      </c>
      <c r="C238" s="47" t="s">
        <v>668</v>
      </c>
      <c r="D238" s="47" t="s">
        <v>665</v>
      </c>
      <c r="E238" s="47" t="s">
        <v>669</v>
      </c>
      <c r="F238" s="48">
        <v>1.1499999999999999</v>
      </c>
      <c r="G238" s="47"/>
      <c r="H238" s="47"/>
      <c r="I238" s="47" t="s">
        <v>664</v>
      </c>
      <c r="J238" s="49">
        <v>45913</v>
      </c>
      <c r="K238" s="47" t="str">
        <f>INDEX(_xlfn.TEXTSPLIT(mouvementmp[[#This Row],[QR MP]],"_"),1,1)</f>
        <v>C23</v>
      </c>
      <c r="L238" s="47" t="str">
        <f>INDEX(_xlfn.TEXTSPLIT(mouvementmp[[#This Row],[QR MP]],"_"),1,2)</f>
        <v>OR</v>
      </c>
      <c r="M238" s="47" t="str">
        <f>INDEX(_xlfn.TEXTSPLIT(mouvementmp[[#This Row],[QR MP]],"_"),1,3)</f>
        <v>NM15-23.00</v>
      </c>
      <c r="N238" s="47" t="str">
        <f>INDEX(_xlfn.TEXTSPLIT(mouvementmp[[#This Row],[QR MP]],"_"),1,4)</f>
        <v>61566</v>
      </c>
      <c r="O238" s="47">
        <f>-mouvementmp[[#This Row],[Poids]]</f>
        <v>-1.1499999999999999</v>
      </c>
      <c r="P238" s="47" t="str">
        <f>IF(
   COUNTIFS($A$2:A238,A238,
             $B$2:B238,B238,
             $C$2:C238,C238,
             $D$2:D238,D238,
             $E$2:E238,E238,
             $F$2:F238,F238,
              $J$2:J238,J238)&gt;1,
   "Doublon",
   "Correcte"
)</f>
        <v>Correcte</v>
      </c>
      <c r="Q238" s="106" t="str">
        <f>IF(mouvementmp[[#This Row],[QR Fabrication]]&lt;&gt;"",INDEX(_xlfn.TEXTSPLIT(mouvementmp[[#This Row],[QR Fabrication]],"_"),1,1),"")</f>
        <v>CA250033</v>
      </c>
      <c r="R238" s="106" t="str">
        <f>IF(mouvementmp[[#This Row],[QR Fabrication]]&lt;&gt;"",INDEX(_xlfn.TEXTSPLIT(mouvementmp[[#This Row],[QR Fabrication]],"_"),1,2),"")</f>
        <v>All by Fouta</v>
      </c>
      <c r="S238" s="47" t="str">
        <f>IF(mouvementmp[[#This Row],[QR Fabrication]]&lt;&gt;"",INDEX(_xlfn.TEXTSPLIT(mouvementmp[[#This Row],[QR Fabrication]],"_"),1,3),"")</f>
        <v>Stock</v>
      </c>
      <c r="T238" s="47" t="str">
        <f>IF(mouvementmp[[#This Row],[QR Fabrication]]&lt;&gt;"",INDEX(_xlfn.TEXTSPLIT(mouvementmp[[#This Row],[QR Fabrication]],"_"),1,4),"")</f>
        <v>UNS2020-23</v>
      </c>
      <c r="U238" s="47" t="str">
        <f>IF(mouvementmp[[#This Row],[QR Fabrication]]&lt;&gt;"",INDEX(_xlfn.TEXTSPLIT(mouvementmp[[#This Row],[QR Fabrication]],"_"),1,5),"")</f>
        <v>UNI SURPIQUE</v>
      </c>
      <c r="V238" s="47" t="str">
        <f>IF(mouvementmp[[#This Row],[QR Fabrication]]&lt;&gt;"",_xlfn.TEXTAFTER(mouvementmp[[#This Row],[QR Fabrication]],"_",5),"")</f>
        <v>2020</v>
      </c>
    </row>
    <row r="239" spans="1:22" ht="16.5" thickTop="1" thickBot="1" x14ac:dyDescent="0.3">
      <c r="A239" s="46" t="s">
        <v>2430</v>
      </c>
      <c r="B239" s="54" t="s">
        <v>3865</v>
      </c>
      <c r="C239" s="47" t="s">
        <v>668</v>
      </c>
      <c r="D239" s="47" t="s">
        <v>665</v>
      </c>
      <c r="E239" s="47" t="s">
        <v>669</v>
      </c>
      <c r="F239" s="48">
        <v>0.55000000000000004</v>
      </c>
      <c r="G239" s="47"/>
      <c r="H239" s="47"/>
      <c r="I239" s="47" t="s">
        <v>664</v>
      </c>
      <c r="J239" s="49">
        <v>45913</v>
      </c>
      <c r="K239" s="47" t="str">
        <f>INDEX(_xlfn.TEXTSPLIT(mouvementmp[[#This Row],[QR MP]],"_"),1,1)</f>
        <v>C17</v>
      </c>
      <c r="L239" s="47" t="str">
        <f>INDEX(_xlfn.TEXTSPLIT(mouvementmp[[#This Row],[QR MP]],"_"),1,2)</f>
        <v>EMAURAUDE</v>
      </c>
      <c r="M239" s="47" t="str">
        <f>INDEX(_xlfn.TEXTSPLIT(mouvementmp[[#This Row],[QR MP]],"_"),1,3)</f>
        <v>NM15-17.00</v>
      </c>
      <c r="N239" s="47" t="str">
        <f>INDEX(_xlfn.TEXTSPLIT(mouvementmp[[#This Row],[QR MP]],"_"),1,4)</f>
        <v>61571</v>
      </c>
      <c r="O239" s="47">
        <f>-mouvementmp[[#This Row],[Poids]]</f>
        <v>-0.55000000000000004</v>
      </c>
      <c r="P239" s="47" t="str">
        <f>IF(
   COUNTIFS($A$2:A239,A239,
             $B$2:B239,B239,
             $C$2:C239,C239,
             $D$2:D239,D239,
             $E$2:E239,E239,
             $F$2:F239,F239,
              $J$2:J239,J239)&gt;1,
   "Doublon",
   "Correcte"
)</f>
        <v>Correcte</v>
      </c>
      <c r="Q239" s="106" t="str">
        <f>IF(mouvementmp[[#This Row],[QR Fabrication]]&lt;&gt;"",INDEX(_xlfn.TEXTSPLIT(mouvementmp[[#This Row],[QR Fabrication]],"_"),1,1),"")</f>
        <v>CA250049</v>
      </c>
      <c r="R239" s="106" t="str">
        <f>IF(mouvementmp[[#This Row],[QR Fabrication]]&lt;&gt;"",INDEX(_xlfn.TEXTSPLIT(mouvementmp[[#This Row],[QR Fabrication]],"_"),1,2),"")</f>
        <v>All by Fouta</v>
      </c>
      <c r="S239" s="47" t="str">
        <f>IF(mouvementmp[[#This Row],[QR Fabrication]]&lt;&gt;"",INDEX(_xlfn.TEXTSPLIT(mouvementmp[[#This Row],[QR Fabrication]],"_"),1,3),"")</f>
        <v>Stock</v>
      </c>
      <c r="T239" s="47" t="str">
        <f>IF(mouvementmp[[#This Row],[QR Fabrication]]&lt;&gt;"",INDEX(_xlfn.TEXTSPLIT(mouvementmp[[#This Row],[QR Fabrication]],"_"),1,4),"")</f>
        <v>UNS1626-17</v>
      </c>
      <c r="U239" s="47" t="str">
        <f>IF(mouvementmp[[#This Row],[QR Fabrication]]&lt;&gt;"",INDEX(_xlfn.TEXTSPLIT(mouvementmp[[#This Row],[QR Fabrication]],"_"),1,5),"")</f>
        <v>UNI SURPIQUE</v>
      </c>
      <c r="V239" s="47" t="str">
        <f>IF(mouvementmp[[#This Row],[QR Fabrication]]&lt;&gt;"",_xlfn.TEXTAFTER(mouvementmp[[#This Row],[QR Fabrication]],"_",5),"")</f>
        <v>1626</v>
      </c>
    </row>
    <row r="240" spans="1:22" ht="16.5" thickTop="1" thickBot="1" x14ac:dyDescent="0.3">
      <c r="A240" s="46" t="s">
        <v>2431</v>
      </c>
      <c r="B240" s="54" t="s">
        <v>3896</v>
      </c>
      <c r="C240" s="47" t="s">
        <v>668</v>
      </c>
      <c r="D240" s="47" t="s">
        <v>665</v>
      </c>
      <c r="E240" s="47" t="s">
        <v>669</v>
      </c>
      <c r="F240" s="48">
        <v>0.75</v>
      </c>
      <c r="G240" s="47"/>
      <c r="H240" s="47"/>
      <c r="I240" s="47" t="s">
        <v>664</v>
      </c>
      <c r="J240" s="49">
        <v>45913</v>
      </c>
      <c r="K240" s="47" t="str">
        <f>INDEX(_xlfn.TEXTSPLIT(mouvementmp[[#This Row],[QR MP]],"_"),1,1)</f>
        <v>C28</v>
      </c>
      <c r="L240" s="47" t="str">
        <f>INDEX(_xlfn.TEXTSPLIT(mouvementmp[[#This Row],[QR MP]],"_"),1,2)</f>
        <v>FRAMBOISE</v>
      </c>
      <c r="M240" s="47" t="str">
        <f>INDEX(_xlfn.TEXTSPLIT(mouvementmp[[#This Row],[QR MP]],"_"),1,3)</f>
        <v>NM15-28.00</v>
      </c>
      <c r="N240" s="47" t="str">
        <f>INDEX(_xlfn.TEXTSPLIT(mouvementmp[[#This Row],[QR MP]],"_"),1,4)</f>
        <v>S2022</v>
      </c>
      <c r="O240" s="47">
        <f>-mouvementmp[[#This Row],[Poids]]</f>
        <v>-0.75</v>
      </c>
      <c r="P240" s="47" t="str">
        <f>IF(
   COUNTIFS($A$2:A240,A240,
             $B$2:B240,B240,
             $C$2:C240,C240,
             $D$2:D240,D240,
             $E$2:E240,E240,
             $F$2:F240,F240,
              $J$2:J240,J240)&gt;1,
   "Doublon",
   "Correcte"
)</f>
        <v>Correcte</v>
      </c>
      <c r="Q240" s="106" t="str">
        <f>IF(mouvementmp[[#This Row],[QR Fabrication]]&lt;&gt;"",INDEX(_xlfn.TEXTSPLIT(mouvementmp[[#This Row],[QR Fabrication]],"_"),1,1),"")</f>
        <v>OF249846</v>
      </c>
      <c r="R240" s="106" t="str">
        <f>IF(mouvementmp[[#This Row],[QR Fabrication]]&lt;&gt;"",INDEX(_xlfn.TEXTSPLIT(mouvementmp[[#This Row],[QR Fabrication]],"_"),1,2),"")</f>
        <v>CL00884</v>
      </c>
      <c r="S240" s="47" t="str">
        <f>IF(mouvementmp[[#This Row],[QR Fabrication]]&lt;&gt;"",INDEX(_xlfn.TEXTSPLIT(mouvementmp[[#This Row],[QR Fabrication]],"_"),1,3),"")</f>
        <v>CM-FT0119</v>
      </c>
      <c r="T240" s="47" t="str">
        <f>IF(mouvementmp[[#This Row],[QR Fabrication]]&lt;&gt;"",INDEX(_xlfn.TEXTSPLIT(mouvementmp[[#This Row],[QR Fabrication]],"_"),1,4),"")</f>
        <v>ST1020-S28-25-24</v>
      </c>
      <c r="U240" s="47" t="str">
        <f>IF(mouvementmp[[#This Row],[QR Fabrication]]&lt;&gt;"",INDEX(_xlfn.TEXTSPLIT(mouvementmp[[#This Row],[QR Fabrication]],"_"),1,5),"")</f>
        <v>ST TROPEZ</v>
      </c>
      <c r="V240" s="47" t="str">
        <f>IF(mouvementmp[[#This Row],[QR Fabrication]]&lt;&gt;"",_xlfn.TEXTAFTER(mouvementmp[[#This Row],[QR Fabrication]],"_",5),"")</f>
        <v>1020</v>
      </c>
    </row>
    <row r="241" spans="1:22" ht="16.5" thickTop="1" thickBot="1" x14ac:dyDescent="0.3">
      <c r="A241" s="46" t="s">
        <v>2431</v>
      </c>
      <c r="B241" s="54" t="s">
        <v>3887</v>
      </c>
      <c r="C241" s="47" t="s">
        <v>668</v>
      </c>
      <c r="D241" s="47" t="s">
        <v>665</v>
      </c>
      <c r="E241" s="47" t="s">
        <v>669</v>
      </c>
      <c r="F241" s="48">
        <v>0.85</v>
      </c>
      <c r="G241" s="47"/>
      <c r="H241" s="47"/>
      <c r="I241" s="47" t="s">
        <v>664</v>
      </c>
      <c r="J241" s="49">
        <v>45913</v>
      </c>
      <c r="K241" s="47" t="str">
        <f>INDEX(_xlfn.TEXTSPLIT(mouvementmp[[#This Row],[QR MP]],"_"),1,1)</f>
        <v>C25</v>
      </c>
      <c r="L241" s="47" t="str">
        <f>INDEX(_xlfn.TEXTSPLIT(mouvementmp[[#This Row],[QR MP]],"_"),1,2)</f>
        <v>ORANGE</v>
      </c>
      <c r="M241" s="47" t="str">
        <f>INDEX(_xlfn.TEXTSPLIT(mouvementmp[[#This Row],[QR MP]],"_"),1,3)</f>
        <v>NM15-25.00</v>
      </c>
      <c r="N241" s="47" t="str">
        <f>INDEX(_xlfn.TEXTSPLIT(mouvementmp[[#This Row],[QR MP]],"_"),1,4)</f>
        <v>61729</v>
      </c>
      <c r="O241" s="47">
        <f>-mouvementmp[[#This Row],[Poids]]</f>
        <v>-0.85</v>
      </c>
      <c r="P241" s="47" t="str">
        <f>IF(
   COUNTIFS($A$2:A241,A241,
             $B$2:B241,B241,
             $C$2:C241,C241,
             $D$2:D241,D241,
             $E$2:E241,E241,
             $F$2:F241,F241,
              $J$2:J241,J241)&gt;1,
   "Doublon",
   "Correcte"
)</f>
        <v>Correcte</v>
      </c>
      <c r="Q241" s="106" t="str">
        <f>IF(mouvementmp[[#This Row],[QR Fabrication]]&lt;&gt;"",INDEX(_xlfn.TEXTSPLIT(mouvementmp[[#This Row],[QR Fabrication]],"_"),1,1),"")</f>
        <v>OF249846</v>
      </c>
      <c r="R241" s="106" t="str">
        <f>IF(mouvementmp[[#This Row],[QR Fabrication]]&lt;&gt;"",INDEX(_xlfn.TEXTSPLIT(mouvementmp[[#This Row],[QR Fabrication]],"_"),1,2),"")</f>
        <v>CL00884</v>
      </c>
      <c r="S241" s="47" t="str">
        <f>IF(mouvementmp[[#This Row],[QR Fabrication]]&lt;&gt;"",INDEX(_xlfn.TEXTSPLIT(mouvementmp[[#This Row],[QR Fabrication]],"_"),1,3),"")</f>
        <v>CM-FT0119</v>
      </c>
      <c r="T241" s="47" t="str">
        <f>IF(mouvementmp[[#This Row],[QR Fabrication]]&lt;&gt;"",INDEX(_xlfn.TEXTSPLIT(mouvementmp[[#This Row],[QR Fabrication]],"_"),1,4),"")</f>
        <v>ST1020-S28-25-24</v>
      </c>
      <c r="U241" s="47" t="str">
        <f>IF(mouvementmp[[#This Row],[QR Fabrication]]&lt;&gt;"",INDEX(_xlfn.TEXTSPLIT(mouvementmp[[#This Row],[QR Fabrication]],"_"),1,5),"")</f>
        <v>ST TROPEZ</v>
      </c>
      <c r="V241" s="47" t="str">
        <f>IF(mouvementmp[[#This Row],[QR Fabrication]]&lt;&gt;"",_xlfn.TEXTAFTER(mouvementmp[[#This Row],[QR Fabrication]],"_",5),"")</f>
        <v>1020</v>
      </c>
    </row>
    <row r="242" spans="1:22" ht="16.5" thickTop="1" thickBot="1" x14ac:dyDescent="0.3">
      <c r="A242" s="46" t="s">
        <v>2431</v>
      </c>
      <c r="B242" s="54" t="s">
        <v>3886</v>
      </c>
      <c r="C242" s="47" t="s">
        <v>668</v>
      </c>
      <c r="D242" s="47" t="s">
        <v>665</v>
      </c>
      <c r="E242" s="47" t="s">
        <v>669</v>
      </c>
      <c r="F242" s="48">
        <v>0.9</v>
      </c>
      <c r="G242" s="47"/>
      <c r="H242" s="47"/>
      <c r="I242" s="47" t="s">
        <v>664</v>
      </c>
      <c r="J242" s="49">
        <v>45913</v>
      </c>
      <c r="K242" s="47" t="str">
        <f>INDEX(_xlfn.TEXTSPLIT(mouvementmp[[#This Row],[QR MP]],"_"),1,1)</f>
        <v>C24</v>
      </c>
      <c r="L242" s="47" t="str">
        <f>INDEX(_xlfn.TEXTSPLIT(mouvementmp[[#This Row],[QR MP]],"_"),1,2)</f>
        <v>JAUNE SAFRAN</v>
      </c>
      <c r="M242" s="47" t="str">
        <f>INDEX(_xlfn.TEXTSPLIT(mouvementmp[[#This Row],[QR MP]],"_"),1,3)</f>
        <v>NM15-24.00</v>
      </c>
      <c r="N242" s="47" t="str">
        <f>INDEX(_xlfn.TEXTSPLIT(mouvementmp[[#This Row],[QR MP]],"_"),1,4)</f>
        <v>61554</v>
      </c>
      <c r="O242" s="47">
        <f>-mouvementmp[[#This Row],[Poids]]</f>
        <v>-0.9</v>
      </c>
      <c r="P242" s="47" t="str">
        <f>IF(
   COUNTIFS($A$2:A242,A242,
             $B$2:B242,B242,
             $C$2:C242,C242,
             $D$2:D242,D242,
             $E$2:E242,E242,
             $F$2:F242,F242,
              $J$2:J242,J242)&gt;1,
   "Doublon",
   "Correcte"
)</f>
        <v>Correcte</v>
      </c>
      <c r="Q242" s="106" t="str">
        <f>IF(mouvementmp[[#This Row],[QR Fabrication]]&lt;&gt;"",INDEX(_xlfn.TEXTSPLIT(mouvementmp[[#This Row],[QR Fabrication]],"_"),1,1),"")</f>
        <v>OF249846</v>
      </c>
      <c r="R242" s="106" t="str">
        <f>IF(mouvementmp[[#This Row],[QR Fabrication]]&lt;&gt;"",INDEX(_xlfn.TEXTSPLIT(mouvementmp[[#This Row],[QR Fabrication]],"_"),1,2),"")</f>
        <v>CL00884</v>
      </c>
      <c r="S242" s="47" t="str">
        <f>IF(mouvementmp[[#This Row],[QR Fabrication]]&lt;&gt;"",INDEX(_xlfn.TEXTSPLIT(mouvementmp[[#This Row],[QR Fabrication]],"_"),1,3),"")</f>
        <v>CM-FT0119</v>
      </c>
      <c r="T242" s="47" t="str">
        <f>IF(mouvementmp[[#This Row],[QR Fabrication]]&lt;&gt;"",INDEX(_xlfn.TEXTSPLIT(mouvementmp[[#This Row],[QR Fabrication]],"_"),1,4),"")</f>
        <v>ST1020-S28-25-24</v>
      </c>
      <c r="U242" s="47" t="str">
        <f>IF(mouvementmp[[#This Row],[QR Fabrication]]&lt;&gt;"",INDEX(_xlfn.TEXTSPLIT(mouvementmp[[#This Row],[QR Fabrication]],"_"),1,5),"")</f>
        <v>ST TROPEZ</v>
      </c>
      <c r="V242" s="47" t="str">
        <f>IF(mouvementmp[[#This Row],[QR Fabrication]]&lt;&gt;"",_xlfn.TEXTAFTER(mouvementmp[[#This Row],[QR Fabrication]],"_",5),"")</f>
        <v>1020</v>
      </c>
    </row>
    <row r="243" spans="1:22" ht="16.5" thickTop="1" thickBot="1" x14ac:dyDescent="0.3">
      <c r="A243" s="46" t="s">
        <v>2431</v>
      </c>
      <c r="B243" s="54" t="s">
        <v>3884</v>
      </c>
      <c r="C243" s="47" t="s">
        <v>668</v>
      </c>
      <c r="D243" s="47" t="s">
        <v>665</v>
      </c>
      <c r="E243" s="47" t="s">
        <v>669</v>
      </c>
      <c r="F243" s="48">
        <v>0.75</v>
      </c>
      <c r="G243" s="47"/>
      <c r="H243" s="47"/>
      <c r="I243" s="47" t="s">
        <v>664</v>
      </c>
      <c r="J243" s="49">
        <v>45913</v>
      </c>
      <c r="K243" s="47" t="str">
        <f>INDEX(_xlfn.TEXTSPLIT(mouvementmp[[#This Row],[QR MP]],"_"),1,1)</f>
        <v>C23</v>
      </c>
      <c r="L243" s="47" t="str">
        <f>INDEX(_xlfn.TEXTSPLIT(mouvementmp[[#This Row],[QR MP]],"_"),1,2)</f>
        <v>OR</v>
      </c>
      <c r="M243" s="47" t="str">
        <f>INDEX(_xlfn.TEXTSPLIT(mouvementmp[[#This Row],[QR MP]],"_"),1,3)</f>
        <v>NM15-23.00</v>
      </c>
      <c r="N243" s="47" t="str">
        <f>INDEX(_xlfn.TEXTSPLIT(mouvementmp[[#This Row],[QR MP]],"_"),1,4)</f>
        <v>61566</v>
      </c>
      <c r="O243" s="47">
        <f>-mouvementmp[[#This Row],[Poids]]</f>
        <v>-0.75</v>
      </c>
      <c r="P243" s="47" t="str">
        <f>IF(
   COUNTIFS($A$2:A243,A243,
             $B$2:B243,B243,
             $C$2:C243,C243,
             $D$2:D243,D243,
             $E$2:E243,E243,
             $F$2:F243,F243,
              $J$2:J243,J243)&gt;1,
   "Doublon",
   "Correcte"
)</f>
        <v>Correcte</v>
      </c>
      <c r="Q243" s="106" t="str">
        <f>IF(mouvementmp[[#This Row],[QR Fabrication]]&lt;&gt;"",INDEX(_xlfn.TEXTSPLIT(mouvementmp[[#This Row],[QR Fabrication]],"_"),1,1),"")</f>
        <v>OF249846</v>
      </c>
      <c r="R243" s="106" t="str">
        <f>IF(mouvementmp[[#This Row],[QR Fabrication]]&lt;&gt;"",INDEX(_xlfn.TEXTSPLIT(mouvementmp[[#This Row],[QR Fabrication]],"_"),1,2),"")</f>
        <v>CL00884</v>
      </c>
      <c r="S243" s="47" t="str">
        <f>IF(mouvementmp[[#This Row],[QR Fabrication]]&lt;&gt;"",INDEX(_xlfn.TEXTSPLIT(mouvementmp[[#This Row],[QR Fabrication]],"_"),1,3),"")</f>
        <v>CM-FT0119</v>
      </c>
      <c r="T243" s="47" t="str">
        <f>IF(mouvementmp[[#This Row],[QR Fabrication]]&lt;&gt;"",INDEX(_xlfn.TEXTSPLIT(mouvementmp[[#This Row],[QR Fabrication]],"_"),1,4),"")</f>
        <v>ST1020-S28-25-24</v>
      </c>
      <c r="U243" s="47" t="str">
        <f>IF(mouvementmp[[#This Row],[QR Fabrication]]&lt;&gt;"",INDEX(_xlfn.TEXTSPLIT(mouvementmp[[#This Row],[QR Fabrication]],"_"),1,5),"")</f>
        <v>ST TROPEZ</v>
      </c>
      <c r="V243" s="47" t="str">
        <f>IF(mouvementmp[[#This Row],[QR Fabrication]]&lt;&gt;"",_xlfn.TEXTAFTER(mouvementmp[[#This Row],[QR Fabrication]],"_",5),"")</f>
        <v>1020</v>
      </c>
    </row>
    <row r="244" spans="1:22" ht="16.5" thickTop="1" thickBot="1" x14ac:dyDescent="0.3">
      <c r="A244" s="46" t="s">
        <v>2431</v>
      </c>
      <c r="B244" s="54" t="s">
        <v>3868</v>
      </c>
      <c r="C244" s="47" t="s">
        <v>668</v>
      </c>
      <c r="D244" s="47" t="s">
        <v>665</v>
      </c>
      <c r="E244" s="47" t="s">
        <v>669</v>
      </c>
      <c r="F244" s="48">
        <v>0.98</v>
      </c>
      <c r="G244" s="47"/>
      <c r="H244" s="47"/>
      <c r="I244" s="47" t="s">
        <v>664</v>
      </c>
      <c r="J244" s="49">
        <v>45913</v>
      </c>
      <c r="K244" s="47" t="str">
        <f>INDEX(_xlfn.TEXTSPLIT(mouvementmp[[#This Row],[QR MP]],"_"),1,1)</f>
        <v>C18</v>
      </c>
      <c r="L244" s="47" t="str">
        <f>INDEX(_xlfn.TEXTSPLIT(mouvementmp[[#This Row],[QR MP]],"_"),1,2)</f>
        <v xml:space="preserve">VERT D'EAU </v>
      </c>
      <c r="M244" s="47" t="str">
        <f>INDEX(_xlfn.TEXTSPLIT(mouvementmp[[#This Row],[QR MP]],"_"),1,3)</f>
        <v>NM15-18.00</v>
      </c>
      <c r="N244" s="47" t="str">
        <f>INDEX(_xlfn.TEXTSPLIT(mouvementmp[[#This Row],[QR MP]],"_"),1,4)</f>
        <v>61535</v>
      </c>
      <c r="O244" s="47">
        <f>-mouvementmp[[#This Row],[Poids]]</f>
        <v>-0.98</v>
      </c>
      <c r="P244" s="47" t="str">
        <f>IF(
   COUNTIFS($A$2:A244,A244,
             $B$2:B244,B244,
             $C$2:C244,C244,
             $D$2:D244,D244,
             $E$2:E244,E244,
             $F$2:F244,F244,
              $J$2:J244,J244)&gt;1,
   "Doublon",
   "Correcte"
)</f>
        <v>Correcte</v>
      </c>
      <c r="Q244" s="106" t="str">
        <f>IF(mouvementmp[[#This Row],[QR Fabrication]]&lt;&gt;"",INDEX(_xlfn.TEXTSPLIT(mouvementmp[[#This Row],[QR Fabrication]],"_"),1,1),"")</f>
        <v>OF249846</v>
      </c>
      <c r="R244" s="106" t="str">
        <f>IF(mouvementmp[[#This Row],[QR Fabrication]]&lt;&gt;"",INDEX(_xlfn.TEXTSPLIT(mouvementmp[[#This Row],[QR Fabrication]],"_"),1,2),"")</f>
        <v>CL00884</v>
      </c>
      <c r="S244" s="47" t="str">
        <f>IF(mouvementmp[[#This Row],[QR Fabrication]]&lt;&gt;"",INDEX(_xlfn.TEXTSPLIT(mouvementmp[[#This Row],[QR Fabrication]],"_"),1,3),"")</f>
        <v>CM-FT0119</v>
      </c>
      <c r="T244" s="47" t="str">
        <f>IF(mouvementmp[[#This Row],[QR Fabrication]]&lt;&gt;"",INDEX(_xlfn.TEXTSPLIT(mouvementmp[[#This Row],[QR Fabrication]],"_"),1,4),"")</f>
        <v>ST1020-S28-25-24</v>
      </c>
      <c r="U244" s="47" t="str">
        <f>IF(mouvementmp[[#This Row],[QR Fabrication]]&lt;&gt;"",INDEX(_xlfn.TEXTSPLIT(mouvementmp[[#This Row],[QR Fabrication]],"_"),1,5),"")</f>
        <v>ST TROPEZ</v>
      </c>
      <c r="V244" s="47" t="str">
        <f>IF(mouvementmp[[#This Row],[QR Fabrication]]&lt;&gt;"",_xlfn.TEXTAFTER(mouvementmp[[#This Row],[QR Fabrication]],"_",5),"")</f>
        <v>1020</v>
      </c>
    </row>
    <row r="245" spans="1:22" ht="16.5" thickTop="1" thickBot="1" x14ac:dyDescent="0.3">
      <c r="A245" s="46" t="s">
        <v>2431</v>
      </c>
      <c r="B245" s="54" t="s">
        <v>3865</v>
      </c>
      <c r="C245" s="47" t="s">
        <v>668</v>
      </c>
      <c r="D245" s="47" t="s">
        <v>665</v>
      </c>
      <c r="E245" s="47" t="s">
        <v>669</v>
      </c>
      <c r="F245" s="48">
        <v>0.56999999999999995</v>
      </c>
      <c r="G245" s="47"/>
      <c r="H245" s="47"/>
      <c r="I245" s="47" t="s">
        <v>664</v>
      </c>
      <c r="J245" s="49">
        <v>45913</v>
      </c>
      <c r="K245" s="47" t="str">
        <f>INDEX(_xlfn.TEXTSPLIT(mouvementmp[[#This Row],[QR MP]],"_"),1,1)</f>
        <v>C17</v>
      </c>
      <c r="L245" s="47" t="str">
        <f>INDEX(_xlfn.TEXTSPLIT(mouvementmp[[#This Row],[QR MP]],"_"),1,2)</f>
        <v>EMAURAUDE</v>
      </c>
      <c r="M245" s="47" t="str">
        <f>INDEX(_xlfn.TEXTSPLIT(mouvementmp[[#This Row],[QR MP]],"_"),1,3)</f>
        <v>NM15-17.00</v>
      </c>
      <c r="N245" s="47" t="str">
        <f>INDEX(_xlfn.TEXTSPLIT(mouvementmp[[#This Row],[QR MP]],"_"),1,4)</f>
        <v>61571</v>
      </c>
      <c r="O245" s="47">
        <f>-mouvementmp[[#This Row],[Poids]]</f>
        <v>-0.56999999999999995</v>
      </c>
      <c r="P245" s="47" t="str">
        <f>IF(
   COUNTIFS($A$2:A245,A245,
             $B$2:B245,B245,
             $C$2:C245,C245,
             $D$2:D245,D245,
             $E$2:E245,E245,
             $F$2:F245,F245,
              $J$2:J245,J245)&gt;1,
   "Doublon",
   "Correcte"
)</f>
        <v>Correcte</v>
      </c>
      <c r="Q245" s="106" t="str">
        <f>IF(mouvementmp[[#This Row],[QR Fabrication]]&lt;&gt;"",INDEX(_xlfn.TEXTSPLIT(mouvementmp[[#This Row],[QR Fabrication]],"_"),1,1),"")</f>
        <v>OF249846</v>
      </c>
      <c r="R245" s="106" t="str">
        <f>IF(mouvementmp[[#This Row],[QR Fabrication]]&lt;&gt;"",INDEX(_xlfn.TEXTSPLIT(mouvementmp[[#This Row],[QR Fabrication]],"_"),1,2),"")</f>
        <v>CL00884</v>
      </c>
      <c r="S245" s="47" t="str">
        <f>IF(mouvementmp[[#This Row],[QR Fabrication]]&lt;&gt;"",INDEX(_xlfn.TEXTSPLIT(mouvementmp[[#This Row],[QR Fabrication]],"_"),1,3),"")</f>
        <v>CM-FT0119</v>
      </c>
      <c r="T245" s="47" t="str">
        <f>IF(mouvementmp[[#This Row],[QR Fabrication]]&lt;&gt;"",INDEX(_xlfn.TEXTSPLIT(mouvementmp[[#This Row],[QR Fabrication]],"_"),1,4),"")</f>
        <v>ST1020-S28-25-24</v>
      </c>
      <c r="U245" s="47" t="str">
        <f>IF(mouvementmp[[#This Row],[QR Fabrication]]&lt;&gt;"",INDEX(_xlfn.TEXTSPLIT(mouvementmp[[#This Row],[QR Fabrication]],"_"),1,5),"")</f>
        <v>ST TROPEZ</v>
      </c>
      <c r="V245" s="47" t="str">
        <f>IF(mouvementmp[[#This Row],[QR Fabrication]]&lt;&gt;"",_xlfn.TEXTAFTER(mouvementmp[[#This Row],[QR Fabrication]],"_",5),"")</f>
        <v>1020</v>
      </c>
    </row>
    <row r="246" spans="1:22" ht="16.5" thickTop="1" thickBot="1" x14ac:dyDescent="0.3">
      <c r="A246" s="46" t="s">
        <v>2432</v>
      </c>
      <c r="B246" s="54" t="s">
        <v>3875</v>
      </c>
      <c r="C246" s="47" t="s">
        <v>668</v>
      </c>
      <c r="D246" s="47" t="s">
        <v>665</v>
      </c>
      <c r="E246" s="47" t="s">
        <v>669</v>
      </c>
      <c r="F246" s="48">
        <v>1.71</v>
      </c>
      <c r="G246" s="47"/>
      <c r="H246" s="47"/>
      <c r="I246" s="47" t="s">
        <v>664</v>
      </c>
      <c r="J246" s="49">
        <v>45913</v>
      </c>
      <c r="K246" s="47" t="str">
        <f>INDEX(_xlfn.TEXTSPLIT(mouvementmp[[#This Row],[QR MP]],"_"),1,1)</f>
        <v>C20</v>
      </c>
      <c r="L246" s="47" t="str">
        <f>INDEX(_xlfn.TEXTSPLIT(mouvementmp[[#This Row],[QR MP]],"_"),1,2)</f>
        <v>VERT OLIVE</v>
      </c>
      <c r="M246" s="47" t="str">
        <f>INDEX(_xlfn.TEXTSPLIT(mouvementmp[[#This Row],[QR MP]],"_"),1,3)</f>
        <v>NM15-20.01</v>
      </c>
      <c r="N246" s="47" t="str">
        <f>INDEX(_xlfn.TEXTSPLIT(mouvementmp[[#This Row],[QR MP]],"_"),1,4)</f>
        <v>61652</v>
      </c>
      <c r="O246" s="47">
        <f>-mouvementmp[[#This Row],[Poids]]</f>
        <v>-1.71</v>
      </c>
      <c r="P246" s="47" t="str">
        <f>IF(
   COUNTIFS($A$2:A246,A246,
             $B$2:B246,B246,
             $C$2:C246,C246,
             $D$2:D246,D246,
             $E$2:E246,E246,
             $F$2:F246,F246,
              $J$2:J246,J246)&gt;1,
   "Doublon",
   "Correcte"
)</f>
        <v>Correcte</v>
      </c>
      <c r="Q246" s="106" t="str">
        <f>IF(mouvementmp[[#This Row],[QR Fabrication]]&lt;&gt;"",INDEX(_xlfn.TEXTSPLIT(mouvementmp[[#This Row],[QR Fabrication]],"_"),1,1),"")</f>
        <v>CA250072</v>
      </c>
      <c r="R246" s="106" t="str">
        <f>IF(mouvementmp[[#This Row],[QR Fabrication]]&lt;&gt;"",INDEX(_xlfn.TEXTSPLIT(mouvementmp[[#This Row],[QR Fabrication]],"_"),1,2),"")</f>
        <v>All by Fouta</v>
      </c>
      <c r="S246" s="47" t="str">
        <f>IF(mouvementmp[[#This Row],[QR Fabrication]]&lt;&gt;"",INDEX(_xlfn.TEXTSPLIT(mouvementmp[[#This Row],[QR Fabrication]],"_"),1,3),"")</f>
        <v>Stock</v>
      </c>
      <c r="T246" s="47" t="str">
        <f>IF(mouvementmp[[#This Row],[QR Fabrication]]&lt;&gt;"",INDEX(_xlfn.TEXTSPLIT(mouvementmp[[#This Row],[QR Fabrication]],"_"),1,4),"")</f>
        <v>UNS2030-20</v>
      </c>
      <c r="U246" s="47" t="str">
        <f>IF(mouvementmp[[#This Row],[QR Fabrication]]&lt;&gt;"",INDEX(_xlfn.TEXTSPLIT(mouvementmp[[#This Row],[QR Fabrication]],"_"),1,5),"")</f>
        <v>UNI SURPIQUE</v>
      </c>
      <c r="V246" s="47" t="str">
        <f>IF(mouvementmp[[#This Row],[QR Fabrication]]&lt;&gt;"",_xlfn.TEXTAFTER(mouvementmp[[#This Row],[QR Fabrication]],"_",5),"")</f>
        <v>2030</v>
      </c>
    </row>
    <row r="247" spans="1:22" ht="16.5" thickTop="1" thickBot="1" x14ac:dyDescent="0.3">
      <c r="A247" s="46" t="s">
        <v>2433</v>
      </c>
      <c r="B247" s="54" t="s">
        <v>3875</v>
      </c>
      <c r="C247" s="47" t="s">
        <v>668</v>
      </c>
      <c r="D247" s="47" t="s">
        <v>665</v>
      </c>
      <c r="E247" s="47" t="s">
        <v>669</v>
      </c>
      <c r="F247" s="48">
        <v>0.79</v>
      </c>
      <c r="G247" s="47"/>
      <c r="H247" s="47"/>
      <c r="I247" s="47" t="s">
        <v>664</v>
      </c>
      <c r="J247" s="49">
        <v>45913</v>
      </c>
      <c r="K247" s="47" t="str">
        <f>INDEX(_xlfn.TEXTSPLIT(mouvementmp[[#This Row],[QR MP]],"_"),1,1)</f>
        <v>C20</v>
      </c>
      <c r="L247" s="47" t="str">
        <f>INDEX(_xlfn.TEXTSPLIT(mouvementmp[[#This Row],[QR MP]],"_"),1,2)</f>
        <v>VERT OLIVE</v>
      </c>
      <c r="M247" s="47" t="str">
        <f>INDEX(_xlfn.TEXTSPLIT(mouvementmp[[#This Row],[QR MP]],"_"),1,3)</f>
        <v>NM15-20.01</v>
      </c>
      <c r="N247" s="47" t="str">
        <f>INDEX(_xlfn.TEXTSPLIT(mouvementmp[[#This Row],[QR MP]],"_"),1,4)</f>
        <v>61652</v>
      </c>
      <c r="O247" s="47">
        <f>-mouvementmp[[#This Row],[Poids]]</f>
        <v>-0.79</v>
      </c>
      <c r="P247" s="47" t="str">
        <f>IF(
   COUNTIFS($A$2:A247,A247,
             $B$2:B247,B247,
             $C$2:C247,C247,
             $D$2:D247,D247,
             $E$2:E247,E247,
             $F$2:F247,F247,
              $J$2:J247,J247)&gt;1,
   "Doublon",
   "Correcte"
)</f>
        <v>Correcte</v>
      </c>
      <c r="Q247" s="106" t="str">
        <f>IF(mouvementmp[[#This Row],[QR Fabrication]]&lt;&gt;"",INDEX(_xlfn.TEXTSPLIT(mouvementmp[[#This Row],[QR Fabrication]],"_"),1,1),"")</f>
        <v>CA250032</v>
      </c>
      <c r="R247" s="106" t="str">
        <f>IF(mouvementmp[[#This Row],[QR Fabrication]]&lt;&gt;"",INDEX(_xlfn.TEXTSPLIT(mouvementmp[[#This Row],[QR Fabrication]],"_"),1,2),"")</f>
        <v>All by Fouta</v>
      </c>
      <c r="S247" s="47" t="str">
        <f>IF(mouvementmp[[#This Row],[QR Fabrication]]&lt;&gt;"",INDEX(_xlfn.TEXTSPLIT(mouvementmp[[#This Row],[QR Fabrication]],"_"),1,3),"")</f>
        <v>Stock</v>
      </c>
      <c r="T247" s="47" t="str">
        <f>IF(mouvementmp[[#This Row],[QR Fabrication]]&lt;&gt;"",INDEX(_xlfn.TEXTSPLIT(mouvementmp[[#This Row],[QR Fabrication]],"_"),1,4),"")</f>
        <v>UNS2020-20</v>
      </c>
      <c r="U247" s="47" t="str">
        <f>IF(mouvementmp[[#This Row],[QR Fabrication]]&lt;&gt;"",INDEX(_xlfn.TEXTSPLIT(mouvementmp[[#This Row],[QR Fabrication]],"_"),1,5),"")</f>
        <v>UNI SURPIQUE</v>
      </c>
      <c r="V247" s="47" t="str">
        <f>IF(mouvementmp[[#This Row],[QR Fabrication]]&lt;&gt;"",_xlfn.TEXTAFTER(mouvementmp[[#This Row],[QR Fabrication]],"_",5),"")</f>
        <v>2020</v>
      </c>
    </row>
    <row r="248" spans="1:22" ht="16.5" thickTop="1" thickBot="1" x14ac:dyDescent="0.3">
      <c r="A248" s="46" t="s">
        <v>2434</v>
      </c>
      <c r="B248" s="54" t="s">
        <v>3922</v>
      </c>
      <c r="C248" s="47" t="s">
        <v>668</v>
      </c>
      <c r="D248" s="47" t="s">
        <v>665</v>
      </c>
      <c r="E248" s="47" t="s">
        <v>669</v>
      </c>
      <c r="F248" s="48">
        <v>0.55000000000000004</v>
      </c>
      <c r="G248" s="47"/>
      <c r="H248" s="47"/>
      <c r="I248" s="47" t="s">
        <v>664</v>
      </c>
      <c r="J248" s="49">
        <v>45913</v>
      </c>
      <c r="K248" s="47" t="str">
        <f>INDEX(_xlfn.TEXTSPLIT(mouvementmp[[#This Row],[QR MP]],"_"),1,1)</f>
        <v>C19</v>
      </c>
      <c r="L248" s="47" t="str">
        <f>INDEX(_xlfn.TEXTSPLIT(mouvementmp[[#This Row],[QR MP]],"_"),1,2)</f>
        <v>CEDRE</v>
      </c>
      <c r="M248" s="47" t="str">
        <f>INDEX(_xlfn.TEXTSPLIT(mouvementmp[[#This Row],[QR MP]],"_"),1,3)</f>
        <v>NM15-19.00</v>
      </c>
      <c r="N248" s="47" t="str">
        <f>INDEX(_xlfn.TEXTSPLIT(mouvementmp[[#This Row],[QR MP]],"_"),1,4)</f>
        <v>51471</v>
      </c>
      <c r="O248" s="47">
        <f>-mouvementmp[[#This Row],[Poids]]</f>
        <v>-0.55000000000000004</v>
      </c>
      <c r="P248" s="47" t="str">
        <f>IF(
   COUNTIFS($A$2:A248,A248,
             $B$2:B248,B248,
             $C$2:C248,C248,
             $D$2:D248,D248,
             $E$2:E248,E248,
             $F$2:F248,F248,
              $J$2:J248,J248)&gt;1,
   "Doublon",
   "Correcte"
)</f>
        <v>Correcte</v>
      </c>
      <c r="Q248" s="106" t="str">
        <f>IF(mouvementmp[[#This Row],[QR Fabrication]]&lt;&gt;"",INDEX(_xlfn.TEXTSPLIT(mouvementmp[[#This Row],[QR Fabrication]],"_"),1,1),"")</f>
        <v>CA250071</v>
      </c>
      <c r="R248" s="106" t="str">
        <f>IF(mouvementmp[[#This Row],[QR Fabrication]]&lt;&gt;"",INDEX(_xlfn.TEXTSPLIT(mouvementmp[[#This Row],[QR Fabrication]],"_"),1,2),"")</f>
        <v>All by Fouta</v>
      </c>
      <c r="S248" s="47" t="str">
        <f>IF(mouvementmp[[#This Row],[QR Fabrication]]&lt;&gt;"",INDEX(_xlfn.TEXTSPLIT(mouvementmp[[#This Row],[QR Fabrication]],"_"),1,3),"")</f>
        <v>Stock</v>
      </c>
      <c r="T248" s="47" t="str">
        <f>IF(mouvementmp[[#This Row],[QR Fabrication]]&lt;&gt;"",INDEX(_xlfn.TEXTSPLIT(mouvementmp[[#This Row],[QR Fabrication]],"_"),1,4),"")</f>
        <v>UNS2030-19</v>
      </c>
      <c r="U248" s="47" t="str">
        <f>IF(mouvementmp[[#This Row],[QR Fabrication]]&lt;&gt;"",INDEX(_xlfn.TEXTSPLIT(mouvementmp[[#This Row],[QR Fabrication]],"_"),1,5),"")</f>
        <v>UNI SURPIQUE</v>
      </c>
      <c r="V248" s="47" t="str">
        <f>IF(mouvementmp[[#This Row],[QR Fabrication]]&lt;&gt;"",_xlfn.TEXTAFTER(mouvementmp[[#This Row],[QR Fabrication]],"_",5),"")</f>
        <v>2030</v>
      </c>
    </row>
    <row r="249" spans="1:22" ht="16.5" thickTop="1" thickBot="1" x14ac:dyDescent="0.3">
      <c r="A249" s="46" t="s">
        <v>2435</v>
      </c>
      <c r="B249" s="54" t="s">
        <v>3905</v>
      </c>
      <c r="C249" s="47" t="s">
        <v>668</v>
      </c>
      <c r="D249" s="47" t="s">
        <v>665</v>
      </c>
      <c r="E249" s="47" t="s">
        <v>669</v>
      </c>
      <c r="F249" s="48">
        <v>0.85</v>
      </c>
      <c r="G249" s="47"/>
      <c r="H249" s="47"/>
      <c r="I249" s="47" t="s">
        <v>664</v>
      </c>
      <c r="J249" s="49">
        <v>45913</v>
      </c>
      <c r="K249" s="47" t="str">
        <f>INDEX(_xlfn.TEXTSPLIT(mouvementmp[[#This Row],[QR MP]],"_"),1,1)</f>
        <v>C32</v>
      </c>
      <c r="L249" s="47" t="str">
        <f>INDEX(_xlfn.TEXTSPLIT(mouvementmp[[#This Row],[QR MP]],"_"),1,2)</f>
        <v>VIEUX ROSE</v>
      </c>
      <c r="M249" s="47" t="str">
        <f>INDEX(_xlfn.TEXTSPLIT(mouvementmp[[#This Row],[QR MP]],"_"),1,3)</f>
        <v>NM15-32.00</v>
      </c>
      <c r="N249" s="47" t="str">
        <f>INDEX(_xlfn.TEXTSPLIT(mouvementmp[[#This Row],[QR MP]],"_"),1,4)</f>
        <v>61455</v>
      </c>
      <c r="O249" s="47">
        <f>-mouvementmp[[#This Row],[Poids]]</f>
        <v>-0.85</v>
      </c>
      <c r="P249" s="47" t="str">
        <f>IF(
   COUNTIFS($A$2:A249,A249,
             $B$2:B249,B249,
             $C$2:C249,C249,
             $D$2:D249,D249,
             $E$2:E249,E249,
             $F$2:F249,F249,
              $J$2:J249,J249)&gt;1,
   "Doublon",
   "Correcte"
)</f>
        <v>Correcte</v>
      </c>
      <c r="Q249" s="106" t="str">
        <f>IF(mouvementmp[[#This Row],[QR Fabrication]]&lt;&gt;"",INDEX(_xlfn.TEXTSPLIT(mouvementmp[[#This Row],[QR Fabrication]],"_"),1,1),"")</f>
        <v>CA250039</v>
      </c>
      <c r="R249" s="106" t="str">
        <f>IF(mouvementmp[[#This Row],[QR Fabrication]]&lt;&gt;"",INDEX(_xlfn.TEXTSPLIT(mouvementmp[[#This Row],[QR Fabrication]],"_"),1,2),"")</f>
        <v>All by Fouta</v>
      </c>
      <c r="S249" s="47" t="str">
        <f>IF(mouvementmp[[#This Row],[QR Fabrication]]&lt;&gt;"",INDEX(_xlfn.TEXTSPLIT(mouvementmp[[#This Row],[QR Fabrication]],"_"),1,3),"")</f>
        <v>Stock</v>
      </c>
      <c r="T249" s="47" t="str">
        <f>IF(mouvementmp[[#This Row],[QR Fabrication]]&lt;&gt;"",INDEX(_xlfn.TEXTSPLIT(mouvementmp[[#This Row],[QR Fabrication]],"_"),1,4),"")</f>
        <v>UNS2020-32</v>
      </c>
      <c r="U249" s="47" t="str">
        <f>IF(mouvementmp[[#This Row],[QR Fabrication]]&lt;&gt;"",INDEX(_xlfn.TEXTSPLIT(mouvementmp[[#This Row],[QR Fabrication]],"_"),1,5),"")</f>
        <v>UNI SURPIQUE</v>
      </c>
      <c r="V249" s="47" t="str">
        <f>IF(mouvementmp[[#This Row],[QR Fabrication]]&lt;&gt;"",_xlfn.TEXTAFTER(mouvementmp[[#This Row],[QR Fabrication]],"_",5),"")</f>
        <v>2020</v>
      </c>
    </row>
    <row r="250" spans="1:22" ht="16.5" thickTop="1" thickBot="1" x14ac:dyDescent="0.3">
      <c r="A250" s="46" t="s">
        <v>2436</v>
      </c>
      <c r="B250" s="54" t="s">
        <v>3922</v>
      </c>
      <c r="C250" s="47" t="s">
        <v>668</v>
      </c>
      <c r="D250" s="47" t="s">
        <v>665</v>
      </c>
      <c r="E250" s="47" t="s">
        <v>669</v>
      </c>
      <c r="F250" s="48">
        <v>0.71</v>
      </c>
      <c r="G250" s="47"/>
      <c r="H250" s="47"/>
      <c r="I250" s="47" t="s">
        <v>664</v>
      </c>
      <c r="J250" s="49">
        <v>45913</v>
      </c>
      <c r="K250" s="47" t="str">
        <f>INDEX(_xlfn.TEXTSPLIT(mouvementmp[[#This Row],[QR MP]],"_"),1,1)</f>
        <v>C19</v>
      </c>
      <c r="L250" s="47" t="str">
        <f>INDEX(_xlfn.TEXTSPLIT(mouvementmp[[#This Row],[QR MP]],"_"),1,2)</f>
        <v>CEDRE</v>
      </c>
      <c r="M250" s="47" t="str">
        <f>INDEX(_xlfn.TEXTSPLIT(mouvementmp[[#This Row],[QR MP]],"_"),1,3)</f>
        <v>NM15-19.00</v>
      </c>
      <c r="N250" s="47" t="str">
        <f>INDEX(_xlfn.TEXTSPLIT(mouvementmp[[#This Row],[QR MP]],"_"),1,4)</f>
        <v>51471</v>
      </c>
      <c r="O250" s="47">
        <f>-mouvementmp[[#This Row],[Poids]]</f>
        <v>-0.71</v>
      </c>
      <c r="P250" s="47" t="str">
        <f>IF(
   COUNTIFS($A$2:A250,A250,
             $B$2:B250,B250,
             $C$2:C250,C250,
             $D$2:D250,D250,
             $E$2:E250,E250,
             $F$2:F250,F250,
              $J$2:J250,J250)&gt;1,
   "Doublon",
   "Correcte"
)</f>
        <v>Correcte</v>
      </c>
      <c r="Q250" s="106" t="str">
        <f>IF(mouvementmp[[#This Row],[QR Fabrication]]&lt;&gt;"",INDEX(_xlfn.TEXTSPLIT(mouvementmp[[#This Row],[QR Fabrication]],"_"),1,1),"")</f>
        <v>CA250051</v>
      </c>
      <c r="R250" s="106" t="str">
        <f>IF(mouvementmp[[#This Row],[QR Fabrication]]&lt;&gt;"",INDEX(_xlfn.TEXTSPLIT(mouvementmp[[#This Row],[QR Fabrication]],"_"),1,2),"")</f>
        <v>All by Fouta</v>
      </c>
      <c r="S250" s="47" t="str">
        <f>IF(mouvementmp[[#This Row],[QR Fabrication]]&lt;&gt;"",INDEX(_xlfn.TEXTSPLIT(mouvementmp[[#This Row],[QR Fabrication]],"_"),1,3),"")</f>
        <v>Stock</v>
      </c>
      <c r="T250" s="47" t="str">
        <f>IF(mouvementmp[[#This Row],[QR Fabrication]]&lt;&gt;"",INDEX(_xlfn.TEXTSPLIT(mouvementmp[[#This Row],[QR Fabrication]],"_"),1,4),"")</f>
        <v>UNS1626-19</v>
      </c>
      <c r="U250" s="47" t="str">
        <f>IF(mouvementmp[[#This Row],[QR Fabrication]]&lt;&gt;"",INDEX(_xlfn.TEXTSPLIT(mouvementmp[[#This Row],[QR Fabrication]],"_"),1,5),"")</f>
        <v>UNI SURPIQUE</v>
      </c>
      <c r="V250" s="47" t="str">
        <f>IF(mouvementmp[[#This Row],[QR Fabrication]]&lt;&gt;"",_xlfn.TEXTAFTER(mouvementmp[[#This Row],[QR Fabrication]],"_",5),"")</f>
        <v>1626</v>
      </c>
    </row>
    <row r="251" spans="1:22" ht="16.5" thickTop="1" thickBot="1" x14ac:dyDescent="0.3">
      <c r="A251" s="46" t="s">
        <v>2437</v>
      </c>
      <c r="B251" s="54" t="s">
        <v>3892</v>
      </c>
      <c r="C251" s="47" t="s">
        <v>668</v>
      </c>
      <c r="D251" s="47" t="s">
        <v>665</v>
      </c>
      <c r="E251" s="47" t="s">
        <v>669</v>
      </c>
      <c r="F251" s="48">
        <v>0.91</v>
      </c>
      <c r="G251" s="47"/>
      <c r="H251" s="47"/>
      <c r="I251" s="47" t="s">
        <v>664</v>
      </c>
      <c r="J251" s="49">
        <v>45913</v>
      </c>
      <c r="K251" s="47" t="str">
        <f>INDEX(_xlfn.TEXTSPLIT(mouvementmp[[#This Row],[QR MP]],"_"),1,1)</f>
        <v>C26</v>
      </c>
      <c r="L251" s="47" t="str">
        <f>INDEX(_xlfn.TEXTSPLIT(mouvementmp[[#This Row],[QR MP]],"_"),1,2)</f>
        <v>ROUGE FERRARI</v>
      </c>
      <c r="M251" s="47" t="str">
        <f>INDEX(_xlfn.TEXTSPLIT(mouvementmp[[#This Row],[QR MP]],"_"),1,3)</f>
        <v>NM15-26.00</v>
      </c>
      <c r="N251" s="47" t="str">
        <f>INDEX(_xlfn.TEXTSPLIT(mouvementmp[[#This Row],[QR MP]],"_"),1,4)</f>
        <v>61551</v>
      </c>
      <c r="O251" s="47">
        <f>-mouvementmp[[#This Row],[Poids]]</f>
        <v>-0.91</v>
      </c>
      <c r="P251" s="47" t="str">
        <f>IF(
   COUNTIFS($A$2:A251,A251,
             $B$2:B251,B251,
             $C$2:C251,C251,
             $D$2:D251,D251,
             $E$2:E251,E251,
             $F$2:F251,F251,
              $J$2:J251,J251)&gt;1,
   "Doublon",
   "Correcte"
)</f>
        <v>Correcte</v>
      </c>
      <c r="Q251" s="106" t="str">
        <f>IF(mouvementmp[[#This Row],[QR Fabrication]]&lt;&gt;"",INDEX(_xlfn.TEXTSPLIT(mouvementmp[[#This Row],[QR Fabrication]],"_"),1,1),"")</f>
        <v>CA250035</v>
      </c>
      <c r="R251" s="106" t="str">
        <f>IF(mouvementmp[[#This Row],[QR Fabrication]]&lt;&gt;"",INDEX(_xlfn.TEXTSPLIT(mouvementmp[[#This Row],[QR Fabrication]],"_"),1,2),"")</f>
        <v>All by Fouta</v>
      </c>
      <c r="S251" s="47" t="str">
        <f>IF(mouvementmp[[#This Row],[QR Fabrication]]&lt;&gt;"",INDEX(_xlfn.TEXTSPLIT(mouvementmp[[#This Row],[QR Fabrication]],"_"),1,3),"")</f>
        <v>Stock</v>
      </c>
      <c r="T251" s="47" t="str">
        <f>IF(mouvementmp[[#This Row],[QR Fabrication]]&lt;&gt;"",INDEX(_xlfn.TEXTSPLIT(mouvementmp[[#This Row],[QR Fabrication]],"_"),1,4),"")</f>
        <v>UNS2020-26</v>
      </c>
      <c r="U251" s="47" t="str">
        <f>IF(mouvementmp[[#This Row],[QR Fabrication]]&lt;&gt;"",INDEX(_xlfn.TEXTSPLIT(mouvementmp[[#This Row],[QR Fabrication]],"_"),1,5),"")</f>
        <v>UNI SURPIQUE</v>
      </c>
      <c r="V251" s="47" t="str">
        <f>IF(mouvementmp[[#This Row],[QR Fabrication]]&lt;&gt;"",_xlfn.TEXTAFTER(mouvementmp[[#This Row],[QR Fabrication]],"_",5),"")</f>
        <v>2020</v>
      </c>
    </row>
    <row r="252" spans="1:22" ht="16.5" thickTop="1" thickBot="1" x14ac:dyDescent="0.3">
      <c r="A252" s="46" t="s">
        <v>2438</v>
      </c>
      <c r="B252" s="54" t="s">
        <v>3886</v>
      </c>
      <c r="C252" s="47" t="s">
        <v>668</v>
      </c>
      <c r="D252" s="47" t="s">
        <v>665</v>
      </c>
      <c r="E252" s="47" t="s">
        <v>669</v>
      </c>
      <c r="F252" s="48">
        <v>0.98</v>
      </c>
      <c r="G252" s="47"/>
      <c r="H252" s="47"/>
      <c r="I252" s="47" t="s">
        <v>664</v>
      </c>
      <c r="J252" s="49">
        <v>45913</v>
      </c>
      <c r="K252" s="47" t="str">
        <f>INDEX(_xlfn.TEXTSPLIT(mouvementmp[[#This Row],[QR MP]],"_"),1,1)</f>
        <v>C24</v>
      </c>
      <c r="L252" s="47" t="str">
        <f>INDEX(_xlfn.TEXTSPLIT(mouvementmp[[#This Row],[QR MP]],"_"),1,2)</f>
        <v>JAUNE SAFRAN</v>
      </c>
      <c r="M252" s="47" t="str">
        <f>INDEX(_xlfn.TEXTSPLIT(mouvementmp[[#This Row],[QR MP]],"_"),1,3)</f>
        <v>NM15-24.00</v>
      </c>
      <c r="N252" s="47" t="str">
        <f>INDEX(_xlfn.TEXTSPLIT(mouvementmp[[#This Row],[QR MP]],"_"),1,4)</f>
        <v>61554</v>
      </c>
      <c r="O252" s="47">
        <f>-mouvementmp[[#This Row],[Poids]]</f>
        <v>-0.98</v>
      </c>
      <c r="P252" s="47" t="str">
        <f>IF(
   COUNTIFS($A$2:A252,A252,
             $B$2:B252,B252,
             $C$2:C252,C252,
             $D$2:D252,D252,
             $E$2:E252,E252,
             $F$2:F252,F252,
              $J$2:J252,J252)&gt;1,
   "Doublon",
   "Correcte"
)</f>
        <v>Correcte</v>
      </c>
      <c r="Q252" s="106" t="str">
        <f>IF(mouvementmp[[#This Row],[QR Fabrication]]&lt;&gt;"",INDEX(_xlfn.TEXTSPLIT(mouvementmp[[#This Row],[QR Fabrication]],"_"),1,1),"")</f>
        <v>CA250034</v>
      </c>
      <c r="R252" s="106" t="str">
        <f>IF(mouvementmp[[#This Row],[QR Fabrication]]&lt;&gt;"",INDEX(_xlfn.TEXTSPLIT(mouvementmp[[#This Row],[QR Fabrication]],"_"),1,2),"")</f>
        <v>All by Fouta</v>
      </c>
      <c r="S252" s="47" t="str">
        <f>IF(mouvementmp[[#This Row],[QR Fabrication]]&lt;&gt;"",INDEX(_xlfn.TEXTSPLIT(mouvementmp[[#This Row],[QR Fabrication]],"_"),1,3),"")</f>
        <v>Stock</v>
      </c>
      <c r="T252" s="47" t="str">
        <f>IF(mouvementmp[[#This Row],[QR Fabrication]]&lt;&gt;"",INDEX(_xlfn.TEXTSPLIT(mouvementmp[[#This Row],[QR Fabrication]],"_"),1,4),"")</f>
        <v>UNS2020-24</v>
      </c>
      <c r="U252" s="47" t="str">
        <f>IF(mouvementmp[[#This Row],[QR Fabrication]]&lt;&gt;"",INDEX(_xlfn.TEXTSPLIT(mouvementmp[[#This Row],[QR Fabrication]],"_"),1,5),"")</f>
        <v>UNI SURPIQUE</v>
      </c>
      <c r="V252" s="47" t="str">
        <f>IF(mouvementmp[[#This Row],[QR Fabrication]]&lt;&gt;"",_xlfn.TEXTAFTER(mouvementmp[[#This Row],[QR Fabrication]],"_",5),"")</f>
        <v>2020</v>
      </c>
    </row>
    <row r="253" spans="1:22" ht="16.5" thickTop="1" thickBot="1" x14ac:dyDescent="0.3">
      <c r="A253" s="46" t="s">
        <v>2439</v>
      </c>
      <c r="B253" s="54" t="s">
        <v>3886</v>
      </c>
      <c r="C253" s="47" t="s">
        <v>668</v>
      </c>
      <c r="D253" s="47" t="s">
        <v>665</v>
      </c>
      <c r="E253" s="47" t="s">
        <v>669</v>
      </c>
      <c r="F253" s="48">
        <v>1.75</v>
      </c>
      <c r="G253" s="47"/>
      <c r="H253" s="47"/>
      <c r="I253" s="47" t="s">
        <v>664</v>
      </c>
      <c r="J253" s="49">
        <v>45913</v>
      </c>
      <c r="K253" s="47" t="str">
        <f>INDEX(_xlfn.TEXTSPLIT(mouvementmp[[#This Row],[QR MP]],"_"),1,1)</f>
        <v>C24</v>
      </c>
      <c r="L253" s="47" t="str">
        <f>INDEX(_xlfn.TEXTSPLIT(mouvementmp[[#This Row],[QR MP]],"_"),1,2)</f>
        <v>JAUNE SAFRAN</v>
      </c>
      <c r="M253" s="47" t="str">
        <f>INDEX(_xlfn.TEXTSPLIT(mouvementmp[[#This Row],[QR MP]],"_"),1,3)</f>
        <v>NM15-24.00</v>
      </c>
      <c r="N253" s="47" t="str">
        <f>INDEX(_xlfn.TEXTSPLIT(mouvementmp[[#This Row],[QR MP]],"_"),1,4)</f>
        <v>61554</v>
      </c>
      <c r="O253" s="47">
        <f>-mouvementmp[[#This Row],[Poids]]</f>
        <v>-1.75</v>
      </c>
      <c r="P253" s="47" t="str">
        <f>IF(
   COUNTIFS($A$2:A253,A253,
             $B$2:B253,B253,
             $C$2:C253,C253,
             $D$2:D253,D253,
             $E$2:E253,E253,
             $F$2:F253,F253,
              $J$2:J253,J253)&gt;1,
   "Doublon",
   "Correcte"
)</f>
        <v>Correcte</v>
      </c>
      <c r="Q253" s="106" t="str">
        <f>IF(mouvementmp[[#This Row],[QR Fabrication]]&lt;&gt;"",INDEX(_xlfn.TEXTSPLIT(mouvementmp[[#This Row],[QR Fabrication]],"_"),1,1),"")</f>
        <v>CA250074</v>
      </c>
      <c r="R253" s="106" t="str">
        <f>IF(mouvementmp[[#This Row],[QR Fabrication]]&lt;&gt;"",INDEX(_xlfn.TEXTSPLIT(mouvementmp[[#This Row],[QR Fabrication]],"_"),1,2),"")</f>
        <v>All by Fouta</v>
      </c>
      <c r="S253" s="47" t="str">
        <f>IF(mouvementmp[[#This Row],[QR Fabrication]]&lt;&gt;"",INDEX(_xlfn.TEXTSPLIT(mouvementmp[[#This Row],[QR Fabrication]],"_"),1,3),"")</f>
        <v>Stock</v>
      </c>
      <c r="T253" s="47" t="str">
        <f>IF(mouvementmp[[#This Row],[QR Fabrication]]&lt;&gt;"",INDEX(_xlfn.TEXTSPLIT(mouvementmp[[#This Row],[QR Fabrication]],"_"),1,4),"")</f>
        <v>UNS2030-24</v>
      </c>
      <c r="U253" s="47" t="str">
        <f>IF(mouvementmp[[#This Row],[QR Fabrication]]&lt;&gt;"",INDEX(_xlfn.TEXTSPLIT(mouvementmp[[#This Row],[QR Fabrication]],"_"),1,5),"")</f>
        <v>UNI SURPIQUE</v>
      </c>
      <c r="V253" s="47" t="str">
        <f>IF(mouvementmp[[#This Row],[QR Fabrication]]&lt;&gt;"",_xlfn.TEXTAFTER(mouvementmp[[#This Row],[QR Fabrication]],"_",5),"")</f>
        <v>2030</v>
      </c>
    </row>
    <row r="254" spans="1:22" ht="16.5" thickTop="1" thickBot="1" x14ac:dyDescent="0.3">
      <c r="A254" s="46" t="s">
        <v>1303</v>
      </c>
      <c r="B254" s="54" t="s">
        <v>3868</v>
      </c>
      <c r="C254" s="47" t="s">
        <v>668</v>
      </c>
      <c r="D254" s="47" t="s">
        <v>665</v>
      </c>
      <c r="E254" s="47" t="s">
        <v>669</v>
      </c>
      <c r="F254" s="48">
        <v>0.55000000000000004</v>
      </c>
      <c r="G254" s="47"/>
      <c r="H254" s="47"/>
      <c r="I254" s="47" t="s">
        <v>664</v>
      </c>
      <c r="J254" s="49">
        <v>45913</v>
      </c>
      <c r="K254" s="47" t="str">
        <f>INDEX(_xlfn.TEXTSPLIT(mouvementmp[[#This Row],[QR MP]],"_"),1,1)</f>
        <v>C18</v>
      </c>
      <c r="L254" s="47" t="str">
        <f>INDEX(_xlfn.TEXTSPLIT(mouvementmp[[#This Row],[QR MP]],"_"),1,2)</f>
        <v xml:space="preserve">VERT D'EAU </v>
      </c>
      <c r="M254" s="47" t="str">
        <f>INDEX(_xlfn.TEXTSPLIT(mouvementmp[[#This Row],[QR MP]],"_"),1,3)</f>
        <v>NM15-18.00</v>
      </c>
      <c r="N254" s="47" t="str">
        <f>INDEX(_xlfn.TEXTSPLIT(mouvementmp[[#This Row],[QR MP]],"_"),1,4)</f>
        <v>61535</v>
      </c>
      <c r="O254" s="47">
        <f>-mouvementmp[[#This Row],[Poids]]</f>
        <v>-0.55000000000000004</v>
      </c>
      <c r="P254" s="47" t="str">
        <f>IF(
   COUNTIFS($A$2:A254,A254,
             $B$2:B254,B254,
             $C$2:C254,C254,
             $D$2:D254,D254,
             $E$2:E254,E254,
             $F$2:F254,F254,
              $J$2:J254,J254)&gt;1,
   "Doublon",
   "Correcte"
)</f>
        <v>Correcte</v>
      </c>
      <c r="Q254" s="106" t="str">
        <f>IF(mouvementmp[[#This Row],[QR Fabrication]]&lt;&gt;"",INDEX(_xlfn.TEXTSPLIT(mouvementmp[[#This Row],[QR Fabrication]],"_"),1,1),"")</f>
        <v>CA250070</v>
      </c>
      <c r="R254" s="106" t="str">
        <f>IF(mouvementmp[[#This Row],[QR Fabrication]]&lt;&gt;"",INDEX(_xlfn.TEXTSPLIT(mouvementmp[[#This Row],[QR Fabrication]],"_"),1,2),"")</f>
        <v>All by Fouta</v>
      </c>
      <c r="S254" s="47" t="str">
        <f>IF(mouvementmp[[#This Row],[QR Fabrication]]&lt;&gt;"",INDEX(_xlfn.TEXTSPLIT(mouvementmp[[#This Row],[QR Fabrication]],"_"),1,3),"")</f>
        <v>Stock</v>
      </c>
      <c r="T254" s="47" t="str">
        <f>IF(mouvementmp[[#This Row],[QR Fabrication]]&lt;&gt;"",INDEX(_xlfn.TEXTSPLIT(mouvementmp[[#This Row],[QR Fabrication]],"_"),1,4),"")</f>
        <v>UNS2030-18</v>
      </c>
      <c r="U254" s="47" t="str">
        <f>IF(mouvementmp[[#This Row],[QR Fabrication]]&lt;&gt;"",INDEX(_xlfn.TEXTSPLIT(mouvementmp[[#This Row],[QR Fabrication]],"_"),1,5),"")</f>
        <v>UNI SURPIQUE</v>
      </c>
      <c r="V254" s="47" t="str">
        <f>IF(mouvementmp[[#This Row],[QR Fabrication]]&lt;&gt;"",_xlfn.TEXTAFTER(mouvementmp[[#This Row],[QR Fabrication]],"_",5),"")</f>
        <v>2030</v>
      </c>
    </row>
    <row r="255" spans="1:22" ht="16.5" thickTop="1" thickBot="1" x14ac:dyDescent="0.3">
      <c r="A255" s="46" t="s">
        <v>2440</v>
      </c>
      <c r="B255" s="54" t="s">
        <v>3902</v>
      </c>
      <c r="C255" s="47" t="s">
        <v>668</v>
      </c>
      <c r="D255" s="47" t="s">
        <v>665</v>
      </c>
      <c r="E255" s="47" t="s">
        <v>669</v>
      </c>
      <c r="F255" s="48">
        <v>1.1499999999999999</v>
      </c>
      <c r="G255" s="47"/>
      <c r="H255" s="47"/>
      <c r="I255" s="47" t="s">
        <v>664</v>
      </c>
      <c r="J255" s="49">
        <v>45913</v>
      </c>
      <c r="K255" s="47" t="str">
        <f>INDEX(_xlfn.TEXTSPLIT(mouvementmp[[#This Row],[QR MP]],"_"),1,1)</f>
        <v>C31</v>
      </c>
      <c r="L255" s="47" t="str">
        <f>INDEX(_xlfn.TEXTSPLIT(mouvementmp[[#This Row],[QR MP]],"_"),1,2)</f>
        <v>SAUMON</v>
      </c>
      <c r="M255" s="47" t="str">
        <f>INDEX(_xlfn.TEXTSPLIT(mouvementmp[[#This Row],[QR MP]],"_"),1,3)</f>
        <v>NM15-31.00</v>
      </c>
      <c r="N255" s="47" t="str">
        <f>INDEX(_xlfn.TEXTSPLIT(mouvementmp[[#This Row],[QR MP]],"_"),1,4)</f>
        <v>61434</v>
      </c>
      <c r="O255" s="47">
        <f>-mouvementmp[[#This Row],[Poids]]</f>
        <v>-1.1499999999999999</v>
      </c>
      <c r="P255" s="47" t="str">
        <f>IF(
   COUNTIFS($A$2:A255,A255,
             $B$2:B255,B255,
             $C$2:C255,C255,
             $D$2:D255,D255,
             $E$2:E255,E255,
             $F$2:F255,F255,
              $J$2:J255,J255)&gt;1,
   "Doublon",
   "Correcte"
)</f>
        <v>Correcte</v>
      </c>
      <c r="Q255" s="106" t="str">
        <f>IF(mouvementmp[[#This Row],[QR Fabrication]]&lt;&gt;"",INDEX(_xlfn.TEXTSPLIT(mouvementmp[[#This Row],[QR Fabrication]],"_"),1,1),"")</f>
        <v>CA250078</v>
      </c>
      <c r="R255" s="106" t="str">
        <f>IF(mouvementmp[[#This Row],[QR Fabrication]]&lt;&gt;"",INDEX(_xlfn.TEXTSPLIT(mouvementmp[[#This Row],[QR Fabrication]],"_"),1,2),"")</f>
        <v>All by Fouta</v>
      </c>
      <c r="S255" s="47" t="str">
        <f>IF(mouvementmp[[#This Row],[QR Fabrication]]&lt;&gt;"",INDEX(_xlfn.TEXTSPLIT(mouvementmp[[#This Row],[QR Fabrication]],"_"),1,3),"")</f>
        <v>Stock</v>
      </c>
      <c r="T255" s="47" t="str">
        <f>IF(mouvementmp[[#This Row],[QR Fabrication]]&lt;&gt;"",INDEX(_xlfn.TEXTSPLIT(mouvementmp[[#This Row],[QR Fabrication]],"_"),1,4),"")</f>
        <v>UNS2030-31</v>
      </c>
      <c r="U255" s="47" t="str">
        <f>IF(mouvementmp[[#This Row],[QR Fabrication]]&lt;&gt;"",INDEX(_xlfn.TEXTSPLIT(mouvementmp[[#This Row],[QR Fabrication]],"_"),1,5),"")</f>
        <v>UNI SURPIQUE</v>
      </c>
      <c r="V255" s="47" t="str">
        <f>IF(mouvementmp[[#This Row],[QR Fabrication]]&lt;&gt;"",_xlfn.TEXTAFTER(mouvementmp[[#This Row],[QR Fabrication]],"_",5),"")</f>
        <v>2030</v>
      </c>
    </row>
    <row r="256" spans="1:22" ht="16.5" thickTop="1" thickBot="1" x14ac:dyDescent="0.3">
      <c r="A256" s="46" t="s">
        <v>2441</v>
      </c>
      <c r="B256" s="54" t="s">
        <v>3884</v>
      </c>
      <c r="C256" s="47" t="s">
        <v>668</v>
      </c>
      <c r="D256" s="47" t="s">
        <v>665</v>
      </c>
      <c r="E256" s="47" t="s">
        <v>669</v>
      </c>
      <c r="F256" s="48">
        <v>1.25</v>
      </c>
      <c r="G256" s="47"/>
      <c r="H256" s="47"/>
      <c r="I256" s="47" t="s">
        <v>664</v>
      </c>
      <c r="J256" s="49">
        <v>45913</v>
      </c>
      <c r="K256" s="47" t="str">
        <f>INDEX(_xlfn.TEXTSPLIT(mouvementmp[[#This Row],[QR MP]],"_"),1,1)</f>
        <v>C23</v>
      </c>
      <c r="L256" s="47" t="str">
        <f>INDEX(_xlfn.TEXTSPLIT(mouvementmp[[#This Row],[QR MP]],"_"),1,2)</f>
        <v>OR</v>
      </c>
      <c r="M256" s="47" t="str">
        <f>INDEX(_xlfn.TEXTSPLIT(mouvementmp[[#This Row],[QR MP]],"_"),1,3)</f>
        <v>NM15-23.00</v>
      </c>
      <c r="N256" s="47" t="str">
        <f>INDEX(_xlfn.TEXTSPLIT(mouvementmp[[#This Row],[QR MP]],"_"),1,4)</f>
        <v>61566</v>
      </c>
      <c r="O256" s="47">
        <f>-mouvementmp[[#This Row],[Poids]]</f>
        <v>-1.25</v>
      </c>
      <c r="P256" s="47" t="str">
        <f>IF(
   COUNTIFS($A$2:A256,A256,
             $B$2:B256,B256,
             $C$2:C256,C256,
             $D$2:D256,D256,
             $E$2:E256,E256,
             $F$2:F256,F256,
              $J$2:J256,J256)&gt;1,
   "Doublon",
   "Correcte"
)</f>
        <v>Correcte</v>
      </c>
      <c r="Q256" s="106" t="str">
        <f>IF(mouvementmp[[#This Row],[QR Fabrication]]&lt;&gt;"",INDEX(_xlfn.TEXTSPLIT(mouvementmp[[#This Row],[QR Fabrication]],"_"),1,1),"")</f>
        <v>CA250073</v>
      </c>
      <c r="R256" s="106" t="str">
        <f>IF(mouvementmp[[#This Row],[QR Fabrication]]&lt;&gt;"",INDEX(_xlfn.TEXTSPLIT(mouvementmp[[#This Row],[QR Fabrication]],"_"),1,2),"")</f>
        <v>All by Fouta</v>
      </c>
      <c r="S256" s="47" t="str">
        <f>IF(mouvementmp[[#This Row],[QR Fabrication]]&lt;&gt;"",INDEX(_xlfn.TEXTSPLIT(mouvementmp[[#This Row],[QR Fabrication]],"_"),1,3),"")</f>
        <v>Stock</v>
      </c>
      <c r="T256" s="47" t="str">
        <f>IF(mouvementmp[[#This Row],[QR Fabrication]]&lt;&gt;"",INDEX(_xlfn.TEXTSPLIT(mouvementmp[[#This Row],[QR Fabrication]],"_"),1,4),"")</f>
        <v>UNS2030-23</v>
      </c>
      <c r="U256" s="47" t="str">
        <f>IF(mouvementmp[[#This Row],[QR Fabrication]]&lt;&gt;"",INDEX(_xlfn.TEXTSPLIT(mouvementmp[[#This Row],[QR Fabrication]],"_"),1,5),"")</f>
        <v>UNI SURPIQUE</v>
      </c>
      <c r="V256" s="47" t="str">
        <f>IF(mouvementmp[[#This Row],[QR Fabrication]]&lt;&gt;"",_xlfn.TEXTAFTER(mouvementmp[[#This Row],[QR Fabrication]],"_",5),"")</f>
        <v>2030</v>
      </c>
    </row>
    <row r="257" spans="1:22" ht="16.5" thickTop="1" thickBot="1" x14ac:dyDescent="0.3">
      <c r="A257" s="46" t="s">
        <v>2442</v>
      </c>
      <c r="B257" s="54" t="s">
        <v>3905</v>
      </c>
      <c r="C257" s="47" t="s">
        <v>668</v>
      </c>
      <c r="D257" s="47" t="s">
        <v>665</v>
      </c>
      <c r="E257" s="47" t="s">
        <v>669</v>
      </c>
      <c r="F257" s="48">
        <v>1.75</v>
      </c>
      <c r="G257" s="47"/>
      <c r="H257" s="47"/>
      <c r="I257" s="47" t="s">
        <v>664</v>
      </c>
      <c r="J257" s="49">
        <v>45913</v>
      </c>
      <c r="K257" s="47" t="str">
        <f>INDEX(_xlfn.TEXTSPLIT(mouvementmp[[#This Row],[QR MP]],"_"),1,1)</f>
        <v>C32</v>
      </c>
      <c r="L257" s="47" t="str">
        <f>INDEX(_xlfn.TEXTSPLIT(mouvementmp[[#This Row],[QR MP]],"_"),1,2)</f>
        <v>VIEUX ROSE</v>
      </c>
      <c r="M257" s="47" t="str">
        <f>INDEX(_xlfn.TEXTSPLIT(mouvementmp[[#This Row],[QR MP]],"_"),1,3)</f>
        <v>NM15-32.00</v>
      </c>
      <c r="N257" s="47" t="str">
        <f>INDEX(_xlfn.TEXTSPLIT(mouvementmp[[#This Row],[QR MP]],"_"),1,4)</f>
        <v>61455</v>
      </c>
      <c r="O257" s="47">
        <f>-mouvementmp[[#This Row],[Poids]]</f>
        <v>-1.75</v>
      </c>
      <c r="P257" s="47" t="str">
        <f>IF(
   COUNTIFS($A$2:A257,A257,
             $B$2:B257,B257,
             $C$2:C257,C257,
             $D$2:D257,D257,
             $E$2:E257,E257,
             $F$2:F257,F257,
              $J$2:J257,J257)&gt;1,
   "Doublon",
   "Correcte"
)</f>
        <v>Correcte</v>
      </c>
      <c r="Q257" s="106" t="str">
        <f>IF(mouvementmp[[#This Row],[QR Fabrication]]&lt;&gt;"",INDEX(_xlfn.TEXTSPLIT(mouvementmp[[#This Row],[QR Fabrication]],"_"),1,1),"")</f>
        <v>CA250059</v>
      </c>
      <c r="R257" s="106" t="str">
        <f>IF(mouvementmp[[#This Row],[QR Fabrication]]&lt;&gt;"",INDEX(_xlfn.TEXTSPLIT(mouvementmp[[#This Row],[QR Fabrication]],"_"),1,2),"")</f>
        <v>All by Fouta</v>
      </c>
      <c r="S257" s="47" t="str">
        <f>IF(mouvementmp[[#This Row],[QR Fabrication]]&lt;&gt;"",INDEX(_xlfn.TEXTSPLIT(mouvementmp[[#This Row],[QR Fabrication]],"_"),1,3),"")</f>
        <v>Stock</v>
      </c>
      <c r="T257" s="47" t="str">
        <f>IF(mouvementmp[[#This Row],[QR Fabrication]]&lt;&gt;"",INDEX(_xlfn.TEXTSPLIT(mouvementmp[[#This Row],[QR Fabrication]],"_"),1,4),"")</f>
        <v>UNS1626-32</v>
      </c>
      <c r="U257" s="47" t="str">
        <f>IF(mouvementmp[[#This Row],[QR Fabrication]]&lt;&gt;"",INDEX(_xlfn.TEXTSPLIT(mouvementmp[[#This Row],[QR Fabrication]],"_"),1,5),"")</f>
        <v>UNI SURPIQUE</v>
      </c>
      <c r="V257" s="47" t="str">
        <f>IF(mouvementmp[[#This Row],[QR Fabrication]]&lt;&gt;"",_xlfn.TEXTAFTER(mouvementmp[[#This Row],[QR Fabrication]],"_",5),"")</f>
        <v>1626</v>
      </c>
    </row>
    <row r="258" spans="1:22" ht="16.5" thickTop="1" thickBot="1" x14ac:dyDescent="0.3">
      <c r="A258" s="46" t="s">
        <v>2443</v>
      </c>
      <c r="B258" s="54" t="s">
        <v>3868</v>
      </c>
      <c r="C258" s="47" t="s">
        <v>668</v>
      </c>
      <c r="D258" s="47" t="s">
        <v>665</v>
      </c>
      <c r="E258" s="47" t="s">
        <v>669</v>
      </c>
      <c r="F258" s="48">
        <v>1.1499999999999999</v>
      </c>
      <c r="G258" s="47"/>
      <c r="H258" s="47"/>
      <c r="I258" s="47" t="s">
        <v>664</v>
      </c>
      <c r="J258" s="49">
        <v>45913</v>
      </c>
      <c r="K258" s="47" t="str">
        <f>INDEX(_xlfn.TEXTSPLIT(mouvementmp[[#This Row],[QR MP]],"_"),1,1)</f>
        <v>C18</v>
      </c>
      <c r="L258" s="47" t="str">
        <f>INDEX(_xlfn.TEXTSPLIT(mouvementmp[[#This Row],[QR MP]],"_"),1,2)</f>
        <v xml:space="preserve">VERT D'EAU </v>
      </c>
      <c r="M258" s="47" t="str">
        <f>INDEX(_xlfn.TEXTSPLIT(mouvementmp[[#This Row],[QR MP]],"_"),1,3)</f>
        <v>NM15-18.00</v>
      </c>
      <c r="N258" s="47" t="str">
        <f>INDEX(_xlfn.TEXTSPLIT(mouvementmp[[#This Row],[QR MP]],"_"),1,4)</f>
        <v>61535</v>
      </c>
      <c r="O258" s="47">
        <f>-mouvementmp[[#This Row],[Poids]]</f>
        <v>-1.1499999999999999</v>
      </c>
      <c r="P258" s="47" t="str">
        <f>IF(
   COUNTIFS($A$2:A258,A258,
             $B$2:B258,B258,
             $C$2:C258,C258,
             $D$2:D258,D258,
             $E$2:E258,E258,
             $F$2:F258,F258,
              $J$2:J258,J258)&gt;1,
   "Doublon",
   "Correcte"
)</f>
        <v>Correcte</v>
      </c>
      <c r="Q258" s="106" t="str">
        <f>IF(mouvementmp[[#This Row],[QR Fabrication]]&lt;&gt;"",INDEX(_xlfn.TEXTSPLIT(mouvementmp[[#This Row],[QR Fabrication]],"_"),1,1),"")</f>
        <v>CA250050</v>
      </c>
      <c r="R258" s="106" t="str">
        <f>IF(mouvementmp[[#This Row],[QR Fabrication]]&lt;&gt;"",INDEX(_xlfn.TEXTSPLIT(mouvementmp[[#This Row],[QR Fabrication]],"_"),1,2),"")</f>
        <v>All by Fouta</v>
      </c>
      <c r="S258" s="47" t="str">
        <f>IF(mouvementmp[[#This Row],[QR Fabrication]]&lt;&gt;"",INDEX(_xlfn.TEXTSPLIT(mouvementmp[[#This Row],[QR Fabrication]],"_"),1,3),"")</f>
        <v>Stock</v>
      </c>
      <c r="T258" s="47" t="str">
        <f>IF(mouvementmp[[#This Row],[QR Fabrication]]&lt;&gt;"",INDEX(_xlfn.TEXTSPLIT(mouvementmp[[#This Row],[QR Fabrication]],"_"),1,4),"")</f>
        <v>UNS1626-18</v>
      </c>
      <c r="U258" s="47" t="str">
        <f>IF(mouvementmp[[#This Row],[QR Fabrication]]&lt;&gt;"",INDEX(_xlfn.TEXTSPLIT(mouvementmp[[#This Row],[QR Fabrication]],"_"),1,5),"")</f>
        <v>UNI SURPIQUE</v>
      </c>
      <c r="V258" s="47" t="str">
        <f>IF(mouvementmp[[#This Row],[QR Fabrication]]&lt;&gt;"",_xlfn.TEXTAFTER(mouvementmp[[#This Row],[QR Fabrication]],"_",5),"")</f>
        <v>1626</v>
      </c>
    </row>
    <row r="259" spans="1:22" ht="16.5" thickTop="1" thickBot="1" x14ac:dyDescent="0.3">
      <c r="A259" s="46" t="s">
        <v>1305</v>
      </c>
      <c r="B259" s="54" t="s">
        <v>3847</v>
      </c>
      <c r="C259" s="47" t="s">
        <v>668</v>
      </c>
      <c r="D259" s="47" t="s">
        <v>665</v>
      </c>
      <c r="E259" s="47" t="s">
        <v>669</v>
      </c>
      <c r="F259" s="48">
        <v>19.149999999999999</v>
      </c>
      <c r="G259" s="47"/>
      <c r="H259" s="47"/>
      <c r="I259" s="47" t="s">
        <v>664</v>
      </c>
      <c r="J259" s="49">
        <v>45913</v>
      </c>
      <c r="K259" s="47" t="str">
        <f>INDEX(_xlfn.TEXTSPLIT(mouvementmp[[#This Row],[QR MP]],"_"),1,1)</f>
        <v>C11</v>
      </c>
      <c r="L259" s="47" t="str">
        <f>INDEX(_xlfn.TEXTSPLIT(mouvementmp[[#This Row],[QR MP]],"_"),1,2)</f>
        <v>BLEU GITANE</v>
      </c>
      <c r="M259" s="47" t="str">
        <f>INDEX(_xlfn.TEXTSPLIT(mouvementmp[[#This Row],[QR MP]],"_"),1,3)</f>
        <v>NM15-11.00</v>
      </c>
      <c r="N259" s="47" t="str">
        <f>INDEX(_xlfn.TEXTSPLIT(mouvementmp[[#This Row],[QR MP]],"_"),1,4)</f>
        <v>61659</v>
      </c>
      <c r="O259" s="47">
        <f>-mouvementmp[[#This Row],[Poids]]</f>
        <v>-19.149999999999999</v>
      </c>
      <c r="P259" s="47" t="str">
        <f>IF(
   COUNTIFS($A$2:A259,A259,
             $B$2:B259,B259,
             $C$2:C259,C259,
             $D$2:D259,D259,
             $E$2:E259,E259,
             $F$2:F259,F259,
              $J$2:J259,J259)&gt;1,
   "Doublon",
   "Correcte"
)</f>
        <v>Correcte</v>
      </c>
      <c r="Q259" s="106" t="str">
        <f>IF(mouvementmp[[#This Row],[QR Fabrication]]&lt;&gt;"",INDEX(_xlfn.TEXTSPLIT(mouvementmp[[#This Row],[QR Fabrication]],"_"),1,1),"")</f>
        <v>CA250025</v>
      </c>
      <c r="R259" s="106" t="str">
        <f>IF(mouvementmp[[#This Row],[QR Fabrication]]&lt;&gt;"",INDEX(_xlfn.TEXTSPLIT(mouvementmp[[#This Row],[QR Fabrication]],"_"),1,2),"")</f>
        <v>All by Fouta</v>
      </c>
      <c r="S259" s="47" t="str">
        <f>IF(mouvementmp[[#This Row],[QR Fabrication]]&lt;&gt;"",INDEX(_xlfn.TEXTSPLIT(mouvementmp[[#This Row],[QR Fabrication]],"_"),1,3),"")</f>
        <v>Stock</v>
      </c>
      <c r="T259" s="47" t="str">
        <f>IF(mouvementmp[[#This Row],[QR Fabrication]]&lt;&gt;"",INDEX(_xlfn.TEXTSPLIT(mouvementmp[[#This Row],[QR Fabrication]],"_"),1,4),"")</f>
        <v>UNS2020-10</v>
      </c>
      <c r="U259" s="47" t="str">
        <f>IF(mouvementmp[[#This Row],[QR Fabrication]]&lt;&gt;"",INDEX(_xlfn.TEXTSPLIT(mouvementmp[[#This Row],[QR Fabrication]],"_"),1,5),"")</f>
        <v>UNI SURPIQUE</v>
      </c>
      <c r="V259" s="47" t="str">
        <f>IF(mouvementmp[[#This Row],[QR Fabrication]]&lt;&gt;"",_xlfn.TEXTAFTER(mouvementmp[[#This Row],[QR Fabrication]],"_",5),"")</f>
        <v>2020</v>
      </c>
    </row>
    <row r="260" spans="1:22" ht="16.5" thickTop="1" thickBot="1" x14ac:dyDescent="0.3">
      <c r="A260" s="46" t="s">
        <v>1303</v>
      </c>
      <c r="B260" s="54" t="s">
        <v>3868</v>
      </c>
      <c r="C260" s="47" t="s">
        <v>668</v>
      </c>
      <c r="D260" s="47" t="s">
        <v>665</v>
      </c>
      <c r="E260" s="47" t="s">
        <v>669</v>
      </c>
      <c r="F260" s="48">
        <v>0.78</v>
      </c>
      <c r="G260" s="47"/>
      <c r="H260" s="47"/>
      <c r="I260" s="47" t="s">
        <v>664</v>
      </c>
      <c r="J260" s="49">
        <v>45913</v>
      </c>
      <c r="K260" s="47" t="str">
        <f>INDEX(_xlfn.TEXTSPLIT(mouvementmp[[#This Row],[QR MP]],"_"),1,1)</f>
        <v>C18</v>
      </c>
      <c r="L260" s="47" t="str">
        <f>INDEX(_xlfn.TEXTSPLIT(mouvementmp[[#This Row],[QR MP]],"_"),1,2)</f>
        <v xml:space="preserve">VERT D'EAU </v>
      </c>
      <c r="M260" s="47" t="str">
        <f>INDEX(_xlfn.TEXTSPLIT(mouvementmp[[#This Row],[QR MP]],"_"),1,3)</f>
        <v>NM15-18.00</v>
      </c>
      <c r="N260" s="47" t="str">
        <f>INDEX(_xlfn.TEXTSPLIT(mouvementmp[[#This Row],[QR MP]],"_"),1,4)</f>
        <v>61535</v>
      </c>
      <c r="O260" s="47">
        <f>-mouvementmp[[#This Row],[Poids]]</f>
        <v>-0.78</v>
      </c>
      <c r="P260" s="47" t="str">
        <f>IF(
   COUNTIFS($A$2:A260,A260,
             $B$2:B260,B260,
             $C$2:C260,C260,
             $D$2:D260,D260,
             $E$2:E260,E260,
             $F$2:F260,F260,
              $J$2:J260,J260)&gt;1,
   "Doublon",
   "Correcte"
)</f>
        <v>Correcte</v>
      </c>
      <c r="Q260" s="106" t="str">
        <f>IF(mouvementmp[[#This Row],[QR Fabrication]]&lt;&gt;"",INDEX(_xlfn.TEXTSPLIT(mouvementmp[[#This Row],[QR Fabrication]],"_"),1,1),"")</f>
        <v>CA250070</v>
      </c>
      <c r="R260" s="106" t="str">
        <f>IF(mouvementmp[[#This Row],[QR Fabrication]]&lt;&gt;"",INDEX(_xlfn.TEXTSPLIT(mouvementmp[[#This Row],[QR Fabrication]],"_"),1,2),"")</f>
        <v>All by Fouta</v>
      </c>
      <c r="S260" s="47" t="str">
        <f>IF(mouvementmp[[#This Row],[QR Fabrication]]&lt;&gt;"",INDEX(_xlfn.TEXTSPLIT(mouvementmp[[#This Row],[QR Fabrication]],"_"),1,3),"")</f>
        <v>Stock</v>
      </c>
      <c r="T260" s="47" t="str">
        <f>IF(mouvementmp[[#This Row],[QR Fabrication]]&lt;&gt;"",INDEX(_xlfn.TEXTSPLIT(mouvementmp[[#This Row],[QR Fabrication]],"_"),1,4),"")</f>
        <v>UNS2030-18</v>
      </c>
      <c r="U260" s="47" t="str">
        <f>IF(mouvementmp[[#This Row],[QR Fabrication]]&lt;&gt;"",INDEX(_xlfn.TEXTSPLIT(mouvementmp[[#This Row],[QR Fabrication]],"_"),1,5),"")</f>
        <v>UNI SURPIQUE</v>
      </c>
      <c r="V260" s="47" t="str">
        <f>IF(mouvementmp[[#This Row],[QR Fabrication]]&lt;&gt;"",_xlfn.TEXTAFTER(mouvementmp[[#This Row],[QR Fabrication]],"_",5),"")</f>
        <v>2030</v>
      </c>
    </row>
    <row r="261" spans="1:22" ht="16.5" thickTop="1" thickBot="1" x14ac:dyDescent="0.3">
      <c r="A261" s="46" t="s">
        <v>2444</v>
      </c>
      <c r="B261" s="54" t="s">
        <v>3905</v>
      </c>
      <c r="C261" s="47" t="s">
        <v>668</v>
      </c>
      <c r="D261" s="47" t="s">
        <v>665</v>
      </c>
      <c r="E261" s="47" t="s">
        <v>669</v>
      </c>
      <c r="F261" s="48">
        <v>1.75</v>
      </c>
      <c r="G261" s="47"/>
      <c r="H261" s="47"/>
      <c r="I261" s="47" t="s">
        <v>664</v>
      </c>
      <c r="J261" s="49">
        <v>45913</v>
      </c>
      <c r="K261" s="47" t="str">
        <f>INDEX(_xlfn.TEXTSPLIT(mouvementmp[[#This Row],[QR MP]],"_"),1,1)</f>
        <v>C32</v>
      </c>
      <c r="L261" s="47" t="str">
        <f>INDEX(_xlfn.TEXTSPLIT(mouvementmp[[#This Row],[QR MP]],"_"),1,2)</f>
        <v>VIEUX ROSE</v>
      </c>
      <c r="M261" s="47" t="str">
        <f>INDEX(_xlfn.TEXTSPLIT(mouvementmp[[#This Row],[QR MP]],"_"),1,3)</f>
        <v>NM15-32.00</v>
      </c>
      <c r="N261" s="47" t="str">
        <f>INDEX(_xlfn.TEXTSPLIT(mouvementmp[[#This Row],[QR MP]],"_"),1,4)</f>
        <v>61455</v>
      </c>
      <c r="O261" s="47">
        <f>-mouvementmp[[#This Row],[Poids]]</f>
        <v>-1.75</v>
      </c>
      <c r="P261" s="47" t="str">
        <f>IF(
   COUNTIFS($A$2:A261,A261,
             $B$2:B261,B261,
             $C$2:C261,C261,
             $D$2:D261,D261,
             $E$2:E261,E261,
             $F$2:F261,F261,
              $J$2:J261,J261)&gt;1,
   "Doublon",
   "Correcte"
)</f>
        <v>Correcte</v>
      </c>
      <c r="Q261" s="106" t="str">
        <f>IF(mouvementmp[[#This Row],[QR Fabrication]]&lt;&gt;"",INDEX(_xlfn.TEXTSPLIT(mouvementmp[[#This Row],[QR Fabrication]],"_"),1,1),"")</f>
        <v>CA250019</v>
      </c>
      <c r="R261" s="106" t="str">
        <f>IF(mouvementmp[[#This Row],[QR Fabrication]]&lt;&gt;"",INDEX(_xlfn.TEXTSPLIT(mouvementmp[[#This Row],[QR Fabrication]],"_"),1,2),"")</f>
        <v>All by Fouta</v>
      </c>
      <c r="S261" s="47" t="str">
        <f>IF(mouvementmp[[#This Row],[QR Fabrication]]&lt;&gt;"",INDEX(_xlfn.TEXTSPLIT(mouvementmp[[#This Row],[QR Fabrication]],"_"),1,3),"")</f>
        <v>Stock</v>
      </c>
      <c r="T261" s="47" t="str">
        <f>IF(mouvementmp[[#This Row],[QR Fabrication]]&lt;&gt;"",INDEX(_xlfn.TEXTSPLIT(mouvementmp[[#This Row],[QR Fabrication]],"_"),1,4),"")</f>
        <v>UNS1020-32</v>
      </c>
      <c r="U261" s="47" t="str">
        <f>IF(mouvementmp[[#This Row],[QR Fabrication]]&lt;&gt;"",INDEX(_xlfn.TEXTSPLIT(mouvementmp[[#This Row],[QR Fabrication]],"_"),1,5),"")</f>
        <v>UNI SURPIQUE</v>
      </c>
      <c r="V261" s="47" t="str">
        <f>IF(mouvementmp[[#This Row],[QR Fabrication]]&lt;&gt;"",_xlfn.TEXTAFTER(mouvementmp[[#This Row],[QR Fabrication]],"_",5),"")</f>
        <v>1020</v>
      </c>
    </row>
    <row r="262" spans="1:22" ht="16.5" thickTop="1" thickBot="1" x14ac:dyDescent="0.3">
      <c r="A262" s="46" t="s">
        <v>1384</v>
      </c>
      <c r="B262" s="54" t="s">
        <v>3838</v>
      </c>
      <c r="C262" s="47" t="s">
        <v>668</v>
      </c>
      <c r="D262" s="47" t="s">
        <v>665</v>
      </c>
      <c r="E262" s="47" t="s">
        <v>669</v>
      </c>
      <c r="F262" s="48">
        <v>1.78</v>
      </c>
      <c r="G262" s="47"/>
      <c r="H262" s="47"/>
      <c r="I262" s="47" t="s">
        <v>664</v>
      </c>
      <c r="J262" s="49">
        <v>45913</v>
      </c>
      <c r="K262" s="47" t="str">
        <f>INDEX(_xlfn.TEXTSPLIT(mouvementmp[[#This Row],[QR MP]],"_"),1,1)</f>
        <v>C07</v>
      </c>
      <c r="L262" s="47" t="str">
        <f>INDEX(_xlfn.TEXTSPLIT(mouvementmp[[#This Row],[QR MP]],"_"),1,2)</f>
        <v>GRIS MOYEN</v>
      </c>
      <c r="M262" s="47" t="str">
        <f>INDEX(_xlfn.TEXTSPLIT(mouvementmp[[#This Row],[QR MP]],"_"),1,3)</f>
        <v>NM15-07.00</v>
      </c>
      <c r="N262" s="47" t="str">
        <f>INDEX(_xlfn.TEXTSPLIT(mouvementmp[[#This Row],[QR MP]],"_"),1,4)</f>
        <v>61445</v>
      </c>
      <c r="O262" s="47">
        <f>-mouvementmp[[#This Row],[Poids]]</f>
        <v>-1.78</v>
      </c>
      <c r="P262" s="47" t="str">
        <f>IF(
   COUNTIFS($A$2:A262,A262,
             $B$2:B262,B262,
             $C$2:C262,C262,
             $D$2:D262,D262,
             $E$2:E262,E262,
             $F$2:F262,F262,
              $J$2:J262,J262)&gt;1,
   "Doublon",
   "Correcte"
)</f>
        <v>Correcte</v>
      </c>
      <c r="Q262" s="106" t="str">
        <f>IF(mouvementmp[[#This Row],[QR Fabrication]]&lt;&gt;"",INDEX(_xlfn.TEXTSPLIT(mouvementmp[[#This Row],[QR Fabrication]],"_"),1,1),"")</f>
        <v>OF246831</v>
      </c>
      <c r="R262" s="106" t="str">
        <f>IF(mouvementmp[[#This Row],[QR Fabrication]]&lt;&gt;"",INDEX(_xlfn.TEXTSPLIT(mouvementmp[[#This Row],[QR Fabrication]],"_"),1,2),"")</f>
        <v>CL00300</v>
      </c>
      <c r="S262" s="47" t="str">
        <f>IF(mouvementmp[[#This Row],[QR Fabrication]]&lt;&gt;"",INDEX(_xlfn.TEXTSPLIT(mouvementmp[[#This Row],[QR Fabrication]],"_"),1,3),"")</f>
        <v>CM-FT0116</v>
      </c>
      <c r="T262" s="47" t="str">
        <f>IF(mouvementmp[[#This Row],[QR Fabrication]]&lt;&gt;"",INDEX(_xlfn.TEXTSPLIT(mouvementmp[[#This Row],[QR Fabrication]],"_"),1,4),"")</f>
        <v>AR2030-B06-01</v>
      </c>
      <c r="U262" s="47" t="str">
        <f>IF(mouvementmp[[#This Row],[QR Fabrication]]&lt;&gt;"",INDEX(_xlfn.TEXTSPLIT(mouvementmp[[#This Row],[QR Fabrication]],"_"),1,5),"")</f>
        <v>ARTHUR</v>
      </c>
      <c r="V262" s="47" t="str">
        <f>IF(mouvementmp[[#This Row],[QR Fabrication]]&lt;&gt;"",_xlfn.TEXTAFTER(mouvementmp[[#This Row],[QR Fabrication]],"_",5),"")</f>
        <v>2030</v>
      </c>
    </row>
    <row r="263" spans="1:22" ht="16.5" thickTop="1" thickBot="1" x14ac:dyDescent="0.3">
      <c r="A263" s="46" t="s">
        <v>2445</v>
      </c>
      <c r="B263" s="54" t="s">
        <v>3858</v>
      </c>
      <c r="C263" s="47" t="s">
        <v>668</v>
      </c>
      <c r="D263" s="47" t="s">
        <v>665</v>
      </c>
      <c r="E263" s="47" t="s">
        <v>669</v>
      </c>
      <c r="F263" s="48">
        <v>0.85</v>
      </c>
      <c r="G263" s="47"/>
      <c r="H263" s="47"/>
      <c r="I263" s="47" t="s">
        <v>664</v>
      </c>
      <c r="J263" s="49">
        <v>45913</v>
      </c>
      <c r="K263" s="47" t="str">
        <f>INDEX(_xlfn.TEXTSPLIT(mouvementmp[[#This Row],[QR MP]],"_"),1,1)</f>
        <v>C14</v>
      </c>
      <c r="L263" s="47" t="str">
        <f>INDEX(_xlfn.TEXTSPLIT(mouvementmp[[#This Row],[QR MP]],"_"),1,2)</f>
        <v>BLEU TURQUOISE</v>
      </c>
      <c r="M263" s="47" t="str">
        <f>INDEX(_xlfn.TEXTSPLIT(mouvementmp[[#This Row],[QR MP]],"_"),1,3)</f>
        <v>NM15-14.00</v>
      </c>
      <c r="N263" s="47" t="str">
        <f>INDEX(_xlfn.TEXTSPLIT(mouvementmp[[#This Row],[QR MP]],"_"),1,4)</f>
        <v>61597</v>
      </c>
      <c r="O263" s="47">
        <f>-mouvementmp[[#This Row],[Poids]]</f>
        <v>-0.85</v>
      </c>
      <c r="P263" s="47" t="str">
        <f>IF(
   COUNTIFS($A$2:A263,A263,
             $B$2:B263,B263,
             $C$2:C263,C263,
             $D$2:D263,D263,
             $E$2:E263,E263,
             $F$2:F263,F263,
              $J$2:J263,J263)&gt;1,
   "Doublon",
   "Correcte"
)</f>
        <v>Correcte</v>
      </c>
      <c r="Q263" s="106" t="str">
        <f>IF(mouvementmp[[#This Row],[QR Fabrication]]&lt;&gt;"",INDEX(_xlfn.TEXTSPLIT(mouvementmp[[#This Row],[QR Fabrication]],"_"),1,1),"")</f>
        <v>OF249809</v>
      </c>
      <c r="R263" s="106" t="str">
        <f>IF(mouvementmp[[#This Row],[QR Fabrication]]&lt;&gt;"",INDEX(_xlfn.TEXTSPLIT(mouvementmp[[#This Row],[QR Fabrication]],"_"),1,2),"")</f>
        <v>CL00884</v>
      </c>
      <c r="S263" s="47" t="str">
        <f>IF(mouvementmp[[#This Row],[QR Fabrication]]&lt;&gt;"",INDEX(_xlfn.TEXTSPLIT(mouvementmp[[#This Row],[QR Fabrication]],"_"),1,3),"")</f>
        <v>CM-FT0119</v>
      </c>
      <c r="T263" s="47" t="str">
        <f>IF(mouvementmp[[#This Row],[QR Fabrication]]&lt;&gt;"",INDEX(_xlfn.TEXTSPLIT(mouvementmp[[#This Row],[QR Fabrication]],"_"),1,4),"")</f>
        <v>IS1020-B14-01</v>
      </c>
      <c r="U263" s="47" t="str">
        <f>IF(mouvementmp[[#This Row],[QR Fabrication]]&lt;&gt;"",INDEX(_xlfn.TEXTSPLIT(mouvementmp[[#This Row],[QR Fabrication]],"_"),1,5),"")</f>
        <v>ISTANBUL</v>
      </c>
      <c r="V263" s="47" t="str">
        <f>IF(mouvementmp[[#This Row],[QR Fabrication]]&lt;&gt;"",_xlfn.TEXTAFTER(mouvementmp[[#This Row],[QR Fabrication]],"_",5),"")</f>
        <v>1020</v>
      </c>
    </row>
    <row r="264" spans="1:22" ht="16.5" thickTop="1" thickBot="1" x14ac:dyDescent="0.3">
      <c r="A264" s="46" t="s">
        <v>2445</v>
      </c>
      <c r="B264" s="54" t="s">
        <v>3920</v>
      </c>
      <c r="C264" s="47" t="s">
        <v>668</v>
      </c>
      <c r="D264" s="47" t="s">
        <v>665</v>
      </c>
      <c r="E264" s="47" t="s">
        <v>669</v>
      </c>
      <c r="F264" s="48">
        <v>0.75</v>
      </c>
      <c r="G264" s="47"/>
      <c r="H264" s="47"/>
      <c r="I264" s="47" t="s">
        <v>664</v>
      </c>
      <c r="J264" s="49">
        <v>45913</v>
      </c>
      <c r="K264" s="47" t="str">
        <f>INDEX(_xlfn.TEXTSPLIT(mouvementmp[[#This Row],[QR MP]],"_"),1,1)</f>
        <v>C01</v>
      </c>
      <c r="L264" s="47" t="str">
        <f>INDEX(_xlfn.TEXTSPLIT(mouvementmp[[#This Row],[QR MP]],"_"),1,2)</f>
        <v>BLANC</v>
      </c>
      <c r="M264" s="47" t="str">
        <f>INDEX(_xlfn.TEXTSPLIT(mouvementmp[[#This Row],[QR MP]],"_"),1,3)</f>
        <v>NM15-01.00</v>
      </c>
      <c r="N264" s="47" t="str">
        <f>INDEX(_xlfn.TEXTSPLIT(mouvementmp[[#This Row],[QR MP]],"_"),1,4)</f>
        <v>62721</v>
      </c>
      <c r="O264" s="47">
        <f>-mouvementmp[[#This Row],[Poids]]</f>
        <v>-0.75</v>
      </c>
      <c r="P264" s="47" t="str">
        <f>IF(
   COUNTIFS($A$2:A264,A264,
             $B$2:B264,B264,
             $C$2:C264,C264,
             $D$2:D264,D264,
             $E$2:E264,E264,
             $F$2:F264,F264,
              $J$2:J264,J264)&gt;1,
   "Doublon",
   "Correcte"
)</f>
        <v>Correcte</v>
      </c>
      <c r="Q264" s="106" t="str">
        <f>IF(mouvementmp[[#This Row],[QR Fabrication]]&lt;&gt;"",INDEX(_xlfn.TEXTSPLIT(mouvementmp[[#This Row],[QR Fabrication]],"_"),1,1),"")</f>
        <v>OF249809</v>
      </c>
      <c r="R264" s="106" t="str">
        <f>IF(mouvementmp[[#This Row],[QR Fabrication]]&lt;&gt;"",INDEX(_xlfn.TEXTSPLIT(mouvementmp[[#This Row],[QR Fabrication]],"_"),1,2),"")</f>
        <v>CL00884</v>
      </c>
      <c r="S264" s="47" t="str">
        <f>IF(mouvementmp[[#This Row],[QR Fabrication]]&lt;&gt;"",INDEX(_xlfn.TEXTSPLIT(mouvementmp[[#This Row],[QR Fabrication]],"_"),1,3),"")</f>
        <v>CM-FT0119</v>
      </c>
      <c r="T264" s="47" t="str">
        <f>IF(mouvementmp[[#This Row],[QR Fabrication]]&lt;&gt;"",INDEX(_xlfn.TEXTSPLIT(mouvementmp[[#This Row],[QR Fabrication]],"_"),1,4),"")</f>
        <v>IS1020-B14-01</v>
      </c>
      <c r="U264" s="47" t="str">
        <f>IF(mouvementmp[[#This Row],[QR Fabrication]]&lt;&gt;"",INDEX(_xlfn.TEXTSPLIT(mouvementmp[[#This Row],[QR Fabrication]],"_"),1,5),"")</f>
        <v>ISTANBUL</v>
      </c>
      <c r="V264" s="47" t="str">
        <f>IF(mouvementmp[[#This Row],[QR Fabrication]]&lt;&gt;"",_xlfn.TEXTAFTER(mouvementmp[[#This Row],[QR Fabrication]],"_",5),"")</f>
        <v>1020</v>
      </c>
    </row>
    <row r="265" spans="1:22" ht="16.5" thickTop="1" thickBot="1" x14ac:dyDescent="0.3">
      <c r="A265" s="46" t="s">
        <v>1306</v>
      </c>
      <c r="B265" s="54" t="s">
        <v>3860</v>
      </c>
      <c r="C265" s="47" t="s">
        <v>668</v>
      </c>
      <c r="D265" s="47" t="s">
        <v>665</v>
      </c>
      <c r="E265" s="47" t="s">
        <v>669</v>
      </c>
      <c r="F265" s="48">
        <v>0.75</v>
      </c>
      <c r="G265" s="47"/>
      <c r="H265" s="47"/>
      <c r="I265" s="47" t="s">
        <v>664</v>
      </c>
      <c r="J265" s="49">
        <v>45913</v>
      </c>
      <c r="K265" s="47" t="str">
        <f>INDEX(_xlfn.TEXTSPLIT(mouvementmp[[#This Row],[QR MP]],"_"),1,1)</f>
        <v>C15</v>
      </c>
      <c r="L265" s="47" t="str">
        <f>INDEX(_xlfn.TEXTSPLIT(mouvementmp[[#This Row],[QR MP]],"_"),1,2)</f>
        <v>LAGON</v>
      </c>
      <c r="M265" s="47" t="str">
        <f>INDEX(_xlfn.TEXTSPLIT(mouvementmp[[#This Row],[QR MP]],"_"),1,3)</f>
        <v>NM15-15.00</v>
      </c>
      <c r="N265" s="47" t="str">
        <f>INDEX(_xlfn.TEXTSPLIT(mouvementmp[[#This Row],[QR MP]],"_"),1,4)</f>
        <v>61645</v>
      </c>
      <c r="O265" s="47">
        <f>-mouvementmp[[#This Row],[Poids]]</f>
        <v>-0.75</v>
      </c>
      <c r="P265" s="47" t="str">
        <f>IF(
   COUNTIFS($A$2:A265,A265,
             $B$2:B265,B265,
             $C$2:C265,C265,
             $D$2:D265,D265,
             $E$2:E265,E265,
             $F$2:F265,F265,
              $J$2:J265,J265)&gt;1,
   "Doublon",
   "Correcte"
)</f>
        <v>Correcte</v>
      </c>
      <c r="Q265" s="106" t="str">
        <f>IF(mouvementmp[[#This Row],[QR Fabrication]]&lt;&gt;"",INDEX(_xlfn.TEXTSPLIT(mouvementmp[[#This Row],[QR Fabrication]],"_"),1,1),"")</f>
        <v>CA250068</v>
      </c>
      <c r="R265" s="106" t="str">
        <f>IF(mouvementmp[[#This Row],[QR Fabrication]]&lt;&gt;"",INDEX(_xlfn.TEXTSPLIT(mouvementmp[[#This Row],[QR Fabrication]],"_"),1,2),"")</f>
        <v>All by Fouta</v>
      </c>
      <c r="S265" s="47" t="str">
        <f>IF(mouvementmp[[#This Row],[QR Fabrication]]&lt;&gt;"",INDEX(_xlfn.TEXTSPLIT(mouvementmp[[#This Row],[QR Fabrication]],"_"),1,3),"")</f>
        <v>Stock</v>
      </c>
      <c r="T265" s="47" t="str">
        <f>IF(mouvementmp[[#This Row],[QR Fabrication]]&lt;&gt;"",INDEX(_xlfn.TEXTSPLIT(mouvementmp[[#This Row],[QR Fabrication]],"_"),1,4),"")</f>
        <v>UNS2030-15</v>
      </c>
      <c r="U265" s="47" t="str">
        <f>IF(mouvementmp[[#This Row],[QR Fabrication]]&lt;&gt;"",INDEX(_xlfn.TEXTSPLIT(mouvementmp[[#This Row],[QR Fabrication]],"_"),1,5),"")</f>
        <v>UNI SURPIQUE</v>
      </c>
      <c r="V265" s="47" t="str">
        <f>IF(mouvementmp[[#This Row],[QR Fabrication]]&lt;&gt;"",_xlfn.TEXTAFTER(mouvementmp[[#This Row],[QR Fabrication]],"_",5),"")</f>
        <v>2030</v>
      </c>
    </row>
    <row r="266" spans="1:22" ht="16.5" thickTop="1" thickBot="1" x14ac:dyDescent="0.3">
      <c r="A266" s="46" t="s">
        <v>2446</v>
      </c>
      <c r="B266" s="54" t="s">
        <v>3886</v>
      </c>
      <c r="C266" s="47" t="s">
        <v>668</v>
      </c>
      <c r="D266" s="47" t="s">
        <v>665</v>
      </c>
      <c r="E266" s="47" t="s">
        <v>669</v>
      </c>
      <c r="F266" s="48">
        <v>0.75</v>
      </c>
      <c r="G266" s="47"/>
      <c r="H266" s="47"/>
      <c r="I266" s="47" t="s">
        <v>664</v>
      </c>
      <c r="J266" s="49">
        <v>45913</v>
      </c>
      <c r="K266" s="47" t="str">
        <f>INDEX(_xlfn.TEXTSPLIT(mouvementmp[[#This Row],[QR MP]],"_"),1,1)</f>
        <v>C24</v>
      </c>
      <c r="L266" s="47" t="str">
        <f>INDEX(_xlfn.TEXTSPLIT(mouvementmp[[#This Row],[QR MP]],"_"),1,2)</f>
        <v>JAUNE SAFRAN</v>
      </c>
      <c r="M266" s="47" t="str">
        <f>INDEX(_xlfn.TEXTSPLIT(mouvementmp[[#This Row],[QR MP]],"_"),1,3)</f>
        <v>NM15-24.00</v>
      </c>
      <c r="N266" s="47" t="str">
        <f>INDEX(_xlfn.TEXTSPLIT(mouvementmp[[#This Row],[QR MP]],"_"),1,4)</f>
        <v>61554</v>
      </c>
      <c r="O266" s="47">
        <f>-mouvementmp[[#This Row],[Poids]]</f>
        <v>-0.75</v>
      </c>
      <c r="P266" s="47" t="str">
        <f>IF(
   COUNTIFS($A$2:A266,A266,
             $B$2:B266,B266,
             $C$2:C266,C266,
             $D$2:D266,D266,
             $E$2:E266,E266,
             $F$2:F266,F266,
              $J$2:J266,J266)&gt;1,
   "Doublon",
   "Correcte"
)</f>
        <v>Correcte</v>
      </c>
      <c r="Q266" s="106" t="str">
        <f>IF(mouvementmp[[#This Row],[QR Fabrication]]&lt;&gt;"",INDEX(_xlfn.TEXTSPLIT(mouvementmp[[#This Row],[QR Fabrication]],"_"),1,1),"")</f>
        <v>CA250054</v>
      </c>
      <c r="R266" s="106" t="str">
        <f>IF(mouvementmp[[#This Row],[QR Fabrication]]&lt;&gt;"",INDEX(_xlfn.TEXTSPLIT(mouvementmp[[#This Row],[QR Fabrication]],"_"),1,2),"")</f>
        <v>All by Fouta</v>
      </c>
      <c r="S266" s="47" t="str">
        <f>IF(mouvementmp[[#This Row],[QR Fabrication]]&lt;&gt;"",INDEX(_xlfn.TEXTSPLIT(mouvementmp[[#This Row],[QR Fabrication]],"_"),1,3),"")</f>
        <v>Stock</v>
      </c>
      <c r="T266" s="47" t="str">
        <f>IF(mouvementmp[[#This Row],[QR Fabrication]]&lt;&gt;"",INDEX(_xlfn.TEXTSPLIT(mouvementmp[[#This Row],[QR Fabrication]],"_"),1,4),"")</f>
        <v>UNS1626-24</v>
      </c>
      <c r="U266" s="47" t="str">
        <f>IF(mouvementmp[[#This Row],[QR Fabrication]]&lt;&gt;"",INDEX(_xlfn.TEXTSPLIT(mouvementmp[[#This Row],[QR Fabrication]],"_"),1,5),"")</f>
        <v>UNI SURPIQUE</v>
      </c>
      <c r="V266" s="47" t="str">
        <f>IF(mouvementmp[[#This Row],[QR Fabrication]]&lt;&gt;"",_xlfn.TEXTAFTER(mouvementmp[[#This Row],[QR Fabrication]],"_",5),"")</f>
        <v>1626</v>
      </c>
    </row>
    <row r="267" spans="1:22" ht="16.5" thickTop="1" thickBot="1" x14ac:dyDescent="0.3">
      <c r="A267" s="46" t="s">
        <v>2447</v>
      </c>
      <c r="B267" s="54" t="s">
        <v>3847</v>
      </c>
      <c r="C267" s="47" t="s">
        <v>668</v>
      </c>
      <c r="D267" s="47" t="s">
        <v>665</v>
      </c>
      <c r="E267" s="47" t="s">
        <v>669</v>
      </c>
      <c r="F267" s="48">
        <v>0.75</v>
      </c>
      <c r="G267" s="47"/>
      <c r="H267" s="47"/>
      <c r="I267" s="47" t="s">
        <v>664</v>
      </c>
      <c r="J267" s="49">
        <v>45913</v>
      </c>
      <c r="K267" s="47" t="str">
        <f>INDEX(_xlfn.TEXTSPLIT(mouvementmp[[#This Row],[QR MP]],"_"),1,1)</f>
        <v>C11</v>
      </c>
      <c r="L267" s="47" t="str">
        <f>INDEX(_xlfn.TEXTSPLIT(mouvementmp[[#This Row],[QR MP]],"_"),1,2)</f>
        <v>BLEU GITANE</v>
      </c>
      <c r="M267" s="47" t="str">
        <f>INDEX(_xlfn.TEXTSPLIT(mouvementmp[[#This Row],[QR MP]],"_"),1,3)</f>
        <v>NM15-11.00</v>
      </c>
      <c r="N267" s="47" t="str">
        <f>INDEX(_xlfn.TEXTSPLIT(mouvementmp[[#This Row],[QR MP]],"_"),1,4)</f>
        <v>61659</v>
      </c>
      <c r="O267" s="47">
        <f>-mouvementmp[[#This Row],[Poids]]</f>
        <v>-0.75</v>
      </c>
      <c r="P267" s="47" t="str">
        <f>IF(
   COUNTIFS($A$2:A267,A267,
             $B$2:B267,B267,
             $C$2:C267,C267,
             $D$2:D267,D267,
             $E$2:E267,E267,
             $F$2:F267,F267,
              $J$2:J267,J267)&gt;1,
   "Doublon",
   "Correcte"
)</f>
        <v>Correcte</v>
      </c>
      <c r="Q267" s="106" t="str">
        <f>IF(mouvementmp[[#This Row],[QR Fabrication]]&lt;&gt;"",INDEX(_xlfn.TEXTSPLIT(mouvementmp[[#This Row],[QR Fabrication]],"_"),1,1),"")</f>
        <v>OF246547</v>
      </c>
      <c r="R267" s="106" t="str">
        <f>IF(mouvementmp[[#This Row],[QR Fabrication]]&lt;&gt;"",INDEX(_xlfn.TEXTSPLIT(mouvementmp[[#This Row],[QR Fabrication]],"_"),1,2),"")</f>
        <v>CL00296</v>
      </c>
      <c r="S267" s="47" t="str">
        <f>IF(mouvementmp[[#This Row],[QR Fabrication]]&lt;&gt;"",INDEX(_xlfn.TEXTSPLIT(mouvementmp[[#This Row],[QR Fabrication]],"_"),1,3),"")</f>
        <v>CM-FT0108</v>
      </c>
      <c r="T267" s="47" t="str">
        <f>IF(mouvementmp[[#This Row],[QR Fabrication]]&lt;&gt;"",INDEX(_xlfn.TEXTSPLIT(mouvementmp[[#This Row],[QR Fabrication]],"_"),1,4),"")</f>
        <v>EPMA0919-B11-02</v>
      </c>
      <c r="U267" s="47" t="str">
        <f>IF(mouvementmp[[#This Row],[QR Fabrication]]&lt;&gt;"",INDEX(_xlfn.TEXTSPLIT(mouvementmp[[#This Row],[QR Fabrication]],"_"),1,5),"")</f>
        <v>MARINIERE</v>
      </c>
      <c r="V267" s="47" t="str">
        <f>IF(mouvementmp[[#This Row],[QR Fabrication]]&lt;&gt;"",_xlfn.TEXTAFTER(mouvementmp[[#This Row],[QR Fabrication]],"_",5),"")</f>
        <v>0919</v>
      </c>
    </row>
    <row r="268" spans="1:22" ht="16.5" thickTop="1" thickBot="1" x14ac:dyDescent="0.3">
      <c r="A268" s="46" t="s">
        <v>2448</v>
      </c>
      <c r="B268" s="54" t="s">
        <v>3894</v>
      </c>
      <c r="C268" s="47" t="s">
        <v>668</v>
      </c>
      <c r="D268" s="47" t="s">
        <v>665</v>
      </c>
      <c r="E268" s="47" t="s">
        <v>669</v>
      </c>
      <c r="F268" s="48">
        <v>1.1499999999999999</v>
      </c>
      <c r="G268" s="47"/>
      <c r="H268" s="47"/>
      <c r="I268" s="47" t="s">
        <v>664</v>
      </c>
      <c r="J268" s="49">
        <v>45913</v>
      </c>
      <c r="K268" s="47" t="str">
        <f>INDEX(_xlfn.TEXTSPLIT(mouvementmp[[#This Row],[QR MP]],"_"),1,1)</f>
        <v>C27</v>
      </c>
      <c r="L268" s="47" t="str">
        <f>INDEX(_xlfn.TEXTSPLIT(mouvementmp[[#This Row],[QR MP]],"_"),1,2)</f>
        <v>ROUGE BORDEAU</v>
      </c>
      <c r="M268" s="47" t="str">
        <f>INDEX(_xlfn.TEXTSPLIT(mouvementmp[[#This Row],[QR MP]],"_"),1,3)</f>
        <v>NM15-27.00</v>
      </c>
      <c r="N268" s="47" t="str">
        <f>INDEX(_xlfn.TEXTSPLIT(mouvementmp[[#This Row],[QR MP]],"_"),1,4)</f>
        <v>61518</v>
      </c>
      <c r="O268" s="47">
        <f>-mouvementmp[[#This Row],[Poids]]</f>
        <v>-1.1499999999999999</v>
      </c>
      <c r="P268" s="47" t="str">
        <f>IF(
   COUNTIFS($A$2:A268,A268,
             $B$2:B268,B268,
             $C$2:C268,C268,
             $D$2:D268,D268,
             $E$2:E268,E268,
             $F$2:F268,F268,
              $J$2:J268,J268)&gt;1,
   "Doublon",
   "Correcte"
)</f>
        <v>Correcte</v>
      </c>
      <c r="Q268" s="106" t="str">
        <f>IF(mouvementmp[[#This Row],[QR Fabrication]]&lt;&gt;"",INDEX(_xlfn.TEXTSPLIT(mouvementmp[[#This Row],[QR Fabrication]],"_"),1,1),"")</f>
        <v>CA250036</v>
      </c>
      <c r="R268" s="106" t="str">
        <f>IF(mouvementmp[[#This Row],[QR Fabrication]]&lt;&gt;"",INDEX(_xlfn.TEXTSPLIT(mouvementmp[[#This Row],[QR Fabrication]],"_"),1,2),"")</f>
        <v>All by Fouta</v>
      </c>
      <c r="S268" s="47" t="str">
        <f>IF(mouvementmp[[#This Row],[QR Fabrication]]&lt;&gt;"",INDEX(_xlfn.TEXTSPLIT(mouvementmp[[#This Row],[QR Fabrication]],"_"),1,3),"")</f>
        <v>Stock</v>
      </c>
      <c r="T268" s="47" t="str">
        <f>IF(mouvementmp[[#This Row],[QR Fabrication]]&lt;&gt;"",INDEX(_xlfn.TEXTSPLIT(mouvementmp[[#This Row],[QR Fabrication]],"_"),1,4),"")</f>
        <v>UNS2020-27</v>
      </c>
      <c r="U268" s="47" t="str">
        <f>IF(mouvementmp[[#This Row],[QR Fabrication]]&lt;&gt;"",INDEX(_xlfn.TEXTSPLIT(mouvementmp[[#This Row],[QR Fabrication]],"_"),1,5),"")</f>
        <v>UNI SURPIQUE</v>
      </c>
      <c r="V268" s="47" t="str">
        <f>IF(mouvementmp[[#This Row],[QR Fabrication]]&lt;&gt;"",_xlfn.TEXTAFTER(mouvementmp[[#This Row],[QR Fabrication]],"_",5),"")</f>
        <v>2020</v>
      </c>
    </row>
    <row r="269" spans="1:22" ht="16.5" thickTop="1" thickBot="1" x14ac:dyDescent="0.3">
      <c r="A269" s="46" t="s">
        <v>2449</v>
      </c>
      <c r="B269" s="54" t="s">
        <v>3924</v>
      </c>
      <c r="C269" s="47" t="s">
        <v>668</v>
      </c>
      <c r="D269" s="47" t="s">
        <v>665</v>
      </c>
      <c r="E269" s="47" t="s">
        <v>669</v>
      </c>
      <c r="F269" s="48">
        <v>1.1499999999999999</v>
      </c>
      <c r="G269" s="47"/>
      <c r="H269" s="47"/>
      <c r="I269" s="47" t="s">
        <v>664</v>
      </c>
      <c r="J269" s="49">
        <v>45916</v>
      </c>
      <c r="K269" s="47" t="str">
        <f>INDEX(_xlfn.TEXTSPLIT(mouvementmp[[#This Row],[QR MP]],"_"),1,1)</f>
        <v>C09</v>
      </c>
      <c r="L269" s="47" t="str">
        <f>INDEX(_xlfn.TEXTSPLIT(mouvementmp[[#This Row],[QR MP]],"_"),1,2)</f>
        <v>NOIR</v>
      </c>
      <c r="M269" s="47" t="str">
        <f>INDEX(_xlfn.TEXTSPLIT(mouvementmp[[#This Row],[QR MP]],"_"),1,3)</f>
        <v>NM15-09.00</v>
      </c>
      <c r="N269" s="47" t="str">
        <f>INDEX(_xlfn.TEXTSPLIT(mouvementmp[[#This Row],[QR MP]],"_"),1,4)</f>
        <v>S2023</v>
      </c>
      <c r="O269" s="47">
        <f>-mouvementmp[[#This Row],[Poids]]</f>
        <v>-1.1499999999999999</v>
      </c>
      <c r="P269" s="47" t="str">
        <f>IF(
   COUNTIFS($A$2:A269,A269,
             $B$2:B269,B269,
             $C$2:C269,C269,
             $D$2:D269,D269,
             $E$2:E269,E269,
             $F$2:F269,F269,
              $J$2:J269,J269)&gt;1,
   "Doublon",
   "Correcte"
)</f>
        <v>Correcte</v>
      </c>
      <c r="Q269" s="106" t="str">
        <f>IF(mouvementmp[[#This Row],[QR Fabrication]]&lt;&gt;"",INDEX(_xlfn.TEXTSPLIT(mouvementmp[[#This Row],[QR Fabrication]],"_"),1,1),"")</f>
        <v>CA250024</v>
      </c>
      <c r="R269" s="106" t="str">
        <f>IF(mouvementmp[[#This Row],[QR Fabrication]]&lt;&gt;"",INDEX(_xlfn.TEXTSPLIT(mouvementmp[[#This Row],[QR Fabrication]],"_"),1,2),"")</f>
        <v>All by Fouta</v>
      </c>
      <c r="S269" s="47" t="str">
        <f>IF(mouvementmp[[#This Row],[QR Fabrication]]&lt;&gt;"",INDEX(_xlfn.TEXTSPLIT(mouvementmp[[#This Row],[QR Fabrication]],"_"),1,3),"")</f>
        <v>Stock</v>
      </c>
      <c r="T269" s="47" t="str">
        <f>IF(mouvementmp[[#This Row],[QR Fabrication]]&lt;&gt;"",INDEX(_xlfn.TEXTSPLIT(mouvementmp[[#This Row],[QR Fabrication]],"_"),1,4),"")</f>
        <v>UNS2020-09</v>
      </c>
      <c r="U269" s="47" t="str">
        <f>IF(mouvementmp[[#This Row],[QR Fabrication]]&lt;&gt;"",INDEX(_xlfn.TEXTSPLIT(mouvementmp[[#This Row],[QR Fabrication]],"_"),1,5),"")</f>
        <v>UNI SURPIQUE</v>
      </c>
      <c r="V269" s="47" t="str">
        <f>IF(mouvementmp[[#This Row],[QR Fabrication]]&lt;&gt;"",_xlfn.TEXTAFTER(mouvementmp[[#This Row],[QR Fabrication]],"_",5),"")</f>
        <v>2020</v>
      </c>
    </row>
    <row r="270" spans="1:22" ht="16.5" thickTop="1" thickBot="1" x14ac:dyDescent="0.3">
      <c r="A270" s="46" t="s">
        <v>1311</v>
      </c>
      <c r="B270" s="54" t="s">
        <v>3845</v>
      </c>
      <c r="C270" s="47" t="s">
        <v>672</v>
      </c>
      <c r="D270" s="47" t="s">
        <v>665</v>
      </c>
      <c r="E270" s="47" t="s">
        <v>669</v>
      </c>
      <c r="F270" s="48">
        <v>59.5</v>
      </c>
      <c r="G270" s="47"/>
      <c r="H270" s="47"/>
      <c r="I270" s="47" t="s">
        <v>664</v>
      </c>
      <c r="J270" s="49">
        <v>45917</v>
      </c>
      <c r="K270" s="47" t="str">
        <f>INDEX(_xlfn.TEXTSPLIT(mouvementmp[[#This Row],[QR MP]],"_"),1,1)</f>
        <v>C09</v>
      </c>
      <c r="L270" s="47" t="str">
        <f>INDEX(_xlfn.TEXTSPLIT(mouvementmp[[#This Row],[QR MP]],"_"),1,2)</f>
        <v>NOIR</v>
      </c>
      <c r="M270" s="47" t="str">
        <f>INDEX(_xlfn.TEXTSPLIT(mouvementmp[[#This Row],[QR MP]],"_"),1,3)</f>
        <v>NM14-09.00</v>
      </c>
      <c r="N270" s="47" t="str">
        <f>INDEX(_xlfn.TEXTSPLIT(mouvementmp[[#This Row],[QR MP]],"_"),1,4)</f>
        <v>59635</v>
      </c>
      <c r="O270" s="47">
        <f>-mouvementmp[[#This Row],[Poids]]</f>
        <v>-59.5</v>
      </c>
      <c r="P270" s="47" t="str">
        <f>IF(
   COUNTIFS($A$2:A270,A270,
             $B$2:B270,B270,
             $C$2:C270,C270,
             $D$2:D270,D270,
             $E$2:E270,E270,
             $F$2:F270,F270,
              $J$2:J270,J270)&gt;1,
   "Doublon",
   "Correcte"
)</f>
        <v>Correcte</v>
      </c>
      <c r="Q270" s="106" t="str">
        <f>IF(mouvementmp[[#This Row],[QR Fabrication]]&lt;&gt;"",INDEX(_xlfn.TEXTSPLIT(mouvementmp[[#This Row],[QR Fabrication]],"_"),1,1),"")</f>
        <v>OF250128</v>
      </c>
      <c r="R270" s="106" t="str">
        <f>IF(mouvementmp[[#This Row],[QR Fabrication]]&lt;&gt;"",INDEX(_xlfn.TEXTSPLIT(mouvementmp[[#This Row],[QR Fabrication]],"_"),1,2),"")</f>
        <v>CL00296</v>
      </c>
      <c r="S270" s="47" t="str">
        <f>IF(mouvementmp[[#This Row],[QR Fabrication]]&lt;&gt;"",INDEX(_xlfn.TEXTSPLIT(mouvementmp[[#This Row],[QR Fabrication]],"_"),1,3),"")</f>
        <v>CM-FT0129</v>
      </c>
      <c r="T270" s="47" t="str">
        <f>IF(mouvementmp[[#This Row],[QR Fabrication]]&lt;&gt;"",INDEX(_xlfn.TEXTSPLIT(mouvementmp[[#This Row],[QR Fabrication]],"_"),1,4),"")</f>
        <v>NDL1020-B09-14</v>
      </c>
      <c r="U270" s="47" t="str">
        <f>IF(mouvementmp[[#This Row],[QR Fabrication]]&lt;&gt;"",INDEX(_xlfn.TEXTSPLIT(mouvementmp[[#This Row],[QR Fabrication]],"_"),1,5),"")</f>
        <v>ND LILI</v>
      </c>
      <c r="V270" s="47" t="str">
        <f>IF(mouvementmp[[#This Row],[QR Fabrication]]&lt;&gt;"",_xlfn.TEXTAFTER(mouvementmp[[#This Row],[QR Fabrication]],"_",5),"")</f>
        <v>1020</v>
      </c>
    </row>
    <row r="271" spans="1:22" ht="16.5" thickTop="1" thickBot="1" x14ac:dyDescent="0.3">
      <c r="A271" s="46" t="s">
        <v>1311</v>
      </c>
      <c r="B271" s="54" t="s">
        <v>3860</v>
      </c>
      <c r="C271" s="47" t="s">
        <v>672</v>
      </c>
      <c r="D271" s="47" t="s">
        <v>665</v>
      </c>
      <c r="E271" s="47" t="s">
        <v>669</v>
      </c>
      <c r="F271" s="48">
        <v>10.5</v>
      </c>
      <c r="G271" s="47"/>
      <c r="H271" s="47"/>
      <c r="I271" s="47" t="s">
        <v>664</v>
      </c>
      <c r="J271" s="49">
        <v>45917</v>
      </c>
      <c r="K271" s="47" t="str">
        <f>INDEX(_xlfn.TEXTSPLIT(mouvementmp[[#This Row],[QR MP]],"_"),1,1)</f>
        <v>C15</v>
      </c>
      <c r="L271" s="47" t="str">
        <f>INDEX(_xlfn.TEXTSPLIT(mouvementmp[[#This Row],[QR MP]],"_"),1,2)</f>
        <v>LAGON</v>
      </c>
      <c r="M271" s="47" t="str">
        <f>INDEX(_xlfn.TEXTSPLIT(mouvementmp[[#This Row],[QR MP]],"_"),1,3)</f>
        <v>NM15-15.00</v>
      </c>
      <c r="N271" s="47" t="str">
        <f>INDEX(_xlfn.TEXTSPLIT(mouvementmp[[#This Row],[QR MP]],"_"),1,4)</f>
        <v>61645</v>
      </c>
      <c r="O271" s="47">
        <f>-mouvementmp[[#This Row],[Poids]]</f>
        <v>-10.5</v>
      </c>
      <c r="P271" s="47" t="str">
        <f>IF(
   COUNTIFS($A$2:A271,A271,
             $B$2:B271,B271,
             $C$2:C271,C271,
             $D$2:D271,D271,
             $E$2:E271,E271,
             $F$2:F271,F271,
              $J$2:J271,J271)&gt;1,
   "Doublon",
   "Correcte"
)</f>
        <v>Correcte</v>
      </c>
      <c r="Q271" s="106" t="str">
        <f>IF(mouvementmp[[#This Row],[QR Fabrication]]&lt;&gt;"",INDEX(_xlfn.TEXTSPLIT(mouvementmp[[#This Row],[QR Fabrication]],"_"),1,1),"")</f>
        <v>OF250128</v>
      </c>
      <c r="R271" s="106" t="str">
        <f>IF(mouvementmp[[#This Row],[QR Fabrication]]&lt;&gt;"",INDEX(_xlfn.TEXTSPLIT(mouvementmp[[#This Row],[QR Fabrication]],"_"),1,2),"")</f>
        <v>CL00296</v>
      </c>
      <c r="S271" s="47" t="str">
        <f>IF(mouvementmp[[#This Row],[QR Fabrication]]&lt;&gt;"",INDEX(_xlfn.TEXTSPLIT(mouvementmp[[#This Row],[QR Fabrication]],"_"),1,3),"")</f>
        <v>CM-FT0129</v>
      </c>
      <c r="T271" s="47" t="str">
        <f>IF(mouvementmp[[#This Row],[QR Fabrication]]&lt;&gt;"",INDEX(_xlfn.TEXTSPLIT(mouvementmp[[#This Row],[QR Fabrication]],"_"),1,4),"")</f>
        <v>NDL1020-B09-14</v>
      </c>
      <c r="U271" s="47" t="str">
        <f>IF(mouvementmp[[#This Row],[QR Fabrication]]&lt;&gt;"",INDEX(_xlfn.TEXTSPLIT(mouvementmp[[#This Row],[QR Fabrication]],"_"),1,5),"")</f>
        <v>ND LILI</v>
      </c>
      <c r="V271" s="47" t="str">
        <f>IF(mouvementmp[[#This Row],[QR Fabrication]]&lt;&gt;"",_xlfn.TEXTAFTER(mouvementmp[[#This Row],[QR Fabrication]],"_",5),"")</f>
        <v>1020</v>
      </c>
    </row>
    <row r="272" spans="1:22" ht="16.5" thickTop="1" thickBot="1" x14ac:dyDescent="0.3">
      <c r="A272" s="46" t="s">
        <v>1315</v>
      </c>
      <c r="B272" s="54" t="s">
        <v>3845</v>
      </c>
      <c r="C272" s="47" t="s">
        <v>672</v>
      </c>
      <c r="D272" s="47" t="s">
        <v>665</v>
      </c>
      <c r="E272" s="47" t="s">
        <v>669</v>
      </c>
      <c r="F272" s="48">
        <v>17.149999999999999</v>
      </c>
      <c r="G272" s="47"/>
      <c r="H272" s="47"/>
      <c r="I272" s="47" t="s">
        <v>664</v>
      </c>
      <c r="J272" s="49">
        <v>45917</v>
      </c>
      <c r="K272" s="47" t="str">
        <f>INDEX(_xlfn.TEXTSPLIT(mouvementmp[[#This Row],[QR MP]],"_"),1,1)</f>
        <v>C09</v>
      </c>
      <c r="L272" s="47" t="str">
        <f>INDEX(_xlfn.TEXTSPLIT(mouvementmp[[#This Row],[QR MP]],"_"),1,2)</f>
        <v>NOIR</v>
      </c>
      <c r="M272" s="47" t="str">
        <f>INDEX(_xlfn.TEXTSPLIT(mouvementmp[[#This Row],[QR MP]],"_"),1,3)</f>
        <v>NM14-09.00</v>
      </c>
      <c r="N272" s="47" t="str">
        <f>INDEX(_xlfn.TEXTSPLIT(mouvementmp[[#This Row],[QR MP]],"_"),1,4)</f>
        <v>59635</v>
      </c>
      <c r="O272" s="47">
        <f>-mouvementmp[[#This Row],[Poids]]</f>
        <v>-17.149999999999999</v>
      </c>
      <c r="P272" s="47" t="str">
        <f>IF(
   COUNTIFS($A$2:A272,A272,
             $B$2:B272,B272,
             $C$2:C272,C272,
             $D$2:D272,D272,
             $E$2:E272,E272,
             $F$2:F272,F272,
              $J$2:J272,J272)&gt;1,
   "Doublon",
   "Correcte"
)</f>
        <v>Correcte</v>
      </c>
      <c r="Q272" s="106" t="str">
        <f>IF(mouvementmp[[#This Row],[QR Fabrication]]&lt;&gt;"",INDEX(_xlfn.TEXTSPLIT(mouvementmp[[#This Row],[QR Fabrication]],"_"),1,1),"")</f>
        <v>OF250129</v>
      </c>
      <c r="R272" s="106" t="str">
        <f>IF(mouvementmp[[#This Row],[QR Fabrication]]&lt;&gt;"",INDEX(_xlfn.TEXTSPLIT(mouvementmp[[#This Row],[QR Fabrication]],"_"),1,2),"")</f>
        <v>CL00296</v>
      </c>
      <c r="S272" s="47" t="str">
        <f>IF(mouvementmp[[#This Row],[QR Fabrication]]&lt;&gt;"",INDEX(_xlfn.TEXTSPLIT(mouvementmp[[#This Row],[QR Fabrication]],"_"),1,3),"")</f>
        <v>CM-FT0129</v>
      </c>
      <c r="T272" s="47" t="str">
        <f>IF(mouvementmp[[#This Row],[QR Fabrication]]&lt;&gt;"",INDEX(_xlfn.TEXTSPLIT(mouvementmp[[#This Row],[QR Fabrication]],"_"),1,4),"")</f>
        <v>SACF0507-B09-14</v>
      </c>
      <c r="U272" s="47" t="str">
        <f>IF(mouvementmp[[#This Row],[QR Fabrication]]&lt;&gt;"",INDEX(_xlfn.TEXTSPLIT(mouvementmp[[#This Row],[QR Fabrication]],"_"),1,5),"")</f>
        <v>SAC FOUTA</v>
      </c>
      <c r="V272" s="47" t="str">
        <f>IF(mouvementmp[[#This Row],[QR Fabrication]]&lt;&gt;"",_xlfn.TEXTAFTER(mouvementmp[[#This Row],[QR Fabrication]],"_",5),"")</f>
        <v>0507</v>
      </c>
    </row>
    <row r="273" spans="1:22" ht="16.5" thickTop="1" thickBot="1" x14ac:dyDescent="0.3">
      <c r="A273" s="46" t="s">
        <v>1315</v>
      </c>
      <c r="B273" s="54" t="s">
        <v>3860</v>
      </c>
      <c r="C273" s="47" t="s">
        <v>672</v>
      </c>
      <c r="D273" s="47" t="s">
        <v>665</v>
      </c>
      <c r="E273" s="47" t="s">
        <v>669</v>
      </c>
      <c r="F273" s="48">
        <v>17</v>
      </c>
      <c r="G273" s="47"/>
      <c r="H273" s="47"/>
      <c r="I273" s="47" t="s">
        <v>664</v>
      </c>
      <c r="J273" s="49">
        <v>45917</v>
      </c>
      <c r="K273" s="47" t="str">
        <f>INDEX(_xlfn.TEXTSPLIT(mouvementmp[[#This Row],[QR MP]],"_"),1,1)</f>
        <v>C15</v>
      </c>
      <c r="L273" s="47" t="str">
        <f>INDEX(_xlfn.TEXTSPLIT(mouvementmp[[#This Row],[QR MP]],"_"),1,2)</f>
        <v>LAGON</v>
      </c>
      <c r="M273" s="47" t="str">
        <f>INDEX(_xlfn.TEXTSPLIT(mouvementmp[[#This Row],[QR MP]],"_"),1,3)</f>
        <v>NM15-15.00</v>
      </c>
      <c r="N273" s="47" t="str">
        <f>INDEX(_xlfn.TEXTSPLIT(mouvementmp[[#This Row],[QR MP]],"_"),1,4)</f>
        <v>61645</v>
      </c>
      <c r="O273" s="47">
        <f>-mouvementmp[[#This Row],[Poids]]</f>
        <v>-17</v>
      </c>
      <c r="P273" s="47" t="str">
        <f>IF(
   COUNTIFS($A$2:A273,A273,
             $B$2:B273,B273,
             $C$2:C273,C273,
             $D$2:D273,D273,
             $E$2:E273,E273,
             $F$2:F273,F273,
              $J$2:J273,J273)&gt;1,
   "Doublon",
   "Correcte"
)</f>
        <v>Correcte</v>
      </c>
      <c r="Q273" s="106" t="str">
        <f>IF(mouvementmp[[#This Row],[QR Fabrication]]&lt;&gt;"",INDEX(_xlfn.TEXTSPLIT(mouvementmp[[#This Row],[QR Fabrication]],"_"),1,1),"")</f>
        <v>OF250129</v>
      </c>
      <c r="R273" s="106" t="str">
        <f>IF(mouvementmp[[#This Row],[QR Fabrication]]&lt;&gt;"",INDEX(_xlfn.TEXTSPLIT(mouvementmp[[#This Row],[QR Fabrication]],"_"),1,2),"")</f>
        <v>CL00296</v>
      </c>
      <c r="S273" s="47" t="str">
        <f>IF(mouvementmp[[#This Row],[QR Fabrication]]&lt;&gt;"",INDEX(_xlfn.TEXTSPLIT(mouvementmp[[#This Row],[QR Fabrication]],"_"),1,3),"")</f>
        <v>CM-FT0129</v>
      </c>
      <c r="T273" s="47" t="str">
        <f>IF(mouvementmp[[#This Row],[QR Fabrication]]&lt;&gt;"",INDEX(_xlfn.TEXTSPLIT(mouvementmp[[#This Row],[QR Fabrication]],"_"),1,4),"")</f>
        <v>SACF0507-B09-14</v>
      </c>
      <c r="U273" s="47" t="str">
        <f>IF(mouvementmp[[#This Row],[QR Fabrication]]&lt;&gt;"",INDEX(_xlfn.TEXTSPLIT(mouvementmp[[#This Row],[QR Fabrication]],"_"),1,5),"")</f>
        <v>SAC FOUTA</v>
      </c>
      <c r="V273" s="47" t="str">
        <f>IF(mouvementmp[[#This Row],[QR Fabrication]]&lt;&gt;"",_xlfn.TEXTAFTER(mouvementmp[[#This Row],[QR Fabrication]],"_",5),"")</f>
        <v>0507</v>
      </c>
    </row>
    <row r="274" spans="1:22" ht="16.5" thickTop="1" thickBot="1" x14ac:dyDescent="0.3">
      <c r="A274" s="46" t="s">
        <v>2450</v>
      </c>
      <c r="B274" s="54" t="s">
        <v>3925</v>
      </c>
      <c r="C274" s="47" t="s">
        <v>668</v>
      </c>
      <c r="D274" s="47" t="s">
        <v>665</v>
      </c>
      <c r="E274" s="47" t="s">
        <v>669</v>
      </c>
      <c r="F274" s="48">
        <v>1.1499999999999999</v>
      </c>
      <c r="G274" s="47"/>
      <c r="H274" s="47"/>
      <c r="I274" s="47" t="s">
        <v>664</v>
      </c>
      <c r="J274" s="49">
        <v>45917</v>
      </c>
      <c r="K274" s="47" t="str">
        <f>INDEX(_xlfn.TEXTSPLIT(mouvementmp[[#This Row],[QR MP]],"_"),1,1)</f>
        <v>C19</v>
      </c>
      <c r="L274" s="47" t="str">
        <f>INDEX(_xlfn.TEXTSPLIT(mouvementmp[[#This Row],[QR MP]],"_"),1,2)</f>
        <v>KAKI</v>
      </c>
      <c r="M274" s="47" t="str">
        <f>INDEX(_xlfn.TEXTSPLIT(mouvementmp[[#This Row],[QR MP]],"_"),1,3)</f>
        <v>NM15-19.01</v>
      </c>
      <c r="N274" s="47" t="str">
        <f>INDEX(_xlfn.TEXTSPLIT(mouvementmp[[#This Row],[QR MP]],"_"),1,4)</f>
        <v>S2024</v>
      </c>
      <c r="O274" s="47">
        <f>-mouvementmp[[#This Row],[Poids]]</f>
        <v>-1.1499999999999999</v>
      </c>
      <c r="P274" s="47" t="str">
        <f>IF(
   COUNTIFS($A$2:A274,A274,
             $B$2:B274,B274,
             $C$2:C274,C274,
             $D$2:D274,D274,
             $E$2:E274,E274,
             $F$2:F274,F274,
              $J$2:J274,J274)&gt;1,
   "Doublon",
   "Correcte"
)</f>
        <v>Correcte</v>
      </c>
      <c r="Q274" s="106" t="str">
        <f>IF(mouvementmp[[#This Row],[QR Fabrication]]&lt;&gt;"",INDEX(_xlfn.TEXTSPLIT(mouvementmp[[#This Row],[QR Fabrication]],"_"),1,1),"")</f>
        <v>OF244799</v>
      </c>
      <c r="R274" s="106" t="str">
        <f>IF(mouvementmp[[#This Row],[QR Fabrication]]&lt;&gt;"",INDEX(_xlfn.TEXTSPLIT(mouvementmp[[#This Row],[QR Fabrication]],"_"),1,2),"")</f>
        <v>All By Fouta</v>
      </c>
      <c r="S274" s="47" t="str">
        <f>IF(mouvementmp[[#This Row],[QR Fabrication]]&lt;&gt;"",INDEX(_xlfn.TEXTSPLIT(mouvementmp[[#This Row],[QR Fabrication]],"_"),1,3),"")</f>
        <v>Stock</v>
      </c>
      <c r="T274" s="47" t="str">
        <f>IF(mouvementmp[[#This Row],[QR Fabrication]]&lt;&gt;"",INDEX(_xlfn.TEXTSPLIT(mouvementmp[[#This Row],[QR Fabrication]],"_"),1,4),"")</f>
        <v>PACKSICL0507-B20-24</v>
      </c>
      <c r="U274" s="47" t="str">
        <f>IF(mouvementmp[[#This Row],[QR Fabrication]]&lt;&gt;"",INDEX(_xlfn.TEXTSPLIT(mouvementmp[[#This Row],[QR Fabrication]],"_"),1,5),"")</f>
        <v>PACK CLASSIQUE</v>
      </c>
      <c r="V274" s="47" t="str">
        <f>IF(mouvementmp[[#This Row],[QR Fabrication]]&lt;&gt;"",_xlfn.TEXTAFTER(mouvementmp[[#This Row],[QR Fabrication]],"_",5),"")</f>
        <v>0507</v>
      </c>
    </row>
    <row r="275" spans="1:22" ht="16.5" thickTop="1" thickBot="1" x14ac:dyDescent="0.3">
      <c r="A275" s="46" t="s">
        <v>2450</v>
      </c>
      <c r="B275" s="54" t="s">
        <v>3886</v>
      </c>
      <c r="C275" s="47" t="s">
        <v>668</v>
      </c>
      <c r="D275" s="47" t="s">
        <v>665</v>
      </c>
      <c r="E275" s="47" t="s">
        <v>669</v>
      </c>
      <c r="F275" s="48">
        <v>1.71</v>
      </c>
      <c r="G275" s="47"/>
      <c r="H275" s="47"/>
      <c r="I275" s="47" t="s">
        <v>664</v>
      </c>
      <c r="J275" s="49">
        <v>45917</v>
      </c>
      <c r="K275" s="47" t="str">
        <f>INDEX(_xlfn.TEXTSPLIT(mouvementmp[[#This Row],[QR MP]],"_"),1,1)</f>
        <v>C24</v>
      </c>
      <c r="L275" s="47" t="str">
        <f>INDEX(_xlfn.TEXTSPLIT(mouvementmp[[#This Row],[QR MP]],"_"),1,2)</f>
        <v>JAUNE SAFRAN</v>
      </c>
      <c r="M275" s="47" t="str">
        <f>INDEX(_xlfn.TEXTSPLIT(mouvementmp[[#This Row],[QR MP]],"_"),1,3)</f>
        <v>NM15-24.00</v>
      </c>
      <c r="N275" s="47" t="str">
        <f>INDEX(_xlfn.TEXTSPLIT(mouvementmp[[#This Row],[QR MP]],"_"),1,4)</f>
        <v>61554</v>
      </c>
      <c r="O275" s="47">
        <f>-mouvementmp[[#This Row],[Poids]]</f>
        <v>-1.71</v>
      </c>
      <c r="P275" s="47" t="str">
        <f>IF(
   COUNTIFS($A$2:A275,A275,
             $B$2:B275,B275,
             $C$2:C275,C275,
             $D$2:D275,D275,
             $E$2:E275,E275,
             $F$2:F275,F275,
              $J$2:J275,J275)&gt;1,
   "Doublon",
   "Correcte"
)</f>
        <v>Correcte</v>
      </c>
      <c r="Q275" s="106" t="str">
        <f>IF(mouvementmp[[#This Row],[QR Fabrication]]&lt;&gt;"",INDEX(_xlfn.TEXTSPLIT(mouvementmp[[#This Row],[QR Fabrication]],"_"),1,1),"")</f>
        <v>OF244799</v>
      </c>
      <c r="R275" s="106" t="str">
        <f>IF(mouvementmp[[#This Row],[QR Fabrication]]&lt;&gt;"",INDEX(_xlfn.TEXTSPLIT(mouvementmp[[#This Row],[QR Fabrication]],"_"),1,2),"")</f>
        <v>All By Fouta</v>
      </c>
      <c r="S275" s="47" t="str">
        <f>IF(mouvementmp[[#This Row],[QR Fabrication]]&lt;&gt;"",INDEX(_xlfn.TEXTSPLIT(mouvementmp[[#This Row],[QR Fabrication]],"_"),1,3),"")</f>
        <v>Stock</v>
      </c>
      <c r="T275" s="47" t="str">
        <f>IF(mouvementmp[[#This Row],[QR Fabrication]]&lt;&gt;"",INDEX(_xlfn.TEXTSPLIT(mouvementmp[[#This Row],[QR Fabrication]],"_"),1,4),"")</f>
        <v>PACKSICL0507-B20-24</v>
      </c>
      <c r="U275" s="47" t="str">
        <f>IF(mouvementmp[[#This Row],[QR Fabrication]]&lt;&gt;"",INDEX(_xlfn.TEXTSPLIT(mouvementmp[[#This Row],[QR Fabrication]],"_"),1,5),"")</f>
        <v>PACK CLASSIQUE</v>
      </c>
      <c r="V275" s="47" t="str">
        <f>IF(mouvementmp[[#This Row],[QR Fabrication]]&lt;&gt;"",_xlfn.TEXTAFTER(mouvementmp[[#This Row],[QR Fabrication]],"_",5),"")</f>
        <v>0507</v>
      </c>
    </row>
    <row r="276" spans="1:22" ht="16.5" thickTop="1" thickBot="1" x14ac:dyDescent="0.3">
      <c r="A276" s="46" t="s">
        <v>2451</v>
      </c>
      <c r="B276" s="54" t="s">
        <v>3806</v>
      </c>
      <c r="C276" s="47" t="s">
        <v>668</v>
      </c>
      <c r="D276" s="47" t="s">
        <v>665</v>
      </c>
      <c r="E276" s="47" t="s">
        <v>669</v>
      </c>
      <c r="F276" s="48">
        <v>0.55000000000000004</v>
      </c>
      <c r="G276" s="47"/>
      <c r="H276" s="47"/>
      <c r="I276" s="47" t="s">
        <v>664</v>
      </c>
      <c r="J276" s="49">
        <v>45917</v>
      </c>
      <c r="K276" s="47" t="str">
        <f>INDEX(_xlfn.TEXTSPLIT(mouvementmp[[#This Row],[QR MP]],"_"),1,1)</f>
        <v>C02</v>
      </c>
      <c r="L276" s="47" t="str">
        <f>INDEX(_xlfn.TEXTSPLIT(mouvementmp[[#This Row],[QR MP]],"_"),1,2)</f>
        <v>ECRU</v>
      </c>
      <c r="M276" s="47" t="str">
        <f>INDEX(_xlfn.TEXTSPLIT(mouvementmp[[#This Row],[QR MP]],"_"),1,3)</f>
        <v>NM15-02.00</v>
      </c>
      <c r="N276" s="47" t="str">
        <f>INDEX(_xlfn.TEXTSPLIT(mouvementmp[[#This Row],[QR MP]],"_"),1,4)</f>
        <v>61424</v>
      </c>
      <c r="O276" s="47">
        <f>-mouvementmp[[#This Row],[Poids]]</f>
        <v>-0.55000000000000004</v>
      </c>
      <c r="P276" s="47" t="str">
        <f>IF(
   COUNTIFS($A$2:A276,A276,
             $B$2:B276,B276,
             $C$2:C276,C276,
             $D$2:D276,D276,
             $E$2:E276,E276,
             $F$2:F276,F276,
              $J$2:J276,J276)&gt;1,
   "Doublon",
   "Correcte"
)</f>
        <v>Correcte</v>
      </c>
      <c r="Q276" s="106" t="str">
        <f>IF(mouvementmp[[#This Row],[QR Fabrication]]&lt;&gt;"",INDEX(_xlfn.TEXTSPLIT(mouvementmp[[#This Row],[QR Fabrication]],"_"),1,1),"")</f>
        <v>CA250781</v>
      </c>
      <c r="R276" s="106" t="str">
        <f>IF(mouvementmp[[#This Row],[QR Fabrication]]&lt;&gt;"",INDEX(_xlfn.TEXTSPLIT(mouvementmp[[#This Row],[QR Fabrication]],"_"),1,2),"")</f>
        <v>All by Fouta</v>
      </c>
      <c r="S276" s="47" t="str">
        <f>IF(mouvementmp[[#This Row],[QR Fabrication]]&lt;&gt;"",INDEX(_xlfn.TEXTSPLIT(mouvementmp[[#This Row],[QR Fabrication]],"_"),1,3),"")</f>
        <v>Stock</v>
      </c>
      <c r="T276" s="47" t="str">
        <f>IF(mouvementmp[[#This Row],[QR Fabrication]]&lt;&gt;"",INDEX(_xlfn.TEXTSPLIT(mouvementmp[[#This Row],[QR Fabrication]],"_"),1,4),"")</f>
        <v>PACKSICHI0507-Q02-06-01</v>
      </c>
      <c r="U276" s="47" t="str">
        <f>IF(mouvementmp[[#This Row],[QR Fabrication]]&lt;&gt;"",INDEX(_xlfn.TEXTSPLIT(mouvementmp[[#This Row],[QR Fabrication]],"_"),1,5),"")</f>
        <v>PACK CHIC</v>
      </c>
      <c r="V276" s="47" t="str">
        <f>IF(mouvementmp[[#This Row],[QR Fabrication]]&lt;&gt;"",_xlfn.TEXTAFTER(mouvementmp[[#This Row],[QR Fabrication]],"_",5),"")</f>
        <v>0507</v>
      </c>
    </row>
    <row r="277" spans="1:22" ht="16.5" thickTop="1" thickBot="1" x14ac:dyDescent="0.3">
      <c r="A277" s="46" t="s">
        <v>2451</v>
      </c>
      <c r="B277" s="54" t="s">
        <v>3921</v>
      </c>
      <c r="C277" s="47" t="s">
        <v>668</v>
      </c>
      <c r="D277" s="47" t="s">
        <v>665</v>
      </c>
      <c r="E277" s="47" t="s">
        <v>669</v>
      </c>
      <c r="F277" s="48">
        <v>0.28000000000000003</v>
      </c>
      <c r="G277" s="47"/>
      <c r="H277" s="47"/>
      <c r="I277" s="47" t="s">
        <v>664</v>
      </c>
      <c r="J277" s="49">
        <v>45917</v>
      </c>
      <c r="K277" s="47" t="str">
        <f>INDEX(_xlfn.TEXTSPLIT(mouvementmp[[#This Row],[QR MP]],"_"),1,1)</f>
        <v>C06</v>
      </c>
      <c r="L277" s="47" t="str">
        <f>INDEX(_xlfn.TEXTSPLIT(mouvementmp[[#This Row],[QR MP]],"_"),1,2)</f>
        <v>GRIS CLAIR</v>
      </c>
      <c r="M277" s="47" t="str">
        <f>INDEX(_xlfn.TEXTSPLIT(mouvementmp[[#This Row],[QR MP]],"_"),1,3)</f>
        <v>NM15-06.00</v>
      </c>
      <c r="N277" s="47" t="str">
        <f>INDEX(_xlfn.TEXTSPLIT(mouvementmp[[#This Row],[QR MP]],"_"),1,4)</f>
        <v>61828</v>
      </c>
      <c r="O277" s="47">
        <f>-mouvementmp[[#This Row],[Poids]]</f>
        <v>-0.28000000000000003</v>
      </c>
      <c r="P277" s="47" t="str">
        <f>IF(
   COUNTIFS($A$2:A277,A277,
             $B$2:B277,B277,
             $C$2:C277,C277,
             $D$2:D277,D277,
             $E$2:E277,E277,
             $F$2:F277,F277,
              $J$2:J277,J277)&gt;1,
   "Doublon",
   "Correcte"
)</f>
        <v>Correcte</v>
      </c>
      <c r="Q277" s="106" t="str">
        <f>IF(mouvementmp[[#This Row],[QR Fabrication]]&lt;&gt;"",INDEX(_xlfn.TEXTSPLIT(mouvementmp[[#This Row],[QR Fabrication]],"_"),1,1),"")</f>
        <v>CA250781</v>
      </c>
      <c r="R277" s="106" t="str">
        <f>IF(mouvementmp[[#This Row],[QR Fabrication]]&lt;&gt;"",INDEX(_xlfn.TEXTSPLIT(mouvementmp[[#This Row],[QR Fabrication]],"_"),1,2),"")</f>
        <v>All by Fouta</v>
      </c>
      <c r="S277" s="47" t="str">
        <f>IF(mouvementmp[[#This Row],[QR Fabrication]]&lt;&gt;"",INDEX(_xlfn.TEXTSPLIT(mouvementmp[[#This Row],[QR Fabrication]],"_"),1,3),"")</f>
        <v>Stock</v>
      </c>
      <c r="T277" s="47" t="str">
        <f>IF(mouvementmp[[#This Row],[QR Fabrication]]&lt;&gt;"",INDEX(_xlfn.TEXTSPLIT(mouvementmp[[#This Row],[QR Fabrication]],"_"),1,4),"")</f>
        <v>PACKSICHI0507-Q02-06-01</v>
      </c>
      <c r="U277" s="47" t="str">
        <f>IF(mouvementmp[[#This Row],[QR Fabrication]]&lt;&gt;"",INDEX(_xlfn.TEXTSPLIT(mouvementmp[[#This Row],[QR Fabrication]],"_"),1,5),"")</f>
        <v>PACK CHIC</v>
      </c>
      <c r="V277" s="47" t="str">
        <f>IF(mouvementmp[[#This Row],[QR Fabrication]]&lt;&gt;"",_xlfn.TEXTAFTER(mouvementmp[[#This Row],[QR Fabrication]],"_",5),"")</f>
        <v>0507</v>
      </c>
    </row>
    <row r="278" spans="1:22" ht="16.5" thickTop="1" thickBot="1" x14ac:dyDescent="0.3">
      <c r="A278" s="46" t="s">
        <v>2451</v>
      </c>
      <c r="B278" s="54" t="s">
        <v>3886</v>
      </c>
      <c r="C278" s="47" t="s">
        <v>668</v>
      </c>
      <c r="D278" s="47" t="s">
        <v>665</v>
      </c>
      <c r="E278" s="47" t="s">
        <v>669</v>
      </c>
      <c r="F278" s="48">
        <v>0.55000000000000004</v>
      </c>
      <c r="G278" s="47"/>
      <c r="H278" s="47"/>
      <c r="I278" s="47" t="s">
        <v>664</v>
      </c>
      <c r="J278" s="49">
        <v>45917</v>
      </c>
      <c r="K278" s="47" t="str">
        <f>INDEX(_xlfn.TEXTSPLIT(mouvementmp[[#This Row],[QR MP]],"_"),1,1)</f>
        <v>C24</v>
      </c>
      <c r="L278" s="47" t="str">
        <f>INDEX(_xlfn.TEXTSPLIT(mouvementmp[[#This Row],[QR MP]],"_"),1,2)</f>
        <v>JAUNE SAFRAN</v>
      </c>
      <c r="M278" s="47" t="str">
        <f>INDEX(_xlfn.TEXTSPLIT(mouvementmp[[#This Row],[QR MP]],"_"),1,3)</f>
        <v>NM15-24.00</v>
      </c>
      <c r="N278" s="47" t="str">
        <f>INDEX(_xlfn.TEXTSPLIT(mouvementmp[[#This Row],[QR MP]],"_"),1,4)</f>
        <v>61554</v>
      </c>
      <c r="O278" s="47">
        <f>-mouvementmp[[#This Row],[Poids]]</f>
        <v>-0.55000000000000004</v>
      </c>
      <c r="P278" s="47" t="str">
        <f>IF(
   COUNTIFS($A$2:A278,A278,
             $B$2:B278,B278,
             $C$2:C278,C278,
             $D$2:D278,D278,
             $E$2:E278,E278,
             $F$2:F278,F278,
              $J$2:J278,J278)&gt;1,
   "Doublon",
   "Correcte"
)</f>
        <v>Correcte</v>
      </c>
      <c r="Q278" s="106" t="str">
        <f>IF(mouvementmp[[#This Row],[QR Fabrication]]&lt;&gt;"",INDEX(_xlfn.TEXTSPLIT(mouvementmp[[#This Row],[QR Fabrication]],"_"),1,1),"")</f>
        <v>CA250781</v>
      </c>
      <c r="R278" s="106" t="str">
        <f>IF(mouvementmp[[#This Row],[QR Fabrication]]&lt;&gt;"",INDEX(_xlfn.TEXTSPLIT(mouvementmp[[#This Row],[QR Fabrication]],"_"),1,2),"")</f>
        <v>All by Fouta</v>
      </c>
      <c r="S278" s="47" t="str">
        <f>IF(mouvementmp[[#This Row],[QR Fabrication]]&lt;&gt;"",INDEX(_xlfn.TEXTSPLIT(mouvementmp[[#This Row],[QR Fabrication]],"_"),1,3),"")</f>
        <v>Stock</v>
      </c>
      <c r="T278" s="47" t="str">
        <f>IF(mouvementmp[[#This Row],[QR Fabrication]]&lt;&gt;"",INDEX(_xlfn.TEXTSPLIT(mouvementmp[[#This Row],[QR Fabrication]],"_"),1,4),"")</f>
        <v>PACKSICHI0507-Q02-06-01</v>
      </c>
      <c r="U278" s="47" t="str">
        <f>IF(mouvementmp[[#This Row],[QR Fabrication]]&lt;&gt;"",INDEX(_xlfn.TEXTSPLIT(mouvementmp[[#This Row],[QR Fabrication]],"_"),1,5),"")</f>
        <v>PACK CHIC</v>
      </c>
      <c r="V278" s="47" t="str">
        <f>IF(mouvementmp[[#This Row],[QR Fabrication]]&lt;&gt;"",_xlfn.TEXTAFTER(mouvementmp[[#This Row],[QR Fabrication]],"_",5),"")</f>
        <v>0507</v>
      </c>
    </row>
    <row r="279" spans="1:22" ht="16.5" thickTop="1" thickBot="1" x14ac:dyDescent="0.3">
      <c r="A279" s="46" t="s">
        <v>2452</v>
      </c>
      <c r="B279" s="54" t="s">
        <v>3868</v>
      </c>
      <c r="C279" s="47" t="s">
        <v>668</v>
      </c>
      <c r="D279" s="47" t="s">
        <v>665</v>
      </c>
      <c r="E279" s="47" t="s">
        <v>669</v>
      </c>
      <c r="F279" s="48">
        <v>0.75</v>
      </c>
      <c r="G279" s="47"/>
      <c r="H279" s="47"/>
      <c r="I279" s="47" t="s">
        <v>664</v>
      </c>
      <c r="J279" s="49">
        <v>45917</v>
      </c>
      <c r="K279" s="47" t="str">
        <f>INDEX(_xlfn.TEXTSPLIT(mouvementmp[[#This Row],[QR MP]],"_"),1,1)</f>
        <v>C18</v>
      </c>
      <c r="L279" s="47" t="str">
        <f>INDEX(_xlfn.TEXTSPLIT(mouvementmp[[#This Row],[QR MP]],"_"),1,2)</f>
        <v xml:space="preserve">VERT D'EAU </v>
      </c>
      <c r="M279" s="47" t="str">
        <f>INDEX(_xlfn.TEXTSPLIT(mouvementmp[[#This Row],[QR MP]],"_"),1,3)</f>
        <v>NM15-18.00</v>
      </c>
      <c r="N279" s="47" t="str">
        <f>INDEX(_xlfn.TEXTSPLIT(mouvementmp[[#This Row],[QR MP]],"_"),1,4)</f>
        <v>61535</v>
      </c>
      <c r="O279" s="47">
        <f>-mouvementmp[[#This Row],[Poids]]</f>
        <v>-0.75</v>
      </c>
      <c r="P279" s="47" t="str">
        <f>IF(
   COUNTIFS($A$2:A279,A279,
             $B$2:B279,B279,
             $C$2:C279,C279,
             $D$2:D279,D279,
             $E$2:E279,E279,
             $F$2:F279,F279,
              $J$2:J279,J279)&gt;1,
   "Doublon",
   "Correcte"
)</f>
        <v>Correcte</v>
      </c>
      <c r="Q279" s="106" t="str">
        <f>IF(mouvementmp[[#This Row],[QR Fabrication]]&lt;&gt;"",INDEX(_xlfn.TEXTSPLIT(mouvementmp[[#This Row],[QR Fabrication]],"_"),1,1),"")</f>
        <v>OF244806</v>
      </c>
      <c r="R279" s="106" t="str">
        <f>IF(mouvementmp[[#This Row],[QR Fabrication]]&lt;&gt;"",INDEX(_xlfn.TEXTSPLIT(mouvementmp[[#This Row],[QR Fabrication]],"_"),1,2),"")</f>
        <v>All By Fouta</v>
      </c>
      <c r="S279" s="47" t="str">
        <f>IF(mouvementmp[[#This Row],[QR Fabrication]]&lt;&gt;"",INDEX(_xlfn.TEXTSPLIT(mouvementmp[[#This Row],[QR Fabrication]],"_"),1,3),"")</f>
        <v>Stock</v>
      </c>
      <c r="T279" s="47" t="str">
        <f>IF(mouvementmp[[#This Row],[QR Fabrication]]&lt;&gt;"",INDEX(_xlfn.TEXTSPLIT(mouvementmp[[#This Row],[QR Fabrication]],"_"),1,4),"")</f>
        <v>PACKSICL0507-B18-19</v>
      </c>
      <c r="U279" s="47" t="str">
        <f>IF(mouvementmp[[#This Row],[QR Fabrication]]&lt;&gt;"",INDEX(_xlfn.TEXTSPLIT(mouvementmp[[#This Row],[QR Fabrication]],"_"),1,5),"")</f>
        <v>PACK CLASSIQUE</v>
      </c>
      <c r="V279" s="47" t="str">
        <f>IF(mouvementmp[[#This Row],[QR Fabrication]]&lt;&gt;"",_xlfn.TEXTAFTER(mouvementmp[[#This Row],[QR Fabrication]],"_",5),"")</f>
        <v>0507</v>
      </c>
    </row>
    <row r="280" spans="1:22" ht="16.5" thickTop="1" thickBot="1" x14ac:dyDescent="0.3">
      <c r="A280" s="46" t="s">
        <v>2452</v>
      </c>
      <c r="B280" s="54" t="s">
        <v>3925</v>
      </c>
      <c r="C280" s="47" t="s">
        <v>668</v>
      </c>
      <c r="D280" s="47" t="s">
        <v>665</v>
      </c>
      <c r="E280" s="47" t="s">
        <v>669</v>
      </c>
      <c r="F280" s="48">
        <v>0.81</v>
      </c>
      <c r="G280" s="47"/>
      <c r="H280" s="47"/>
      <c r="I280" s="47" t="s">
        <v>664</v>
      </c>
      <c r="J280" s="49">
        <v>45917</v>
      </c>
      <c r="K280" s="47" t="str">
        <f>INDEX(_xlfn.TEXTSPLIT(mouvementmp[[#This Row],[QR MP]],"_"),1,1)</f>
        <v>C19</v>
      </c>
      <c r="L280" s="47" t="str">
        <f>INDEX(_xlfn.TEXTSPLIT(mouvementmp[[#This Row],[QR MP]],"_"),1,2)</f>
        <v>KAKI</v>
      </c>
      <c r="M280" s="47" t="str">
        <f>INDEX(_xlfn.TEXTSPLIT(mouvementmp[[#This Row],[QR MP]],"_"),1,3)</f>
        <v>NM15-19.01</v>
      </c>
      <c r="N280" s="47" t="str">
        <f>INDEX(_xlfn.TEXTSPLIT(mouvementmp[[#This Row],[QR MP]],"_"),1,4)</f>
        <v>S2024</v>
      </c>
      <c r="O280" s="47">
        <f>-mouvementmp[[#This Row],[Poids]]</f>
        <v>-0.81</v>
      </c>
      <c r="P280" s="47" t="str">
        <f>IF(
   COUNTIFS($A$2:A280,A280,
             $B$2:B280,B280,
             $C$2:C280,C280,
             $D$2:D280,D280,
             $E$2:E280,E280,
             $F$2:F280,F280,
              $J$2:J280,J280)&gt;1,
   "Doublon",
   "Correcte"
)</f>
        <v>Correcte</v>
      </c>
      <c r="Q280" s="106" t="str">
        <f>IF(mouvementmp[[#This Row],[QR Fabrication]]&lt;&gt;"",INDEX(_xlfn.TEXTSPLIT(mouvementmp[[#This Row],[QR Fabrication]],"_"),1,1),"")</f>
        <v>OF244806</v>
      </c>
      <c r="R280" s="106" t="str">
        <f>IF(mouvementmp[[#This Row],[QR Fabrication]]&lt;&gt;"",INDEX(_xlfn.TEXTSPLIT(mouvementmp[[#This Row],[QR Fabrication]],"_"),1,2),"")</f>
        <v>All By Fouta</v>
      </c>
      <c r="S280" s="47" t="str">
        <f>IF(mouvementmp[[#This Row],[QR Fabrication]]&lt;&gt;"",INDEX(_xlfn.TEXTSPLIT(mouvementmp[[#This Row],[QR Fabrication]],"_"),1,3),"")</f>
        <v>Stock</v>
      </c>
      <c r="T280" s="47" t="str">
        <f>IF(mouvementmp[[#This Row],[QR Fabrication]]&lt;&gt;"",INDEX(_xlfn.TEXTSPLIT(mouvementmp[[#This Row],[QR Fabrication]],"_"),1,4),"")</f>
        <v>PACKSICL0507-B18-19</v>
      </c>
      <c r="U280" s="47" t="str">
        <f>IF(mouvementmp[[#This Row],[QR Fabrication]]&lt;&gt;"",INDEX(_xlfn.TEXTSPLIT(mouvementmp[[#This Row],[QR Fabrication]],"_"),1,5),"")</f>
        <v>PACK CLASSIQUE</v>
      </c>
      <c r="V280" s="47" t="str">
        <f>IF(mouvementmp[[#This Row],[QR Fabrication]]&lt;&gt;"",_xlfn.TEXTAFTER(mouvementmp[[#This Row],[QR Fabrication]],"_",5),"")</f>
        <v>0507</v>
      </c>
    </row>
    <row r="281" spans="1:22" ht="16.5" thickTop="1" thickBot="1" x14ac:dyDescent="0.3">
      <c r="A281" s="46" t="s">
        <v>2453</v>
      </c>
      <c r="B281" s="54" t="s">
        <v>3905</v>
      </c>
      <c r="C281" s="47" t="s">
        <v>668</v>
      </c>
      <c r="D281" s="47" t="s">
        <v>665</v>
      </c>
      <c r="E281" s="47" t="s">
        <v>669</v>
      </c>
      <c r="F281" s="48">
        <v>0.55000000000000004</v>
      </c>
      <c r="G281" s="47"/>
      <c r="H281" s="47"/>
      <c r="I281" s="47" t="s">
        <v>664</v>
      </c>
      <c r="J281" s="49">
        <v>45917</v>
      </c>
      <c r="K281" s="47" t="str">
        <f>INDEX(_xlfn.TEXTSPLIT(mouvementmp[[#This Row],[QR MP]],"_"),1,1)</f>
        <v>C32</v>
      </c>
      <c r="L281" s="47" t="str">
        <f>INDEX(_xlfn.TEXTSPLIT(mouvementmp[[#This Row],[QR MP]],"_"),1,2)</f>
        <v>VIEUX ROSE</v>
      </c>
      <c r="M281" s="47" t="str">
        <f>INDEX(_xlfn.TEXTSPLIT(mouvementmp[[#This Row],[QR MP]],"_"),1,3)</f>
        <v>NM15-32.00</v>
      </c>
      <c r="N281" s="47" t="str">
        <f>INDEX(_xlfn.TEXTSPLIT(mouvementmp[[#This Row],[QR MP]],"_"),1,4)</f>
        <v>61455</v>
      </c>
      <c r="O281" s="47">
        <f>-mouvementmp[[#This Row],[Poids]]</f>
        <v>-0.55000000000000004</v>
      </c>
      <c r="P281" s="47" t="str">
        <f>IF(
   COUNTIFS($A$2:A281,A281,
             $B$2:B281,B281,
             $C$2:C281,C281,
             $D$2:D281,D281,
             $E$2:E281,E281,
             $F$2:F281,F281,
              $J$2:J281,J281)&gt;1,
   "Doublon",
   "Correcte"
)</f>
        <v>Correcte</v>
      </c>
      <c r="Q281" s="106" t="str">
        <f>IF(mouvementmp[[#This Row],[QR Fabrication]]&lt;&gt;"",INDEX(_xlfn.TEXTSPLIT(mouvementmp[[#This Row],[QR Fabrication]],"_"),1,1),"")</f>
        <v>OF244804</v>
      </c>
      <c r="R281" s="106" t="str">
        <f>IF(mouvementmp[[#This Row],[QR Fabrication]]&lt;&gt;"",INDEX(_xlfn.TEXTSPLIT(mouvementmp[[#This Row],[QR Fabrication]],"_"),1,2),"")</f>
        <v>All By Fouta</v>
      </c>
      <c r="S281" s="47" t="str">
        <f>IF(mouvementmp[[#This Row],[QR Fabrication]]&lt;&gt;"",INDEX(_xlfn.TEXTSPLIT(mouvementmp[[#This Row],[QR Fabrication]],"_"),1,3),"")</f>
        <v>Stock</v>
      </c>
      <c r="T281" s="47" t="str">
        <f>IF(mouvementmp[[#This Row],[QR Fabrication]]&lt;&gt;"",INDEX(_xlfn.TEXTSPLIT(mouvementmp[[#This Row],[QR Fabrication]],"_"),1,4),"")</f>
        <v>PACKSICL0507-B32-01</v>
      </c>
      <c r="U281" s="47" t="str">
        <f>IF(mouvementmp[[#This Row],[QR Fabrication]]&lt;&gt;"",INDEX(_xlfn.TEXTSPLIT(mouvementmp[[#This Row],[QR Fabrication]],"_"),1,5),"")</f>
        <v>PACK CLASSIQUE</v>
      </c>
      <c r="V281" s="47" t="str">
        <f>IF(mouvementmp[[#This Row],[QR Fabrication]]&lt;&gt;"",_xlfn.TEXTAFTER(mouvementmp[[#This Row],[QR Fabrication]],"_",5),"")</f>
        <v>0507</v>
      </c>
    </row>
    <row r="282" spans="1:22" ht="16.5" thickTop="1" thickBot="1" x14ac:dyDescent="0.3">
      <c r="A282" s="46" t="s">
        <v>2453</v>
      </c>
      <c r="B282" s="54" t="s">
        <v>3920</v>
      </c>
      <c r="C282" s="47" t="s">
        <v>668</v>
      </c>
      <c r="D282" s="47" t="s">
        <v>665</v>
      </c>
      <c r="E282" s="47" t="s">
        <v>669</v>
      </c>
      <c r="F282" s="48">
        <v>0.25</v>
      </c>
      <c r="G282" s="47"/>
      <c r="H282" s="47"/>
      <c r="I282" s="47" t="s">
        <v>664</v>
      </c>
      <c r="J282" s="49">
        <v>45917</v>
      </c>
      <c r="K282" s="47" t="str">
        <f>INDEX(_xlfn.TEXTSPLIT(mouvementmp[[#This Row],[QR MP]],"_"),1,1)</f>
        <v>C01</v>
      </c>
      <c r="L282" s="47" t="str">
        <f>INDEX(_xlfn.TEXTSPLIT(mouvementmp[[#This Row],[QR MP]],"_"),1,2)</f>
        <v>BLANC</v>
      </c>
      <c r="M282" s="47" t="str">
        <f>INDEX(_xlfn.TEXTSPLIT(mouvementmp[[#This Row],[QR MP]],"_"),1,3)</f>
        <v>NM15-01.00</v>
      </c>
      <c r="N282" s="47" t="str">
        <f>INDEX(_xlfn.TEXTSPLIT(mouvementmp[[#This Row],[QR MP]],"_"),1,4)</f>
        <v>62721</v>
      </c>
      <c r="O282" s="47">
        <f>-mouvementmp[[#This Row],[Poids]]</f>
        <v>-0.25</v>
      </c>
      <c r="P282" s="47" t="str">
        <f>IF(
   COUNTIFS($A$2:A282,A282,
             $B$2:B282,B282,
             $C$2:C282,C282,
             $D$2:D282,D282,
             $E$2:E282,E282,
             $F$2:F282,F282,
              $J$2:J282,J282)&gt;1,
   "Doublon",
   "Correcte"
)</f>
        <v>Correcte</v>
      </c>
      <c r="Q282" s="106" t="str">
        <f>IF(mouvementmp[[#This Row],[QR Fabrication]]&lt;&gt;"",INDEX(_xlfn.TEXTSPLIT(mouvementmp[[#This Row],[QR Fabrication]],"_"),1,1),"")</f>
        <v>OF244804</v>
      </c>
      <c r="R282" s="106" t="str">
        <f>IF(mouvementmp[[#This Row],[QR Fabrication]]&lt;&gt;"",INDEX(_xlfn.TEXTSPLIT(mouvementmp[[#This Row],[QR Fabrication]],"_"),1,2),"")</f>
        <v>All By Fouta</v>
      </c>
      <c r="S282" s="47" t="str">
        <f>IF(mouvementmp[[#This Row],[QR Fabrication]]&lt;&gt;"",INDEX(_xlfn.TEXTSPLIT(mouvementmp[[#This Row],[QR Fabrication]],"_"),1,3),"")</f>
        <v>Stock</v>
      </c>
      <c r="T282" s="47" t="str">
        <f>IF(mouvementmp[[#This Row],[QR Fabrication]]&lt;&gt;"",INDEX(_xlfn.TEXTSPLIT(mouvementmp[[#This Row],[QR Fabrication]],"_"),1,4),"")</f>
        <v>PACKSICL0507-B32-01</v>
      </c>
      <c r="U282" s="47" t="str">
        <f>IF(mouvementmp[[#This Row],[QR Fabrication]]&lt;&gt;"",INDEX(_xlfn.TEXTSPLIT(mouvementmp[[#This Row],[QR Fabrication]],"_"),1,5),"")</f>
        <v>PACK CLASSIQUE</v>
      </c>
      <c r="V282" s="47" t="str">
        <f>IF(mouvementmp[[#This Row],[QR Fabrication]]&lt;&gt;"",_xlfn.TEXTAFTER(mouvementmp[[#This Row],[QR Fabrication]],"_",5),"")</f>
        <v>0507</v>
      </c>
    </row>
    <row r="283" spans="1:22" ht="16.5" thickTop="1" thickBot="1" x14ac:dyDescent="0.3">
      <c r="A283" s="46" t="s">
        <v>1304</v>
      </c>
      <c r="B283" s="54" t="s">
        <v>3851</v>
      </c>
      <c r="C283" s="47" t="s">
        <v>668</v>
      </c>
      <c r="D283" s="47" t="s">
        <v>665</v>
      </c>
      <c r="E283" s="47" t="s">
        <v>669</v>
      </c>
      <c r="F283" s="48">
        <v>2.15</v>
      </c>
      <c r="G283" s="47"/>
      <c r="H283" s="47"/>
      <c r="I283" s="47" t="s">
        <v>664</v>
      </c>
      <c r="J283" s="49">
        <v>45917</v>
      </c>
      <c r="K283" s="47" t="str">
        <f>INDEX(_xlfn.TEXTSPLIT(mouvementmp[[#This Row],[QR MP]],"_"),1,1)</f>
        <v>C12</v>
      </c>
      <c r="L283" s="47" t="str">
        <f>INDEX(_xlfn.TEXTSPLIT(mouvementmp[[#This Row],[QR MP]],"_"),1,2)</f>
        <v>BLEU DJEAN</v>
      </c>
      <c r="M283" s="47" t="str">
        <f>INDEX(_xlfn.TEXTSPLIT(mouvementmp[[#This Row],[QR MP]],"_"),1,3)</f>
        <v>NM15-12.00</v>
      </c>
      <c r="N283" s="47" t="str">
        <f>INDEX(_xlfn.TEXTSPLIT(mouvementmp[[#This Row],[QR MP]],"_"),1,4)</f>
        <v>S2023</v>
      </c>
      <c r="O283" s="47">
        <f>-mouvementmp[[#This Row],[Poids]]</f>
        <v>-2.15</v>
      </c>
      <c r="P283" s="47" t="str">
        <f>IF(
   COUNTIFS($A$2:A283,A283,
             $B$2:B283,B283,
             $C$2:C283,C283,
             $D$2:D283,D283,
             $E$2:E283,E283,
             $F$2:F283,F283,
              $J$2:J283,J283)&gt;1,
   "Doublon",
   "Correcte"
)</f>
        <v>Correcte</v>
      </c>
      <c r="Q283" s="106" t="str">
        <f>IF(mouvementmp[[#This Row],[QR Fabrication]]&lt;&gt;"",INDEX(_xlfn.TEXTSPLIT(mouvementmp[[#This Row],[QR Fabrication]],"_"),1,1),"")</f>
        <v>CA250026</v>
      </c>
      <c r="R283" s="106" t="str">
        <f>IF(mouvementmp[[#This Row],[QR Fabrication]]&lt;&gt;"",INDEX(_xlfn.TEXTSPLIT(mouvementmp[[#This Row],[QR Fabrication]],"_"),1,2),"")</f>
        <v>All by Fouta</v>
      </c>
      <c r="S283" s="47" t="str">
        <f>IF(mouvementmp[[#This Row],[QR Fabrication]]&lt;&gt;"",INDEX(_xlfn.TEXTSPLIT(mouvementmp[[#This Row],[QR Fabrication]],"_"),1,3),"")</f>
        <v>Stock</v>
      </c>
      <c r="T283" s="47" t="str">
        <f>IF(mouvementmp[[#This Row],[QR Fabrication]]&lt;&gt;"",INDEX(_xlfn.TEXTSPLIT(mouvementmp[[#This Row],[QR Fabrication]],"_"),1,4),"")</f>
        <v>UNS2020-12</v>
      </c>
      <c r="U283" s="47" t="str">
        <f>IF(mouvementmp[[#This Row],[QR Fabrication]]&lt;&gt;"",INDEX(_xlfn.TEXTSPLIT(mouvementmp[[#This Row],[QR Fabrication]],"_"),1,5),"")</f>
        <v>UNI SURPIQUE</v>
      </c>
      <c r="V283" s="47" t="str">
        <f>IF(mouvementmp[[#This Row],[QR Fabrication]]&lt;&gt;"",_xlfn.TEXTAFTER(mouvementmp[[#This Row],[QR Fabrication]],"_",5),"")</f>
        <v>2020</v>
      </c>
    </row>
    <row r="284" spans="1:22" ht="16.5" thickTop="1" thickBot="1" x14ac:dyDescent="0.3">
      <c r="A284" s="46" t="s">
        <v>2454</v>
      </c>
      <c r="B284" s="54" t="s">
        <v>3868</v>
      </c>
      <c r="C284" s="47" t="s">
        <v>668</v>
      </c>
      <c r="D284" s="47" t="s">
        <v>665</v>
      </c>
      <c r="E284" s="47" t="s">
        <v>669</v>
      </c>
      <c r="F284" s="48">
        <v>0.71</v>
      </c>
      <c r="G284" s="47"/>
      <c r="H284" s="47"/>
      <c r="I284" s="47" t="s">
        <v>664</v>
      </c>
      <c r="J284" s="49">
        <v>45917</v>
      </c>
      <c r="K284" s="47" t="str">
        <f>INDEX(_xlfn.TEXTSPLIT(mouvementmp[[#This Row],[QR MP]],"_"),1,1)</f>
        <v>C18</v>
      </c>
      <c r="L284" s="47" t="str">
        <f>INDEX(_xlfn.TEXTSPLIT(mouvementmp[[#This Row],[QR MP]],"_"),1,2)</f>
        <v xml:space="preserve">VERT D'EAU </v>
      </c>
      <c r="M284" s="47" t="str">
        <f>INDEX(_xlfn.TEXTSPLIT(mouvementmp[[#This Row],[QR MP]],"_"),1,3)</f>
        <v>NM15-18.00</v>
      </c>
      <c r="N284" s="47" t="str">
        <f>INDEX(_xlfn.TEXTSPLIT(mouvementmp[[#This Row],[QR MP]],"_"),1,4)</f>
        <v>61535</v>
      </c>
      <c r="O284" s="47">
        <f>-mouvementmp[[#This Row],[Poids]]</f>
        <v>-0.71</v>
      </c>
      <c r="P284" s="47" t="str">
        <f>IF(
   COUNTIFS($A$2:A284,A284,
             $B$2:B284,B284,
             $C$2:C284,C284,
             $D$2:D284,D284,
             $E$2:E284,E284,
             $F$2:F284,F284,
              $J$2:J284,J284)&gt;1,
   "Doublon",
   "Correcte"
)</f>
        <v>Correcte</v>
      </c>
      <c r="Q284" s="106" t="str">
        <f>IF(mouvementmp[[#This Row],[QR Fabrication]]&lt;&gt;"",INDEX(_xlfn.TEXTSPLIT(mouvementmp[[#This Row],[QR Fabrication]],"_"),1,1),"")</f>
        <v>CA250473</v>
      </c>
      <c r="R284" s="106" t="str">
        <f>IF(mouvementmp[[#This Row],[QR Fabrication]]&lt;&gt;"",INDEX(_xlfn.TEXTSPLIT(mouvementmp[[#This Row],[QR Fabrication]],"_"),1,2),"")</f>
        <v>All by Fouta</v>
      </c>
      <c r="S284" s="47" t="str">
        <f>IF(mouvementmp[[#This Row],[QR Fabrication]]&lt;&gt;"",INDEX(_xlfn.TEXTSPLIT(mouvementmp[[#This Row],[QR Fabrication]],"_"),1,3),"")</f>
        <v>Stock</v>
      </c>
      <c r="T284" s="47" t="str">
        <f>IF(mouvementmp[[#This Row],[QR Fabrication]]&lt;&gt;"",INDEX(_xlfn.TEXTSPLIT(mouvementmp[[#This Row],[QR Fabrication]],"_"),1,4),"")</f>
        <v>FAF1020-B18-19</v>
      </c>
      <c r="U284" s="47" t="str">
        <f>IF(mouvementmp[[#This Row],[QR Fabrication]]&lt;&gt;"",INDEX(_xlfn.TEXTSPLIT(mouvementmp[[#This Row],[QR Fabrication]],"_"),1,5),"")</f>
        <v>FIL A FIL</v>
      </c>
      <c r="V284" s="47" t="str">
        <f>IF(mouvementmp[[#This Row],[QR Fabrication]]&lt;&gt;"",_xlfn.TEXTAFTER(mouvementmp[[#This Row],[QR Fabrication]],"_",5),"")</f>
        <v>1020</v>
      </c>
    </row>
    <row r="285" spans="1:22" ht="16.5" thickTop="1" thickBot="1" x14ac:dyDescent="0.3">
      <c r="A285" s="46" t="s">
        <v>2454</v>
      </c>
      <c r="B285" s="54" t="s">
        <v>3922</v>
      </c>
      <c r="C285" s="47" t="s">
        <v>668</v>
      </c>
      <c r="D285" s="47" t="s">
        <v>665</v>
      </c>
      <c r="E285" s="47" t="s">
        <v>669</v>
      </c>
      <c r="F285" s="48">
        <v>0.85</v>
      </c>
      <c r="G285" s="47"/>
      <c r="H285" s="47"/>
      <c r="I285" s="47" t="s">
        <v>664</v>
      </c>
      <c r="J285" s="49">
        <v>45917</v>
      </c>
      <c r="K285" s="47" t="str">
        <f>INDEX(_xlfn.TEXTSPLIT(mouvementmp[[#This Row],[QR MP]],"_"),1,1)</f>
        <v>C19</v>
      </c>
      <c r="L285" s="47" t="str">
        <f>INDEX(_xlfn.TEXTSPLIT(mouvementmp[[#This Row],[QR MP]],"_"),1,2)</f>
        <v>CEDRE</v>
      </c>
      <c r="M285" s="47" t="str">
        <f>INDEX(_xlfn.TEXTSPLIT(mouvementmp[[#This Row],[QR MP]],"_"),1,3)</f>
        <v>NM15-19.00</v>
      </c>
      <c r="N285" s="47" t="str">
        <f>INDEX(_xlfn.TEXTSPLIT(mouvementmp[[#This Row],[QR MP]],"_"),1,4)</f>
        <v>51471</v>
      </c>
      <c r="O285" s="47">
        <f>-mouvementmp[[#This Row],[Poids]]</f>
        <v>-0.85</v>
      </c>
      <c r="P285" s="47" t="str">
        <f>IF(
   COUNTIFS($A$2:A285,A285,
             $B$2:B285,B285,
             $C$2:C285,C285,
             $D$2:D285,D285,
             $E$2:E285,E285,
             $F$2:F285,F285,
              $J$2:J285,J285)&gt;1,
   "Doublon",
   "Correcte"
)</f>
        <v>Correcte</v>
      </c>
      <c r="Q285" s="106" t="str">
        <f>IF(mouvementmp[[#This Row],[QR Fabrication]]&lt;&gt;"",INDEX(_xlfn.TEXTSPLIT(mouvementmp[[#This Row],[QR Fabrication]],"_"),1,1),"")</f>
        <v>CA250473</v>
      </c>
      <c r="R285" s="106" t="str">
        <f>IF(mouvementmp[[#This Row],[QR Fabrication]]&lt;&gt;"",INDEX(_xlfn.TEXTSPLIT(mouvementmp[[#This Row],[QR Fabrication]],"_"),1,2),"")</f>
        <v>All by Fouta</v>
      </c>
      <c r="S285" s="47" t="str">
        <f>IF(mouvementmp[[#This Row],[QR Fabrication]]&lt;&gt;"",INDEX(_xlfn.TEXTSPLIT(mouvementmp[[#This Row],[QR Fabrication]],"_"),1,3),"")</f>
        <v>Stock</v>
      </c>
      <c r="T285" s="47" t="str">
        <f>IF(mouvementmp[[#This Row],[QR Fabrication]]&lt;&gt;"",INDEX(_xlfn.TEXTSPLIT(mouvementmp[[#This Row],[QR Fabrication]],"_"),1,4),"")</f>
        <v>FAF1020-B18-19</v>
      </c>
      <c r="U285" s="47" t="str">
        <f>IF(mouvementmp[[#This Row],[QR Fabrication]]&lt;&gt;"",INDEX(_xlfn.TEXTSPLIT(mouvementmp[[#This Row],[QR Fabrication]],"_"),1,5),"")</f>
        <v>FIL A FIL</v>
      </c>
      <c r="V285" s="47" t="str">
        <f>IF(mouvementmp[[#This Row],[QR Fabrication]]&lt;&gt;"",_xlfn.TEXTAFTER(mouvementmp[[#This Row],[QR Fabrication]],"_",5),"")</f>
        <v>1020</v>
      </c>
    </row>
    <row r="286" spans="1:22" ht="16.5" thickTop="1" thickBot="1" x14ac:dyDescent="0.3">
      <c r="A286" s="46" t="s">
        <v>2455</v>
      </c>
      <c r="B286" s="54" t="s">
        <v>3924</v>
      </c>
      <c r="C286" s="47" t="s">
        <v>668</v>
      </c>
      <c r="D286" s="47" t="s">
        <v>665</v>
      </c>
      <c r="E286" s="47" t="s">
        <v>669</v>
      </c>
      <c r="F286" s="48">
        <v>0.95</v>
      </c>
      <c r="G286" s="47"/>
      <c r="H286" s="47"/>
      <c r="I286" s="47" t="s">
        <v>664</v>
      </c>
      <c r="J286" s="49">
        <v>45917</v>
      </c>
      <c r="K286" s="47" t="str">
        <f>INDEX(_xlfn.TEXTSPLIT(mouvementmp[[#This Row],[QR MP]],"_"),1,1)</f>
        <v>C09</v>
      </c>
      <c r="L286" s="47" t="str">
        <f>INDEX(_xlfn.TEXTSPLIT(mouvementmp[[#This Row],[QR MP]],"_"),1,2)</f>
        <v>NOIR</v>
      </c>
      <c r="M286" s="47" t="str">
        <f>INDEX(_xlfn.TEXTSPLIT(mouvementmp[[#This Row],[QR MP]],"_"),1,3)</f>
        <v>NM15-09.00</v>
      </c>
      <c r="N286" s="47" t="str">
        <f>INDEX(_xlfn.TEXTSPLIT(mouvementmp[[#This Row],[QR MP]],"_"),1,4)</f>
        <v>S2023</v>
      </c>
      <c r="O286" s="47">
        <f>-mouvementmp[[#This Row],[Poids]]</f>
        <v>-0.95</v>
      </c>
      <c r="P286" s="47" t="str">
        <f>IF(
   COUNTIFS($A$2:A286,A286,
             $B$2:B286,B286,
             $C$2:C286,C286,
             $D$2:D286,D286,
             $E$2:E286,E286,
             $F$2:F286,F286,
              $J$2:J286,J286)&gt;1,
   "Doublon",
   "Correcte"
)</f>
        <v>Correcte</v>
      </c>
      <c r="Q286" s="106" t="str">
        <f>IF(mouvementmp[[#This Row],[QR Fabrication]]&lt;&gt;"",INDEX(_xlfn.TEXTSPLIT(mouvementmp[[#This Row],[QR Fabrication]],"_"),1,1),"")</f>
        <v>CA250064</v>
      </c>
      <c r="R286" s="106" t="str">
        <f>IF(mouvementmp[[#This Row],[QR Fabrication]]&lt;&gt;"",INDEX(_xlfn.TEXTSPLIT(mouvementmp[[#This Row],[QR Fabrication]],"_"),1,2),"")</f>
        <v>All by Fouta</v>
      </c>
      <c r="S286" s="47" t="str">
        <f>IF(mouvementmp[[#This Row],[QR Fabrication]]&lt;&gt;"",INDEX(_xlfn.TEXTSPLIT(mouvementmp[[#This Row],[QR Fabrication]],"_"),1,3),"")</f>
        <v>Stock</v>
      </c>
      <c r="T286" s="47" t="str">
        <f>IF(mouvementmp[[#This Row],[QR Fabrication]]&lt;&gt;"",INDEX(_xlfn.TEXTSPLIT(mouvementmp[[#This Row],[QR Fabrication]],"_"),1,4),"")</f>
        <v>UNS2030-09</v>
      </c>
      <c r="U286" s="47" t="str">
        <f>IF(mouvementmp[[#This Row],[QR Fabrication]]&lt;&gt;"",INDEX(_xlfn.TEXTSPLIT(mouvementmp[[#This Row],[QR Fabrication]],"_"),1,5),"")</f>
        <v>UNI SURPIQUE</v>
      </c>
      <c r="V286" s="47" t="str">
        <f>IF(mouvementmp[[#This Row],[QR Fabrication]]&lt;&gt;"",_xlfn.TEXTAFTER(mouvementmp[[#This Row],[QR Fabrication]],"_",5),"")</f>
        <v>2030</v>
      </c>
    </row>
    <row r="287" spans="1:22" ht="16.5" thickTop="1" thickBot="1" x14ac:dyDescent="0.3">
      <c r="A287" s="46" t="s">
        <v>2456</v>
      </c>
      <c r="B287" s="54" t="s">
        <v>3847</v>
      </c>
      <c r="C287" s="47" t="s">
        <v>668</v>
      </c>
      <c r="D287" s="47" t="s">
        <v>665</v>
      </c>
      <c r="E287" s="47" t="s">
        <v>669</v>
      </c>
      <c r="F287" s="48">
        <v>0.55000000000000004</v>
      </c>
      <c r="G287" s="47"/>
      <c r="H287" s="47"/>
      <c r="I287" s="47" t="s">
        <v>664</v>
      </c>
      <c r="J287" s="49">
        <v>45917</v>
      </c>
      <c r="K287" s="47" t="str">
        <f>INDEX(_xlfn.TEXTSPLIT(mouvementmp[[#This Row],[QR MP]],"_"),1,1)</f>
        <v>C11</v>
      </c>
      <c r="L287" s="47" t="str">
        <f>INDEX(_xlfn.TEXTSPLIT(mouvementmp[[#This Row],[QR MP]],"_"),1,2)</f>
        <v>BLEU GITANE</v>
      </c>
      <c r="M287" s="47" t="str">
        <f>INDEX(_xlfn.TEXTSPLIT(mouvementmp[[#This Row],[QR MP]],"_"),1,3)</f>
        <v>NM15-11.00</v>
      </c>
      <c r="N287" s="47" t="str">
        <f>INDEX(_xlfn.TEXTSPLIT(mouvementmp[[#This Row],[QR MP]],"_"),1,4)</f>
        <v>61659</v>
      </c>
      <c r="O287" s="47">
        <f>-mouvementmp[[#This Row],[Poids]]</f>
        <v>-0.55000000000000004</v>
      </c>
      <c r="P287" s="47" t="str">
        <f>IF(
   COUNTIFS($A$2:A287,A287,
             $B$2:B287,B287,
             $C$2:C287,C287,
             $D$2:D287,D287,
             $E$2:E287,E287,
             $F$2:F287,F287,
              $J$2:J287,J287)&gt;1,
   "Doublon",
   "Correcte"
)</f>
        <v>Correcte</v>
      </c>
      <c r="Q287" s="106" t="str">
        <f>IF(mouvementmp[[#This Row],[QR Fabrication]]&lt;&gt;"",INDEX(_xlfn.TEXTSPLIT(mouvementmp[[#This Row],[QR Fabrication]],"_"),1,1),"")</f>
        <v>OF244798</v>
      </c>
      <c r="R287" s="106" t="str">
        <f>IF(mouvementmp[[#This Row],[QR Fabrication]]&lt;&gt;"",INDEX(_xlfn.TEXTSPLIT(mouvementmp[[#This Row],[QR Fabrication]],"_"),1,2),"")</f>
        <v>All By Fouta</v>
      </c>
      <c r="S287" s="47" t="str">
        <f>IF(mouvementmp[[#This Row],[QR Fabrication]]&lt;&gt;"",INDEX(_xlfn.TEXTSPLIT(mouvementmp[[#This Row],[QR Fabrication]],"_"),1,3),"")</f>
        <v>Stock</v>
      </c>
      <c r="T287" s="47" t="str">
        <f>IF(mouvementmp[[#This Row],[QR Fabrication]]&lt;&gt;"",INDEX(_xlfn.TEXTSPLIT(mouvementmp[[#This Row],[QR Fabrication]],"_"),1,4),"")</f>
        <v>PACKSICL0507-B10-25</v>
      </c>
      <c r="U287" s="47" t="str">
        <f>IF(mouvementmp[[#This Row],[QR Fabrication]]&lt;&gt;"",INDEX(_xlfn.TEXTSPLIT(mouvementmp[[#This Row],[QR Fabrication]],"_"),1,5),"")</f>
        <v>PACK CLASSIQUE</v>
      </c>
      <c r="V287" s="47" t="str">
        <f>IF(mouvementmp[[#This Row],[QR Fabrication]]&lt;&gt;"",_xlfn.TEXTAFTER(mouvementmp[[#This Row],[QR Fabrication]],"_",5),"")</f>
        <v>0507</v>
      </c>
    </row>
    <row r="288" spans="1:22" ht="16.5" thickTop="1" thickBot="1" x14ac:dyDescent="0.3">
      <c r="A288" s="46" t="s">
        <v>2456</v>
      </c>
      <c r="B288" s="54" t="s">
        <v>3887</v>
      </c>
      <c r="C288" s="47" t="s">
        <v>668</v>
      </c>
      <c r="D288" s="47" t="s">
        <v>665</v>
      </c>
      <c r="E288" s="47" t="s">
        <v>669</v>
      </c>
      <c r="F288" s="48">
        <v>0.98</v>
      </c>
      <c r="G288" s="47"/>
      <c r="H288" s="47"/>
      <c r="I288" s="47" t="s">
        <v>664</v>
      </c>
      <c r="J288" s="49">
        <v>45917</v>
      </c>
      <c r="K288" s="47" t="str">
        <f>INDEX(_xlfn.TEXTSPLIT(mouvementmp[[#This Row],[QR MP]],"_"),1,1)</f>
        <v>C25</v>
      </c>
      <c r="L288" s="47" t="str">
        <f>INDEX(_xlfn.TEXTSPLIT(mouvementmp[[#This Row],[QR MP]],"_"),1,2)</f>
        <v>ORANGE</v>
      </c>
      <c r="M288" s="47" t="str">
        <f>INDEX(_xlfn.TEXTSPLIT(mouvementmp[[#This Row],[QR MP]],"_"),1,3)</f>
        <v>NM15-25.00</v>
      </c>
      <c r="N288" s="47" t="str">
        <f>INDEX(_xlfn.TEXTSPLIT(mouvementmp[[#This Row],[QR MP]],"_"),1,4)</f>
        <v>61729</v>
      </c>
      <c r="O288" s="47">
        <f>-mouvementmp[[#This Row],[Poids]]</f>
        <v>-0.98</v>
      </c>
      <c r="P288" s="47" t="str">
        <f>IF(
   COUNTIFS($A$2:A288,A288,
             $B$2:B288,B288,
             $C$2:C288,C288,
             $D$2:D288,D288,
             $E$2:E288,E288,
             $F$2:F288,F288,
              $J$2:J288,J288)&gt;1,
   "Doublon",
   "Correcte"
)</f>
        <v>Correcte</v>
      </c>
      <c r="Q288" s="106" t="str">
        <f>IF(mouvementmp[[#This Row],[QR Fabrication]]&lt;&gt;"",INDEX(_xlfn.TEXTSPLIT(mouvementmp[[#This Row],[QR Fabrication]],"_"),1,1),"")</f>
        <v>OF244798</v>
      </c>
      <c r="R288" s="106" t="str">
        <f>IF(mouvementmp[[#This Row],[QR Fabrication]]&lt;&gt;"",INDEX(_xlfn.TEXTSPLIT(mouvementmp[[#This Row],[QR Fabrication]],"_"),1,2),"")</f>
        <v>All By Fouta</v>
      </c>
      <c r="S288" s="47" t="str">
        <f>IF(mouvementmp[[#This Row],[QR Fabrication]]&lt;&gt;"",INDEX(_xlfn.TEXTSPLIT(mouvementmp[[#This Row],[QR Fabrication]],"_"),1,3),"")</f>
        <v>Stock</v>
      </c>
      <c r="T288" s="47" t="str">
        <f>IF(mouvementmp[[#This Row],[QR Fabrication]]&lt;&gt;"",INDEX(_xlfn.TEXTSPLIT(mouvementmp[[#This Row],[QR Fabrication]],"_"),1,4),"")</f>
        <v>PACKSICL0507-B10-25</v>
      </c>
      <c r="U288" s="47" t="str">
        <f>IF(mouvementmp[[#This Row],[QR Fabrication]]&lt;&gt;"",INDEX(_xlfn.TEXTSPLIT(mouvementmp[[#This Row],[QR Fabrication]],"_"),1,5),"")</f>
        <v>PACK CLASSIQUE</v>
      </c>
      <c r="V288" s="47" t="str">
        <f>IF(mouvementmp[[#This Row],[QR Fabrication]]&lt;&gt;"",_xlfn.TEXTAFTER(mouvementmp[[#This Row],[QR Fabrication]],"_",5),"")</f>
        <v>0507</v>
      </c>
    </row>
    <row r="289" spans="1:22" ht="16.5" thickTop="1" thickBot="1" x14ac:dyDescent="0.3">
      <c r="A289" s="46" t="s">
        <v>2457</v>
      </c>
      <c r="B289" s="54" t="s">
        <v>3874</v>
      </c>
      <c r="C289" s="47" t="s">
        <v>672</v>
      </c>
      <c r="D289" s="47" t="s">
        <v>665</v>
      </c>
      <c r="E289" s="47" t="s">
        <v>669</v>
      </c>
      <c r="F289" s="48">
        <v>17.149999999999999</v>
      </c>
      <c r="G289" s="47"/>
      <c r="H289" s="47"/>
      <c r="I289" s="47" t="s">
        <v>664</v>
      </c>
      <c r="J289" s="49">
        <v>45918</v>
      </c>
      <c r="K289" s="47" t="str">
        <f>INDEX(_xlfn.TEXTSPLIT(mouvementmp[[#This Row],[QR MP]],"_"),1,1)</f>
        <v>C20</v>
      </c>
      <c r="L289" s="47" t="str">
        <f>INDEX(_xlfn.TEXTSPLIT(mouvementmp[[#This Row],[QR MP]],"_"),1,2)</f>
        <v>VERT OLIVE</v>
      </c>
      <c r="M289" s="47" t="str">
        <f>INDEX(_xlfn.TEXTSPLIT(mouvementmp[[#This Row],[QR MP]],"_"),1,3)</f>
        <v>NM15-20.00</v>
      </c>
      <c r="N289" s="47" t="str">
        <f>INDEX(_xlfn.TEXTSPLIT(mouvementmp[[#This Row],[QR MP]],"_"),1,4)</f>
        <v>S2023</v>
      </c>
      <c r="O289" s="47">
        <f>-mouvementmp[[#This Row],[Poids]]</f>
        <v>-17.149999999999999</v>
      </c>
      <c r="P289" s="47" t="str">
        <f>IF(
   COUNTIFS($A$2:A289,A289,
             $B$2:B289,B289,
             $C$2:C289,C289,
             $D$2:D289,D289,
             $E$2:E289,E289,
             $F$2:F289,F289,
              $J$2:J289,J289)&gt;1,
   "Doublon",
   "Correcte"
)</f>
        <v>Correcte</v>
      </c>
      <c r="Q289" s="106" t="str">
        <f>IF(mouvementmp[[#This Row],[QR Fabrication]]&lt;&gt;"",INDEX(_xlfn.TEXTSPLIT(mouvementmp[[#This Row],[QR Fabrication]],"_"),1,1),"")</f>
        <v>OF249849</v>
      </c>
      <c r="R289" s="106" t="str">
        <f>IF(mouvementmp[[#This Row],[QR Fabrication]]&lt;&gt;"",INDEX(_xlfn.TEXTSPLIT(mouvementmp[[#This Row],[QR Fabrication]],"_"),1,2),"")</f>
        <v>CL00884</v>
      </c>
      <c r="S289" s="47" t="str">
        <f>IF(mouvementmp[[#This Row],[QR Fabrication]]&lt;&gt;"",INDEX(_xlfn.TEXTSPLIT(mouvementmp[[#This Row],[QR Fabrication]],"_"),1,3),"")</f>
        <v>CM-FT0119</v>
      </c>
      <c r="T289" s="47" t="str">
        <f>IF(mouvementmp[[#This Row],[QR Fabrication]]&lt;&gt;"",INDEX(_xlfn.TEXTSPLIT(mouvementmp[[#This Row],[QR Fabrication]],"_"),1,4),"")</f>
        <v>ST1020-S20-24-17</v>
      </c>
      <c r="U289" s="47" t="str">
        <f>IF(mouvementmp[[#This Row],[QR Fabrication]]&lt;&gt;"",INDEX(_xlfn.TEXTSPLIT(mouvementmp[[#This Row],[QR Fabrication]],"_"),1,5),"")</f>
        <v>ST TROPEZ</v>
      </c>
      <c r="V289" s="47" t="str">
        <f>IF(mouvementmp[[#This Row],[QR Fabrication]]&lt;&gt;"",_xlfn.TEXTAFTER(mouvementmp[[#This Row],[QR Fabrication]],"_",5),"")</f>
        <v>1020</v>
      </c>
    </row>
    <row r="290" spans="1:22" ht="16.5" thickTop="1" thickBot="1" x14ac:dyDescent="0.3">
      <c r="A290" s="46" t="s">
        <v>2457</v>
      </c>
      <c r="B290" s="54" t="s">
        <v>3886</v>
      </c>
      <c r="C290" s="47" t="s">
        <v>672</v>
      </c>
      <c r="D290" s="47" t="s">
        <v>665</v>
      </c>
      <c r="E290" s="47" t="s">
        <v>669</v>
      </c>
      <c r="F290" s="48">
        <v>17.5</v>
      </c>
      <c r="G290" s="47"/>
      <c r="H290" s="47"/>
      <c r="I290" s="47" t="s">
        <v>664</v>
      </c>
      <c r="J290" s="49">
        <v>45918</v>
      </c>
      <c r="K290" s="47" t="str">
        <f>INDEX(_xlfn.TEXTSPLIT(mouvementmp[[#This Row],[QR MP]],"_"),1,1)</f>
        <v>C24</v>
      </c>
      <c r="L290" s="47" t="str">
        <f>INDEX(_xlfn.TEXTSPLIT(mouvementmp[[#This Row],[QR MP]],"_"),1,2)</f>
        <v>JAUNE SAFRAN</v>
      </c>
      <c r="M290" s="47" t="str">
        <f>INDEX(_xlfn.TEXTSPLIT(mouvementmp[[#This Row],[QR MP]],"_"),1,3)</f>
        <v>NM15-24.00</v>
      </c>
      <c r="N290" s="47" t="str">
        <f>INDEX(_xlfn.TEXTSPLIT(mouvementmp[[#This Row],[QR MP]],"_"),1,4)</f>
        <v>61554</v>
      </c>
      <c r="O290" s="47">
        <f>-mouvementmp[[#This Row],[Poids]]</f>
        <v>-17.5</v>
      </c>
      <c r="P290" s="47" t="str">
        <f>IF(
   COUNTIFS($A$2:A290,A290,
             $B$2:B290,B290,
             $C$2:C290,C290,
             $D$2:D290,D290,
             $E$2:E290,E290,
             $F$2:F290,F290,
              $J$2:J290,J290)&gt;1,
   "Doublon",
   "Correcte"
)</f>
        <v>Correcte</v>
      </c>
      <c r="Q290" s="106" t="str">
        <f>IF(mouvementmp[[#This Row],[QR Fabrication]]&lt;&gt;"",INDEX(_xlfn.TEXTSPLIT(mouvementmp[[#This Row],[QR Fabrication]],"_"),1,1),"")</f>
        <v>OF249849</v>
      </c>
      <c r="R290" s="106" t="str">
        <f>IF(mouvementmp[[#This Row],[QR Fabrication]]&lt;&gt;"",INDEX(_xlfn.TEXTSPLIT(mouvementmp[[#This Row],[QR Fabrication]],"_"),1,2),"")</f>
        <v>CL00884</v>
      </c>
      <c r="S290" s="47" t="str">
        <f>IF(mouvementmp[[#This Row],[QR Fabrication]]&lt;&gt;"",INDEX(_xlfn.TEXTSPLIT(mouvementmp[[#This Row],[QR Fabrication]],"_"),1,3),"")</f>
        <v>CM-FT0119</v>
      </c>
      <c r="T290" s="47" t="str">
        <f>IF(mouvementmp[[#This Row],[QR Fabrication]]&lt;&gt;"",INDEX(_xlfn.TEXTSPLIT(mouvementmp[[#This Row],[QR Fabrication]],"_"),1,4),"")</f>
        <v>ST1020-S20-24-17</v>
      </c>
      <c r="U290" s="47" t="str">
        <f>IF(mouvementmp[[#This Row],[QR Fabrication]]&lt;&gt;"",INDEX(_xlfn.TEXTSPLIT(mouvementmp[[#This Row],[QR Fabrication]],"_"),1,5),"")</f>
        <v>ST TROPEZ</v>
      </c>
      <c r="V290" s="47" t="str">
        <f>IF(mouvementmp[[#This Row],[QR Fabrication]]&lt;&gt;"",_xlfn.TEXTAFTER(mouvementmp[[#This Row],[QR Fabrication]],"_",5),"")</f>
        <v>1020</v>
      </c>
    </row>
    <row r="291" spans="1:22" ht="16.5" thickTop="1" thickBot="1" x14ac:dyDescent="0.3">
      <c r="A291" s="46" t="s">
        <v>2457</v>
      </c>
      <c r="B291" s="54" t="s">
        <v>3868</v>
      </c>
      <c r="C291" s="47" t="s">
        <v>672</v>
      </c>
      <c r="D291" s="47" t="s">
        <v>665</v>
      </c>
      <c r="E291" s="47" t="s">
        <v>669</v>
      </c>
      <c r="F291" s="48">
        <v>17.5</v>
      </c>
      <c r="G291" s="47"/>
      <c r="H291" s="47"/>
      <c r="I291" s="47" t="s">
        <v>664</v>
      </c>
      <c r="J291" s="49">
        <v>45918</v>
      </c>
      <c r="K291" s="47" t="str">
        <f>INDEX(_xlfn.TEXTSPLIT(mouvementmp[[#This Row],[QR MP]],"_"),1,1)</f>
        <v>C18</v>
      </c>
      <c r="L291" s="47" t="str">
        <f>INDEX(_xlfn.TEXTSPLIT(mouvementmp[[#This Row],[QR MP]],"_"),1,2)</f>
        <v xml:space="preserve">VERT D'EAU </v>
      </c>
      <c r="M291" s="47" t="str">
        <f>INDEX(_xlfn.TEXTSPLIT(mouvementmp[[#This Row],[QR MP]],"_"),1,3)</f>
        <v>NM15-18.00</v>
      </c>
      <c r="N291" s="47" t="str">
        <f>INDEX(_xlfn.TEXTSPLIT(mouvementmp[[#This Row],[QR MP]],"_"),1,4)</f>
        <v>61535</v>
      </c>
      <c r="O291" s="47">
        <f>-mouvementmp[[#This Row],[Poids]]</f>
        <v>-17.5</v>
      </c>
      <c r="P291" s="47" t="str">
        <f>IF(
   COUNTIFS($A$2:A291,A291,
             $B$2:B291,B291,
             $C$2:C291,C291,
             $D$2:D291,D291,
             $E$2:E291,E291,
             $F$2:F291,F291,
              $J$2:J291,J291)&gt;1,
   "Doublon",
   "Correcte"
)</f>
        <v>Correcte</v>
      </c>
      <c r="Q291" s="106" t="str">
        <f>IF(mouvementmp[[#This Row],[QR Fabrication]]&lt;&gt;"",INDEX(_xlfn.TEXTSPLIT(mouvementmp[[#This Row],[QR Fabrication]],"_"),1,1),"")</f>
        <v>OF249849</v>
      </c>
      <c r="R291" s="106" t="str">
        <f>IF(mouvementmp[[#This Row],[QR Fabrication]]&lt;&gt;"",INDEX(_xlfn.TEXTSPLIT(mouvementmp[[#This Row],[QR Fabrication]],"_"),1,2),"")</f>
        <v>CL00884</v>
      </c>
      <c r="S291" s="47" t="str">
        <f>IF(mouvementmp[[#This Row],[QR Fabrication]]&lt;&gt;"",INDEX(_xlfn.TEXTSPLIT(mouvementmp[[#This Row],[QR Fabrication]],"_"),1,3),"")</f>
        <v>CM-FT0119</v>
      </c>
      <c r="T291" s="47" t="str">
        <f>IF(mouvementmp[[#This Row],[QR Fabrication]]&lt;&gt;"",INDEX(_xlfn.TEXTSPLIT(mouvementmp[[#This Row],[QR Fabrication]],"_"),1,4),"")</f>
        <v>ST1020-S20-24-17</v>
      </c>
      <c r="U291" s="47" t="str">
        <f>IF(mouvementmp[[#This Row],[QR Fabrication]]&lt;&gt;"",INDEX(_xlfn.TEXTSPLIT(mouvementmp[[#This Row],[QR Fabrication]],"_"),1,5),"")</f>
        <v>ST TROPEZ</v>
      </c>
      <c r="V291" s="47" t="str">
        <f>IF(mouvementmp[[#This Row],[QR Fabrication]]&lt;&gt;"",_xlfn.TEXTAFTER(mouvementmp[[#This Row],[QR Fabrication]],"_",5),"")</f>
        <v>1020</v>
      </c>
    </row>
    <row r="292" spans="1:22" ht="16.5" thickTop="1" thickBot="1" x14ac:dyDescent="0.3">
      <c r="A292" s="46" t="s">
        <v>2457</v>
      </c>
      <c r="B292" s="54" t="s">
        <v>3884</v>
      </c>
      <c r="C292" s="47" t="s">
        <v>672</v>
      </c>
      <c r="D292" s="47" t="s">
        <v>665</v>
      </c>
      <c r="E292" s="47" t="s">
        <v>669</v>
      </c>
      <c r="F292" s="48">
        <v>17.5</v>
      </c>
      <c r="G292" s="47"/>
      <c r="H292" s="47"/>
      <c r="I292" s="47" t="s">
        <v>664</v>
      </c>
      <c r="J292" s="49">
        <v>45918</v>
      </c>
      <c r="K292" s="47" t="str">
        <f>INDEX(_xlfn.TEXTSPLIT(mouvementmp[[#This Row],[QR MP]],"_"),1,1)</f>
        <v>C23</v>
      </c>
      <c r="L292" s="47" t="str">
        <f>INDEX(_xlfn.TEXTSPLIT(mouvementmp[[#This Row],[QR MP]],"_"),1,2)</f>
        <v>OR</v>
      </c>
      <c r="M292" s="47" t="str">
        <f>INDEX(_xlfn.TEXTSPLIT(mouvementmp[[#This Row],[QR MP]],"_"),1,3)</f>
        <v>NM15-23.00</v>
      </c>
      <c r="N292" s="47" t="str">
        <f>INDEX(_xlfn.TEXTSPLIT(mouvementmp[[#This Row],[QR MP]],"_"),1,4)</f>
        <v>61566</v>
      </c>
      <c r="O292" s="47">
        <f>-mouvementmp[[#This Row],[Poids]]</f>
        <v>-17.5</v>
      </c>
      <c r="P292" s="47" t="str">
        <f>IF(
   COUNTIFS($A$2:A292,A292,
             $B$2:B292,B292,
             $C$2:C292,C292,
             $D$2:D292,D292,
             $E$2:E292,E292,
             $F$2:F292,F292,
              $J$2:J292,J292)&gt;1,
   "Doublon",
   "Correcte"
)</f>
        <v>Correcte</v>
      </c>
      <c r="Q292" s="106" t="str">
        <f>IF(mouvementmp[[#This Row],[QR Fabrication]]&lt;&gt;"",INDEX(_xlfn.TEXTSPLIT(mouvementmp[[#This Row],[QR Fabrication]],"_"),1,1),"")</f>
        <v>OF249849</v>
      </c>
      <c r="R292" s="106" t="str">
        <f>IF(mouvementmp[[#This Row],[QR Fabrication]]&lt;&gt;"",INDEX(_xlfn.TEXTSPLIT(mouvementmp[[#This Row],[QR Fabrication]],"_"),1,2),"")</f>
        <v>CL00884</v>
      </c>
      <c r="S292" s="47" t="str">
        <f>IF(mouvementmp[[#This Row],[QR Fabrication]]&lt;&gt;"",INDEX(_xlfn.TEXTSPLIT(mouvementmp[[#This Row],[QR Fabrication]],"_"),1,3),"")</f>
        <v>CM-FT0119</v>
      </c>
      <c r="T292" s="47" t="str">
        <f>IF(mouvementmp[[#This Row],[QR Fabrication]]&lt;&gt;"",INDEX(_xlfn.TEXTSPLIT(mouvementmp[[#This Row],[QR Fabrication]],"_"),1,4),"")</f>
        <v>ST1020-S20-24-17</v>
      </c>
      <c r="U292" s="47" t="str">
        <f>IF(mouvementmp[[#This Row],[QR Fabrication]]&lt;&gt;"",INDEX(_xlfn.TEXTSPLIT(mouvementmp[[#This Row],[QR Fabrication]],"_"),1,5),"")</f>
        <v>ST TROPEZ</v>
      </c>
      <c r="V292" s="47" t="str">
        <f>IF(mouvementmp[[#This Row],[QR Fabrication]]&lt;&gt;"",_xlfn.TEXTAFTER(mouvementmp[[#This Row],[QR Fabrication]],"_",5),"")</f>
        <v>1020</v>
      </c>
    </row>
    <row r="293" spans="1:22" ht="16.5" thickTop="1" thickBot="1" x14ac:dyDescent="0.3">
      <c r="A293" s="46" t="s">
        <v>2457</v>
      </c>
      <c r="B293" s="54" t="s">
        <v>3923</v>
      </c>
      <c r="C293" s="47" t="s">
        <v>672</v>
      </c>
      <c r="D293" s="47" t="s">
        <v>665</v>
      </c>
      <c r="E293" s="47" t="s">
        <v>669</v>
      </c>
      <c r="F293" s="48">
        <v>18.25</v>
      </c>
      <c r="G293" s="47"/>
      <c r="H293" s="47"/>
      <c r="I293" s="47" t="s">
        <v>664</v>
      </c>
      <c r="J293" s="49">
        <v>45918</v>
      </c>
      <c r="K293" s="47" t="str">
        <f>INDEX(_xlfn.TEXTSPLIT(mouvementmp[[#This Row],[QR MP]],"_"),1,1)</f>
        <v>C16</v>
      </c>
      <c r="L293" s="47" t="str">
        <f>INDEX(_xlfn.TEXTSPLIT(mouvementmp[[#This Row],[QR MP]],"_"),1,2)</f>
        <v>BLEU CIEL</v>
      </c>
      <c r="M293" s="47" t="str">
        <f>INDEX(_xlfn.TEXTSPLIT(mouvementmp[[#This Row],[QR MP]],"_"),1,3)</f>
        <v>NM15-16.00</v>
      </c>
      <c r="N293" s="47" t="str">
        <f>INDEX(_xlfn.TEXTSPLIT(mouvementmp[[#This Row],[QR MP]],"_"),1,4)</f>
        <v>61532</v>
      </c>
      <c r="O293" s="47">
        <f>-mouvementmp[[#This Row],[Poids]]</f>
        <v>-18.25</v>
      </c>
      <c r="P293" s="47" t="str">
        <f>IF(
   COUNTIFS($A$2:A293,A293,
             $B$2:B293,B293,
             $C$2:C293,C293,
             $D$2:D293,D293,
             $E$2:E293,E293,
             $F$2:F293,F293,
              $J$2:J293,J293)&gt;1,
   "Doublon",
   "Correcte"
)</f>
        <v>Correcte</v>
      </c>
      <c r="Q293" s="106" t="str">
        <f>IF(mouvementmp[[#This Row],[QR Fabrication]]&lt;&gt;"",INDEX(_xlfn.TEXTSPLIT(mouvementmp[[#This Row],[QR Fabrication]],"_"),1,1),"")</f>
        <v>OF249849</v>
      </c>
      <c r="R293" s="106" t="str">
        <f>IF(mouvementmp[[#This Row],[QR Fabrication]]&lt;&gt;"",INDEX(_xlfn.TEXTSPLIT(mouvementmp[[#This Row],[QR Fabrication]],"_"),1,2),"")</f>
        <v>CL00884</v>
      </c>
      <c r="S293" s="47" t="str">
        <f>IF(mouvementmp[[#This Row],[QR Fabrication]]&lt;&gt;"",INDEX(_xlfn.TEXTSPLIT(mouvementmp[[#This Row],[QR Fabrication]],"_"),1,3),"")</f>
        <v>CM-FT0119</v>
      </c>
      <c r="T293" s="47" t="str">
        <f>IF(mouvementmp[[#This Row],[QR Fabrication]]&lt;&gt;"",INDEX(_xlfn.TEXTSPLIT(mouvementmp[[#This Row],[QR Fabrication]],"_"),1,4),"")</f>
        <v>ST1020-S20-24-17</v>
      </c>
      <c r="U293" s="47" t="str">
        <f>IF(mouvementmp[[#This Row],[QR Fabrication]]&lt;&gt;"",INDEX(_xlfn.TEXTSPLIT(mouvementmp[[#This Row],[QR Fabrication]],"_"),1,5),"")</f>
        <v>ST TROPEZ</v>
      </c>
      <c r="V293" s="47" t="str">
        <f>IF(mouvementmp[[#This Row],[QR Fabrication]]&lt;&gt;"",_xlfn.TEXTAFTER(mouvementmp[[#This Row],[QR Fabrication]],"_",5),"")</f>
        <v>1020</v>
      </c>
    </row>
    <row r="294" spans="1:22" ht="16.5" thickTop="1" thickBot="1" x14ac:dyDescent="0.3">
      <c r="A294" s="46" t="s">
        <v>2457</v>
      </c>
      <c r="B294" s="54" t="s">
        <v>3881</v>
      </c>
      <c r="C294" s="47" t="s">
        <v>672</v>
      </c>
      <c r="D294" s="47" t="s">
        <v>665</v>
      </c>
      <c r="E294" s="47" t="s">
        <v>669</v>
      </c>
      <c r="F294" s="48">
        <v>17.55</v>
      </c>
      <c r="G294" s="47"/>
      <c r="H294" s="47"/>
      <c r="I294" s="47" t="s">
        <v>664</v>
      </c>
      <c r="J294" s="49">
        <v>45918</v>
      </c>
      <c r="K294" s="47" t="str">
        <f>INDEX(_xlfn.TEXTSPLIT(mouvementmp[[#This Row],[QR MP]],"_"),1,1)</f>
        <v>C22</v>
      </c>
      <c r="L294" s="47" t="str">
        <f>INDEX(_xlfn.TEXTSPLIT(mouvementmp[[#This Row],[QR MP]],"_"),1,2)</f>
        <v>JAUNE FLUO</v>
      </c>
      <c r="M294" s="47" t="str">
        <f>INDEX(_xlfn.TEXTSPLIT(mouvementmp[[#This Row],[QR MP]],"_"),1,3)</f>
        <v>NM15-22.00</v>
      </c>
      <c r="N294" s="47" t="str">
        <f>INDEX(_xlfn.TEXTSPLIT(mouvementmp[[#This Row],[QR MP]],"_"),1,4)</f>
        <v>61540</v>
      </c>
      <c r="O294" s="47">
        <f>-mouvementmp[[#This Row],[Poids]]</f>
        <v>-17.55</v>
      </c>
      <c r="P294" s="47" t="str">
        <f>IF(
   COUNTIFS($A$2:A294,A294,
             $B$2:B294,B294,
             $C$2:C294,C294,
             $D$2:D294,D294,
             $E$2:E294,E294,
             $F$2:F294,F294,
              $J$2:J294,J294)&gt;1,
   "Doublon",
   "Correcte"
)</f>
        <v>Correcte</v>
      </c>
      <c r="Q294" s="106" t="str">
        <f>IF(mouvementmp[[#This Row],[QR Fabrication]]&lt;&gt;"",INDEX(_xlfn.TEXTSPLIT(mouvementmp[[#This Row],[QR Fabrication]],"_"),1,1),"")</f>
        <v>OF249849</v>
      </c>
      <c r="R294" s="106" t="str">
        <f>IF(mouvementmp[[#This Row],[QR Fabrication]]&lt;&gt;"",INDEX(_xlfn.TEXTSPLIT(mouvementmp[[#This Row],[QR Fabrication]],"_"),1,2),"")</f>
        <v>CL00884</v>
      </c>
      <c r="S294" s="47" t="str">
        <f>IF(mouvementmp[[#This Row],[QR Fabrication]]&lt;&gt;"",INDEX(_xlfn.TEXTSPLIT(mouvementmp[[#This Row],[QR Fabrication]],"_"),1,3),"")</f>
        <v>CM-FT0119</v>
      </c>
      <c r="T294" s="47" t="str">
        <f>IF(mouvementmp[[#This Row],[QR Fabrication]]&lt;&gt;"",INDEX(_xlfn.TEXTSPLIT(mouvementmp[[#This Row],[QR Fabrication]],"_"),1,4),"")</f>
        <v>ST1020-S20-24-17</v>
      </c>
      <c r="U294" s="47" t="str">
        <f>IF(mouvementmp[[#This Row],[QR Fabrication]]&lt;&gt;"",INDEX(_xlfn.TEXTSPLIT(mouvementmp[[#This Row],[QR Fabrication]],"_"),1,5),"")</f>
        <v>ST TROPEZ</v>
      </c>
      <c r="V294" s="47" t="str">
        <f>IF(mouvementmp[[#This Row],[QR Fabrication]]&lt;&gt;"",_xlfn.TEXTAFTER(mouvementmp[[#This Row],[QR Fabrication]],"_",5),"")</f>
        <v>1020</v>
      </c>
    </row>
    <row r="295" spans="1:22" ht="16.5" thickTop="1" thickBot="1" x14ac:dyDescent="0.3">
      <c r="A295" s="46" t="s">
        <v>2458</v>
      </c>
      <c r="B295" s="54" t="s">
        <v>3921</v>
      </c>
      <c r="C295" s="47" t="s">
        <v>672</v>
      </c>
      <c r="D295" s="47" t="s">
        <v>665</v>
      </c>
      <c r="E295" s="47" t="s">
        <v>669</v>
      </c>
      <c r="F295" s="48">
        <v>10.55</v>
      </c>
      <c r="G295" s="47"/>
      <c r="H295" s="47"/>
      <c r="I295" s="47" t="s">
        <v>664</v>
      </c>
      <c r="J295" s="49">
        <v>45918</v>
      </c>
      <c r="K295" s="47" t="str">
        <f>INDEX(_xlfn.TEXTSPLIT(mouvementmp[[#This Row],[QR MP]],"_"),1,1)</f>
        <v>C06</v>
      </c>
      <c r="L295" s="47" t="str">
        <f>INDEX(_xlfn.TEXTSPLIT(mouvementmp[[#This Row],[QR MP]],"_"),1,2)</f>
        <v>GRIS CLAIR</v>
      </c>
      <c r="M295" s="47" t="str">
        <f>INDEX(_xlfn.TEXTSPLIT(mouvementmp[[#This Row],[QR MP]],"_"),1,3)</f>
        <v>NM15-06.00</v>
      </c>
      <c r="N295" s="47" t="str">
        <f>INDEX(_xlfn.TEXTSPLIT(mouvementmp[[#This Row],[QR MP]],"_"),1,4)</f>
        <v>61828</v>
      </c>
      <c r="O295" s="47">
        <f>-mouvementmp[[#This Row],[Poids]]</f>
        <v>-10.55</v>
      </c>
      <c r="P295" s="47" t="str">
        <f>IF(
   COUNTIFS($A$2:A295,A295,
             $B$2:B295,B295,
             $C$2:C295,C295,
             $D$2:D295,D295,
             $E$2:E295,E295,
             $F$2:F295,F295,
              $J$2:J295,J295)&gt;1,
   "Doublon",
   "Correcte"
)</f>
        <v>Correcte</v>
      </c>
      <c r="Q295" s="106" t="str">
        <f>IF(mouvementmp[[#This Row],[QR Fabrication]]&lt;&gt;"",INDEX(_xlfn.TEXTSPLIT(mouvementmp[[#This Row],[QR Fabrication]],"_"),1,1),"")</f>
        <v>CA250753</v>
      </c>
      <c r="R295" s="106" t="str">
        <f>IF(mouvementmp[[#This Row],[QR Fabrication]]&lt;&gt;"",INDEX(_xlfn.TEXTSPLIT(mouvementmp[[#This Row],[QR Fabrication]],"_"),1,2),"")</f>
        <v>All by Fouta</v>
      </c>
      <c r="S295" s="47" t="str">
        <f>IF(mouvementmp[[#This Row],[QR Fabrication]]&lt;&gt;"",INDEX(_xlfn.TEXTSPLIT(mouvementmp[[#This Row],[QR Fabrication]],"_"),1,3),"")</f>
        <v>Stock</v>
      </c>
      <c r="T295" s="47" t="str">
        <f>IF(mouvementmp[[#This Row],[QR Fabrication]]&lt;&gt;"",INDEX(_xlfn.TEXTSPLIT(mouvementmp[[#This Row],[QR Fabrication]],"_"),1,4),"")</f>
        <v>PACKSICL0507-B06-08</v>
      </c>
      <c r="U295" s="47" t="str">
        <f>IF(mouvementmp[[#This Row],[QR Fabrication]]&lt;&gt;"",INDEX(_xlfn.TEXTSPLIT(mouvementmp[[#This Row],[QR Fabrication]],"_"),1,5),"")</f>
        <v>PACK CLASSIQUE</v>
      </c>
      <c r="V295" s="47" t="str">
        <f>IF(mouvementmp[[#This Row],[QR Fabrication]]&lt;&gt;"",_xlfn.TEXTAFTER(mouvementmp[[#This Row],[QR Fabrication]],"_",5),"")</f>
        <v>0507</v>
      </c>
    </row>
    <row r="296" spans="1:22" ht="16.5" thickTop="1" thickBot="1" x14ac:dyDescent="0.3">
      <c r="A296" s="46" t="s">
        <v>2458</v>
      </c>
      <c r="B296" s="54" t="s">
        <v>3841</v>
      </c>
      <c r="C296" s="47" t="s">
        <v>672</v>
      </c>
      <c r="D296" s="47" t="s">
        <v>665</v>
      </c>
      <c r="E296" s="47" t="s">
        <v>669</v>
      </c>
      <c r="F296" s="48">
        <v>10.5</v>
      </c>
      <c r="G296" s="47"/>
      <c r="H296" s="47"/>
      <c r="I296" s="47" t="s">
        <v>664</v>
      </c>
      <c r="J296" s="49">
        <v>45918</v>
      </c>
      <c r="K296" s="47" t="str">
        <f>INDEX(_xlfn.TEXTSPLIT(mouvementmp[[#This Row],[QR MP]],"_"),1,1)</f>
        <v>C08</v>
      </c>
      <c r="L296" s="47" t="str">
        <f>INDEX(_xlfn.TEXTSPLIT(mouvementmp[[#This Row],[QR MP]],"_"),1,2)</f>
        <v>GRIS ANTHRACITE</v>
      </c>
      <c r="M296" s="47" t="str">
        <f>INDEX(_xlfn.TEXTSPLIT(mouvementmp[[#This Row],[QR MP]],"_"),1,3)</f>
        <v>NM15-08.00</v>
      </c>
      <c r="N296" s="47" t="str">
        <f>INDEX(_xlfn.TEXTSPLIT(mouvementmp[[#This Row],[QR MP]],"_"),1,4)</f>
        <v>59358</v>
      </c>
      <c r="O296" s="47">
        <f>-mouvementmp[[#This Row],[Poids]]</f>
        <v>-10.5</v>
      </c>
      <c r="P296" s="47" t="str">
        <f>IF(
   COUNTIFS($A$2:A296,A296,
             $B$2:B296,B296,
             $C$2:C296,C296,
             $D$2:D296,D296,
             $E$2:E296,E296,
             $F$2:F296,F296,
              $J$2:J296,J296)&gt;1,
   "Doublon",
   "Correcte"
)</f>
        <v>Correcte</v>
      </c>
      <c r="Q296" s="106" t="str">
        <f>IF(mouvementmp[[#This Row],[QR Fabrication]]&lt;&gt;"",INDEX(_xlfn.TEXTSPLIT(mouvementmp[[#This Row],[QR Fabrication]],"_"),1,1),"")</f>
        <v>CA250753</v>
      </c>
      <c r="R296" s="106" t="str">
        <f>IF(mouvementmp[[#This Row],[QR Fabrication]]&lt;&gt;"",INDEX(_xlfn.TEXTSPLIT(mouvementmp[[#This Row],[QR Fabrication]],"_"),1,2),"")</f>
        <v>All by Fouta</v>
      </c>
      <c r="S296" s="47" t="str">
        <f>IF(mouvementmp[[#This Row],[QR Fabrication]]&lt;&gt;"",INDEX(_xlfn.TEXTSPLIT(mouvementmp[[#This Row],[QR Fabrication]],"_"),1,3),"")</f>
        <v>Stock</v>
      </c>
      <c r="T296" s="47" t="str">
        <f>IF(mouvementmp[[#This Row],[QR Fabrication]]&lt;&gt;"",INDEX(_xlfn.TEXTSPLIT(mouvementmp[[#This Row],[QR Fabrication]],"_"),1,4),"")</f>
        <v>PACKSICL0507-B06-08</v>
      </c>
      <c r="U296" s="47" t="str">
        <f>IF(mouvementmp[[#This Row],[QR Fabrication]]&lt;&gt;"",INDEX(_xlfn.TEXTSPLIT(mouvementmp[[#This Row],[QR Fabrication]],"_"),1,5),"")</f>
        <v>PACK CLASSIQUE</v>
      </c>
      <c r="V296" s="47" t="str">
        <f>IF(mouvementmp[[#This Row],[QR Fabrication]]&lt;&gt;"",_xlfn.TEXTAFTER(mouvementmp[[#This Row],[QR Fabrication]],"_",5),"")</f>
        <v>0507</v>
      </c>
    </row>
    <row r="297" spans="1:22" ht="16.5" thickTop="1" thickBot="1" x14ac:dyDescent="0.3">
      <c r="A297" s="46" t="s">
        <v>2459</v>
      </c>
      <c r="B297" s="54" t="s">
        <v>3827</v>
      </c>
      <c r="C297" s="47" t="s">
        <v>672</v>
      </c>
      <c r="D297" s="47" t="s">
        <v>665</v>
      </c>
      <c r="E297" s="47" t="s">
        <v>669</v>
      </c>
      <c r="F297" s="48">
        <v>10.5</v>
      </c>
      <c r="G297" s="47"/>
      <c r="H297" s="47"/>
      <c r="I297" s="47" t="s">
        <v>664</v>
      </c>
      <c r="J297" s="49">
        <v>45918</v>
      </c>
      <c r="K297" s="47" t="str">
        <f>INDEX(_xlfn.TEXTSPLIT(mouvementmp[[#This Row],[QR MP]],"_"),1,1)</f>
        <v>C05</v>
      </c>
      <c r="L297" s="47" t="str">
        <f>INDEX(_xlfn.TEXTSPLIT(mouvementmp[[#This Row],[QR MP]],"_"),1,2)</f>
        <v>TERRA</v>
      </c>
      <c r="M297" s="47" t="str">
        <f>INDEX(_xlfn.TEXTSPLIT(mouvementmp[[#This Row],[QR MP]],"_"),1,3)</f>
        <v>NM15-05.01</v>
      </c>
      <c r="N297" s="47" t="str">
        <f>INDEX(_xlfn.TEXTSPLIT(mouvementmp[[#This Row],[QR MP]],"_"),1,4)</f>
        <v>61561</v>
      </c>
      <c r="O297" s="47">
        <f>-mouvementmp[[#This Row],[Poids]]</f>
        <v>-10.5</v>
      </c>
      <c r="P297" s="47" t="str">
        <f>IF(
   COUNTIFS($A$2:A297,A297,
             $B$2:B297,B297,
             $C$2:C297,C297,
             $D$2:D297,D297,
             $E$2:E297,E297,
             $F$2:F297,F297,
              $J$2:J297,J297)&gt;1,
   "Doublon",
   "Correcte"
)</f>
        <v>Correcte</v>
      </c>
      <c r="Q297" s="106" t="str">
        <f>IF(mouvementmp[[#This Row],[QR Fabrication]]&lt;&gt;"",INDEX(_xlfn.TEXTSPLIT(mouvementmp[[#This Row],[QR Fabrication]],"_"),1,1),"")</f>
        <v>CA250752</v>
      </c>
      <c r="R297" s="106" t="str">
        <f>IF(mouvementmp[[#This Row],[QR Fabrication]]&lt;&gt;"",INDEX(_xlfn.TEXTSPLIT(mouvementmp[[#This Row],[QR Fabrication]],"_"),1,2),"")</f>
        <v>All by Fouta</v>
      </c>
      <c r="S297" s="47" t="str">
        <f>IF(mouvementmp[[#This Row],[QR Fabrication]]&lt;&gt;"",INDEX(_xlfn.TEXTSPLIT(mouvementmp[[#This Row],[QR Fabrication]],"_"),1,3),"")</f>
        <v>Stock</v>
      </c>
      <c r="T297" s="47" t="str">
        <f>IF(mouvementmp[[#This Row],[QR Fabrication]]&lt;&gt;"",INDEX(_xlfn.TEXTSPLIT(mouvementmp[[#This Row],[QR Fabrication]],"_"),1,4),"")</f>
        <v>PACKSICL0507-B05-03</v>
      </c>
      <c r="U297" s="47" t="str">
        <f>IF(mouvementmp[[#This Row],[QR Fabrication]]&lt;&gt;"",INDEX(_xlfn.TEXTSPLIT(mouvementmp[[#This Row],[QR Fabrication]],"_"),1,5),"")</f>
        <v>PACK CLASSIQUE</v>
      </c>
      <c r="V297" s="47" t="str">
        <f>IF(mouvementmp[[#This Row],[QR Fabrication]]&lt;&gt;"",_xlfn.TEXTAFTER(mouvementmp[[#This Row],[QR Fabrication]],"_",5),"")</f>
        <v>0507</v>
      </c>
    </row>
    <row r="298" spans="1:22" ht="16.5" thickTop="1" thickBot="1" x14ac:dyDescent="0.3">
      <c r="A298" s="46" t="s">
        <v>2459</v>
      </c>
      <c r="B298" s="54" t="s">
        <v>3814</v>
      </c>
      <c r="C298" s="47" t="s">
        <v>672</v>
      </c>
      <c r="D298" s="47" t="s">
        <v>665</v>
      </c>
      <c r="E298" s="47" t="s">
        <v>669</v>
      </c>
      <c r="F298" s="48">
        <v>10.5</v>
      </c>
      <c r="G298" s="47"/>
      <c r="H298" s="47"/>
      <c r="I298" s="47" t="s">
        <v>664</v>
      </c>
      <c r="J298" s="49">
        <v>45918</v>
      </c>
      <c r="K298" s="47" t="str">
        <f>INDEX(_xlfn.TEXTSPLIT(mouvementmp[[#This Row],[QR MP]],"_"),1,1)</f>
        <v>C03</v>
      </c>
      <c r="L298" s="47" t="str">
        <f>INDEX(_xlfn.TEXTSPLIT(mouvementmp[[#This Row],[QR MP]],"_"),1,2)</f>
        <v xml:space="preserve">BEIGE </v>
      </c>
      <c r="M298" s="47" t="str">
        <f>INDEX(_xlfn.TEXTSPLIT(mouvementmp[[#This Row],[QR MP]],"_"),1,3)</f>
        <v>NM15-03.01</v>
      </c>
      <c r="N298" s="47" t="str">
        <f>INDEX(_xlfn.TEXTSPLIT(mouvementmp[[#This Row],[QR MP]],"_"),1,4)</f>
        <v>61559</v>
      </c>
      <c r="O298" s="47">
        <f>-mouvementmp[[#This Row],[Poids]]</f>
        <v>-10.5</v>
      </c>
      <c r="P298" s="47" t="str">
        <f>IF(
   COUNTIFS($A$2:A298,A298,
             $B$2:B298,B298,
             $C$2:C298,C298,
             $D$2:D298,D298,
             $E$2:E298,E298,
             $F$2:F298,F298,
              $J$2:J298,J298)&gt;1,
   "Doublon",
   "Correcte"
)</f>
        <v>Correcte</v>
      </c>
      <c r="Q298" s="106" t="str">
        <f>IF(mouvementmp[[#This Row],[QR Fabrication]]&lt;&gt;"",INDEX(_xlfn.TEXTSPLIT(mouvementmp[[#This Row],[QR Fabrication]],"_"),1,1),"")</f>
        <v>CA250752</v>
      </c>
      <c r="R298" s="106" t="str">
        <f>IF(mouvementmp[[#This Row],[QR Fabrication]]&lt;&gt;"",INDEX(_xlfn.TEXTSPLIT(mouvementmp[[#This Row],[QR Fabrication]],"_"),1,2),"")</f>
        <v>All by Fouta</v>
      </c>
      <c r="S298" s="47" t="str">
        <f>IF(mouvementmp[[#This Row],[QR Fabrication]]&lt;&gt;"",INDEX(_xlfn.TEXTSPLIT(mouvementmp[[#This Row],[QR Fabrication]],"_"),1,3),"")</f>
        <v>Stock</v>
      </c>
      <c r="T298" s="47" t="str">
        <f>IF(mouvementmp[[#This Row],[QR Fabrication]]&lt;&gt;"",INDEX(_xlfn.TEXTSPLIT(mouvementmp[[#This Row],[QR Fabrication]],"_"),1,4),"")</f>
        <v>PACKSICL0507-B05-03</v>
      </c>
      <c r="U298" s="47" t="str">
        <f>IF(mouvementmp[[#This Row],[QR Fabrication]]&lt;&gt;"",INDEX(_xlfn.TEXTSPLIT(mouvementmp[[#This Row],[QR Fabrication]],"_"),1,5),"")</f>
        <v>PACK CLASSIQUE</v>
      </c>
      <c r="V298" s="47" t="str">
        <f>IF(mouvementmp[[#This Row],[QR Fabrication]]&lt;&gt;"",_xlfn.TEXTAFTER(mouvementmp[[#This Row],[QR Fabrication]],"_",5),"")</f>
        <v>0507</v>
      </c>
    </row>
    <row r="299" spans="1:22" ht="16.5" thickTop="1" thickBot="1" x14ac:dyDescent="0.3">
      <c r="A299" s="46" t="s">
        <v>2460</v>
      </c>
      <c r="B299" s="54" t="s">
        <v>3896</v>
      </c>
      <c r="C299" s="47" t="s">
        <v>672</v>
      </c>
      <c r="D299" s="47" t="s">
        <v>665</v>
      </c>
      <c r="E299" s="47" t="s">
        <v>669</v>
      </c>
      <c r="F299" s="48">
        <v>14.15</v>
      </c>
      <c r="G299" s="47"/>
      <c r="H299" s="47"/>
      <c r="I299" s="47" t="s">
        <v>664</v>
      </c>
      <c r="J299" s="49">
        <v>45918</v>
      </c>
      <c r="K299" s="47" t="str">
        <f>INDEX(_xlfn.TEXTSPLIT(mouvementmp[[#This Row],[QR MP]],"_"),1,1)</f>
        <v>C28</v>
      </c>
      <c r="L299" s="47" t="str">
        <f>INDEX(_xlfn.TEXTSPLIT(mouvementmp[[#This Row],[QR MP]],"_"),1,2)</f>
        <v>FRAMBOISE</v>
      </c>
      <c r="M299" s="47" t="str">
        <f>INDEX(_xlfn.TEXTSPLIT(mouvementmp[[#This Row],[QR MP]],"_"),1,3)</f>
        <v>NM15-28.00</v>
      </c>
      <c r="N299" s="47" t="str">
        <f>INDEX(_xlfn.TEXTSPLIT(mouvementmp[[#This Row],[QR MP]],"_"),1,4)</f>
        <v>S2022</v>
      </c>
      <c r="O299" s="47">
        <f>-mouvementmp[[#This Row],[Poids]]</f>
        <v>-14.15</v>
      </c>
      <c r="P299" s="47" t="str">
        <f>IF(
   COUNTIFS($A$2:A299,A299,
             $B$2:B299,B299,
             $C$2:C299,C299,
             $D$2:D299,D299,
             $E$2:E299,E299,
             $F$2:F299,F299,
              $J$2:J299,J299)&gt;1,
   "Doublon",
   "Correcte"
)</f>
        <v>Correcte</v>
      </c>
      <c r="Q299" s="106" t="str">
        <f>IF(mouvementmp[[#This Row],[QR Fabrication]]&lt;&gt;"",INDEX(_xlfn.TEXTSPLIT(mouvementmp[[#This Row],[QR Fabrication]],"_"),1,1),"")</f>
        <v>OF249940</v>
      </c>
      <c r="R299" s="106" t="str">
        <f>IF(mouvementmp[[#This Row],[QR Fabrication]]&lt;&gt;"",INDEX(_xlfn.TEXTSPLIT(mouvementmp[[#This Row],[QR Fabrication]],"_"),1,2),"")</f>
        <v>CL00884</v>
      </c>
      <c r="S299" s="47" t="str">
        <f>IF(mouvementmp[[#This Row],[QR Fabrication]]&lt;&gt;"",INDEX(_xlfn.TEXTSPLIT(mouvementmp[[#This Row],[QR Fabrication]],"_"),1,3),"")</f>
        <v>CM-FT0120</v>
      </c>
      <c r="T299" s="47" t="str">
        <f>IF(mouvementmp[[#This Row],[QR Fabrication]]&lt;&gt;"",INDEX(_xlfn.TEXTSPLIT(mouvementmp[[#This Row],[QR Fabrication]],"_"),1,4),"")</f>
        <v>FI1020-C28-25-24</v>
      </c>
      <c r="U299" s="47" t="str">
        <f>IF(mouvementmp[[#This Row],[QR Fabrication]]&lt;&gt;"",INDEX(_xlfn.TEXTSPLIT(mouvementmp[[#This Row],[QR Fabrication]],"_"),1,5),"")</f>
        <v>FIVE</v>
      </c>
      <c r="V299" s="47" t="str">
        <f>IF(mouvementmp[[#This Row],[QR Fabrication]]&lt;&gt;"",_xlfn.TEXTAFTER(mouvementmp[[#This Row],[QR Fabrication]],"_",5),"")</f>
        <v>1020</v>
      </c>
    </row>
    <row r="300" spans="1:22" ht="16.5" thickTop="1" thickBot="1" x14ac:dyDescent="0.3">
      <c r="A300" s="46" t="s">
        <v>2460</v>
      </c>
      <c r="B300" s="54" t="s">
        <v>3887</v>
      </c>
      <c r="C300" s="47" t="s">
        <v>672</v>
      </c>
      <c r="D300" s="47" t="s">
        <v>665</v>
      </c>
      <c r="E300" s="47" t="s">
        <v>669</v>
      </c>
      <c r="F300" s="48">
        <v>39.15</v>
      </c>
      <c r="G300" s="47"/>
      <c r="H300" s="47"/>
      <c r="I300" s="47" t="s">
        <v>664</v>
      </c>
      <c r="J300" s="49">
        <v>45918</v>
      </c>
      <c r="K300" s="47" t="str">
        <f>INDEX(_xlfn.TEXTSPLIT(mouvementmp[[#This Row],[QR MP]],"_"),1,1)</f>
        <v>C25</v>
      </c>
      <c r="L300" s="47" t="str">
        <f>INDEX(_xlfn.TEXTSPLIT(mouvementmp[[#This Row],[QR MP]],"_"),1,2)</f>
        <v>ORANGE</v>
      </c>
      <c r="M300" s="47" t="str">
        <f>INDEX(_xlfn.TEXTSPLIT(mouvementmp[[#This Row],[QR MP]],"_"),1,3)</f>
        <v>NM15-25.00</v>
      </c>
      <c r="N300" s="47" t="str">
        <f>INDEX(_xlfn.TEXTSPLIT(mouvementmp[[#This Row],[QR MP]],"_"),1,4)</f>
        <v>61729</v>
      </c>
      <c r="O300" s="47">
        <f>-mouvementmp[[#This Row],[Poids]]</f>
        <v>-39.15</v>
      </c>
      <c r="P300" s="47" t="str">
        <f>IF(
   COUNTIFS($A$2:A300,A300,
             $B$2:B300,B300,
             $C$2:C300,C300,
             $D$2:D300,D300,
             $E$2:E300,E300,
             $F$2:F300,F300,
              $J$2:J300,J300)&gt;1,
   "Doublon",
   "Correcte"
)</f>
        <v>Correcte</v>
      </c>
      <c r="Q300" s="106" t="str">
        <f>IF(mouvementmp[[#This Row],[QR Fabrication]]&lt;&gt;"",INDEX(_xlfn.TEXTSPLIT(mouvementmp[[#This Row],[QR Fabrication]],"_"),1,1),"")</f>
        <v>OF249940</v>
      </c>
      <c r="R300" s="106" t="str">
        <f>IF(mouvementmp[[#This Row],[QR Fabrication]]&lt;&gt;"",INDEX(_xlfn.TEXTSPLIT(mouvementmp[[#This Row],[QR Fabrication]],"_"),1,2),"")</f>
        <v>CL00884</v>
      </c>
      <c r="S300" s="47" t="str">
        <f>IF(mouvementmp[[#This Row],[QR Fabrication]]&lt;&gt;"",INDEX(_xlfn.TEXTSPLIT(mouvementmp[[#This Row],[QR Fabrication]],"_"),1,3),"")</f>
        <v>CM-FT0120</v>
      </c>
      <c r="T300" s="47" t="str">
        <f>IF(mouvementmp[[#This Row],[QR Fabrication]]&lt;&gt;"",INDEX(_xlfn.TEXTSPLIT(mouvementmp[[#This Row],[QR Fabrication]],"_"),1,4),"")</f>
        <v>FI1020-C28-25-24</v>
      </c>
      <c r="U300" s="47" t="str">
        <f>IF(mouvementmp[[#This Row],[QR Fabrication]]&lt;&gt;"",INDEX(_xlfn.TEXTSPLIT(mouvementmp[[#This Row],[QR Fabrication]],"_"),1,5),"")</f>
        <v>FIVE</v>
      </c>
      <c r="V300" s="47" t="str">
        <f>IF(mouvementmp[[#This Row],[QR Fabrication]]&lt;&gt;"",_xlfn.TEXTAFTER(mouvementmp[[#This Row],[QR Fabrication]],"_",5),"")</f>
        <v>1020</v>
      </c>
    </row>
    <row r="301" spans="1:22" ht="16.5" thickTop="1" thickBot="1" x14ac:dyDescent="0.3">
      <c r="A301" s="46" t="s">
        <v>2460</v>
      </c>
      <c r="B301" s="54" t="s">
        <v>3886</v>
      </c>
      <c r="C301" s="47" t="s">
        <v>672</v>
      </c>
      <c r="D301" s="47" t="s">
        <v>665</v>
      </c>
      <c r="E301" s="47" t="s">
        <v>669</v>
      </c>
      <c r="F301" s="48">
        <v>38.549999999999997</v>
      </c>
      <c r="G301" s="47"/>
      <c r="H301" s="47"/>
      <c r="I301" s="47" t="s">
        <v>664</v>
      </c>
      <c r="J301" s="49">
        <v>45918</v>
      </c>
      <c r="K301" s="47" t="str">
        <f>INDEX(_xlfn.TEXTSPLIT(mouvementmp[[#This Row],[QR MP]],"_"),1,1)</f>
        <v>C24</v>
      </c>
      <c r="L301" s="47" t="str">
        <f>INDEX(_xlfn.TEXTSPLIT(mouvementmp[[#This Row],[QR MP]],"_"),1,2)</f>
        <v>JAUNE SAFRAN</v>
      </c>
      <c r="M301" s="47" t="str">
        <f>INDEX(_xlfn.TEXTSPLIT(mouvementmp[[#This Row],[QR MP]],"_"),1,3)</f>
        <v>NM15-24.00</v>
      </c>
      <c r="N301" s="47" t="str">
        <f>INDEX(_xlfn.TEXTSPLIT(mouvementmp[[#This Row],[QR MP]],"_"),1,4)</f>
        <v>61554</v>
      </c>
      <c r="O301" s="47">
        <f>-mouvementmp[[#This Row],[Poids]]</f>
        <v>-38.549999999999997</v>
      </c>
      <c r="P301" s="47" t="str">
        <f>IF(
   COUNTIFS($A$2:A301,A301,
             $B$2:B301,B301,
             $C$2:C301,C301,
             $D$2:D301,D301,
             $E$2:E301,E301,
             $F$2:F301,F301,
              $J$2:J301,J301)&gt;1,
   "Doublon",
   "Correcte"
)</f>
        <v>Correcte</v>
      </c>
      <c r="Q301" s="106" t="str">
        <f>IF(mouvementmp[[#This Row],[QR Fabrication]]&lt;&gt;"",INDEX(_xlfn.TEXTSPLIT(mouvementmp[[#This Row],[QR Fabrication]],"_"),1,1),"")</f>
        <v>OF249940</v>
      </c>
      <c r="R301" s="106" t="str">
        <f>IF(mouvementmp[[#This Row],[QR Fabrication]]&lt;&gt;"",INDEX(_xlfn.TEXTSPLIT(mouvementmp[[#This Row],[QR Fabrication]],"_"),1,2),"")</f>
        <v>CL00884</v>
      </c>
      <c r="S301" s="47" t="str">
        <f>IF(mouvementmp[[#This Row],[QR Fabrication]]&lt;&gt;"",INDEX(_xlfn.TEXTSPLIT(mouvementmp[[#This Row],[QR Fabrication]],"_"),1,3),"")</f>
        <v>CM-FT0120</v>
      </c>
      <c r="T301" s="47" t="str">
        <f>IF(mouvementmp[[#This Row],[QR Fabrication]]&lt;&gt;"",INDEX(_xlfn.TEXTSPLIT(mouvementmp[[#This Row],[QR Fabrication]],"_"),1,4),"")</f>
        <v>FI1020-C28-25-24</v>
      </c>
      <c r="U301" s="47" t="str">
        <f>IF(mouvementmp[[#This Row],[QR Fabrication]]&lt;&gt;"",INDEX(_xlfn.TEXTSPLIT(mouvementmp[[#This Row],[QR Fabrication]],"_"),1,5),"")</f>
        <v>FIVE</v>
      </c>
      <c r="V301" s="47" t="str">
        <f>IF(mouvementmp[[#This Row],[QR Fabrication]]&lt;&gt;"",_xlfn.TEXTAFTER(mouvementmp[[#This Row],[QR Fabrication]],"_",5),"")</f>
        <v>1020</v>
      </c>
    </row>
    <row r="302" spans="1:22" ht="16.5" thickTop="1" thickBot="1" x14ac:dyDescent="0.3">
      <c r="A302" s="46" t="s">
        <v>2460</v>
      </c>
      <c r="B302" s="54" t="s">
        <v>3884</v>
      </c>
      <c r="C302" s="47" t="s">
        <v>672</v>
      </c>
      <c r="D302" s="47" t="s">
        <v>665</v>
      </c>
      <c r="E302" s="47" t="s">
        <v>669</v>
      </c>
      <c r="F302" s="48">
        <v>34.75</v>
      </c>
      <c r="G302" s="47"/>
      <c r="H302" s="47"/>
      <c r="I302" s="47" t="s">
        <v>664</v>
      </c>
      <c r="J302" s="49">
        <v>45918</v>
      </c>
      <c r="K302" s="47" t="str">
        <f>INDEX(_xlfn.TEXTSPLIT(mouvementmp[[#This Row],[QR MP]],"_"),1,1)</f>
        <v>C23</v>
      </c>
      <c r="L302" s="47" t="str">
        <f>INDEX(_xlfn.TEXTSPLIT(mouvementmp[[#This Row],[QR MP]],"_"),1,2)</f>
        <v>OR</v>
      </c>
      <c r="M302" s="47" t="str">
        <f>INDEX(_xlfn.TEXTSPLIT(mouvementmp[[#This Row],[QR MP]],"_"),1,3)</f>
        <v>NM15-23.00</v>
      </c>
      <c r="N302" s="47" t="str">
        <f>INDEX(_xlfn.TEXTSPLIT(mouvementmp[[#This Row],[QR MP]],"_"),1,4)</f>
        <v>61566</v>
      </c>
      <c r="O302" s="47">
        <f>-mouvementmp[[#This Row],[Poids]]</f>
        <v>-34.75</v>
      </c>
      <c r="P302" s="47" t="str">
        <f>IF(
   COUNTIFS($A$2:A302,A302,
             $B$2:B302,B302,
             $C$2:C302,C302,
             $D$2:D302,D302,
             $E$2:E302,E302,
             $F$2:F302,F302,
              $J$2:J302,J302)&gt;1,
   "Doublon",
   "Correcte"
)</f>
        <v>Correcte</v>
      </c>
      <c r="Q302" s="106" t="str">
        <f>IF(mouvementmp[[#This Row],[QR Fabrication]]&lt;&gt;"",INDEX(_xlfn.TEXTSPLIT(mouvementmp[[#This Row],[QR Fabrication]],"_"),1,1),"")</f>
        <v>OF249940</v>
      </c>
      <c r="R302" s="106" t="str">
        <f>IF(mouvementmp[[#This Row],[QR Fabrication]]&lt;&gt;"",INDEX(_xlfn.TEXTSPLIT(mouvementmp[[#This Row],[QR Fabrication]],"_"),1,2),"")</f>
        <v>CL00884</v>
      </c>
      <c r="S302" s="47" t="str">
        <f>IF(mouvementmp[[#This Row],[QR Fabrication]]&lt;&gt;"",INDEX(_xlfn.TEXTSPLIT(mouvementmp[[#This Row],[QR Fabrication]],"_"),1,3),"")</f>
        <v>CM-FT0120</v>
      </c>
      <c r="T302" s="47" t="str">
        <f>IF(mouvementmp[[#This Row],[QR Fabrication]]&lt;&gt;"",INDEX(_xlfn.TEXTSPLIT(mouvementmp[[#This Row],[QR Fabrication]],"_"),1,4),"")</f>
        <v>FI1020-C28-25-24</v>
      </c>
      <c r="U302" s="47" t="str">
        <f>IF(mouvementmp[[#This Row],[QR Fabrication]]&lt;&gt;"",INDEX(_xlfn.TEXTSPLIT(mouvementmp[[#This Row],[QR Fabrication]],"_"),1,5),"")</f>
        <v>FIVE</v>
      </c>
      <c r="V302" s="47" t="str">
        <f>IF(mouvementmp[[#This Row],[QR Fabrication]]&lt;&gt;"",_xlfn.TEXTAFTER(mouvementmp[[#This Row],[QR Fabrication]],"_",5),"")</f>
        <v>1020</v>
      </c>
    </row>
    <row r="303" spans="1:22" ht="16.5" thickTop="1" thickBot="1" x14ac:dyDescent="0.3">
      <c r="A303" s="46" t="s">
        <v>2460</v>
      </c>
      <c r="B303" s="54" t="s">
        <v>3881</v>
      </c>
      <c r="C303" s="47" t="s">
        <v>672</v>
      </c>
      <c r="D303" s="47" t="s">
        <v>665</v>
      </c>
      <c r="E303" s="47" t="s">
        <v>669</v>
      </c>
      <c r="F303" s="48">
        <v>19.55</v>
      </c>
      <c r="G303" s="47"/>
      <c r="H303" s="47"/>
      <c r="I303" s="47" t="s">
        <v>664</v>
      </c>
      <c r="J303" s="49">
        <v>45918</v>
      </c>
      <c r="K303" s="47" t="str">
        <f>INDEX(_xlfn.TEXTSPLIT(mouvementmp[[#This Row],[QR MP]],"_"),1,1)</f>
        <v>C22</v>
      </c>
      <c r="L303" s="47" t="str">
        <f>INDEX(_xlfn.TEXTSPLIT(mouvementmp[[#This Row],[QR MP]],"_"),1,2)</f>
        <v>JAUNE FLUO</v>
      </c>
      <c r="M303" s="47" t="str">
        <f>INDEX(_xlfn.TEXTSPLIT(mouvementmp[[#This Row],[QR MP]],"_"),1,3)</f>
        <v>NM15-22.00</v>
      </c>
      <c r="N303" s="47" t="str">
        <f>INDEX(_xlfn.TEXTSPLIT(mouvementmp[[#This Row],[QR MP]],"_"),1,4)</f>
        <v>61540</v>
      </c>
      <c r="O303" s="47">
        <f>-mouvementmp[[#This Row],[Poids]]</f>
        <v>-19.55</v>
      </c>
      <c r="P303" s="47" t="str">
        <f>IF(
   COUNTIFS($A$2:A303,A303,
             $B$2:B303,B303,
             $C$2:C303,C303,
             $D$2:D303,D303,
             $E$2:E303,E303,
             $F$2:F303,F303,
              $J$2:J303,J303)&gt;1,
   "Doublon",
   "Correcte"
)</f>
        <v>Correcte</v>
      </c>
      <c r="Q303" s="106" t="str">
        <f>IF(mouvementmp[[#This Row],[QR Fabrication]]&lt;&gt;"",INDEX(_xlfn.TEXTSPLIT(mouvementmp[[#This Row],[QR Fabrication]],"_"),1,1),"")</f>
        <v>OF249940</v>
      </c>
      <c r="R303" s="106" t="str">
        <f>IF(mouvementmp[[#This Row],[QR Fabrication]]&lt;&gt;"",INDEX(_xlfn.TEXTSPLIT(mouvementmp[[#This Row],[QR Fabrication]],"_"),1,2),"")</f>
        <v>CL00884</v>
      </c>
      <c r="S303" s="47" t="str">
        <f>IF(mouvementmp[[#This Row],[QR Fabrication]]&lt;&gt;"",INDEX(_xlfn.TEXTSPLIT(mouvementmp[[#This Row],[QR Fabrication]],"_"),1,3),"")</f>
        <v>CM-FT0120</v>
      </c>
      <c r="T303" s="47" t="str">
        <f>IF(mouvementmp[[#This Row],[QR Fabrication]]&lt;&gt;"",INDEX(_xlfn.TEXTSPLIT(mouvementmp[[#This Row],[QR Fabrication]],"_"),1,4),"")</f>
        <v>FI1020-C28-25-24</v>
      </c>
      <c r="U303" s="47" t="str">
        <f>IF(mouvementmp[[#This Row],[QR Fabrication]]&lt;&gt;"",INDEX(_xlfn.TEXTSPLIT(mouvementmp[[#This Row],[QR Fabrication]],"_"),1,5),"")</f>
        <v>FIVE</v>
      </c>
      <c r="V303" s="47" t="str">
        <f>IF(mouvementmp[[#This Row],[QR Fabrication]]&lt;&gt;"",_xlfn.TEXTAFTER(mouvementmp[[#This Row],[QR Fabrication]],"_",5),"")</f>
        <v>1020</v>
      </c>
    </row>
    <row r="304" spans="1:22" ht="16.5" thickTop="1" thickBot="1" x14ac:dyDescent="0.3">
      <c r="A304" s="46" t="s">
        <v>1310</v>
      </c>
      <c r="B304" s="54" t="s">
        <v>3892</v>
      </c>
      <c r="C304" s="47" t="s">
        <v>668</v>
      </c>
      <c r="D304" s="47" t="s">
        <v>665</v>
      </c>
      <c r="E304" s="47" t="s">
        <v>669</v>
      </c>
      <c r="F304" s="48">
        <v>0.75</v>
      </c>
      <c r="G304" s="47"/>
      <c r="H304" s="47"/>
      <c r="I304" s="47" t="s">
        <v>664</v>
      </c>
      <c r="J304" s="49">
        <v>45918</v>
      </c>
      <c r="K304" s="47" t="str">
        <f>INDEX(_xlfn.TEXTSPLIT(mouvementmp[[#This Row],[QR MP]],"_"),1,1)</f>
        <v>C26</v>
      </c>
      <c r="L304" s="47" t="str">
        <f>INDEX(_xlfn.TEXTSPLIT(mouvementmp[[#This Row],[QR MP]],"_"),1,2)</f>
        <v>ROUGE FERRARI</v>
      </c>
      <c r="M304" s="47" t="str">
        <f>INDEX(_xlfn.TEXTSPLIT(mouvementmp[[#This Row],[QR MP]],"_"),1,3)</f>
        <v>NM15-26.00</v>
      </c>
      <c r="N304" s="47" t="str">
        <f>INDEX(_xlfn.TEXTSPLIT(mouvementmp[[#This Row],[QR MP]],"_"),1,4)</f>
        <v>61551</v>
      </c>
      <c r="O304" s="47">
        <f>-mouvementmp[[#This Row],[Poids]]</f>
        <v>-0.75</v>
      </c>
      <c r="P304" s="47" t="str">
        <f>IF(
   COUNTIFS($A$2:A304,A304,
             $B$2:B304,B304,
             $C$2:C304,C304,
             $D$2:D304,D304,
             $E$2:E304,E304,
             $F$2:F304,F304,
              $J$2:J304,J304)&gt;1,
   "Doublon",
   "Correcte"
)</f>
        <v>Correcte</v>
      </c>
      <c r="Q304" s="106" t="str">
        <f>IF(mouvementmp[[#This Row],[QR Fabrication]]&lt;&gt;"",INDEX(_xlfn.TEXTSPLIT(mouvementmp[[#This Row],[QR Fabrication]],"_"),1,1),"")</f>
        <v>CA250392</v>
      </c>
      <c r="R304" s="106" t="str">
        <f>IF(mouvementmp[[#This Row],[QR Fabrication]]&lt;&gt;"",INDEX(_xlfn.TEXTSPLIT(mouvementmp[[#This Row],[QR Fabrication]],"_"),1,2),"")</f>
        <v>All by Fouta</v>
      </c>
      <c r="S304" s="47" t="str">
        <f>IF(mouvementmp[[#This Row],[QR Fabrication]]&lt;&gt;"",INDEX(_xlfn.TEXTSPLIT(mouvementmp[[#This Row],[QR Fabrication]],"_"),1,3),"")</f>
        <v>Stock</v>
      </c>
      <c r="T304" s="47" t="str">
        <f>IF(mouvementmp[[#This Row],[QR Fabrication]]&lt;&gt;"",INDEX(_xlfn.TEXTSPLIT(mouvementmp[[#This Row],[QR Fabrication]],"_"),1,4),"")</f>
        <v>BE1020-Q26-13-01</v>
      </c>
      <c r="U304" s="47" t="str">
        <f>IF(mouvementmp[[#This Row],[QR Fabrication]]&lt;&gt;"",INDEX(_xlfn.TEXTSPLIT(mouvementmp[[#This Row],[QR Fabrication]],"_"),1,5),"")</f>
        <v>BERBER</v>
      </c>
      <c r="V304" s="47" t="str">
        <f>IF(mouvementmp[[#This Row],[QR Fabrication]]&lt;&gt;"",_xlfn.TEXTAFTER(mouvementmp[[#This Row],[QR Fabrication]],"_",5),"")</f>
        <v>1020</v>
      </c>
    </row>
    <row r="305" spans="1:22" ht="16.5" thickTop="1" thickBot="1" x14ac:dyDescent="0.3">
      <c r="A305" s="46" t="s">
        <v>1310</v>
      </c>
      <c r="B305" s="54" t="s">
        <v>3855</v>
      </c>
      <c r="C305" s="47" t="s">
        <v>668</v>
      </c>
      <c r="D305" s="47" t="s">
        <v>665</v>
      </c>
      <c r="E305" s="47" t="s">
        <v>669</v>
      </c>
      <c r="F305" s="48">
        <v>0.85</v>
      </c>
      <c r="G305" s="47"/>
      <c r="H305" s="47"/>
      <c r="I305" s="47" t="s">
        <v>664</v>
      </c>
      <c r="J305" s="49">
        <v>45918</v>
      </c>
      <c r="K305" s="47" t="str">
        <f>INDEX(_xlfn.TEXTSPLIT(mouvementmp[[#This Row],[QR MP]],"_"),1,1)</f>
        <v>C13</v>
      </c>
      <c r="L305" s="47" t="str">
        <f>INDEX(_xlfn.TEXTSPLIT(mouvementmp[[#This Row],[QR MP]],"_"),1,2)</f>
        <v>BLEU ROI</v>
      </c>
      <c r="M305" s="47" t="str">
        <f>INDEX(_xlfn.TEXTSPLIT(mouvementmp[[#This Row],[QR MP]],"_"),1,3)</f>
        <v>NM15-13.00</v>
      </c>
      <c r="N305" s="47" t="str">
        <f>INDEX(_xlfn.TEXTSPLIT(mouvementmp[[#This Row],[QR MP]],"_"),1,4)</f>
        <v>61519</v>
      </c>
      <c r="O305" s="47">
        <f>-mouvementmp[[#This Row],[Poids]]</f>
        <v>-0.85</v>
      </c>
      <c r="P305" s="47" t="str">
        <f>IF(
   COUNTIFS($A$2:A305,A305,
             $B$2:B305,B305,
             $C$2:C305,C305,
             $D$2:D305,D305,
             $E$2:E305,E305,
             $F$2:F305,F305,
              $J$2:J305,J305)&gt;1,
   "Doublon",
   "Correcte"
)</f>
        <v>Correcte</v>
      </c>
      <c r="Q305" s="106" t="str">
        <f>IF(mouvementmp[[#This Row],[QR Fabrication]]&lt;&gt;"",INDEX(_xlfn.TEXTSPLIT(mouvementmp[[#This Row],[QR Fabrication]],"_"),1,1),"")</f>
        <v>CA250392</v>
      </c>
      <c r="R305" s="106" t="str">
        <f>IF(mouvementmp[[#This Row],[QR Fabrication]]&lt;&gt;"",INDEX(_xlfn.TEXTSPLIT(mouvementmp[[#This Row],[QR Fabrication]],"_"),1,2),"")</f>
        <v>All by Fouta</v>
      </c>
      <c r="S305" s="47" t="str">
        <f>IF(mouvementmp[[#This Row],[QR Fabrication]]&lt;&gt;"",INDEX(_xlfn.TEXTSPLIT(mouvementmp[[#This Row],[QR Fabrication]],"_"),1,3),"")</f>
        <v>Stock</v>
      </c>
      <c r="T305" s="47" t="str">
        <f>IF(mouvementmp[[#This Row],[QR Fabrication]]&lt;&gt;"",INDEX(_xlfn.TEXTSPLIT(mouvementmp[[#This Row],[QR Fabrication]],"_"),1,4),"")</f>
        <v>BE1020-Q26-13-01</v>
      </c>
      <c r="U305" s="47" t="str">
        <f>IF(mouvementmp[[#This Row],[QR Fabrication]]&lt;&gt;"",INDEX(_xlfn.TEXTSPLIT(mouvementmp[[#This Row],[QR Fabrication]],"_"),1,5),"")</f>
        <v>BERBER</v>
      </c>
      <c r="V305" s="47" t="str">
        <f>IF(mouvementmp[[#This Row],[QR Fabrication]]&lt;&gt;"",_xlfn.TEXTAFTER(mouvementmp[[#This Row],[QR Fabrication]],"_",5),"")</f>
        <v>1020</v>
      </c>
    </row>
    <row r="306" spans="1:22" ht="16.5" thickTop="1" thickBot="1" x14ac:dyDescent="0.3">
      <c r="A306" s="46" t="s">
        <v>1310</v>
      </c>
      <c r="B306" s="54" t="s">
        <v>3800</v>
      </c>
      <c r="C306" s="47" t="s">
        <v>668</v>
      </c>
      <c r="D306" s="47" t="s">
        <v>665</v>
      </c>
      <c r="E306" s="47" t="s">
        <v>669</v>
      </c>
      <c r="F306" s="48">
        <v>0.55000000000000004</v>
      </c>
      <c r="G306" s="47"/>
      <c r="H306" s="47"/>
      <c r="I306" s="47" t="s">
        <v>664</v>
      </c>
      <c r="J306" s="49">
        <v>45918</v>
      </c>
      <c r="K306" s="47" t="str">
        <f>INDEX(_xlfn.TEXTSPLIT(mouvementmp[[#This Row],[QR MP]],"_"),1,1)</f>
        <v>C01</v>
      </c>
      <c r="L306" s="47" t="str">
        <f>INDEX(_xlfn.TEXTSPLIT(mouvementmp[[#This Row],[QR MP]],"_"),1,2)</f>
        <v>BLANC</v>
      </c>
      <c r="M306" s="47" t="str">
        <f>INDEX(_xlfn.TEXTSPLIT(mouvementmp[[#This Row],[QR MP]],"_"),1,3)</f>
        <v>NM05-01.00</v>
      </c>
      <c r="N306" s="47" t="str">
        <f>INDEX(_xlfn.TEXTSPLIT(mouvementmp[[#This Row],[QR MP]],"_"),1,4)</f>
        <v>S2023</v>
      </c>
      <c r="O306" s="47">
        <f>-mouvementmp[[#This Row],[Poids]]</f>
        <v>-0.55000000000000004</v>
      </c>
      <c r="P306" s="47" t="str">
        <f>IF(
   COUNTIFS($A$2:A306,A306,
             $B$2:B306,B306,
             $C$2:C306,C306,
             $D$2:D306,D306,
             $E$2:E306,E306,
             $F$2:F306,F306,
              $J$2:J306,J306)&gt;1,
   "Doublon",
   "Correcte"
)</f>
        <v>Correcte</v>
      </c>
      <c r="Q306" s="106" t="str">
        <f>IF(mouvementmp[[#This Row],[QR Fabrication]]&lt;&gt;"",INDEX(_xlfn.TEXTSPLIT(mouvementmp[[#This Row],[QR Fabrication]],"_"),1,1),"")</f>
        <v>CA250392</v>
      </c>
      <c r="R306" s="106" t="str">
        <f>IF(mouvementmp[[#This Row],[QR Fabrication]]&lt;&gt;"",INDEX(_xlfn.TEXTSPLIT(mouvementmp[[#This Row],[QR Fabrication]],"_"),1,2),"")</f>
        <v>All by Fouta</v>
      </c>
      <c r="S306" s="47" t="str">
        <f>IF(mouvementmp[[#This Row],[QR Fabrication]]&lt;&gt;"",INDEX(_xlfn.TEXTSPLIT(mouvementmp[[#This Row],[QR Fabrication]],"_"),1,3),"")</f>
        <v>Stock</v>
      </c>
      <c r="T306" s="47" t="str">
        <f>IF(mouvementmp[[#This Row],[QR Fabrication]]&lt;&gt;"",INDEX(_xlfn.TEXTSPLIT(mouvementmp[[#This Row],[QR Fabrication]],"_"),1,4),"")</f>
        <v>BE1020-Q26-13-01</v>
      </c>
      <c r="U306" s="47" t="str">
        <f>IF(mouvementmp[[#This Row],[QR Fabrication]]&lt;&gt;"",INDEX(_xlfn.TEXTSPLIT(mouvementmp[[#This Row],[QR Fabrication]],"_"),1,5),"")</f>
        <v>BERBER</v>
      </c>
      <c r="V306" s="47" t="str">
        <f>IF(mouvementmp[[#This Row],[QR Fabrication]]&lt;&gt;"",_xlfn.TEXTAFTER(mouvementmp[[#This Row],[QR Fabrication]],"_",5),"")</f>
        <v>1020</v>
      </c>
    </row>
    <row r="307" spans="1:22" ht="16.5" thickTop="1" thickBot="1" x14ac:dyDescent="0.3">
      <c r="A307" s="46" t="s">
        <v>1310</v>
      </c>
      <c r="B307" s="54" t="s">
        <v>3847</v>
      </c>
      <c r="C307" s="47" t="s">
        <v>668</v>
      </c>
      <c r="D307" s="47" t="s">
        <v>665</v>
      </c>
      <c r="E307" s="47" t="s">
        <v>669</v>
      </c>
      <c r="F307" s="48">
        <v>0.25</v>
      </c>
      <c r="G307" s="47"/>
      <c r="H307" s="47"/>
      <c r="I307" s="47" t="s">
        <v>664</v>
      </c>
      <c r="J307" s="49">
        <v>45918</v>
      </c>
      <c r="K307" s="47" t="str">
        <f>INDEX(_xlfn.TEXTSPLIT(mouvementmp[[#This Row],[QR MP]],"_"),1,1)</f>
        <v>C11</v>
      </c>
      <c r="L307" s="47" t="str">
        <f>INDEX(_xlfn.TEXTSPLIT(mouvementmp[[#This Row],[QR MP]],"_"),1,2)</f>
        <v>BLEU GITANE</v>
      </c>
      <c r="M307" s="47" t="str">
        <f>INDEX(_xlfn.TEXTSPLIT(mouvementmp[[#This Row],[QR MP]],"_"),1,3)</f>
        <v>NM15-11.00</v>
      </c>
      <c r="N307" s="47" t="str">
        <f>INDEX(_xlfn.TEXTSPLIT(mouvementmp[[#This Row],[QR MP]],"_"),1,4)</f>
        <v>61659</v>
      </c>
      <c r="O307" s="47">
        <f>-mouvementmp[[#This Row],[Poids]]</f>
        <v>-0.25</v>
      </c>
      <c r="P307" s="47" t="str">
        <f>IF(
   COUNTIFS($A$2:A307,A307,
             $B$2:B307,B307,
             $C$2:C307,C307,
             $D$2:D307,D307,
             $E$2:E307,E307,
             $F$2:F307,F307,
              $J$2:J307,J307)&gt;1,
   "Doublon",
   "Correcte"
)</f>
        <v>Correcte</v>
      </c>
      <c r="Q307" s="106" t="str">
        <f>IF(mouvementmp[[#This Row],[QR Fabrication]]&lt;&gt;"",INDEX(_xlfn.TEXTSPLIT(mouvementmp[[#This Row],[QR Fabrication]],"_"),1,1),"")</f>
        <v>CA250392</v>
      </c>
      <c r="R307" s="106" t="str">
        <f>IF(mouvementmp[[#This Row],[QR Fabrication]]&lt;&gt;"",INDEX(_xlfn.TEXTSPLIT(mouvementmp[[#This Row],[QR Fabrication]],"_"),1,2),"")</f>
        <v>All by Fouta</v>
      </c>
      <c r="S307" s="47" t="str">
        <f>IF(mouvementmp[[#This Row],[QR Fabrication]]&lt;&gt;"",INDEX(_xlfn.TEXTSPLIT(mouvementmp[[#This Row],[QR Fabrication]],"_"),1,3),"")</f>
        <v>Stock</v>
      </c>
      <c r="T307" s="47" t="str">
        <f>IF(mouvementmp[[#This Row],[QR Fabrication]]&lt;&gt;"",INDEX(_xlfn.TEXTSPLIT(mouvementmp[[#This Row],[QR Fabrication]],"_"),1,4),"")</f>
        <v>BE1020-Q26-13-01</v>
      </c>
      <c r="U307" s="47" t="str">
        <f>IF(mouvementmp[[#This Row],[QR Fabrication]]&lt;&gt;"",INDEX(_xlfn.TEXTSPLIT(mouvementmp[[#This Row],[QR Fabrication]],"_"),1,5),"")</f>
        <v>BERBER</v>
      </c>
      <c r="V307" s="47" t="str">
        <f>IF(mouvementmp[[#This Row],[QR Fabrication]]&lt;&gt;"",_xlfn.TEXTAFTER(mouvementmp[[#This Row],[QR Fabrication]],"_",5),"")</f>
        <v>1020</v>
      </c>
    </row>
    <row r="308" spans="1:22" ht="16.5" thickTop="1" thickBot="1" x14ac:dyDescent="0.3">
      <c r="A308" s="46" t="s">
        <v>2461</v>
      </c>
      <c r="B308" s="54" t="s">
        <v>3924</v>
      </c>
      <c r="C308" s="47" t="s">
        <v>668</v>
      </c>
      <c r="D308" s="47" t="s">
        <v>665</v>
      </c>
      <c r="E308" s="47" t="s">
        <v>669</v>
      </c>
      <c r="F308" s="48">
        <v>0.72</v>
      </c>
      <c r="G308" s="47"/>
      <c r="H308" s="47"/>
      <c r="I308" s="47" t="s">
        <v>664</v>
      </c>
      <c r="J308" s="49">
        <v>45918</v>
      </c>
      <c r="K308" s="47" t="str">
        <f>INDEX(_xlfn.TEXTSPLIT(mouvementmp[[#This Row],[QR MP]],"_"),1,1)</f>
        <v>C09</v>
      </c>
      <c r="L308" s="47" t="str">
        <f>INDEX(_xlfn.TEXTSPLIT(mouvementmp[[#This Row],[QR MP]],"_"),1,2)</f>
        <v>NOIR</v>
      </c>
      <c r="M308" s="47" t="str">
        <f>INDEX(_xlfn.TEXTSPLIT(mouvementmp[[#This Row],[QR MP]],"_"),1,3)</f>
        <v>NM15-09.00</v>
      </c>
      <c r="N308" s="47" t="str">
        <f>INDEX(_xlfn.TEXTSPLIT(mouvementmp[[#This Row],[QR MP]],"_"),1,4)</f>
        <v>S2023</v>
      </c>
      <c r="O308" s="47">
        <f>-mouvementmp[[#This Row],[Poids]]</f>
        <v>-0.72</v>
      </c>
      <c r="P308" s="47" t="str">
        <f>IF(
   COUNTIFS($A$2:A308,A308,
             $B$2:B308,B308,
             $C$2:C308,C308,
             $D$2:D308,D308,
             $E$2:E308,E308,
             $F$2:F308,F308,
              $J$2:J308,J308)&gt;1,
   "Doublon",
   "Correcte"
)</f>
        <v>Correcte</v>
      </c>
      <c r="Q308" s="106" t="str">
        <f>IF(mouvementmp[[#This Row],[QR Fabrication]]&lt;&gt;"",INDEX(_xlfn.TEXTSPLIT(mouvementmp[[#This Row],[QR Fabrication]],"_"),1,1),"")</f>
        <v>CA250044</v>
      </c>
      <c r="R308" s="106" t="str">
        <f>IF(mouvementmp[[#This Row],[QR Fabrication]]&lt;&gt;"",INDEX(_xlfn.TEXTSPLIT(mouvementmp[[#This Row],[QR Fabrication]],"_"),1,2),"")</f>
        <v>All by Fouta</v>
      </c>
      <c r="S308" s="47" t="str">
        <f>IF(mouvementmp[[#This Row],[QR Fabrication]]&lt;&gt;"",INDEX(_xlfn.TEXTSPLIT(mouvementmp[[#This Row],[QR Fabrication]],"_"),1,3),"")</f>
        <v>Stock</v>
      </c>
      <c r="T308" s="47" t="str">
        <f>IF(mouvementmp[[#This Row],[QR Fabrication]]&lt;&gt;"",INDEX(_xlfn.TEXTSPLIT(mouvementmp[[#This Row],[QR Fabrication]],"_"),1,4),"")</f>
        <v>UNS1626-09</v>
      </c>
      <c r="U308" s="47" t="str">
        <f>IF(mouvementmp[[#This Row],[QR Fabrication]]&lt;&gt;"",INDEX(_xlfn.TEXTSPLIT(mouvementmp[[#This Row],[QR Fabrication]],"_"),1,5),"")</f>
        <v>UNI SURPIQUE</v>
      </c>
      <c r="V308" s="47" t="str">
        <f>IF(mouvementmp[[#This Row],[QR Fabrication]]&lt;&gt;"",_xlfn.TEXTAFTER(mouvementmp[[#This Row],[QR Fabrication]],"_",5),"")</f>
        <v>1626</v>
      </c>
    </row>
    <row r="309" spans="1:22" ht="16.5" thickTop="1" thickBot="1" x14ac:dyDescent="0.3">
      <c r="A309" s="46" t="s">
        <v>1312</v>
      </c>
      <c r="B309" s="54" t="s">
        <v>3892</v>
      </c>
      <c r="C309" s="47" t="s">
        <v>668</v>
      </c>
      <c r="D309" s="47" t="s">
        <v>665</v>
      </c>
      <c r="E309" s="47" t="s">
        <v>669</v>
      </c>
      <c r="F309" s="48">
        <v>0.45</v>
      </c>
      <c r="G309" s="47"/>
      <c r="H309" s="47"/>
      <c r="I309" s="47" t="s">
        <v>664</v>
      </c>
      <c r="J309" s="49">
        <v>45918</v>
      </c>
      <c r="K309" s="47" t="str">
        <f>INDEX(_xlfn.TEXTSPLIT(mouvementmp[[#This Row],[QR MP]],"_"),1,1)</f>
        <v>C26</v>
      </c>
      <c r="L309" s="47" t="str">
        <f>INDEX(_xlfn.TEXTSPLIT(mouvementmp[[#This Row],[QR MP]],"_"),1,2)</f>
        <v>ROUGE FERRARI</v>
      </c>
      <c r="M309" s="47" t="str">
        <f>INDEX(_xlfn.TEXTSPLIT(mouvementmp[[#This Row],[QR MP]],"_"),1,3)</f>
        <v>NM15-26.00</v>
      </c>
      <c r="N309" s="47" t="str">
        <f>INDEX(_xlfn.TEXTSPLIT(mouvementmp[[#This Row],[QR MP]],"_"),1,4)</f>
        <v>61551</v>
      </c>
      <c r="O309" s="47">
        <f>-mouvementmp[[#This Row],[Poids]]</f>
        <v>-0.45</v>
      </c>
      <c r="P309" s="47" t="str">
        <f>IF(
   COUNTIFS($A$2:A309,A309,
             $B$2:B309,B309,
             $C$2:C309,C309,
             $D$2:D309,D309,
             $E$2:E309,E309,
             $F$2:F309,F309,
              $J$2:J309,J309)&gt;1,
   "Doublon",
   "Correcte"
)</f>
        <v>Correcte</v>
      </c>
      <c r="Q309" s="106" t="str">
        <f>IF(mouvementmp[[#This Row],[QR Fabrication]]&lt;&gt;"",INDEX(_xlfn.TEXTSPLIT(mouvementmp[[#This Row],[QR Fabrication]],"_"),1,1),"")</f>
        <v>CA250075</v>
      </c>
      <c r="R309" s="106" t="str">
        <f>IF(mouvementmp[[#This Row],[QR Fabrication]]&lt;&gt;"",INDEX(_xlfn.TEXTSPLIT(mouvementmp[[#This Row],[QR Fabrication]],"_"),1,2),"")</f>
        <v>All by Fouta</v>
      </c>
      <c r="S309" s="47" t="str">
        <f>IF(mouvementmp[[#This Row],[QR Fabrication]]&lt;&gt;"",INDEX(_xlfn.TEXTSPLIT(mouvementmp[[#This Row],[QR Fabrication]],"_"),1,3),"")</f>
        <v>Stock</v>
      </c>
      <c r="T309" s="47" t="str">
        <f>IF(mouvementmp[[#This Row],[QR Fabrication]]&lt;&gt;"",INDEX(_xlfn.TEXTSPLIT(mouvementmp[[#This Row],[QR Fabrication]],"_"),1,4),"")</f>
        <v>UNS2030-26</v>
      </c>
      <c r="U309" s="47" t="str">
        <f>IF(mouvementmp[[#This Row],[QR Fabrication]]&lt;&gt;"",INDEX(_xlfn.TEXTSPLIT(mouvementmp[[#This Row],[QR Fabrication]],"_"),1,5),"")</f>
        <v>UNI SURPIQUE</v>
      </c>
      <c r="V309" s="47" t="str">
        <f>IF(mouvementmp[[#This Row],[QR Fabrication]]&lt;&gt;"",_xlfn.TEXTAFTER(mouvementmp[[#This Row],[QR Fabrication]],"_",5),"")</f>
        <v>2030</v>
      </c>
    </row>
    <row r="310" spans="1:22" ht="16.5" thickTop="1" thickBot="1" x14ac:dyDescent="0.3">
      <c r="A310" s="46" t="s">
        <v>2462</v>
      </c>
      <c r="B310" s="54" t="s">
        <v>3819</v>
      </c>
      <c r="C310" s="47" t="s">
        <v>668</v>
      </c>
      <c r="D310" s="47" t="s">
        <v>665</v>
      </c>
      <c r="E310" s="47" t="s">
        <v>669</v>
      </c>
      <c r="F310" s="48">
        <v>0.25</v>
      </c>
      <c r="G310" s="47"/>
      <c r="H310" s="47"/>
      <c r="I310" s="47" t="s">
        <v>664</v>
      </c>
      <c r="J310" s="49">
        <v>45918</v>
      </c>
      <c r="K310" s="47" t="str">
        <f>INDEX(_xlfn.TEXTSPLIT(mouvementmp[[#This Row],[QR MP]],"_"),1,1)</f>
        <v>C04</v>
      </c>
      <c r="L310" s="47" t="str">
        <f>INDEX(_xlfn.TEXTSPLIT(mouvementmp[[#This Row],[QR MP]],"_"),1,2)</f>
        <v>TAUPE</v>
      </c>
      <c r="M310" s="47" t="str">
        <f>INDEX(_xlfn.TEXTSPLIT(mouvementmp[[#This Row],[QR MP]],"_"),1,3)</f>
        <v>NM15-04.00</v>
      </c>
      <c r="N310" s="47" t="str">
        <f>INDEX(_xlfn.TEXTSPLIT(mouvementmp[[#This Row],[QR MP]],"_"),1,4)</f>
        <v>S2023</v>
      </c>
      <c r="O310" s="47">
        <f>-mouvementmp[[#This Row],[Poids]]</f>
        <v>-0.25</v>
      </c>
      <c r="P310" s="47" t="str">
        <f>IF(
   COUNTIFS($A$2:A310,A310,
             $B$2:B310,B310,
             $C$2:C310,C310,
             $D$2:D310,D310,
             $E$2:E310,E310,
             $F$2:F310,F310,
              $J$2:J310,J310)&gt;1,
   "Doublon",
   "Correcte"
)</f>
        <v>Correcte</v>
      </c>
      <c r="Q310" s="106" t="str">
        <f>IF(mouvementmp[[#This Row],[QR Fabrication]]&lt;&gt;"",INDEX(_xlfn.TEXTSPLIT(mouvementmp[[#This Row],[QR Fabrication]],"_"),1,1),"")</f>
        <v>CA250022</v>
      </c>
      <c r="R310" s="106" t="str">
        <f>IF(mouvementmp[[#This Row],[QR Fabrication]]&lt;&gt;"",INDEX(_xlfn.TEXTSPLIT(mouvementmp[[#This Row],[QR Fabrication]],"_"),1,2),"")</f>
        <v>All by Fouta</v>
      </c>
      <c r="S310" s="47" t="str">
        <f>IF(mouvementmp[[#This Row],[QR Fabrication]]&lt;&gt;"",INDEX(_xlfn.TEXTSPLIT(mouvementmp[[#This Row],[QR Fabrication]],"_"),1,3),"")</f>
        <v>Stock</v>
      </c>
      <c r="T310" s="47" t="str">
        <f>IF(mouvementmp[[#This Row],[QR Fabrication]]&lt;&gt;"",INDEX(_xlfn.TEXTSPLIT(mouvementmp[[#This Row],[QR Fabrication]],"_"),1,4),"")</f>
        <v>UNS2020-04</v>
      </c>
      <c r="U310" s="47" t="str">
        <f>IF(mouvementmp[[#This Row],[QR Fabrication]]&lt;&gt;"",INDEX(_xlfn.TEXTSPLIT(mouvementmp[[#This Row],[QR Fabrication]],"_"),1,5),"")</f>
        <v>UNI SURPIQUE</v>
      </c>
      <c r="V310" s="47" t="str">
        <f>IF(mouvementmp[[#This Row],[QR Fabrication]]&lt;&gt;"",_xlfn.TEXTAFTER(mouvementmp[[#This Row],[QR Fabrication]],"_",5),"")</f>
        <v>2020</v>
      </c>
    </row>
    <row r="311" spans="1:22" ht="16.5" thickTop="1" thickBot="1" x14ac:dyDescent="0.3">
      <c r="A311" s="46" t="s">
        <v>1301</v>
      </c>
      <c r="B311" s="54" t="s">
        <v>3865</v>
      </c>
      <c r="C311" s="47" t="s">
        <v>668</v>
      </c>
      <c r="D311" s="47" t="s">
        <v>665</v>
      </c>
      <c r="E311" s="47" t="s">
        <v>669</v>
      </c>
      <c r="F311" s="48">
        <v>0.45</v>
      </c>
      <c r="G311" s="47"/>
      <c r="H311" s="47"/>
      <c r="I311" s="47" t="s">
        <v>664</v>
      </c>
      <c r="J311" s="49">
        <v>45918</v>
      </c>
      <c r="K311" s="47" t="str">
        <f>INDEX(_xlfn.TEXTSPLIT(mouvementmp[[#This Row],[QR MP]],"_"),1,1)</f>
        <v>C17</v>
      </c>
      <c r="L311" s="47" t="str">
        <f>INDEX(_xlfn.TEXTSPLIT(mouvementmp[[#This Row],[QR MP]],"_"),1,2)</f>
        <v>EMAURAUDE</v>
      </c>
      <c r="M311" s="47" t="str">
        <f>INDEX(_xlfn.TEXTSPLIT(mouvementmp[[#This Row],[QR MP]],"_"),1,3)</f>
        <v>NM15-17.00</v>
      </c>
      <c r="N311" s="47" t="str">
        <f>INDEX(_xlfn.TEXTSPLIT(mouvementmp[[#This Row],[QR MP]],"_"),1,4)</f>
        <v>61571</v>
      </c>
      <c r="O311" s="47">
        <f>-mouvementmp[[#This Row],[Poids]]</f>
        <v>-0.45</v>
      </c>
      <c r="P311" s="47" t="str">
        <f>IF(
   COUNTIFS($A$2:A311,A311,
             $B$2:B311,B311,
             $C$2:C311,C311,
             $D$2:D311,D311,
             $E$2:E311,E311,
             $F$2:F311,F311,
              $J$2:J311,J311)&gt;1,
   "Doublon",
   "Correcte"
)</f>
        <v>Correcte</v>
      </c>
      <c r="Q311" s="106" t="str">
        <f>IF(mouvementmp[[#This Row],[QR Fabrication]]&lt;&gt;"",INDEX(_xlfn.TEXTSPLIT(mouvementmp[[#This Row],[QR Fabrication]],"_"),1,1),"")</f>
        <v>CA250069</v>
      </c>
      <c r="R311" s="106" t="str">
        <f>IF(mouvementmp[[#This Row],[QR Fabrication]]&lt;&gt;"",INDEX(_xlfn.TEXTSPLIT(mouvementmp[[#This Row],[QR Fabrication]],"_"),1,2),"")</f>
        <v>All by Fouta</v>
      </c>
      <c r="S311" s="47" t="str">
        <f>IF(mouvementmp[[#This Row],[QR Fabrication]]&lt;&gt;"",INDEX(_xlfn.TEXTSPLIT(mouvementmp[[#This Row],[QR Fabrication]],"_"),1,3),"")</f>
        <v>Stock</v>
      </c>
      <c r="T311" s="47" t="str">
        <f>IF(mouvementmp[[#This Row],[QR Fabrication]]&lt;&gt;"",INDEX(_xlfn.TEXTSPLIT(mouvementmp[[#This Row],[QR Fabrication]],"_"),1,4),"")</f>
        <v>UNS2030-17</v>
      </c>
      <c r="U311" s="47" t="str">
        <f>IF(mouvementmp[[#This Row],[QR Fabrication]]&lt;&gt;"",INDEX(_xlfn.TEXTSPLIT(mouvementmp[[#This Row],[QR Fabrication]],"_"),1,5),"")</f>
        <v>UNI SURPIQUE</v>
      </c>
      <c r="V311" s="47" t="str">
        <f>IF(mouvementmp[[#This Row],[QR Fabrication]]&lt;&gt;"",_xlfn.TEXTAFTER(mouvementmp[[#This Row],[QR Fabrication]],"_",5),"")</f>
        <v>2030</v>
      </c>
    </row>
    <row r="312" spans="1:22" ht="16.5" thickTop="1" thickBot="1" x14ac:dyDescent="0.3">
      <c r="A312" s="46" t="s">
        <v>2463</v>
      </c>
      <c r="B312" s="54" t="s">
        <v>3902</v>
      </c>
      <c r="C312" s="47" t="s">
        <v>668</v>
      </c>
      <c r="D312" s="47" t="s">
        <v>665</v>
      </c>
      <c r="E312" s="47" t="s">
        <v>669</v>
      </c>
      <c r="F312" s="48">
        <v>0.95</v>
      </c>
      <c r="G312" s="47"/>
      <c r="H312" s="47"/>
      <c r="I312" s="47" t="s">
        <v>664</v>
      </c>
      <c r="J312" s="49">
        <v>45918</v>
      </c>
      <c r="K312" s="47" t="str">
        <f>INDEX(_xlfn.TEXTSPLIT(mouvementmp[[#This Row],[QR MP]],"_"),1,1)</f>
        <v>C31</v>
      </c>
      <c r="L312" s="47" t="str">
        <f>INDEX(_xlfn.TEXTSPLIT(mouvementmp[[#This Row],[QR MP]],"_"),1,2)</f>
        <v>SAUMON</v>
      </c>
      <c r="M312" s="47" t="str">
        <f>INDEX(_xlfn.TEXTSPLIT(mouvementmp[[#This Row],[QR MP]],"_"),1,3)</f>
        <v>NM15-31.00</v>
      </c>
      <c r="N312" s="47" t="str">
        <f>INDEX(_xlfn.TEXTSPLIT(mouvementmp[[#This Row],[QR MP]],"_"),1,4)</f>
        <v>61434</v>
      </c>
      <c r="O312" s="47">
        <f>-mouvementmp[[#This Row],[Poids]]</f>
        <v>-0.95</v>
      </c>
      <c r="P312" s="47" t="str">
        <f>IF(
   COUNTIFS($A$2:A312,A312,
             $B$2:B312,B312,
             $C$2:C312,C312,
             $D$2:D312,D312,
             $E$2:E312,E312,
             $F$2:F312,F312,
              $J$2:J312,J312)&gt;1,
   "Doublon",
   "Correcte"
)</f>
        <v>Correcte</v>
      </c>
      <c r="Q312" s="106" t="str">
        <f>IF(mouvementmp[[#This Row],[QR Fabrication]]&lt;&gt;"",INDEX(_xlfn.TEXTSPLIT(mouvementmp[[#This Row],[QR Fabrication]],"_"),1,1),"")</f>
        <v>CA250018</v>
      </c>
      <c r="R312" s="106" t="str">
        <f>IF(mouvementmp[[#This Row],[QR Fabrication]]&lt;&gt;"",INDEX(_xlfn.TEXTSPLIT(mouvementmp[[#This Row],[QR Fabrication]],"_"),1,2),"")</f>
        <v>All by Fouta</v>
      </c>
      <c r="S312" s="47" t="str">
        <f>IF(mouvementmp[[#This Row],[QR Fabrication]]&lt;&gt;"",INDEX(_xlfn.TEXTSPLIT(mouvementmp[[#This Row],[QR Fabrication]],"_"),1,3),"")</f>
        <v>Stock</v>
      </c>
      <c r="T312" s="47" t="str">
        <f>IF(mouvementmp[[#This Row],[QR Fabrication]]&lt;&gt;"",INDEX(_xlfn.TEXTSPLIT(mouvementmp[[#This Row],[QR Fabrication]],"_"),1,4),"")</f>
        <v>UNS1020-31</v>
      </c>
      <c r="U312" s="47" t="str">
        <f>IF(mouvementmp[[#This Row],[QR Fabrication]]&lt;&gt;"",INDEX(_xlfn.TEXTSPLIT(mouvementmp[[#This Row],[QR Fabrication]],"_"),1,5),"")</f>
        <v>UNI SURPIQUE</v>
      </c>
      <c r="V312" s="47" t="str">
        <f>IF(mouvementmp[[#This Row],[QR Fabrication]]&lt;&gt;"",_xlfn.TEXTAFTER(mouvementmp[[#This Row],[QR Fabrication]],"_",5),"")</f>
        <v>1020</v>
      </c>
    </row>
    <row r="313" spans="1:22" ht="16.5" thickTop="1" thickBot="1" x14ac:dyDescent="0.3">
      <c r="A313" s="46" t="s">
        <v>2464</v>
      </c>
      <c r="B313" s="54" t="s">
        <v>3884</v>
      </c>
      <c r="C313" s="47" t="s">
        <v>668</v>
      </c>
      <c r="D313" s="47" t="s">
        <v>665</v>
      </c>
      <c r="E313" s="47" t="s">
        <v>669</v>
      </c>
      <c r="F313" s="48">
        <v>0.85</v>
      </c>
      <c r="G313" s="47"/>
      <c r="H313" s="47"/>
      <c r="I313" s="47" t="s">
        <v>664</v>
      </c>
      <c r="J313" s="49">
        <v>45918</v>
      </c>
      <c r="K313" s="47" t="str">
        <f>INDEX(_xlfn.TEXTSPLIT(mouvementmp[[#This Row],[QR MP]],"_"),1,1)</f>
        <v>C23</v>
      </c>
      <c r="L313" s="47" t="str">
        <f>INDEX(_xlfn.TEXTSPLIT(mouvementmp[[#This Row],[QR MP]],"_"),1,2)</f>
        <v>OR</v>
      </c>
      <c r="M313" s="47" t="str">
        <f>INDEX(_xlfn.TEXTSPLIT(mouvementmp[[#This Row],[QR MP]],"_"),1,3)</f>
        <v>NM15-23.00</v>
      </c>
      <c r="N313" s="47" t="str">
        <f>INDEX(_xlfn.TEXTSPLIT(mouvementmp[[#This Row],[QR MP]],"_"),1,4)</f>
        <v>61566</v>
      </c>
      <c r="O313" s="47">
        <f>-mouvementmp[[#This Row],[Poids]]</f>
        <v>-0.85</v>
      </c>
      <c r="P313" s="47" t="str">
        <f>IF(
   COUNTIFS($A$2:A313,A313,
             $B$2:B313,B313,
             $C$2:C313,C313,
             $D$2:D313,D313,
             $E$2:E313,E313,
             $F$2:F313,F313,
              $J$2:J313,J313)&gt;1,
   "Doublon",
   "Correcte"
)</f>
        <v>Correcte</v>
      </c>
      <c r="Q313" s="106" t="str">
        <f>IF(mouvementmp[[#This Row],[QR Fabrication]]&lt;&gt;"",INDEX(_xlfn.TEXTSPLIT(mouvementmp[[#This Row],[QR Fabrication]],"_"),1,1),"")</f>
        <v>CA250053</v>
      </c>
      <c r="R313" s="106" t="str">
        <f>IF(mouvementmp[[#This Row],[QR Fabrication]]&lt;&gt;"",INDEX(_xlfn.TEXTSPLIT(mouvementmp[[#This Row],[QR Fabrication]],"_"),1,2),"")</f>
        <v>All by Fouta</v>
      </c>
      <c r="S313" s="47" t="str">
        <f>IF(mouvementmp[[#This Row],[QR Fabrication]]&lt;&gt;"",INDEX(_xlfn.TEXTSPLIT(mouvementmp[[#This Row],[QR Fabrication]],"_"),1,3),"")</f>
        <v>Stock</v>
      </c>
      <c r="T313" s="47" t="str">
        <f>IF(mouvementmp[[#This Row],[QR Fabrication]]&lt;&gt;"",INDEX(_xlfn.TEXTSPLIT(mouvementmp[[#This Row],[QR Fabrication]],"_"),1,4),"")</f>
        <v>UNS1626-23</v>
      </c>
      <c r="U313" s="47" t="str">
        <f>IF(mouvementmp[[#This Row],[QR Fabrication]]&lt;&gt;"",INDEX(_xlfn.TEXTSPLIT(mouvementmp[[#This Row],[QR Fabrication]],"_"),1,5),"")</f>
        <v>UNI SURPIQUE</v>
      </c>
      <c r="V313" s="47" t="str">
        <f>IF(mouvementmp[[#This Row],[QR Fabrication]]&lt;&gt;"",_xlfn.TEXTAFTER(mouvementmp[[#This Row],[QR Fabrication]],"_",5),"")</f>
        <v>1626</v>
      </c>
    </row>
    <row r="314" spans="1:22" ht="16.5" thickTop="1" thickBot="1" x14ac:dyDescent="0.3">
      <c r="A314" s="46" t="s">
        <v>2465</v>
      </c>
      <c r="B314" s="54" t="s">
        <v>3902</v>
      </c>
      <c r="C314" s="47" t="s">
        <v>668</v>
      </c>
      <c r="D314" s="47" t="s">
        <v>665</v>
      </c>
      <c r="E314" s="47" t="s">
        <v>669</v>
      </c>
      <c r="F314" s="48">
        <v>0.95</v>
      </c>
      <c r="G314" s="47"/>
      <c r="H314" s="47"/>
      <c r="I314" s="47" t="s">
        <v>664</v>
      </c>
      <c r="J314" s="49">
        <v>45918</v>
      </c>
      <c r="K314" s="47" t="str">
        <f>INDEX(_xlfn.TEXTSPLIT(mouvementmp[[#This Row],[QR MP]],"_"),1,1)</f>
        <v>C31</v>
      </c>
      <c r="L314" s="47" t="str">
        <f>INDEX(_xlfn.TEXTSPLIT(mouvementmp[[#This Row],[QR MP]],"_"),1,2)</f>
        <v>SAUMON</v>
      </c>
      <c r="M314" s="47" t="str">
        <f>INDEX(_xlfn.TEXTSPLIT(mouvementmp[[#This Row],[QR MP]],"_"),1,3)</f>
        <v>NM15-31.00</v>
      </c>
      <c r="N314" s="47" t="str">
        <f>INDEX(_xlfn.TEXTSPLIT(mouvementmp[[#This Row],[QR MP]],"_"),1,4)</f>
        <v>61434</v>
      </c>
      <c r="O314" s="47">
        <f>-mouvementmp[[#This Row],[Poids]]</f>
        <v>-0.95</v>
      </c>
      <c r="P314" s="47" t="str">
        <f>IF(
   COUNTIFS($A$2:A314,A314,
             $B$2:B314,B314,
             $C$2:C314,C314,
             $D$2:D314,D314,
             $E$2:E314,E314,
             $F$2:F314,F314,
              $J$2:J314,J314)&gt;1,
   "Doublon",
   "Correcte"
)</f>
        <v>Correcte</v>
      </c>
      <c r="Q314" s="106" t="str">
        <f>IF(mouvementmp[[#This Row],[QR Fabrication]]&lt;&gt;"",INDEX(_xlfn.TEXTSPLIT(mouvementmp[[#This Row],[QR Fabrication]],"_"),1,1),"")</f>
        <v>CA250038</v>
      </c>
      <c r="R314" s="106" t="str">
        <f>IF(mouvementmp[[#This Row],[QR Fabrication]]&lt;&gt;"",INDEX(_xlfn.TEXTSPLIT(mouvementmp[[#This Row],[QR Fabrication]],"_"),1,2),"")</f>
        <v>All by Fouta</v>
      </c>
      <c r="S314" s="47" t="str">
        <f>IF(mouvementmp[[#This Row],[QR Fabrication]]&lt;&gt;"",INDEX(_xlfn.TEXTSPLIT(mouvementmp[[#This Row],[QR Fabrication]],"_"),1,3),"")</f>
        <v>Stock</v>
      </c>
      <c r="T314" s="47" t="str">
        <f>IF(mouvementmp[[#This Row],[QR Fabrication]]&lt;&gt;"",INDEX(_xlfn.TEXTSPLIT(mouvementmp[[#This Row],[QR Fabrication]],"_"),1,4),"")</f>
        <v>UNS2020-31</v>
      </c>
      <c r="U314" s="47" t="str">
        <f>IF(mouvementmp[[#This Row],[QR Fabrication]]&lt;&gt;"",INDEX(_xlfn.TEXTSPLIT(mouvementmp[[#This Row],[QR Fabrication]],"_"),1,5),"")</f>
        <v>UNI SURPIQUE</v>
      </c>
      <c r="V314" s="47" t="str">
        <f>IF(mouvementmp[[#This Row],[QR Fabrication]]&lt;&gt;"",_xlfn.TEXTAFTER(mouvementmp[[#This Row],[QR Fabrication]],"_",5),"")</f>
        <v>2020</v>
      </c>
    </row>
    <row r="315" spans="1:22" ht="16.5" thickTop="1" thickBot="1" x14ac:dyDescent="0.3">
      <c r="A315" s="46" t="s">
        <v>2466</v>
      </c>
      <c r="B315" s="54" t="s">
        <v>3865</v>
      </c>
      <c r="C315" s="47" t="s">
        <v>668</v>
      </c>
      <c r="D315" s="47" t="s">
        <v>665</v>
      </c>
      <c r="E315" s="47" t="s">
        <v>669</v>
      </c>
      <c r="F315" s="48">
        <v>1.35</v>
      </c>
      <c r="G315" s="47"/>
      <c r="H315" s="47"/>
      <c r="I315" s="47" t="s">
        <v>664</v>
      </c>
      <c r="J315" s="49">
        <v>45918</v>
      </c>
      <c r="K315" s="47" t="str">
        <f>INDEX(_xlfn.TEXTSPLIT(mouvementmp[[#This Row],[QR MP]],"_"),1,1)</f>
        <v>C17</v>
      </c>
      <c r="L315" s="47" t="str">
        <f>INDEX(_xlfn.TEXTSPLIT(mouvementmp[[#This Row],[QR MP]],"_"),1,2)</f>
        <v>EMAURAUDE</v>
      </c>
      <c r="M315" s="47" t="str">
        <f>INDEX(_xlfn.TEXTSPLIT(mouvementmp[[#This Row],[QR MP]],"_"),1,3)</f>
        <v>NM15-17.00</v>
      </c>
      <c r="N315" s="47" t="str">
        <f>INDEX(_xlfn.TEXTSPLIT(mouvementmp[[#This Row],[QR MP]],"_"),1,4)</f>
        <v>61571</v>
      </c>
      <c r="O315" s="47">
        <f>-mouvementmp[[#This Row],[Poids]]</f>
        <v>-1.35</v>
      </c>
      <c r="P315" s="47" t="str">
        <f>IF(
   COUNTIFS($A$2:A315,A315,
             $B$2:B315,B315,
             $C$2:C315,C315,
             $D$2:D315,D315,
             $E$2:E315,E315,
             $F$2:F315,F315,
              $J$2:J315,J315)&gt;1,
   "Doublon",
   "Correcte"
)</f>
        <v>Correcte</v>
      </c>
      <c r="Q315" s="106" t="str">
        <f>IF(mouvementmp[[#This Row],[QR Fabrication]]&lt;&gt;"",INDEX(_xlfn.TEXTSPLIT(mouvementmp[[#This Row],[QR Fabrication]],"_"),1,1),"")</f>
        <v>CA250398</v>
      </c>
      <c r="R315" s="106" t="str">
        <f>IF(mouvementmp[[#This Row],[QR Fabrication]]&lt;&gt;"",INDEX(_xlfn.TEXTSPLIT(mouvementmp[[#This Row],[QR Fabrication]],"_"),1,2),"")</f>
        <v>All by Fouta</v>
      </c>
      <c r="S315" s="47" t="str">
        <f>IF(mouvementmp[[#This Row],[QR Fabrication]]&lt;&gt;"",INDEX(_xlfn.TEXTSPLIT(mouvementmp[[#This Row],[QR Fabrication]],"_"),1,3),"")</f>
        <v>Stock</v>
      </c>
      <c r="T315" s="47" t="str">
        <f>IF(mouvementmp[[#This Row],[QR Fabrication]]&lt;&gt;"",INDEX(_xlfn.TEXTSPLIT(mouvementmp[[#This Row],[QR Fabrication]],"_"),1,4),"")</f>
        <v>BE1020-Q17-26-10</v>
      </c>
      <c r="U315" s="47" t="str">
        <f>IF(mouvementmp[[#This Row],[QR Fabrication]]&lt;&gt;"",INDEX(_xlfn.TEXTSPLIT(mouvementmp[[#This Row],[QR Fabrication]],"_"),1,5),"")</f>
        <v>BERBER</v>
      </c>
      <c r="V315" s="47" t="str">
        <f>IF(mouvementmp[[#This Row],[QR Fabrication]]&lt;&gt;"",_xlfn.TEXTAFTER(mouvementmp[[#This Row],[QR Fabrication]],"_",5),"")</f>
        <v>1020</v>
      </c>
    </row>
    <row r="316" spans="1:22" ht="16.5" thickTop="1" thickBot="1" x14ac:dyDescent="0.3">
      <c r="A316" s="46" t="s">
        <v>2466</v>
      </c>
      <c r="B316" s="54" t="s">
        <v>3892</v>
      </c>
      <c r="C316" s="47" t="s">
        <v>668</v>
      </c>
      <c r="D316" s="47" t="s">
        <v>665</v>
      </c>
      <c r="E316" s="47" t="s">
        <v>669</v>
      </c>
      <c r="F316" s="48">
        <v>1.71</v>
      </c>
      <c r="G316" s="47"/>
      <c r="H316" s="47"/>
      <c r="I316" s="47" t="s">
        <v>664</v>
      </c>
      <c r="J316" s="49">
        <v>45918</v>
      </c>
      <c r="K316" s="47" t="str">
        <f>INDEX(_xlfn.TEXTSPLIT(mouvementmp[[#This Row],[QR MP]],"_"),1,1)</f>
        <v>C26</v>
      </c>
      <c r="L316" s="47" t="str">
        <f>INDEX(_xlfn.TEXTSPLIT(mouvementmp[[#This Row],[QR MP]],"_"),1,2)</f>
        <v>ROUGE FERRARI</v>
      </c>
      <c r="M316" s="47" t="str">
        <f>INDEX(_xlfn.TEXTSPLIT(mouvementmp[[#This Row],[QR MP]],"_"),1,3)</f>
        <v>NM15-26.00</v>
      </c>
      <c r="N316" s="47" t="str">
        <f>INDEX(_xlfn.TEXTSPLIT(mouvementmp[[#This Row],[QR MP]],"_"),1,4)</f>
        <v>61551</v>
      </c>
      <c r="O316" s="47">
        <f>-mouvementmp[[#This Row],[Poids]]</f>
        <v>-1.71</v>
      </c>
      <c r="P316" s="47" t="str">
        <f>IF(
   COUNTIFS($A$2:A316,A316,
             $B$2:B316,B316,
             $C$2:C316,C316,
             $D$2:D316,D316,
             $E$2:E316,E316,
             $F$2:F316,F316,
              $J$2:J316,J316)&gt;1,
   "Doublon",
   "Correcte"
)</f>
        <v>Correcte</v>
      </c>
      <c r="Q316" s="106" t="str">
        <f>IF(mouvementmp[[#This Row],[QR Fabrication]]&lt;&gt;"",INDEX(_xlfn.TEXTSPLIT(mouvementmp[[#This Row],[QR Fabrication]],"_"),1,1),"")</f>
        <v>CA250398</v>
      </c>
      <c r="R316" s="106" t="str">
        <f>IF(mouvementmp[[#This Row],[QR Fabrication]]&lt;&gt;"",INDEX(_xlfn.TEXTSPLIT(mouvementmp[[#This Row],[QR Fabrication]],"_"),1,2),"")</f>
        <v>All by Fouta</v>
      </c>
      <c r="S316" s="47" t="str">
        <f>IF(mouvementmp[[#This Row],[QR Fabrication]]&lt;&gt;"",INDEX(_xlfn.TEXTSPLIT(mouvementmp[[#This Row],[QR Fabrication]],"_"),1,3),"")</f>
        <v>Stock</v>
      </c>
      <c r="T316" s="47" t="str">
        <f>IF(mouvementmp[[#This Row],[QR Fabrication]]&lt;&gt;"",INDEX(_xlfn.TEXTSPLIT(mouvementmp[[#This Row],[QR Fabrication]],"_"),1,4),"")</f>
        <v>BE1020-Q17-26-10</v>
      </c>
      <c r="U316" s="47" t="str">
        <f>IF(mouvementmp[[#This Row],[QR Fabrication]]&lt;&gt;"",INDEX(_xlfn.TEXTSPLIT(mouvementmp[[#This Row],[QR Fabrication]],"_"),1,5),"")</f>
        <v>BERBER</v>
      </c>
      <c r="V316" s="47" t="str">
        <f>IF(mouvementmp[[#This Row],[QR Fabrication]]&lt;&gt;"",_xlfn.TEXTAFTER(mouvementmp[[#This Row],[QR Fabrication]],"_",5),"")</f>
        <v>1020</v>
      </c>
    </row>
    <row r="317" spans="1:22" ht="16.5" thickTop="1" thickBot="1" x14ac:dyDescent="0.3">
      <c r="A317" s="46" t="s">
        <v>2466</v>
      </c>
      <c r="B317" s="54" t="s">
        <v>3847</v>
      </c>
      <c r="C317" s="47" t="s">
        <v>668</v>
      </c>
      <c r="D317" s="47" t="s">
        <v>665</v>
      </c>
      <c r="E317" s="47" t="s">
        <v>669</v>
      </c>
      <c r="F317" s="48">
        <v>1.25</v>
      </c>
      <c r="G317" s="47"/>
      <c r="H317" s="47"/>
      <c r="I317" s="47" t="s">
        <v>664</v>
      </c>
      <c r="J317" s="49">
        <v>45918</v>
      </c>
      <c r="K317" s="47" t="str">
        <f>INDEX(_xlfn.TEXTSPLIT(mouvementmp[[#This Row],[QR MP]],"_"),1,1)</f>
        <v>C11</v>
      </c>
      <c r="L317" s="47" t="str">
        <f>INDEX(_xlfn.TEXTSPLIT(mouvementmp[[#This Row],[QR MP]],"_"),1,2)</f>
        <v>BLEU GITANE</v>
      </c>
      <c r="M317" s="47" t="str">
        <f>INDEX(_xlfn.TEXTSPLIT(mouvementmp[[#This Row],[QR MP]],"_"),1,3)</f>
        <v>NM15-11.00</v>
      </c>
      <c r="N317" s="47" t="str">
        <f>INDEX(_xlfn.TEXTSPLIT(mouvementmp[[#This Row],[QR MP]],"_"),1,4)</f>
        <v>61659</v>
      </c>
      <c r="O317" s="47">
        <f>-mouvementmp[[#This Row],[Poids]]</f>
        <v>-1.25</v>
      </c>
      <c r="P317" s="47" t="str">
        <f>IF(
   COUNTIFS($A$2:A317,A317,
             $B$2:B317,B317,
             $C$2:C317,C317,
             $D$2:D317,D317,
             $E$2:E317,E317,
             $F$2:F317,F317,
              $J$2:J317,J317)&gt;1,
   "Doublon",
   "Correcte"
)</f>
        <v>Correcte</v>
      </c>
      <c r="Q317" s="106" t="str">
        <f>IF(mouvementmp[[#This Row],[QR Fabrication]]&lt;&gt;"",INDEX(_xlfn.TEXTSPLIT(mouvementmp[[#This Row],[QR Fabrication]],"_"),1,1),"")</f>
        <v>CA250398</v>
      </c>
      <c r="R317" s="106" t="str">
        <f>IF(mouvementmp[[#This Row],[QR Fabrication]]&lt;&gt;"",INDEX(_xlfn.TEXTSPLIT(mouvementmp[[#This Row],[QR Fabrication]],"_"),1,2),"")</f>
        <v>All by Fouta</v>
      </c>
      <c r="S317" s="47" t="str">
        <f>IF(mouvementmp[[#This Row],[QR Fabrication]]&lt;&gt;"",INDEX(_xlfn.TEXTSPLIT(mouvementmp[[#This Row],[QR Fabrication]],"_"),1,3),"")</f>
        <v>Stock</v>
      </c>
      <c r="T317" s="47" t="str">
        <f>IF(mouvementmp[[#This Row],[QR Fabrication]]&lt;&gt;"",INDEX(_xlfn.TEXTSPLIT(mouvementmp[[#This Row],[QR Fabrication]],"_"),1,4),"")</f>
        <v>BE1020-Q17-26-10</v>
      </c>
      <c r="U317" s="47" t="str">
        <f>IF(mouvementmp[[#This Row],[QR Fabrication]]&lt;&gt;"",INDEX(_xlfn.TEXTSPLIT(mouvementmp[[#This Row],[QR Fabrication]],"_"),1,5),"")</f>
        <v>BERBER</v>
      </c>
      <c r="V317" s="47" t="str">
        <f>IF(mouvementmp[[#This Row],[QR Fabrication]]&lt;&gt;"",_xlfn.TEXTAFTER(mouvementmp[[#This Row],[QR Fabrication]],"_",5),"")</f>
        <v>1020</v>
      </c>
    </row>
    <row r="318" spans="1:22" ht="16.5" thickTop="1" thickBot="1" x14ac:dyDescent="0.3">
      <c r="A318" s="46" t="s">
        <v>2467</v>
      </c>
      <c r="B318" s="54" t="s">
        <v>3892</v>
      </c>
      <c r="C318" s="47" t="s">
        <v>672</v>
      </c>
      <c r="D318" s="47" t="s">
        <v>665</v>
      </c>
      <c r="E318" s="47" t="s">
        <v>669</v>
      </c>
      <c r="F318" s="48">
        <v>16.25</v>
      </c>
      <c r="G318" s="47"/>
      <c r="H318" s="47"/>
      <c r="I318" s="47" t="s">
        <v>664</v>
      </c>
      <c r="J318" s="49">
        <v>45919</v>
      </c>
      <c r="K318" s="47" t="str">
        <f>INDEX(_xlfn.TEXTSPLIT(mouvementmp[[#This Row],[QR MP]],"_"),1,1)</f>
        <v>C26</v>
      </c>
      <c r="L318" s="47" t="str">
        <f>INDEX(_xlfn.TEXTSPLIT(mouvementmp[[#This Row],[QR MP]],"_"),1,2)</f>
        <v>ROUGE FERRARI</v>
      </c>
      <c r="M318" s="47" t="str">
        <f>INDEX(_xlfn.TEXTSPLIT(mouvementmp[[#This Row],[QR MP]],"_"),1,3)</f>
        <v>NM15-26.00</v>
      </c>
      <c r="N318" s="47" t="str">
        <f>INDEX(_xlfn.TEXTSPLIT(mouvementmp[[#This Row],[QR MP]],"_"),1,4)</f>
        <v>61551</v>
      </c>
      <c r="O318" s="47">
        <f>-mouvementmp[[#This Row],[Poids]]</f>
        <v>-16.25</v>
      </c>
      <c r="P318" s="47" t="str">
        <f>IF(
   COUNTIFS($A$2:A318,A318,
             $B$2:B318,B318,
             $C$2:C318,C318,
             $D$2:D318,D318,
             $E$2:E318,E318,
             $F$2:F318,F318,
              $J$2:J318,J318)&gt;1,
   "Doublon",
   "Correcte"
)</f>
        <v>Correcte</v>
      </c>
      <c r="Q318" s="106" t="str">
        <f>IF(mouvementmp[[#This Row],[QR Fabrication]]&lt;&gt;"",INDEX(_xlfn.TEXTSPLIT(mouvementmp[[#This Row],[QR Fabrication]],"_"),1,1),"")</f>
        <v>CA250637</v>
      </c>
      <c r="R318" s="106" t="str">
        <f>IF(mouvementmp[[#This Row],[QR Fabrication]]&lt;&gt;"",INDEX(_xlfn.TEXTSPLIT(mouvementmp[[#This Row],[QR Fabrication]],"_"),1,2),"")</f>
        <v>All by Fouta</v>
      </c>
      <c r="S318" s="47" t="str">
        <f>IF(mouvementmp[[#This Row],[QR Fabrication]]&lt;&gt;"",INDEX(_xlfn.TEXTSPLIT(mouvementmp[[#This Row],[QR Fabrication]],"_"),1,3),"")</f>
        <v>Stock</v>
      </c>
      <c r="T318" s="47" t="str">
        <f>IF(mouvementmp[[#This Row],[QR Fabrication]]&lt;&gt;"",INDEX(_xlfn.TEXTSPLIT(mouvementmp[[#This Row],[QR Fabrication]],"_"),1,4),"")</f>
        <v>EPMA0919-B26-02</v>
      </c>
      <c r="U318" s="47" t="str">
        <f>IF(mouvementmp[[#This Row],[QR Fabrication]]&lt;&gt;"",INDEX(_xlfn.TEXTSPLIT(mouvementmp[[#This Row],[QR Fabrication]],"_"),1,5),"")</f>
        <v>MARINIERE</v>
      </c>
      <c r="V318" s="47" t="str">
        <f>IF(mouvementmp[[#This Row],[QR Fabrication]]&lt;&gt;"",_xlfn.TEXTAFTER(mouvementmp[[#This Row],[QR Fabrication]],"_",5),"")</f>
        <v>0919</v>
      </c>
    </row>
    <row r="319" spans="1:22" ht="16.5" thickTop="1" thickBot="1" x14ac:dyDescent="0.3">
      <c r="A319" s="46" t="s">
        <v>2467</v>
      </c>
      <c r="B319" s="54" t="s">
        <v>3808</v>
      </c>
      <c r="C319" s="47" t="s">
        <v>672</v>
      </c>
      <c r="D319" s="47" t="s">
        <v>665</v>
      </c>
      <c r="E319" s="47" t="s">
        <v>669</v>
      </c>
      <c r="F319" s="48">
        <v>15.75</v>
      </c>
      <c r="G319" s="47"/>
      <c r="H319" s="47"/>
      <c r="I319" s="47" t="s">
        <v>664</v>
      </c>
      <c r="J319" s="49">
        <v>45919</v>
      </c>
      <c r="K319" s="47" t="str">
        <f>INDEX(_xlfn.TEXTSPLIT(mouvementmp[[#This Row],[QR MP]],"_"),1,1)</f>
        <v>C02</v>
      </c>
      <c r="L319" s="47" t="str">
        <f>INDEX(_xlfn.TEXTSPLIT(mouvementmp[[#This Row],[QR MP]],"_"),1,2)</f>
        <v>ECRU</v>
      </c>
      <c r="M319" s="47" t="str">
        <f>INDEX(_xlfn.TEXTSPLIT(mouvementmp[[#This Row],[QR MP]],"_"),1,3)</f>
        <v>NM34-02.00</v>
      </c>
      <c r="N319" s="47" t="str">
        <f>INDEX(_xlfn.TEXTSPLIT(mouvementmp[[#This Row],[QR MP]],"_"),1,4)</f>
        <v>S2024</v>
      </c>
      <c r="O319" s="47">
        <f>-mouvementmp[[#This Row],[Poids]]</f>
        <v>-15.75</v>
      </c>
      <c r="P319" s="47" t="str">
        <f>IF(
   COUNTIFS($A$2:A319,A319,
             $B$2:B319,B319,
             $C$2:C319,C319,
             $D$2:D319,D319,
             $E$2:E319,E319,
             $F$2:F319,F319,
              $J$2:J319,J319)&gt;1,
   "Doublon",
   "Correcte"
)</f>
        <v>Correcte</v>
      </c>
      <c r="Q319" s="106" t="str">
        <f>IF(mouvementmp[[#This Row],[QR Fabrication]]&lt;&gt;"",INDEX(_xlfn.TEXTSPLIT(mouvementmp[[#This Row],[QR Fabrication]],"_"),1,1),"")</f>
        <v>CA250637</v>
      </c>
      <c r="R319" s="106" t="str">
        <f>IF(mouvementmp[[#This Row],[QR Fabrication]]&lt;&gt;"",INDEX(_xlfn.TEXTSPLIT(mouvementmp[[#This Row],[QR Fabrication]],"_"),1,2),"")</f>
        <v>All by Fouta</v>
      </c>
      <c r="S319" s="47" t="str">
        <f>IF(mouvementmp[[#This Row],[QR Fabrication]]&lt;&gt;"",INDEX(_xlfn.TEXTSPLIT(mouvementmp[[#This Row],[QR Fabrication]],"_"),1,3),"")</f>
        <v>Stock</v>
      </c>
      <c r="T319" s="47" t="str">
        <f>IF(mouvementmp[[#This Row],[QR Fabrication]]&lt;&gt;"",INDEX(_xlfn.TEXTSPLIT(mouvementmp[[#This Row],[QR Fabrication]],"_"),1,4),"")</f>
        <v>EPMA0919-B26-02</v>
      </c>
      <c r="U319" s="47" t="str">
        <f>IF(mouvementmp[[#This Row],[QR Fabrication]]&lt;&gt;"",INDEX(_xlfn.TEXTSPLIT(mouvementmp[[#This Row],[QR Fabrication]],"_"),1,5),"")</f>
        <v>MARINIERE</v>
      </c>
      <c r="V319" s="47" t="str">
        <f>IF(mouvementmp[[#This Row],[QR Fabrication]]&lt;&gt;"",_xlfn.TEXTAFTER(mouvementmp[[#This Row],[QR Fabrication]],"_",5),"")</f>
        <v>0919</v>
      </c>
    </row>
    <row r="320" spans="1:22" ht="16.5" thickTop="1" thickBot="1" x14ac:dyDescent="0.3">
      <c r="A320" s="46"/>
      <c r="B320" s="54" t="s">
        <v>3808</v>
      </c>
      <c r="C320" s="47" t="s">
        <v>672</v>
      </c>
      <c r="D320" s="47" t="s">
        <v>665</v>
      </c>
      <c r="E320" s="47" t="s">
        <v>669</v>
      </c>
      <c r="F320" s="48">
        <v>59</v>
      </c>
      <c r="G320" s="47"/>
      <c r="H320" s="47"/>
      <c r="I320" s="47" t="s">
        <v>664</v>
      </c>
      <c r="J320" s="49">
        <v>45919</v>
      </c>
      <c r="K320" s="47" t="str">
        <f>INDEX(_xlfn.TEXTSPLIT(mouvementmp[[#This Row],[QR MP]],"_"),1,1)</f>
        <v>C02</v>
      </c>
      <c r="L320" s="47" t="str">
        <f>INDEX(_xlfn.TEXTSPLIT(mouvementmp[[#This Row],[QR MP]],"_"),1,2)</f>
        <v>ECRU</v>
      </c>
      <c r="M320" s="47" t="str">
        <f>INDEX(_xlfn.TEXTSPLIT(mouvementmp[[#This Row],[QR MP]],"_"),1,3)</f>
        <v>NM34-02.00</v>
      </c>
      <c r="N320" s="47" t="str">
        <f>INDEX(_xlfn.TEXTSPLIT(mouvementmp[[#This Row],[QR MP]],"_"),1,4)</f>
        <v>S2024</v>
      </c>
      <c r="O320" s="47">
        <f>-mouvementmp[[#This Row],[Poids]]</f>
        <v>-59</v>
      </c>
      <c r="P320" s="47" t="str">
        <f>IF(
   COUNTIFS($A$2:A320,A320,
             $B$2:B320,B320,
             $C$2:C320,C320,
             $D$2:D320,D320,
             $E$2:E320,E320,
             $F$2:F320,F320,
              $J$2:J320,J320)&gt;1,
   "Doublon",
   "Correcte"
)</f>
        <v>Correcte</v>
      </c>
      <c r="Q320" s="106" t="str">
        <f>IF(mouvementmp[[#This Row],[QR Fabrication]]&lt;&gt;"",INDEX(_xlfn.TEXTSPLIT(mouvementmp[[#This Row],[QR Fabrication]],"_"),1,1),"")</f>
        <v/>
      </c>
      <c r="R320" s="106" t="str">
        <f>IF(mouvementmp[[#This Row],[QR Fabrication]]&lt;&gt;"",INDEX(_xlfn.TEXTSPLIT(mouvementmp[[#This Row],[QR Fabrication]],"_"),1,2),"")</f>
        <v/>
      </c>
      <c r="S320" s="47" t="str">
        <f>IF(mouvementmp[[#This Row],[QR Fabrication]]&lt;&gt;"",INDEX(_xlfn.TEXTSPLIT(mouvementmp[[#This Row],[QR Fabrication]],"_"),1,3),"")</f>
        <v/>
      </c>
      <c r="T320" s="47" t="str">
        <f>IF(mouvementmp[[#This Row],[QR Fabrication]]&lt;&gt;"",INDEX(_xlfn.TEXTSPLIT(mouvementmp[[#This Row],[QR Fabrication]],"_"),1,4),"")</f>
        <v/>
      </c>
      <c r="U320" s="47" t="str">
        <f>IF(mouvementmp[[#This Row],[QR Fabrication]]&lt;&gt;"",INDEX(_xlfn.TEXTSPLIT(mouvementmp[[#This Row],[QR Fabrication]],"_"),1,5),"")</f>
        <v/>
      </c>
      <c r="V320" s="47" t="str">
        <f>IF(mouvementmp[[#This Row],[QR Fabrication]]&lt;&gt;"",_xlfn.TEXTAFTER(mouvementmp[[#This Row],[QR Fabrication]],"_",5),"")</f>
        <v/>
      </c>
    </row>
    <row r="321" spans="1:22" ht="16.5" thickTop="1" thickBot="1" x14ac:dyDescent="0.3">
      <c r="A321" s="46" t="s">
        <v>2468</v>
      </c>
      <c r="B321" s="54" t="s">
        <v>3908</v>
      </c>
      <c r="C321" s="47" t="s">
        <v>672</v>
      </c>
      <c r="D321" s="47" t="s">
        <v>665</v>
      </c>
      <c r="E321" s="47" t="s">
        <v>669</v>
      </c>
      <c r="F321" s="48">
        <v>21.5</v>
      </c>
      <c r="G321" s="47"/>
      <c r="H321" s="47"/>
      <c r="I321" s="47" t="s">
        <v>664</v>
      </c>
      <c r="J321" s="49">
        <v>45919</v>
      </c>
      <c r="K321" s="47" t="str">
        <f>INDEX(_xlfn.TEXTSPLIT(mouvementmp[[#This Row],[QR MP]],"_"),1,1)</f>
        <v>C33</v>
      </c>
      <c r="L321" s="47" t="str">
        <f>INDEX(_xlfn.TEXTSPLIT(mouvementmp[[#This Row],[QR MP]],"_"),1,2)</f>
        <v>LILA</v>
      </c>
      <c r="M321" s="47" t="str">
        <f>INDEX(_xlfn.TEXTSPLIT(mouvementmp[[#This Row],[QR MP]],"_"),1,3)</f>
        <v>NM15-33.00</v>
      </c>
      <c r="N321" s="47" t="str">
        <f>INDEX(_xlfn.TEXTSPLIT(mouvementmp[[#This Row],[QR MP]],"_"),1,4)</f>
        <v>S2023</v>
      </c>
      <c r="O321" s="47">
        <f>-mouvementmp[[#This Row],[Poids]]</f>
        <v>-21.5</v>
      </c>
      <c r="P321" s="47" t="str">
        <f>IF(
   COUNTIFS($A$2:A321,A321,
             $B$2:B321,B321,
             $C$2:C321,C321,
             $D$2:D321,D321,
             $E$2:E321,E321,
             $F$2:F321,F321,
              $J$2:J321,J321)&gt;1,
   "Doublon",
   "Correcte"
)</f>
        <v>Correcte</v>
      </c>
      <c r="Q321" s="106" t="str">
        <f>IF(mouvementmp[[#This Row],[QR Fabrication]]&lt;&gt;"",INDEX(_xlfn.TEXTSPLIT(mouvementmp[[#This Row],[QR Fabrication]],"_"),1,1),"")</f>
        <v>OF249819</v>
      </c>
      <c r="R321" s="106" t="str">
        <f>IF(mouvementmp[[#This Row],[QR Fabrication]]&lt;&gt;"",INDEX(_xlfn.TEXTSPLIT(mouvementmp[[#This Row],[QR Fabrication]],"_"),1,2),"")</f>
        <v>CL00884</v>
      </c>
      <c r="S321" s="47" t="str">
        <f>IF(mouvementmp[[#This Row],[QR Fabrication]]&lt;&gt;"",INDEX(_xlfn.TEXTSPLIT(mouvementmp[[#This Row],[QR Fabrication]],"_"),1,3),"")</f>
        <v>CM-FT0119</v>
      </c>
      <c r="T321" s="47" t="str">
        <f>IF(mouvementmp[[#This Row],[QR Fabrication]]&lt;&gt;"",INDEX(_xlfn.TEXTSPLIT(mouvementmp[[#This Row],[QR Fabrication]],"_"),1,4),"")</f>
        <v>SO1020-Q33-11-32</v>
      </c>
      <c r="U321" s="47" t="str">
        <f>IF(mouvementmp[[#This Row],[QR Fabrication]]&lt;&gt;"",INDEX(_xlfn.TEXTSPLIT(mouvementmp[[#This Row],[QR Fabrication]],"_"),1,5),"")</f>
        <v>SOUSSE</v>
      </c>
      <c r="V321" s="47" t="str">
        <f>IF(mouvementmp[[#This Row],[QR Fabrication]]&lt;&gt;"",_xlfn.TEXTAFTER(mouvementmp[[#This Row],[QR Fabrication]],"_",5),"")</f>
        <v>1020</v>
      </c>
    </row>
    <row r="322" spans="1:22" ht="16.5" thickTop="1" thickBot="1" x14ac:dyDescent="0.3">
      <c r="A322" s="46" t="s">
        <v>2468</v>
      </c>
      <c r="B322" s="54" t="s">
        <v>3847</v>
      </c>
      <c r="C322" s="47" t="s">
        <v>672</v>
      </c>
      <c r="D322" s="47" t="s">
        <v>665</v>
      </c>
      <c r="E322" s="47" t="s">
        <v>669</v>
      </c>
      <c r="F322" s="48">
        <v>8.4</v>
      </c>
      <c r="G322" s="47"/>
      <c r="H322" s="47"/>
      <c r="I322" s="47" t="s">
        <v>664</v>
      </c>
      <c r="J322" s="49">
        <v>45919</v>
      </c>
      <c r="K322" s="47" t="str">
        <f>INDEX(_xlfn.TEXTSPLIT(mouvementmp[[#This Row],[QR MP]],"_"),1,1)</f>
        <v>C11</v>
      </c>
      <c r="L322" s="47" t="str">
        <f>INDEX(_xlfn.TEXTSPLIT(mouvementmp[[#This Row],[QR MP]],"_"),1,2)</f>
        <v>BLEU GITANE</v>
      </c>
      <c r="M322" s="47" t="str">
        <f>INDEX(_xlfn.TEXTSPLIT(mouvementmp[[#This Row],[QR MP]],"_"),1,3)</f>
        <v>NM15-11.00</v>
      </c>
      <c r="N322" s="47" t="str">
        <f>INDEX(_xlfn.TEXTSPLIT(mouvementmp[[#This Row],[QR MP]],"_"),1,4)</f>
        <v>61659</v>
      </c>
      <c r="O322" s="47">
        <f>-mouvementmp[[#This Row],[Poids]]</f>
        <v>-8.4</v>
      </c>
      <c r="P322" s="47" t="str">
        <f>IF(
   COUNTIFS($A$2:A322,A322,
             $B$2:B322,B322,
             $C$2:C322,C322,
             $D$2:D322,D322,
             $E$2:E322,E322,
             $F$2:F322,F322,
              $J$2:J322,J322)&gt;1,
   "Doublon",
   "Correcte"
)</f>
        <v>Correcte</v>
      </c>
      <c r="Q322" s="106" t="str">
        <f>IF(mouvementmp[[#This Row],[QR Fabrication]]&lt;&gt;"",INDEX(_xlfn.TEXTSPLIT(mouvementmp[[#This Row],[QR Fabrication]],"_"),1,1),"")</f>
        <v>OF249819</v>
      </c>
      <c r="R322" s="106" t="str">
        <f>IF(mouvementmp[[#This Row],[QR Fabrication]]&lt;&gt;"",INDEX(_xlfn.TEXTSPLIT(mouvementmp[[#This Row],[QR Fabrication]],"_"),1,2),"")</f>
        <v>CL00884</v>
      </c>
      <c r="S322" s="47" t="str">
        <f>IF(mouvementmp[[#This Row],[QR Fabrication]]&lt;&gt;"",INDEX(_xlfn.TEXTSPLIT(mouvementmp[[#This Row],[QR Fabrication]],"_"),1,3),"")</f>
        <v>CM-FT0119</v>
      </c>
      <c r="T322" s="47" t="str">
        <f>IF(mouvementmp[[#This Row],[QR Fabrication]]&lt;&gt;"",INDEX(_xlfn.TEXTSPLIT(mouvementmp[[#This Row],[QR Fabrication]],"_"),1,4),"")</f>
        <v>SO1020-Q33-11-32</v>
      </c>
      <c r="U322" s="47" t="str">
        <f>IF(mouvementmp[[#This Row],[QR Fabrication]]&lt;&gt;"",INDEX(_xlfn.TEXTSPLIT(mouvementmp[[#This Row],[QR Fabrication]],"_"),1,5),"")</f>
        <v>SOUSSE</v>
      </c>
      <c r="V322" s="47" t="str">
        <f>IF(mouvementmp[[#This Row],[QR Fabrication]]&lt;&gt;"",_xlfn.TEXTAFTER(mouvementmp[[#This Row],[QR Fabrication]],"_",5),"")</f>
        <v>1020</v>
      </c>
    </row>
    <row r="323" spans="1:22" ht="16.5" thickTop="1" thickBot="1" x14ac:dyDescent="0.3">
      <c r="A323" s="46" t="s">
        <v>2468</v>
      </c>
      <c r="B323" s="54" t="s">
        <v>3905</v>
      </c>
      <c r="C323" s="47" t="s">
        <v>672</v>
      </c>
      <c r="D323" s="47" t="s">
        <v>665</v>
      </c>
      <c r="E323" s="47" t="s">
        <v>669</v>
      </c>
      <c r="F323" s="48">
        <v>14.85</v>
      </c>
      <c r="G323" s="47"/>
      <c r="H323" s="47"/>
      <c r="I323" s="47" t="s">
        <v>664</v>
      </c>
      <c r="J323" s="49">
        <v>45919</v>
      </c>
      <c r="K323" s="47" t="str">
        <f>INDEX(_xlfn.TEXTSPLIT(mouvementmp[[#This Row],[QR MP]],"_"),1,1)</f>
        <v>C32</v>
      </c>
      <c r="L323" s="47" t="str">
        <f>INDEX(_xlfn.TEXTSPLIT(mouvementmp[[#This Row],[QR MP]],"_"),1,2)</f>
        <v>VIEUX ROSE</v>
      </c>
      <c r="M323" s="47" t="str">
        <f>INDEX(_xlfn.TEXTSPLIT(mouvementmp[[#This Row],[QR MP]],"_"),1,3)</f>
        <v>NM15-32.00</v>
      </c>
      <c r="N323" s="47" t="str">
        <f>INDEX(_xlfn.TEXTSPLIT(mouvementmp[[#This Row],[QR MP]],"_"),1,4)</f>
        <v>61455</v>
      </c>
      <c r="O323" s="47">
        <f>-mouvementmp[[#This Row],[Poids]]</f>
        <v>-14.85</v>
      </c>
      <c r="P323" s="47" t="str">
        <f>IF(
   COUNTIFS($A$2:A323,A323,
             $B$2:B323,B323,
             $C$2:C323,C323,
             $D$2:D323,D323,
             $E$2:E323,E323,
             $F$2:F323,F323,
              $J$2:J323,J323)&gt;1,
   "Doublon",
   "Correcte"
)</f>
        <v>Correcte</v>
      </c>
      <c r="Q323" s="106" t="str">
        <f>IF(mouvementmp[[#This Row],[QR Fabrication]]&lt;&gt;"",INDEX(_xlfn.TEXTSPLIT(mouvementmp[[#This Row],[QR Fabrication]],"_"),1,1),"")</f>
        <v>OF249819</v>
      </c>
      <c r="R323" s="106" t="str">
        <f>IF(mouvementmp[[#This Row],[QR Fabrication]]&lt;&gt;"",INDEX(_xlfn.TEXTSPLIT(mouvementmp[[#This Row],[QR Fabrication]],"_"),1,2),"")</f>
        <v>CL00884</v>
      </c>
      <c r="S323" s="47" t="str">
        <f>IF(mouvementmp[[#This Row],[QR Fabrication]]&lt;&gt;"",INDEX(_xlfn.TEXTSPLIT(mouvementmp[[#This Row],[QR Fabrication]],"_"),1,3),"")</f>
        <v>CM-FT0119</v>
      </c>
      <c r="T323" s="47" t="str">
        <f>IF(mouvementmp[[#This Row],[QR Fabrication]]&lt;&gt;"",INDEX(_xlfn.TEXTSPLIT(mouvementmp[[#This Row],[QR Fabrication]],"_"),1,4),"")</f>
        <v>SO1020-Q33-11-32</v>
      </c>
      <c r="U323" s="47" t="str">
        <f>IF(mouvementmp[[#This Row],[QR Fabrication]]&lt;&gt;"",INDEX(_xlfn.TEXTSPLIT(mouvementmp[[#This Row],[QR Fabrication]],"_"),1,5),"")</f>
        <v>SOUSSE</v>
      </c>
      <c r="V323" s="47" t="str">
        <f>IF(mouvementmp[[#This Row],[QR Fabrication]]&lt;&gt;"",_xlfn.TEXTAFTER(mouvementmp[[#This Row],[QR Fabrication]],"_",5),"")</f>
        <v>1020</v>
      </c>
    </row>
    <row r="324" spans="1:22" ht="16.5" thickTop="1" thickBot="1" x14ac:dyDescent="0.3">
      <c r="A324" s="46" t="s">
        <v>2468</v>
      </c>
      <c r="B324" s="54" t="s">
        <v>3898</v>
      </c>
      <c r="C324" s="47" t="s">
        <v>672</v>
      </c>
      <c r="D324" s="47" t="s">
        <v>665</v>
      </c>
      <c r="E324" s="47" t="s">
        <v>669</v>
      </c>
      <c r="F324" s="48">
        <v>8.5</v>
      </c>
      <c r="G324" s="47"/>
      <c r="H324" s="47"/>
      <c r="I324" s="47" t="s">
        <v>664</v>
      </c>
      <c r="J324" s="49">
        <v>45919</v>
      </c>
      <c r="K324" s="47" t="str">
        <f>INDEX(_xlfn.TEXTSPLIT(mouvementmp[[#This Row],[QR MP]],"_"),1,1)</f>
        <v>C29</v>
      </c>
      <c r="L324" s="47" t="str">
        <f>INDEX(_xlfn.TEXTSPLIT(mouvementmp[[#This Row],[QR MP]],"_"),1,2)</f>
        <v>FUSHIA</v>
      </c>
      <c r="M324" s="47" t="str">
        <f>INDEX(_xlfn.TEXTSPLIT(mouvementmp[[#This Row],[QR MP]],"_"),1,3)</f>
        <v>NM15-29.00</v>
      </c>
      <c r="N324" s="47" t="str">
        <f>INDEX(_xlfn.TEXTSPLIT(mouvementmp[[#This Row],[QR MP]],"_"),1,4)</f>
        <v>61549</v>
      </c>
      <c r="O324" s="47">
        <f>-mouvementmp[[#This Row],[Poids]]</f>
        <v>-8.5</v>
      </c>
      <c r="P324" s="47" t="str">
        <f>IF(
   COUNTIFS($A$2:A324,A324,
             $B$2:B324,B324,
             $C$2:C324,C324,
             $D$2:D324,D324,
             $E$2:E324,E324,
             $F$2:F324,F324,
              $J$2:J324,J324)&gt;1,
   "Doublon",
   "Correcte"
)</f>
        <v>Correcte</v>
      </c>
      <c r="Q324" s="106" t="str">
        <f>IF(mouvementmp[[#This Row],[QR Fabrication]]&lt;&gt;"",INDEX(_xlfn.TEXTSPLIT(mouvementmp[[#This Row],[QR Fabrication]],"_"),1,1),"")</f>
        <v>OF249819</v>
      </c>
      <c r="R324" s="106" t="str">
        <f>IF(mouvementmp[[#This Row],[QR Fabrication]]&lt;&gt;"",INDEX(_xlfn.TEXTSPLIT(mouvementmp[[#This Row],[QR Fabrication]],"_"),1,2),"")</f>
        <v>CL00884</v>
      </c>
      <c r="S324" s="47" t="str">
        <f>IF(mouvementmp[[#This Row],[QR Fabrication]]&lt;&gt;"",INDEX(_xlfn.TEXTSPLIT(mouvementmp[[#This Row],[QR Fabrication]],"_"),1,3),"")</f>
        <v>CM-FT0119</v>
      </c>
      <c r="T324" s="47" t="str">
        <f>IF(mouvementmp[[#This Row],[QR Fabrication]]&lt;&gt;"",INDEX(_xlfn.TEXTSPLIT(mouvementmp[[#This Row],[QR Fabrication]],"_"),1,4),"")</f>
        <v>SO1020-Q33-11-32</v>
      </c>
      <c r="U324" s="47" t="str">
        <f>IF(mouvementmp[[#This Row],[QR Fabrication]]&lt;&gt;"",INDEX(_xlfn.TEXTSPLIT(mouvementmp[[#This Row],[QR Fabrication]],"_"),1,5),"")</f>
        <v>SOUSSE</v>
      </c>
      <c r="V324" s="47" t="str">
        <f>IF(mouvementmp[[#This Row],[QR Fabrication]]&lt;&gt;"",_xlfn.TEXTAFTER(mouvementmp[[#This Row],[QR Fabrication]],"_",5),"")</f>
        <v>1020</v>
      </c>
    </row>
    <row r="325" spans="1:22" ht="16.5" thickTop="1" thickBot="1" x14ac:dyDescent="0.3">
      <c r="A325" s="46"/>
      <c r="B325" s="54" t="s">
        <v>3920</v>
      </c>
      <c r="C325" s="47" t="s">
        <v>673</v>
      </c>
      <c r="D325" s="47" t="s">
        <v>674</v>
      </c>
      <c r="E325" s="47" t="s">
        <v>665</v>
      </c>
      <c r="F325" s="48">
        <v>51</v>
      </c>
      <c r="G325" s="47"/>
      <c r="H325" s="47"/>
      <c r="I325" s="47" t="s">
        <v>664</v>
      </c>
      <c r="J325" s="49">
        <v>45919</v>
      </c>
      <c r="K325" s="47" t="str">
        <f>INDEX(_xlfn.TEXTSPLIT(mouvementmp[[#This Row],[QR MP]],"_"),1,1)</f>
        <v>C01</v>
      </c>
      <c r="L325" s="47" t="str">
        <f>INDEX(_xlfn.TEXTSPLIT(mouvementmp[[#This Row],[QR MP]],"_"),1,2)</f>
        <v>BLANC</v>
      </c>
      <c r="M325" s="47" t="str">
        <f>INDEX(_xlfn.TEXTSPLIT(mouvementmp[[#This Row],[QR MP]],"_"),1,3)</f>
        <v>NM15-01.00</v>
      </c>
      <c r="N325" s="47" t="str">
        <f>INDEX(_xlfn.TEXTSPLIT(mouvementmp[[#This Row],[QR MP]],"_"),1,4)</f>
        <v>62721</v>
      </c>
      <c r="O325" s="47">
        <f>-mouvementmp[[#This Row],[Poids]]</f>
        <v>-51</v>
      </c>
      <c r="P325" s="47" t="str">
        <f>IF(
   COUNTIFS($A$2:A325,A325,
             $B$2:B325,B325,
             $C$2:C325,C325,
             $D$2:D325,D325,
             $E$2:E325,E325,
             $F$2:F325,F325,
              $J$2:J325,J325)&gt;1,
   "Doublon",
   "Correcte"
)</f>
        <v>Correcte</v>
      </c>
      <c r="Q325" s="106" t="str">
        <f>IF(mouvementmp[[#This Row],[QR Fabrication]]&lt;&gt;"",INDEX(_xlfn.TEXTSPLIT(mouvementmp[[#This Row],[QR Fabrication]],"_"),1,1),"")</f>
        <v/>
      </c>
      <c r="R325" s="106" t="str">
        <f>IF(mouvementmp[[#This Row],[QR Fabrication]]&lt;&gt;"",INDEX(_xlfn.TEXTSPLIT(mouvementmp[[#This Row],[QR Fabrication]],"_"),1,2),"")</f>
        <v/>
      </c>
      <c r="S325" s="47" t="str">
        <f>IF(mouvementmp[[#This Row],[QR Fabrication]]&lt;&gt;"",INDEX(_xlfn.TEXTSPLIT(mouvementmp[[#This Row],[QR Fabrication]],"_"),1,3),"")</f>
        <v/>
      </c>
      <c r="T325" s="47" t="str">
        <f>IF(mouvementmp[[#This Row],[QR Fabrication]]&lt;&gt;"",INDEX(_xlfn.TEXTSPLIT(mouvementmp[[#This Row],[QR Fabrication]],"_"),1,4),"")</f>
        <v/>
      </c>
      <c r="U325" s="47" t="str">
        <f>IF(mouvementmp[[#This Row],[QR Fabrication]]&lt;&gt;"",INDEX(_xlfn.TEXTSPLIT(mouvementmp[[#This Row],[QR Fabrication]],"_"),1,5),"")</f>
        <v/>
      </c>
      <c r="V325" s="47" t="str">
        <f>IF(mouvementmp[[#This Row],[QR Fabrication]]&lt;&gt;"",_xlfn.TEXTAFTER(mouvementmp[[#This Row],[QR Fabrication]],"_",5),"")</f>
        <v/>
      </c>
    </row>
    <row r="326" spans="1:22" ht="16.5" thickTop="1" thickBot="1" x14ac:dyDescent="0.3">
      <c r="A326" s="46" t="s">
        <v>1315</v>
      </c>
      <c r="B326" s="54" t="s">
        <v>3845</v>
      </c>
      <c r="C326" s="47" t="s">
        <v>668</v>
      </c>
      <c r="D326" s="47" t="s">
        <v>665</v>
      </c>
      <c r="E326" s="47" t="s">
        <v>669</v>
      </c>
      <c r="F326" s="48">
        <v>1.1499999999999999</v>
      </c>
      <c r="G326" s="47"/>
      <c r="H326" s="47"/>
      <c r="I326" s="47" t="s">
        <v>664</v>
      </c>
      <c r="J326" s="49">
        <v>45919</v>
      </c>
      <c r="K326" s="47" t="str">
        <f>INDEX(_xlfn.TEXTSPLIT(mouvementmp[[#This Row],[QR MP]],"_"),1,1)</f>
        <v>C09</v>
      </c>
      <c r="L326" s="47" t="str">
        <f>INDEX(_xlfn.TEXTSPLIT(mouvementmp[[#This Row],[QR MP]],"_"),1,2)</f>
        <v>NOIR</v>
      </c>
      <c r="M326" s="47" t="str">
        <f>INDEX(_xlfn.TEXTSPLIT(mouvementmp[[#This Row],[QR MP]],"_"),1,3)</f>
        <v>NM14-09.00</v>
      </c>
      <c r="N326" s="47" t="str">
        <f>INDEX(_xlfn.TEXTSPLIT(mouvementmp[[#This Row],[QR MP]],"_"),1,4)</f>
        <v>59635</v>
      </c>
      <c r="O326" s="47">
        <f>-mouvementmp[[#This Row],[Poids]]</f>
        <v>-1.1499999999999999</v>
      </c>
      <c r="P326" s="47" t="str">
        <f>IF(
   COUNTIFS($A$2:A326,A326,
             $B$2:B326,B326,
             $C$2:C326,C326,
             $D$2:D326,D326,
             $E$2:E326,E326,
             $F$2:F326,F326,
              $J$2:J326,J326)&gt;1,
   "Doublon",
   "Correcte"
)</f>
        <v>Correcte</v>
      </c>
      <c r="Q326" s="106" t="str">
        <f>IF(mouvementmp[[#This Row],[QR Fabrication]]&lt;&gt;"",INDEX(_xlfn.TEXTSPLIT(mouvementmp[[#This Row],[QR Fabrication]],"_"),1,1),"")</f>
        <v>OF250129</v>
      </c>
      <c r="R326" s="106" t="str">
        <f>IF(mouvementmp[[#This Row],[QR Fabrication]]&lt;&gt;"",INDEX(_xlfn.TEXTSPLIT(mouvementmp[[#This Row],[QR Fabrication]],"_"),1,2),"")</f>
        <v>CL00296</v>
      </c>
      <c r="S326" s="47" t="str">
        <f>IF(mouvementmp[[#This Row],[QR Fabrication]]&lt;&gt;"",INDEX(_xlfn.TEXTSPLIT(mouvementmp[[#This Row],[QR Fabrication]],"_"),1,3),"")</f>
        <v>CM-FT0129</v>
      </c>
      <c r="T326" s="47" t="str">
        <f>IF(mouvementmp[[#This Row],[QR Fabrication]]&lt;&gt;"",INDEX(_xlfn.TEXTSPLIT(mouvementmp[[#This Row],[QR Fabrication]],"_"),1,4),"")</f>
        <v>SACF0507-B09-14</v>
      </c>
      <c r="U326" s="47" t="str">
        <f>IF(mouvementmp[[#This Row],[QR Fabrication]]&lt;&gt;"",INDEX(_xlfn.TEXTSPLIT(mouvementmp[[#This Row],[QR Fabrication]],"_"),1,5),"")</f>
        <v>SAC FOUTA</v>
      </c>
      <c r="V326" s="47" t="str">
        <f>IF(mouvementmp[[#This Row],[QR Fabrication]]&lt;&gt;"",_xlfn.TEXTAFTER(mouvementmp[[#This Row],[QR Fabrication]],"_",5),"")</f>
        <v>0507</v>
      </c>
    </row>
    <row r="327" spans="1:22" ht="16.5" thickTop="1" thickBot="1" x14ac:dyDescent="0.3">
      <c r="A327" s="46" t="s">
        <v>1315</v>
      </c>
      <c r="B327" s="54" t="s">
        <v>3860</v>
      </c>
      <c r="C327" s="47" t="s">
        <v>668</v>
      </c>
      <c r="D327" s="47" t="s">
        <v>665</v>
      </c>
      <c r="E327" s="47" t="s">
        <v>669</v>
      </c>
      <c r="F327" s="48">
        <v>0.98</v>
      </c>
      <c r="G327" s="47"/>
      <c r="H327" s="47"/>
      <c r="I327" s="47" t="s">
        <v>664</v>
      </c>
      <c r="J327" s="49">
        <v>45919</v>
      </c>
      <c r="K327" s="47" t="str">
        <f>INDEX(_xlfn.TEXTSPLIT(mouvementmp[[#This Row],[QR MP]],"_"),1,1)</f>
        <v>C15</v>
      </c>
      <c r="L327" s="47" t="str">
        <f>INDEX(_xlfn.TEXTSPLIT(mouvementmp[[#This Row],[QR MP]],"_"),1,2)</f>
        <v>LAGON</v>
      </c>
      <c r="M327" s="47" t="str">
        <f>INDEX(_xlfn.TEXTSPLIT(mouvementmp[[#This Row],[QR MP]],"_"),1,3)</f>
        <v>NM15-15.00</v>
      </c>
      <c r="N327" s="47" t="str">
        <f>INDEX(_xlfn.TEXTSPLIT(mouvementmp[[#This Row],[QR MP]],"_"),1,4)</f>
        <v>61645</v>
      </c>
      <c r="O327" s="47">
        <f>-mouvementmp[[#This Row],[Poids]]</f>
        <v>-0.98</v>
      </c>
      <c r="P327" s="47" t="str">
        <f>IF(
   COUNTIFS($A$2:A327,A327,
             $B$2:B327,B327,
             $C$2:C327,C327,
             $D$2:D327,D327,
             $E$2:E327,E327,
             $F$2:F327,F327,
              $J$2:J327,J327)&gt;1,
   "Doublon",
   "Correcte"
)</f>
        <v>Correcte</v>
      </c>
      <c r="Q327" s="106" t="str">
        <f>IF(mouvementmp[[#This Row],[QR Fabrication]]&lt;&gt;"",INDEX(_xlfn.TEXTSPLIT(mouvementmp[[#This Row],[QR Fabrication]],"_"),1,1),"")</f>
        <v>OF250129</v>
      </c>
      <c r="R327" s="106" t="str">
        <f>IF(mouvementmp[[#This Row],[QR Fabrication]]&lt;&gt;"",INDEX(_xlfn.TEXTSPLIT(mouvementmp[[#This Row],[QR Fabrication]],"_"),1,2),"")</f>
        <v>CL00296</v>
      </c>
      <c r="S327" s="47" t="str">
        <f>IF(mouvementmp[[#This Row],[QR Fabrication]]&lt;&gt;"",INDEX(_xlfn.TEXTSPLIT(mouvementmp[[#This Row],[QR Fabrication]],"_"),1,3),"")</f>
        <v>CM-FT0129</v>
      </c>
      <c r="T327" s="47" t="str">
        <f>IF(mouvementmp[[#This Row],[QR Fabrication]]&lt;&gt;"",INDEX(_xlfn.TEXTSPLIT(mouvementmp[[#This Row],[QR Fabrication]],"_"),1,4),"")</f>
        <v>SACF0507-B09-14</v>
      </c>
      <c r="U327" s="47" t="str">
        <f>IF(mouvementmp[[#This Row],[QR Fabrication]]&lt;&gt;"",INDEX(_xlfn.TEXTSPLIT(mouvementmp[[#This Row],[QR Fabrication]],"_"),1,5),"")</f>
        <v>SAC FOUTA</v>
      </c>
      <c r="V327" s="47" t="str">
        <f>IF(mouvementmp[[#This Row],[QR Fabrication]]&lt;&gt;"",_xlfn.TEXTAFTER(mouvementmp[[#This Row],[QR Fabrication]],"_",5),"")</f>
        <v>0507</v>
      </c>
    </row>
    <row r="328" spans="1:22" ht="16.5" thickTop="1" thickBot="1" x14ac:dyDescent="0.3">
      <c r="A328" s="46" t="s">
        <v>2469</v>
      </c>
      <c r="B328" s="54" t="s">
        <v>3894</v>
      </c>
      <c r="C328" s="47" t="s">
        <v>668</v>
      </c>
      <c r="D328" s="47" t="s">
        <v>665</v>
      </c>
      <c r="E328" s="47" t="s">
        <v>669</v>
      </c>
      <c r="F328" s="48">
        <v>0.79</v>
      </c>
      <c r="G328" s="47"/>
      <c r="H328" s="47"/>
      <c r="I328" s="47" t="s">
        <v>664</v>
      </c>
      <c r="J328" s="49">
        <v>45919</v>
      </c>
      <c r="K328" s="47" t="str">
        <f>INDEX(_xlfn.TEXTSPLIT(mouvementmp[[#This Row],[QR MP]],"_"),1,1)</f>
        <v>C27</v>
      </c>
      <c r="L328" s="47" t="str">
        <f>INDEX(_xlfn.TEXTSPLIT(mouvementmp[[#This Row],[QR MP]],"_"),1,2)</f>
        <v>ROUGE BORDEAU</v>
      </c>
      <c r="M328" s="47" t="str">
        <f>INDEX(_xlfn.TEXTSPLIT(mouvementmp[[#This Row],[QR MP]],"_"),1,3)</f>
        <v>NM15-27.00</v>
      </c>
      <c r="N328" s="47" t="str">
        <f>INDEX(_xlfn.TEXTSPLIT(mouvementmp[[#This Row],[QR MP]],"_"),1,4)</f>
        <v>61518</v>
      </c>
      <c r="O328" s="47">
        <f>-mouvementmp[[#This Row],[Poids]]</f>
        <v>-0.79</v>
      </c>
      <c r="P328" s="47" t="str">
        <f>IF(
   COUNTIFS($A$2:A328,A328,
             $B$2:B328,B328,
             $C$2:C328,C328,
             $D$2:D328,D328,
             $E$2:E328,E328,
             $F$2:F328,F328,
              $J$2:J328,J328)&gt;1,
   "Doublon",
   "Correcte"
)</f>
        <v>Correcte</v>
      </c>
      <c r="Q328" s="106" t="str">
        <f>IF(mouvementmp[[#This Row],[QR Fabrication]]&lt;&gt;"",INDEX(_xlfn.TEXTSPLIT(mouvementmp[[#This Row],[QR Fabrication]],"_"),1,1),"")</f>
        <v>CA250056</v>
      </c>
      <c r="R328" s="106" t="str">
        <f>IF(mouvementmp[[#This Row],[QR Fabrication]]&lt;&gt;"",INDEX(_xlfn.TEXTSPLIT(mouvementmp[[#This Row],[QR Fabrication]],"_"),1,2),"")</f>
        <v>All by Fouta</v>
      </c>
      <c r="S328" s="47" t="str">
        <f>IF(mouvementmp[[#This Row],[QR Fabrication]]&lt;&gt;"",INDEX(_xlfn.TEXTSPLIT(mouvementmp[[#This Row],[QR Fabrication]],"_"),1,3),"")</f>
        <v>Stock</v>
      </c>
      <c r="T328" s="47" t="str">
        <f>IF(mouvementmp[[#This Row],[QR Fabrication]]&lt;&gt;"",INDEX(_xlfn.TEXTSPLIT(mouvementmp[[#This Row],[QR Fabrication]],"_"),1,4),"")</f>
        <v>UNS1626-27</v>
      </c>
      <c r="U328" s="47" t="str">
        <f>IF(mouvementmp[[#This Row],[QR Fabrication]]&lt;&gt;"",INDEX(_xlfn.TEXTSPLIT(mouvementmp[[#This Row],[QR Fabrication]],"_"),1,5),"")</f>
        <v>UNI SURPIQUE</v>
      </c>
      <c r="V328" s="47" t="str">
        <f>IF(mouvementmp[[#This Row],[QR Fabrication]]&lt;&gt;"",_xlfn.TEXTAFTER(mouvementmp[[#This Row],[QR Fabrication]],"_",5),"")</f>
        <v>1626</v>
      </c>
    </row>
    <row r="329" spans="1:22" ht="16.5" thickTop="1" thickBot="1" x14ac:dyDescent="0.3">
      <c r="A329" s="46" t="s">
        <v>2470</v>
      </c>
      <c r="B329" s="54" t="s">
        <v>3901</v>
      </c>
      <c r="C329" s="47" t="s">
        <v>668</v>
      </c>
      <c r="D329" s="47" t="s">
        <v>665</v>
      </c>
      <c r="E329" s="47" t="s">
        <v>669</v>
      </c>
      <c r="F329" s="48">
        <v>0.75</v>
      </c>
      <c r="G329" s="47"/>
      <c r="H329" s="47"/>
      <c r="I329" s="47" t="s">
        <v>664</v>
      </c>
      <c r="J329" s="49">
        <v>45919</v>
      </c>
      <c r="K329" s="47" t="str">
        <f>INDEX(_xlfn.TEXTSPLIT(mouvementmp[[#This Row],[QR MP]],"_"),1,1)</f>
        <v>C30</v>
      </c>
      <c r="L329" s="47" t="str">
        <f>INDEX(_xlfn.TEXTSPLIT(mouvementmp[[#This Row],[QR MP]],"_"),1,2)</f>
        <v>PRALINE</v>
      </c>
      <c r="M329" s="47" t="str">
        <f>INDEX(_xlfn.TEXTSPLIT(mouvementmp[[#This Row],[QR MP]],"_"),1,3)</f>
        <v>NM15-30.00</v>
      </c>
      <c r="N329" s="47" t="str">
        <f>INDEX(_xlfn.TEXTSPLIT(mouvementmp[[#This Row],[QR MP]],"_"),1,4)</f>
        <v>61570</v>
      </c>
      <c r="O329" s="47">
        <f>-mouvementmp[[#This Row],[Poids]]</f>
        <v>-0.75</v>
      </c>
      <c r="P329" s="47" t="str">
        <f>IF(
   COUNTIFS($A$2:A329,A329,
             $B$2:B329,B329,
             $C$2:C329,C329,
             $D$2:D329,D329,
             $E$2:E329,E329,
             $F$2:F329,F329,
              $J$2:J329,J329)&gt;1,
   "Doublon",
   "Correcte"
)</f>
        <v>Correcte</v>
      </c>
      <c r="Q329" s="106" t="str">
        <f>IF(mouvementmp[[#This Row],[QR Fabrication]]&lt;&gt;"",INDEX(_xlfn.TEXTSPLIT(mouvementmp[[#This Row],[QR Fabrication]],"_"),1,1),"")</f>
        <v>CA250037</v>
      </c>
      <c r="R329" s="106" t="str">
        <f>IF(mouvementmp[[#This Row],[QR Fabrication]]&lt;&gt;"",INDEX(_xlfn.TEXTSPLIT(mouvementmp[[#This Row],[QR Fabrication]],"_"),1,2),"")</f>
        <v>All by Fouta</v>
      </c>
      <c r="S329" s="47" t="str">
        <f>IF(mouvementmp[[#This Row],[QR Fabrication]]&lt;&gt;"",INDEX(_xlfn.TEXTSPLIT(mouvementmp[[#This Row],[QR Fabrication]],"_"),1,3),"")</f>
        <v>Stock</v>
      </c>
      <c r="T329" s="47" t="str">
        <f>IF(mouvementmp[[#This Row],[QR Fabrication]]&lt;&gt;"",INDEX(_xlfn.TEXTSPLIT(mouvementmp[[#This Row],[QR Fabrication]],"_"),1,4),"")</f>
        <v>UNS2020-30</v>
      </c>
      <c r="U329" s="47" t="str">
        <f>IF(mouvementmp[[#This Row],[QR Fabrication]]&lt;&gt;"",INDEX(_xlfn.TEXTSPLIT(mouvementmp[[#This Row],[QR Fabrication]],"_"),1,5),"")</f>
        <v>UNI SURPIQUE</v>
      </c>
      <c r="V329" s="47" t="str">
        <f>IF(mouvementmp[[#This Row],[QR Fabrication]]&lt;&gt;"",_xlfn.TEXTAFTER(mouvementmp[[#This Row],[QR Fabrication]],"_",5),"")</f>
        <v>2020</v>
      </c>
    </row>
    <row r="330" spans="1:22" ht="16.5" thickTop="1" thickBot="1" x14ac:dyDescent="0.3">
      <c r="A330" s="46" t="s">
        <v>2471</v>
      </c>
      <c r="B330" s="54" t="s">
        <v>3920</v>
      </c>
      <c r="C330" s="47" t="s">
        <v>672</v>
      </c>
      <c r="D330" s="47" t="s">
        <v>665</v>
      </c>
      <c r="E330" s="47" t="s">
        <v>669</v>
      </c>
      <c r="F330" s="48">
        <v>21.5</v>
      </c>
      <c r="G330" s="47"/>
      <c r="H330" s="47"/>
      <c r="I330" s="47" t="s">
        <v>664</v>
      </c>
      <c r="J330" s="49">
        <v>45920</v>
      </c>
      <c r="K330" s="47" t="str">
        <f>INDEX(_xlfn.TEXTSPLIT(mouvementmp[[#This Row],[QR MP]],"_"),1,1)</f>
        <v>C01</v>
      </c>
      <c r="L330" s="47" t="str">
        <f>INDEX(_xlfn.TEXTSPLIT(mouvementmp[[#This Row],[QR MP]],"_"),1,2)</f>
        <v>BLANC</v>
      </c>
      <c r="M330" s="47" t="str">
        <f>INDEX(_xlfn.TEXTSPLIT(mouvementmp[[#This Row],[QR MP]],"_"),1,3)</f>
        <v>NM15-01.00</v>
      </c>
      <c r="N330" s="47" t="str">
        <f>INDEX(_xlfn.TEXTSPLIT(mouvementmp[[#This Row],[QR MP]],"_"),1,4)</f>
        <v>62721</v>
      </c>
      <c r="O330" s="47">
        <f>-mouvementmp[[#This Row],[Poids]]</f>
        <v>-21.5</v>
      </c>
      <c r="P330" s="47" t="str">
        <f>IF(
   COUNTIFS($A$2:A330,A330,
             $B$2:B330,B330,
             $C$2:C330,C330,
             $D$2:D330,D330,
             $E$2:E330,E330,
             $F$2:F330,F330,
              $J$2:J330,J330)&gt;1,
   "Doublon",
   "Correcte"
)</f>
        <v>Correcte</v>
      </c>
      <c r="Q330" s="106" t="str">
        <f>IF(mouvementmp[[#This Row],[QR Fabrication]]&lt;&gt;"",INDEX(_xlfn.TEXTSPLIT(mouvementmp[[#This Row],[QR Fabrication]],"_"),1,1),"")</f>
        <v>OF249798</v>
      </c>
      <c r="R330" s="106" t="str">
        <f>IF(mouvementmp[[#This Row],[QR Fabrication]]&lt;&gt;"",INDEX(_xlfn.TEXTSPLIT(mouvementmp[[#This Row],[QR Fabrication]],"_"),1,2),"")</f>
        <v>CL00884</v>
      </c>
      <c r="S330" s="47" t="str">
        <f>IF(mouvementmp[[#This Row],[QR Fabrication]]&lt;&gt;"",INDEX(_xlfn.TEXTSPLIT(mouvementmp[[#This Row],[QR Fabrication]],"_"),1,3),"")</f>
        <v>CM-FT0119</v>
      </c>
      <c r="T330" s="47" t="str">
        <f>IF(mouvementmp[[#This Row],[QR Fabrication]]&lt;&gt;"",INDEX(_xlfn.TEXTSPLIT(mouvementmp[[#This Row],[QR Fabrication]],"_"),1,4),"")</f>
        <v>LI1020-B28-01</v>
      </c>
      <c r="U330" s="47" t="str">
        <f>IF(mouvementmp[[#This Row],[QR Fabrication]]&lt;&gt;"",INDEX(_xlfn.TEXTSPLIT(mouvementmp[[#This Row],[QR Fabrication]],"_"),1,5),"")</f>
        <v>LILI</v>
      </c>
      <c r="V330" s="47" t="str">
        <f>IF(mouvementmp[[#This Row],[QR Fabrication]]&lt;&gt;"",_xlfn.TEXTAFTER(mouvementmp[[#This Row],[QR Fabrication]],"_",5),"")</f>
        <v>1020</v>
      </c>
    </row>
    <row r="331" spans="1:22" ht="16.5" thickTop="1" thickBot="1" x14ac:dyDescent="0.3">
      <c r="A331" s="46" t="s">
        <v>2472</v>
      </c>
      <c r="B331" s="54" t="s">
        <v>3886</v>
      </c>
      <c r="C331" s="47" t="s">
        <v>672</v>
      </c>
      <c r="D331" s="47" t="s">
        <v>665</v>
      </c>
      <c r="E331" s="47" t="s">
        <v>669</v>
      </c>
      <c r="F331" s="48">
        <v>44</v>
      </c>
      <c r="G331" s="47"/>
      <c r="H331" s="47"/>
      <c r="I331" s="47" t="s">
        <v>664</v>
      </c>
      <c r="J331" s="49">
        <v>45920</v>
      </c>
      <c r="K331" s="47" t="str">
        <f>INDEX(_xlfn.TEXTSPLIT(mouvementmp[[#This Row],[QR MP]],"_"),1,1)</f>
        <v>C24</v>
      </c>
      <c r="L331" s="47" t="str">
        <f>INDEX(_xlfn.TEXTSPLIT(mouvementmp[[#This Row],[QR MP]],"_"),1,2)</f>
        <v>JAUNE SAFRAN</v>
      </c>
      <c r="M331" s="47" t="str">
        <f>INDEX(_xlfn.TEXTSPLIT(mouvementmp[[#This Row],[QR MP]],"_"),1,3)</f>
        <v>NM15-24.00</v>
      </c>
      <c r="N331" s="47" t="str">
        <f>INDEX(_xlfn.TEXTSPLIT(mouvementmp[[#This Row],[QR MP]],"_"),1,4)</f>
        <v>61554</v>
      </c>
      <c r="O331" s="47">
        <f>-mouvementmp[[#This Row],[Poids]]</f>
        <v>-44</v>
      </c>
      <c r="P331" s="47" t="str">
        <f>IF(
   COUNTIFS($A$2:A331,A331,
             $B$2:B331,B331,
             $C$2:C331,C331,
             $D$2:D331,D331,
             $E$2:E331,E331,
             $F$2:F331,F331,
              $J$2:J331,J331)&gt;1,
   "Doublon",
   "Correcte"
)</f>
        <v>Correcte</v>
      </c>
      <c r="Q331" s="106" t="str">
        <f>IF(mouvementmp[[#This Row],[QR Fabrication]]&lt;&gt;"",INDEX(_xlfn.TEXTSPLIT(mouvementmp[[#This Row],[QR Fabrication]],"_"),1,1),"")</f>
        <v>OF249782</v>
      </c>
      <c r="R331" s="106" t="str">
        <f>IF(mouvementmp[[#This Row],[QR Fabrication]]&lt;&gt;"",INDEX(_xlfn.TEXTSPLIT(mouvementmp[[#This Row],[QR Fabrication]],"_"),1,2),"")</f>
        <v>CL00884</v>
      </c>
      <c r="S331" s="47" t="str">
        <f>IF(mouvementmp[[#This Row],[QR Fabrication]]&lt;&gt;"",INDEX(_xlfn.TEXTSPLIT(mouvementmp[[#This Row],[QR Fabrication]],"_"),1,3),"")</f>
        <v>CM-FT0119</v>
      </c>
      <c r="T331" s="47" t="str">
        <f>IF(mouvementmp[[#This Row],[QR Fabrication]]&lt;&gt;"",INDEX(_xlfn.TEXTSPLIT(mouvementmp[[#This Row],[QR Fabrication]],"_"),1,4),"")</f>
        <v>IB1020-B24-01</v>
      </c>
      <c r="U331" s="47" t="str">
        <f>IF(mouvementmp[[#This Row],[QR Fabrication]]&lt;&gt;"",INDEX(_xlfn.TEXTSPLIT(mouvementmp[[#This Row],[QR Fabrication]],"_"),1,5),"")</f>
        <v>IBIZA</v>
      </c>
      <c r="V331" s="47" t="str">
        <f>IF(mouvementmp[[#This Row],[QR Fabrication]]&lt;&gt;"",_xlfn.TEXTAFTER(mouvementmp[[#This Row],[QR Fabrication]],"_",5),"")</f>
        <v>1020</v>
      </c>
    </row>
    <row r="332" spans="1:22" ht="16.5" thickTop="1" thickBot="1" x14ac:dyDescent="0.3">
      <c r="A332" s="46" t="s">
        <v>2472</v>
      </c>
      <c r="B332" s="54" t="s">
        <v>3920</v>
      </c>
      <c r="C332" s="47" t="s">
        <v>672</v>
      </c>
      <c r="D332" s="47" t="s">
        <v>665</v>
      </c>
      <c r="E332" s="47" t="s">
        <v>669</v>
      </c>
      <c r="F332" s="48">
        <v>26</v>
      </c>
      <c r="G332" s="47"/>
      <c r="H332" s="47"/>
      <c r="I332" s="47" t="s">
        <v>664</v>
      </c>
      <c r="J332" s="49">
        <v>45920</v>
      </c>
      <c r="K332" s="47" t="str">
        <f>INDEX(_xlfn.TEXTSPLIT(mouvementmp[[#This Row],[QR MP]],"_"),1,1)</f>
        <v>C01</v>
      </c>
      <c r="L332" s="47" t="str">
        <f>INDEX(_xlfn.TEXTSPLIT(mouvementmp[[#This Row],[QR MP]],"_"),1,2)</f>
        <v>BLANC</v>
      </c>
      <c r="M332" s="47" t="str">
        <f>INDEX(_xlfn.TEXTSPLIT(mouvementmp[[#This Row],[QR MP]],"_"),1,3)</f>
        <v>NM15-01.00</v>
      </c>
      <c r="N332" s="47" t="str">
        <f>INDEX(_xlfn.TEXTSPLIT(mouvementmp[[#This Row],[QR MP]],"_"),1,4)</f>
        <v>62721</v>
      </c>
      <c r="O332" s="47">
        <f>-mouvementmp[[#This Row],[Poids]]</f>
        <v>-26</v>
      </c>
      <c r="P332" s="47" t="str">
        <f>IF(
   COUNTIFS($A$2:A332,A332,
             $B$2:B332,B332,
             $C$2:C332,C332,
             $D$2:D332,D332,
             $E$2:E332,E332,
             $F$2:F332,F332,
              $J$2:J332,J332)&gt;1,
   "Doublon",
   "Correcte"
)</f>
        <v>Correcte</v>
      </c>
      <c r="Q332" s="106" t="str">
        <f>IF(mouvementmp[[#This Row],[QR Fabrication]]&lt;&gt;"",INDEX(_xlfn.TEXTSPLIT(mouvementmp[[#This Row],[QR Fabrication]],"_"),1,1),"")</f>
        <v>OF249782</v>
      </c>
      <c r="R332" s="106" t="str">
        <f>IF(mouvementmp[[#This Row],[QR Fabrication]]&lt;&gt;"",INDEX(_xlfn.TEXTSPLIT(mouvementmp[[#This Row],[QR Fabrication]],"_"),1,2),"")</f>
        <v>CL00884</v>
      </c>
      <c r="S332" s="47" t="str">
        <f>IF(mouvementmp[[#This Row],[QR Fabrication]]&lt;&gt;"",INDEX(_xlfn.TEXTSPLIT(mouvementmp[[#This Row],[QR Fabrication]],"_"),1,3),"")</f>
        <v>CM-FT0119</v>
      </c>
      <c r="T332" s="47" t="str">
        <f>IF(mouvementmp[[#This Row],[QR Fabrication]]&lt;&gt;"",INDEX(_xlfn.TEXTSPLIT(mouvementmp[[#This Row],[QR Fabrication]],"_"),1,4),"")</f>
        <v>IB1020-B24-01</v>
      </c>
      <c r="U332" s="47" t="str">
        <f>IF(mouvementmp[[#This Row],[QR Fabrication]]&lt;&gt;"",INDEX(_xlfn.TEXTSPLIT(mouvementmp[[#This Row],[QR Fabrication]],"_"),1,5),"")</f>
        <v>IBIZA</v>
      </c>
      <c r="V332" s="47" t="str">
        <f>IF(mouvementmp[[#This Row],[QR Fabrication]]&lt;&gt;"",_xlfn.TEXTAFTER(mouvementmp[[#This Row],[QR Fabrication]],"_",5),"")</f>
        <v>1020</v>
      </c>
    </row>
    <row r="333" spans="1:22" ht="16.5" thickTop="1" thickBot="1" x14ac:dyDescent="0.3">
      <c r="A333" s="46" t="s">
        <v>1311</v>
      </c>
      <c r="B333" s="54" t="s">
        <v>3845</v>
      </c>
      <c r="C333" s="47" t="s">
        <v>668</v>
      </c>
      <c r="D333" s="47" t="s">
        <v>665</v>
      </c>
      <c r="E333" s="47" t="s">
        <v>669</v>
      </c>
      <c r="F333" s="48">
        <v>1.17</v>
      </c>
      <c r="G333" s="47"/>
      <c r="H333" s="47"/>
      <c r="I333" s="47" t="s">
        <v>664</v>
      </c>
      <c r="J333" s="49">
        <v>45922</v>
      </c>
      <c r="K333" s="47" t="str">
        <f>INDEX(_xlfn.TEXTSPLIT(mouvementmp[[#This Row],[QR MP]],"_"),1,1)</f>
        <v>C09</v>
      </c>
      <c r="L333" s="47" t="str">
        <f>INDEX(_xlfn.TEXTSPLIT(mouvementmp[[#This Row],[QR MP]],"_"),1,2)</f>
        <v>NOIR</v>
      </c>
      <c r="M333" s="47" t="str">
        <f>INDEX(_xlfn.TEXTSPLIT(mouvementmp[[#This Row],[QR MP]],"_"),1,3)</f>
        <v>NM14-09.00</v>
      </c>
      <c r="N333" s="47" t="str">
        <f>INDEX(_xlfn.TEXTSPLIT(mouvementmp[[#This Row],[QR MP]],"_"),1,4)</f>
        <v>59635</v>
      </c>
      <c r="O333" s="47">
        <f>-mouvementmp[[#This Row],[Poids]]</f>
        <v>-1.17</v>
      </c>
      <c r="P333" s="47" t="str">
        <f>IF(
   COUNTIFS($A$2:A333,A333,
             $B$2:B333,B333,
             $C$2:C333,C333,
             $D$2:D333,D333,
             $E$2:E333,E333,
             $F$2:F333,F333,
              $J$2:J333,J333)&gt;1,
   "Doublon",
   "Correcte"
)</f>
        <v>Correcte</v>
      </c>
      <c r="Q333" s="106" t="str">
        <f>IF(mouvementmp[[#This Row],[QR Fabrication]]&lt;&gt;"",INDEX(_xlfn.TEXTSPLIT(mouvementmp[[#This Row],[QR Fabrication]],"_"),1,1),"")</f>
        <v>OF250128</v>
      </c>
      <c r="R333" s="106" t="str">
        <f>IF(mouvementmp[[#This Row],[QR Fabrication]]&lt;&gt;"",INDEX(_xlfn.TEXTSPLIT(mouvementmp[[#This Row],[QR Fabrication]],"_"),1,2),"")</f>
        <v>CL00296</v>
      </c>
      <c r="S333" s="47" t="str">
        <f>IF(mouvementmp[[#This Row],[QR Fabrication]]&lt;&gt;"",INDEX(_xlfn.TEXTSPLIT(mouvementmp[[#This Row],[QR Fabrication]],"_"),1,3),"")</f>
        <v>CM-FT0129</v>
      </c>
      <c r="T333" s="47" t="str">
        <f>IF(mouvementmp[[#This Row],[QR Fabrication]]&lt;&gt;"",INDEX(_xlfn.TEXTSPLIT(mouvementmp[[#This Row],[QR Fabrication]],"_"),1,4),"")</f>
        <v>NDL1020-B09-14</v>
      </c>
      <c r="U333" s="47" t="str">
        <f>IF(mouvementmp[[#This Row],[QR Fabrication]]&lt;&gt;"",INDEX(_xlfn.TEXTSPLIT(mouvementmp[[#This Row],[QR Fabrication]],"_"),1,5),"")</f>
        <v>ND LILI</v>
      </c>
      <c r="V333" s="47" t="str">
        <f>IF(mouvementmp[[#This Row],[QR Fabrication]]&lt;&gt;"",_xlfn.TEXTAFTER(mouvementmp[[#This Row],[QR Fabrication]],"_",5),"")</f>
        <v>1020</v>
      </c>
    </row>
    <row r="334" spans="1:22" ht="16.5" thickTop="1" thickBot="1" x14ac:dyDescent="0.3">
      <c r="A334" s="46" t="s">
        <v>1311</v>
      </c>
      <c r="B334" s="54" t="s">
        <v>3860</v>
      </c>
      <c r="C334" s="47" t="s">
        <v>668</v>
      </c>
      <c r="D334" s="47" t="s">
        <v>665</v>
      </c>
      <c r="E334" s="47" t="s">
        <v>669</v>
      </c>
      <c r="F334" s="48">
        <v>0.55000000000000004</v>
      </c>
      <c r="G334" s="47"/>
      <c r="H334" s="47"/>
      <c r="I334" s="47" t="s">
        <v>664</v>
      </c>
      <c r="J334" s="49">
        <v>45922</v>
      </c>
      <c r="K334" s="47" t="str">
        <f>INDEX(_xlfn.TEXTSPLIT(mouvementmp[[#This Row],[QR MP]],"_"),1,1)</f>
        <v>C15</v>
      </c>
      <c r="L334" s="47" t="str">
        <f>INDEX(_xlfn.TEXTSPLIT(mouvementmp[[#This Row],[QR MP]],"_"),1,2)</f>
        <v>LAGON</v>
      </c>
      <c r="M334" s="47" t="str">
        <f>INDEX(_xlfn.TEXTSPLIT(mouvementmp[[#This Row],[QR MP]],"_"),1,3)</f>
        <v>NM15-15.00</v>
      </c>
      <c r="N334" s="47" t="str">
        <f>INDEX(_xlfn.TEXTSPLIT(mouvementmp[[#This Row],[QR MP]],"_"),1,4)</f>
        <v>61645</v>
      </c>
      <c r="O334" s="47">
        <f>-mouvementmp[[#This Row],[Poids]]</f>
        <v>-0.55000000000000004</v>
      </c>
      <c r="P334" s="47" t="str">
        <f>IF(
   COUNTIFS($A$2:A334,A334,
             $B$2:B334,B334,
             $C$2:C334,C334,
             $D$2:D334,D334,
             $E$2:E334,E334,
             $F$2:F334,F334,
              $J$2:J334,J334)&gt;1,
   "Doublon",
   "Correcte"
)</f>
        <v>Correcte</v>
      </c>
      <c r="Q334" s="106" t="str">
        <f>IF(mouvementmp[[#This Row],[QR Fabrication]]&lt;&gt;"",INDEX(_xlfn.TEXTSPLIT(mouvementmp[[#This Row],[QR Fabrication]],"_"),1,1),"")</f>
        <v>OF250128</v>
      </c>
      <c r="R334" s="106" t="str">
        <f>IF(mouvementmp[[#This Row],[QR Fabrication]]&lt;&gt;"",INDEX(_xlfn.TEXTSPLIT(mouvementmp[[#This Row],[QR Fabrication]],"_"),1,2),"")</f>
        <v>CL00296</v>
      </c>
      <c r="S334" s="47" t="str">
        <f>IF(mouvementmp[[#This Row],[QR Fabrication]]&lt;&gt;"",INDEX(_xlfn.TEXTSPLIT(mouvementmp[[#This Row],[QR Fabrication]],"_"),1,3),"")</f>
        <v>CM-FT0129</v>
      </c>
      <c r="T334" s="47" t="str">
        <f>IF(mouvementmp[[#This Row],[QR Fabrication]]&lt;&gt;"",INDEX(_xlfn.TEXTSPLIT(mouvementmp[[#This Row],[QR Fabrication]],"_"),1,4),"")</f>
        <v>NDL1020-B09-14</v>
      </c>
      <c r="U334" s="47" t="str">
        <f>IF(mouvementmp[[#This Row],[QR Fabrication]]&lt;&gt;"",INDEX(_xlfn.TEXTSPLIT(mouvementmp[[#This Row],[QR Fabrication]],"_"),1,5),"")</f>
        <v>ND LILI</v>
      </c>
      <c r="V334" s="47" t="str">
        <f>IF(mouvementmp[[#This Row],[QR Fabrication]]&lt;&gt;"",_xlfn.TEXTAFTER(mouvementmp[[#This Row],[QR Fabrication]],"_",5),"")</f>
        <v>1020</v>
      </c>
    </row>
    <row r="335" spans="1:22" ht="16.5" thickTop="1" thickBot="1" x14ac:dyDescent="0.3">
      <c r="A335" s="46" t="s">
        <v>2458</v>
      </c>
      <c r="B335" s="54" t="s">
        <v>3921</v>
      </c>
      <c r="C335" s="47" t="s">
        <v>668</v>
      </c>
      <c r="D335" s="47" t="s">
        <v>665</v>
      </c>
      <c r="E335" s="47" t="s">
        <v>669</v>
      </c>
      <c r="F335" s="48">
        <v>0.72</v>
      </c>
      <c r="G335" s="47"/>
      <c r="H335" s="47"/>
      <c r="I335" s="47" t="s">
        <v>664</v>
      </c>
      <c r="J335" s="49">
        <v>45922</v>
      </c>
      <c r="K335" s="47" t="str">
        <f>INDEX(_xlfn.TEXTSPLIT(mouvementmp[[#This Row],[QR MP]],"_"),1,1)</f>
        <v>C06</v>
      </c>
      <c r="L335" s="47" t="str">
        <f>INDEX(_xlfn.TEXTSPLIT(mouvementmp[[#This Row],[QR MP]],"_"),1,2)</f>
        <v>GRIS CLAIR</v>
      </c>
      <c r="M335" s="47" t="str">
        <f>INDEX(_xlfn.TEXTSPLIT(mouvementmp[[#This Row],[QR MP]],"_"),1,3)</f>
        <v>NM15-06.00</v>
      </c>
      <c r="N335" s="47" t="str">
        <f>INDEX(_xlfn.TEXTSPLIT(mouvementmp[[#This Row],[QR MP]],"_"),1,4)</f>
        <v>61828</v>
      </c>
      <c r="O335" s="47">
        <f>-mouvementmp[[#This Row],[Poids]]</f>
        <v>-0.72</v>
      </c>
      <c r="P335" s="47" t="str">
        <f>IF(
   COUNTIFS($A$2:A335,A335,
             $B$2:B335,B335,
             $C$2:C335,C335,
             $D$2:D335,D335,
             $E$2:E335,E335,
             $F$2:F335,F335,
              $J$2:J335,J335)&gt;1,
   "Doublon",
   "Correcte"
)</f>
        <v>Correcte</v>
      </c>
      <c r="Q335" s="106" t="str">
        <f>IF(mouvementmp[[#This Row],[QR Fabrication]]&lt;&gt;"",INDEX(_xlfn.TEXTSPLIT(mouvementmp[[#This Row],[QR Fabrication]],"_"),1,1),"")</f>
        <v>CA250753</v>
      </c>
      <c r="R335" s="106" t="str">
        <f>IF(mouvementmp[[#This Row],[QR Fabrication]]&lt;&gt;"",INDEX(_xlfn.TEXTSPLIT(mouvementmp[[#This Row],[QR Fabrication]],"_"),1,2),"")</f>
        <v>All by Fouta</v>
      </c>
      <c r="S335" s="47" t="str">
        <f>IF(mouvementmp[[#This Row],[QR Fabrication]]&lt;&gt;"",INDEX(_xlfn.TEXTSPLIT(mouvementmp[[#This Row],[QR Fabrication]],"_"),1,3),"")</f>
        <v>Stock</v>
      </c>
      <c r="T335" s="47" t="str">
        <f>IF(mouvementmp[[#This Row],[QR Fabrication]]&lt;&gt;"",INDEX(_xlfn.TEXTSPLIT(mouvementmp[[#This Row],[QR Fabrication]],"_"),1,4),"")</f>
        <v>PACKSICL0507-B06-08</v>
      </c>
      <c r="U335" s="47" t="str">
        <f>IF(mouvementmp[[#This Row],[QR Fabrication]]&lt;&gt;"",INDEX(_xlfn.TEXTSPLIT(mouvementmp[[#This Row],[QR Fabrication]],"_"),1,5),"")</f>
        <v>PACK CLASSIQUE</v>
      </c>
      <c r="V335" s="47" t="str">
        <f>IF(mouvementmp[[#This Row],[QR Fabrication]]&lt;&gt;"",_xlfn.TEXTAFTER(mouvementmp[[#This Row],[QR Fabrication]],"_",5),"")</f>
        <v>0507</v>
      </c>
    </row>
    <row r="336" spans="1:22" ht="16.5" thickTop="1" thickBot="1" x14ac:dyDescent="0.3">
      <c r="A336" s="46" t="s">
        <v>2458</v>
      </c>
      <c r="B336" s="54" t="s">
        <v>3841</v>
      </c>
      <c r="C336" s="47" t="s">
        <v>668</v>
      </c>
      <c r="D336" s="47" t="s">
        <v>665</v>
      </c>
      <c r="E336" s="47" t="s">
        <v>669</v>
      </c>
      <c r="F336" s="48">
        <v>0.55000000000000004</v>
      </c>
      <c r="G336" s="47"/>
      <c r="H336" s="47"/>
      <c r="I336" s="47" t="s">
        <v>664</v>
      </c>
      <c r="J336" s="49">
        <v>45922</v>
      </c>
      <c r="K336" s="47" t="str">
        <f>INDEX(_xlfn.TEXTSPLIT(mouvementmp[[#This Row],[QR MP]],"_"),1,1)</f>
        <v>C08</v>
      </c>
      <c r="L336" s="47" t="str">
        <f>INDEX(_xlfn.TEXTSPLIT(mouvementmp[[#This Row],[QR MP]],"_"),1,2)</f>
        <v>GRIS ANTHRACITE</v>
      </c>
      <c r="M336" s="47" t="str">
        <f>INDEX(_xlfn.TEXTSPLIT(mouvementmp[[#This Row],[QR MP]],"_"),1,3)</f>
        <v>NM15-08.00</v>
      </c>
      <c r="N336" s="47" t="str">
        <f>INDEX(_xlfn.TEXTSPLIT(mouvementmp[[#This Row],[QR MP]],"_"),1,4)</f>
        <v>59358</v>
      </c>
      <c r="O336" s="47">
        <f>-mouvementmp[[#This Row],[Poids]]</f>
        <v>-0.55000000000000004</v>
      </c>
      <c r="P336" s="47" t="str">
        <f>IF(
   COUNTIFS($A$2:A336,A336,
             $B$2:B336,B336,
             $C$2:C336,C336,
             $D$2:D336,D336,
             $E$2:E336,E336,
             $F$2:F336,F336,
              $J$2:J336,J336)&gt;1,
   "Doublon",
   "Correcte"
)</f>
        <v>Correcte</v>
      </c>
      <c r="Q336" s="106" t="str">
        <f>IF(mouvementmp[[#This Row],[QR Fabrication]]&lt;&gt;"",INDEX(_xlfn.TEXTSPLIT(mouvementmp[[#This Row],[QR Fabrication]],"_"),1,1),"")</f>
        <v>CA250753</v>
      </c>
      <c r="R336" s="106" t="str">
        <f>IF(mouvementmp[[#This Row],[QR Fabrication]]&lt;&gt;"",INDEX(_xlfn.TEXTSPLIT(mouvementmp[[#This Row],[QR Fabrication]],"_"),1,2),"")</f>
        <v>All by Fouta</v>
      </c>
      <c r="S336" s="47" t="str">
        <f>IF(mouvementmp[[#This Row],[QR Fabrication]]&lt;&gt;"",INDEX(_xlfn.TEXTSPLIT(mouvementmp[[#This Row],[QR Fabrication]],"_"),1,3),"")</f>
        <v>Stock</v>
      </c>
      <c r="T336" s="47" t="str">
        <f>IF(mouvementmp[[#This Row],[QR Fabrication]]&lt;&gt;"",INDEX(_xlfn.TEXTSPLIT(mouvementmp[[#This Row],[QR Fabrication]],"_"),1,4),"")</f>
        <v>PACKSICL0507-B06-08</v>
      </c>
      <c r="U336" s="47" t="str">
        <f>IF(mouvementmp[[#This Row],[QR Fabrication]]&lt;&gt;"",INDEX(_xlfn.TEXTSPLIT(mouvementmp[[#This Row],[QR Fabrication]],"_"),1,5),"")</f>
        <v>PACK CLASSIQUE</v>
      </c>
      <c r="V336" s="47" t="str">
        <f>IF(mouvementmp[[#This Row],[QR Fabrication]]&lt;&gt;"",_xlfn.TEXTAFTER(mouvementmp[[#This Row],[QR Fabrication]],"_",5),"")</f>
        <v>0507</v>
      </c>
    </row>
    <row r="337" spans="1:22" ht="16.5" thickTop="1" thickBot="1" x14ac:dyDescent="0.3">
      <c r="A337" s="46" t="s">
        <v>2459</v>
      </c>
      <c r="B337" s="54" t="s">
        <v>3827</v>
      </c>
      <c r="C337" s="47" t="s">
        <v>668</v>
      </c>
      <c r="D337" s="47" t="s">
        <v>665</v>
      </c>
      <c r="E337" s="47" t="s">
        <v>669</v>
      </c>
      <c r="F337" s="48">
        <v>0.75</v>
      </c>
      <c r="G337" s="47"/>
      <c r="H337" s="47"/>
      <c r="I337" s="47" t="s">
        <v>664</v>
      </c>
      <c r="J337" s="49">
        <v>45922</v>
      </c>
      <c r="K337" s="47" t="str">
        <f>INDEX(_xlfn.TEXTSPLIT(mouvementmp[[#This Row],[QR MP]],"_"),1,1)</f>
        <v>C05</v>
      </c>
      <c r="L337" s="47" t="str">
        <f>INDEX(_xlfn.TEXTSPLIT(mouvementmp[[#This Row],[QR MP]],"_"),1,2)</f>
        <v>TERRA</v>
      </c>
      <c r="M337" s="47" t="str">
        <f>INDEX(_xlfn.TEXTSPLIT(mouvementmp[[#This Row],[QR MP]],"_"),1,3)</f>
        <v>NM15-05.01</v>
      </c>
      <c r="N337" s="47" t="str">
        <f>INDEX(_xlfn.TEXTSPLIT(mouvementmp[[#This Row],[QR MP]],"_"),1,4)</f>
        <v>61561</v>
      </c>
      <c r="O337" s="47">
        <f>-mouvementmp[[#This Row],[Poids]]</f>
        <v>-0.75</v>
      </c>
      <c r="P337" s="47" t="str">
        <f>IF(
   COUNTIFS($A$2:A337,A337,
             $B$2:B337,B337,
             $C$2:C337,C337,
             $D$2:D337,D337,
             $E$2:E337,E337,
             $F$2:F337,F337,
              $J$2:J337,J337)&gt;1,
   "Doublon",
   "Correcte"
)</f>
        <v>Correcte</v>
      </c>
      <c r="Q337" s="106" t="str">
        <f>IF(mouvementmp[[#This Row],[QR Fabrication]]&lt;&gt;"",INDEX(_xlfn.TEXTSPLIT(mouvementmp[[#This Row],[QR Fabrication]],"_"),1,1),"")</f>
        <v>CA250752</v>
      </c>
      <c r="R337" s="106" t="str">
        <f>IF(mouvementmp[[#This Row],[QR Fabrication]]&lt;&gt;"",INDEX(_xlfn.TEXTSPLIT(mouvementmp[[#This Row],[QR Fabrication]],"_"),1,2),"")</f>
        <v>All by Fouta</v>
      </c>
      <c r="S337" s="47" t="str">
        <f>IF(mouvementmp[[#This Row],[QR Fabrication]]&lt;&gt;"",INDEX(_xlfn.TEXTSPLIT(mouvementmp[[#This Row],[QR Fabrication]],"_"),1,3),"")</f>
        <v>Stock</v>
      </c>
      <c r="T337" s="47" t="str">
        <f>IF(mouvementmp[[#This Row],[QR Fabrication]]&lt;&gt;"",INDEX(_xlfn.TEXTSPLIT(mouvementmp[[#This Row],[QR Fabrication]],"_"),1,4),"")</f>
        <v>PACKSICL0507-B05-03</v>
      </c>
      <c r="U337" s="47" t="str">
        <f>IF(mouvementmp[[#This Row],[QR Fabrication]]&lt;&gt;"",INDEX(_xlfn.TEXTSPLIT(mouvementmp[[#This Row],[QR Fabrication]],"_"),1,5),"")</f>
        <v>PACK CLASSIQUE</v>
      </c>
      <c r="V337" s="47" t="str">
        <f>IF(mouvementmp[[#This Row],[QR Fabrication]]&lt;&gt;"",_xlfn.TEXTAFTER(mouvementmp[[#This Row],[QR Fabrication]],"_",5),"")</f>
        <v>0507</v>
      </c>
    </row>
    <row r="338" spans="1:22" ht="16.5" thickTop="1" thickBot="1" x14ac:dyDescent="0.3">
      <c r="A338" s="46" t="s">
        <v>2459</v>
      </c>
      <c r="B338" s="54" t="s">
        <v>3814</v>
      </c>
      <c r="C338" s="47" t="s">
        <v>668</v>
      </c>
      <c r="D338" s="47" t="s">
        <v>665</v>
      </c>
      <c r="E338" s="47" t="s">
        <v>669</v>
      </c>
      <c r="F338" s="48">
        <v>0.55000000000000004</v>
      </c>
      <c r="G338" s="47"/>
      <c r="H338" s="47"/>
      <c r="I338" s="47" t="s">
        <v>664</v>
      </c>
      <c r="J338" s="49">
        <v>45922</v>
      </c>
      <c r="K338" s="47" t="str">
        <f>INDEX(_xlfn.TEXTSPLIT(mouvementmp[[#This Row],[QR MP]],"_"),1,1)</f>
        <v>C03</v>
      </c>
      <c r="L338" s="47" t="str">
        <f>INDEX(_xlfn.TEXTSPLIT(mouvementmp[[#This Row],[QR MP]],"_"),1,2)</f>
        <v xml:space="preserve">BEIGE </v>
      </c>
      <c r="M338" s="47" t="str">
        <f>INDEX(_xlfn.TEXTSPLIT(mouvementmp[[#This Row],[QR MP]],"_"),1,3)</f>
        <v>NM15-03.01</v>
      </c>
      <c r="N338" s="47" t="str">
        <f>INDEX(_xlfn.TEXTSPLIT(mouvementmp[[#This Row],[QR MP]],"_"),1,4)</f>
        <v>61559</v>
      </c>
      <c r="O338" s="47">
        <f>-mouvementmp[[#This Row],[Poids]]</f>
        <v>-0.55000000000000004</v>
      </c>
      <c r="P338" s="47" t="str">
        <f>IF(
   COUNTIFS($A$2:A338,A338,
             $B$2:B338,B338,
             $C$2:C338,C338,
             $D$2:D338,D338,
             $E$2:E338,E338,
             $F$2:F338,F338,
              $J$2:J338,J338)&gt;1,
   "Doublon",
   "Correcte"
)</f>
        <v>Correcte</v>
      </c>
      <c r="Q338" s="106" t="str">
        <f>IF(mouvementmp[[#This Row],[QR Fabrication]]&lt;&gt;"",INDEX(_xlfn.TEXTSPLIT(mouvementmp[[#This Row],[QR Fabrication]],"_"),1,1),"")</f>
        <v>CA250752</v>
      </c>
      <c r="R338" s="106" t="str">
        <f>IF(mouvementmp[[#This Row],[QR Fabrication]]&lt;&gt;"",INDEX(_xlfn.TEXTSPLIT(mouvementmp[[#This Row],[QR Fabrication]],"_"),1,2),"")</f>
        <v>All by Fouta</v>
      </c>
      <c r="S338" s="47" t="str">
        <f>IF(mouvementmp[[#This Row],[QR Fabrication]]&lt;&gt;"",INDEX(_xlfn.TEXTSPLIT(mouvementmp[[#This Row],[QR Fabrication]],"_"),1,3),"")</f>
        <v>Stock</v>
      </c>
      <c r="T338" s="47" t="str">
        <f>IF(mouvementmp[[#This Row],[QR Fabrication]]&lt;&gt;"",INDEX(_xlfn.TEXTSPLIT(mouvementmp[[#This Row],[QR Fabrication]],"_"),1,4),"")</f>
        <v>PACKSICL0507-B05-03</v>
      </c>
      <c r="U338" s="47" t="str">
        <f>IF(mouvementmp[[#This Row],[QR Fabrication]]&lt;&gt;"",INDEX(_xlfn.TEXTSPLIT(mouvementmp[[#This Row],[QR Fabrication]],"_"),1,5),"")</f>
        <v>PACK CLASSIQUE</v>
      </c>
      <c r="V338" s="47" t="str">
        <f>IF(mouvementmp[[#This Row],[QR Fabrication]]&lt;&gt;"",_xlfn.TEXTAFTER(mouvementmp[[#This Row],[QR Fabrication]],"_",5),"")</f>
        <v>0507</v>
      </c>
    </row>
    <row r="339" spans="1:22" ht="16.5" thickTop="1" thickBot="1" x14ac:dyDescent="0.3">
      <c r="A339" s="46"/>
      <c r="B339" s="54" t="s">
        <v>3926</v>
      </c>
      <c r="C339" s="47" t="s">
        <v>675</v>
      </c>
      <c r="D339" s="47" t="s">
        <v>671</v>
      </c>
      <c r="E339" s="47" t="s">
        <v>665</v>
      </c>
      <c r="F339" s="48">
        <v>44</v>
      </c>
      <c r="G339" s="47"/>
      <c r="H339" s="47"/>
      <c r="I339" s="47" t="s">
        <v>664</v>
      </c>
      <c r="J339" s="49">
        <v>45922</v>
      </c>
      <c r="K339" s="47" t="str">
        <f>INDEX(_xlfn.TEXTSPLIT(mouvementmp[[#This Row],[QR MP]],"_"),1,1)</f>
        <v>CH</v>
      </c>
      <c r="L339" s="47" t="str">
        <f>INDEX(_xlfn.TEXTSPLIT(mouvementmp[[#This Row],[QR MP]],"_"),1,2)</f>
        <v>Ecru</v>
      </c>
      <c r="M339" s="47" t="str">
        <f>INDEX(_xlfn.TEXTSPLIT(mouvementmp[[#This Row],[QR MP]],"_"),1,3)</f>
        <v>CH2/50CE</v>
      </c>
      <c r="N339" s="47" t="str">
        <f>INDEX(_xlfn.TEXTSPLIT(mouvementmp[[#This Row],[QR MP]],"_"),1,4)</f>
        <v>24580002</v>
      </c>
      <c r="O339" s="47">
        <f>-mouvementmp[[#This Row],[Poids]]</f>
        <v>-44</v>
      </c>
      <c r="P339" s="47" t="str">
        <f>IF(
   COUNTIFS($A$2:A339,A339,
             $B$2:B339,B339,
             $C$2:C339,C339,
             $D$2:D339,D339,
             $E$2:E339,E339,
             $F$2:F339,F339,
              $J$2:J339,J339)&gt;1,
   "Doublon",
   "Correcte"
)</f>
        <v>Correcte</v>
      </c>
      <c r="Q339" s="106" t="str">
        <f>IF(mouvementmp[[#This Row],[QR Fabrication]]&lt;&gt;"",INDEX(_xlfn.TEXTSPLIT(mouvementmp[[#This Row],[QR Fabrication]],"_"),1,1),"")</f>
        <v/>
      </c>
      <c r="R339" s="106" t="str">
        <f>IF(mouvementmp[[#This Row],[QR Fabrication]]&lt;&gt;"",INDEX(_xlfn.TEXTSPLIT(mouvementmp[[#This Row],[QR Fabrication]],"_"),1,2),"")</f>
        <v/>
      </c>
      <c r="S339" s="47" t="str">
        <f>IF(mouvementmp[[#This Row],[QR Fabrication]]&lt;&gt;"",INDEX(_xlfn.TEXTSPLIT(mouvementmp[[#This Row],[QR Fabrication]],"_"),1,3),"")</f>
        <v/>
      </c>
      <c r="T339" s="47" t="str">
        <f>IF(mouvementmp[[#This Row],[QR Fabrication]]&lt;&gt;"",INDEX(_xlfn.TEXTSPLIT(mouvementmp[[#This Row],[QR Fabrication]],"_"),1,4),"")</f>
        <v/>
      </c>
      <c r="U339" s="47" t="str">
        <f>IF(mouvementmp[[#This Row],[QR Fabrication]]&lt;&gt;"",INDEX(_xlfn.TEXTSPLIT(mouvementmp[[#This Row],[QR Fabrication]],"_"),1,5),"")</f>
        <v/>
      </c>
      <c r="V339" s="47" t="str">
        <f>IF(mouvementmp[[#This Row],[QR Fabrication]]&lt;&gt;"",_xlfn.TEXTAFTER(mouvementmp[[#This Row],[QR Fabrication]],"_",5),"")</f>
        <v/>
      </c>
    </row>
    <row r="340" spans="1:22" ht="16.5" thickTop="1" thickBot="1" x14ac:dyDescent="0.3">
      <c r="A340" s="46"/>
      <c r="B340" s="54" t="s">
        <v>3926</v>
      </c>
      <c r="C340" s="47" t="s">
        <v>675</v>
      </c>
      <c r="D340" s="47" t="s">
        <v>671</v>
      </c>
      <c r="E340" s="47" t="s">
        <v>665</v>
      </c>
      <c r="F340" s="48">
        <v>60.6</v>
      </c>
      <c r="G340" s="47"/>
      <c r="H340" s="47"/>
      <c r="I340" s="47" t="s">
        <v>664</v>
      </c>
      <c r="J340" s="49">
        <v>45922</v>
      </c>
      <c r="K340" s="47" t="str">
        <f>INDEX(_xlfn.TEXTSPLIT(mouvementmp[[#This Row],[QR MP]],"_"),1,1)</f>
        <v>CH</v>
      </c>
      <c r="L340" s="47" t="str">
        <f>INDEX(_xlfn.TEXTSPLIT(mouvementmp[[#This Row],[QR MP]],"_"),1,2)</f>
        <v>Ecru</v>
      </c>
      <c r="M340" s="47" t="str">
        <f>INDEX(_xlfn.TEXTSPLIT(mouvementmp[[#This Row],[QR MP]],"_"),1,3)</f>
        <v>CH2/50CE</v>
      </c>
      <c r="N340" s="47" t="str">
        <f>INDEX(_xlfn.TEXTSPLIT(mouvementmp[[#This Row],[QR MP]],"_"),1,4)</f>
        <v>24580002</v>
      </c>
      <c r="O340" s="47">
        <f>-mouvementmp[[#This Row],[Poids]]</f>
        <v>-60.6</v>
      </c>
      <c r="P340" s="47" t="str">
        <f>IF(
   COUNTIFS($A$2:A340,A340,
             $B$2:B340,B340,
             $C$2:C340,C340,
             $D$2:D340,D340,
             $E$2:E340,E340,
             $F$2:F340,F340,
              $J$2:J340,J340)&gt;1,
   "Doublon",
   "Correcte"
)</f>
        <v>Correcte</v>
      </c>
      <c r="Q340" s="106" t="str">
        <f>IF(mouvementmp[[#This Row],[QR Fabrication]]&lt;&gt;"",INDEX(_xlfn.TEXTSPLIT(mouvementmp[[#This Row],[QR Fabrication]],"_"),1,1),"")</f>
        <v/>
      </c>
      <c r="R340" s="106" t="str">
        <f>IF(mouvementmp[[#This Row],[QR Fabrication]]&lt;&gt;"",INDEX(_xlfn.TEXTSPLIT(mouvementmp[[#This Row],[QR Fabrication]],"_"),1,2),"")</f>
        <v/>
      </c>
      <c r="S340" s="47" t="str">
        <f>IF(mouvementmp[[#This Row],[QR Fabrication]]&lt;&gt;"",INDEX(_xlfn.TEXTSPLIT(mouvementmp[[#This Row],[QR Fabrication]],"_"),1,3),"")</f>
        <v/>
      </c>
      <c r="T340" s="47" t="str">
        <f>IF(mouvementmp[[#This Row],[QR Fabrication]]&lt;&gt;"",INDEX(_xlfn.TEXTSPLIT(mouvementmp[[#This Row],[QR Fabrication]],"_"),1,4),"")</f>
        <v/>
      </c>
      <c r="U340" s="47" t="str">
        <f>IF(mouvementmp[[#This Row],[QR Fabrication]]&lt;&gt;"",INDEX(_xlfn.TEXTSPLIT(mouvementmp[[#This Row],[QR Fabrication]],"_"),1,5),"")</f>
        <v/>
      </c>
      <c r="V340" s="47" t="str">
        <f>IF(mouvementmp[[#This Row],[QR Fabrication]]&lt;&gt;"",_xlfn.TEXTAFTER(mouvementmp[[#This Row],[QR Fabrication]],"_",5),"")</f>
        <v/>
      </c>
    </row>
    <row r="341" spans="1:22" ht="16.5" thickTop="1" thickBot="1" x14ac:dyDescent="0.3">
      <c r="A341" s="46"/>
      <c r="B341" s="54" t="s">
        <v>3926</v>
      </c>
      <c r="C341" s="47" t="s">
        <v>676</v>
      </c>
      <c r="D341" s="47" t="s">
        <v>665</v>
      </c>
      <c r="E341" s="47" t="s">
        <v>677</v>
      </c>
      <c r="F341" s="48">
        <v>44.2</v>
      </c>
      <c r="G341" s="47"/>
      <c r="H341" s="47"/>
      <c r="I341" s="47" t="s">
        <v>664</v>
      </c>
      <c r="J341" s="49">
        <v>45922</v>
      </c>
      <c r="K341" s="47" t="str">
        <f>INDEX(_xlfn.TEXTSPLIT(mouvementmp[[#This Row],[QR MP]],"_"),1,1)</f>
        <v>CH</v>
      </c>
      <c r="L341" s="47" t="str">
        <f>INDEX(_xlfn.TEXTSPLIT(mouvementmp[[#This Row],[QR MP]],"_"),1,2)</f>
        <v>Ecru</v>
      </c>
      <c r="M341" s="47" t="str">
        <f>INDEX(_xlfn.TEXTSPLIT(mouvementmp[[#This Row],[QR MP]],"_"),1,3)</f>
        <v>CH2/50CE</v>
      </c>
      <c r="N341" s="47" t="str">
        <f>INDEX(_xlfn.TEXTSPLIT(mouvementmp[[#This Row],[QR MP]],"_"),1,4)</f>
        <v>24580002</v>
      </c>
      <c r="O341" s="47">
        <f>-mouvementmp[[#This Row],[Poids]]</f>
        <v>-44.2</v>
      </c>
      <c r="P341" s="47" t="str">
        <f>IF(
   COUNTIFS($A$2:A341,A341,
             $B$2:B341,B341,
             $C$2:C341,C341,
             $D$2:D341,D341,
             $E$2:E341,E341,
             $F$2:F341,F341,
              $J$2:J341,J341)&gt;1,
   "Doublon",
   "Correcte"
)</f>
        <v>Correcte</v>
      </c>
      <c r="Q341" s="106" t="str">
        <f>IF(mouvementmp[[#This Row],[QR Fabrication]]&lt;&gt;"",INDEX(_xlfn.TEXTSPLIT(mouvementmp[[#This Row],[QR Fabrication]],"_"),1,1),"")</f>
        <v/>
      </c>
      <c r="R341" s="106" t="str">
        <f>IF(mouvementmp[[#This Row],[QR Fabrication]]&lt;&gt;"",INDEX(_xlfn.TEXTSPLIT(mouvementmp[[#This Row],[QR Fabrication]],"_"),1,2),"")</f>
        <v/>
      </c>
      <c r="S341" s="47" t="str">
        <f>IF(mouvementmp[[#This Row],[QR Fabrication]]&lt;&gt;"",INDEX(_xlfn.TEXTSPLIT(mouvementmp[[#This Row],[QR Fabrication]],"_"),1,3),"")</f>
        <v/>
      </c>
      <c r="T341" s="47" t="str">
        <f>IF(mouvementmp[[#This Row],[QR Fabrication]]&lt;&gt;"",INDEX(_xlfn.TEXTSPLIT(mouvementmp[[#This Row],[QR Fabrication]],"_"),1,4),"")</f>
        <v/>
      </c>
      <c r="U341" s="47" t="str">
        <f>IF(mouvementmp[[#This Row],[QR Fabrication]]&lt;&gt;"",INDEX(_xlfn.TEXTSPLIT(mouvementmp[[#This Row],[QR Fabrication]],"_"),1,5),"")</f>
        <v/>
      </c>
      <c r="V341" s="47" t="str">
        <f>IF(mouvementmp[[#This Row],[QR Fabrication]]&lt;&gt;"",_xlfn.TEXTAFTER(mouvementmp[[#This Row],[QR Fabrication]],"_",5),"")</f>
        <v/>
      </c>
    </row>
    <row r="342" spans="1:22" ht="16.5" thickTop="1" thickBot="1" x14ac:dyDescent="0.3">
      <c r="A342" s="46"/>
      <c r="B342" s="54" t="s">
        <v>3926</v>
      </c>
      <c r="C342" s="47" t="s">
        <v>676</v>
      </c>
      <c r="D342" s="47" t="s">
        <v>665</v>
      </c>
      <c r="E342" s="47" t="s">
        <v>677</v>
      </c>
      <c r="F342" s="48">
        <v>44</v>
      </c>
      <c r="G342" s="47"/>
      <c r="H342" s="47"/>
      <c r="I342" s="47" t="s">
        <v>664</v>
      </c>
      <c r="J342" s="49">
        <v>45922</v>
      </c>
      <c r="K342" s="47" t="str">
        <f>INDEX(_xlfn.TEXTSPLIT(mouvementmp[[#This Row],[QR MP]],"_"),1,1)</f>
        <v>CH</v>
      </c>
      <c r="L342" s="47" t="str">
        <f>INDEX(_xlfn.TEXTSPLIT(mouvementmp[[#This Row],[QR MP]],"_"),1,2)</f>
        <v>Ecru</v>
      </c>
      <c r="M342" s="47" t="str">
        <f>INDEX(_xlfn.TEXTSPLIT(mouvementmp[[#This Row],[QR MP]],"_"),1,3)</f>
        <v>CH2/50CE</v>
      </c>
      <c r="N342" s="47" t="str">
        <f>INDEX(_xlfn.TEXTSPLIT(mouvementmp[[#This Row],[QR MP]],"_"),1,4)</f>
        <v>24580002</v>
      </c>
      <c r="O342" s="47">
        <f>-mouvementmp[[#This Row],[Poids]]</f>
        <v>-44</v>
      </c>
      <c r="P342" s="47" t="str">
        <f>IF(
   COUNTIFS($A$2:A342,A342,
             $B$2:B342,B342,
             $C$2:C342,C342,
             $D$2:D342,D342,
             $E$2:E342,E342,
             $F$2:F342,F342,
              $J$2:J342,J342)&gt;1,
   "Doublon",
   "Correcte"
)</f>
        <v>Correcte</v>
      </c>
      <c r="Q342" s="106" t="str">
        <f>IF(mouvementmp[[#This Row],[QR Fabrication]]&lt;&gt;"",INDEX(_xlfn.TEXTSPLIT(mouvementmp[[#This Row],[QR Fabrication]],"_"),1,1),"")</f>
        <v/>
      </c>
      <c r="R342" s="106" t="str">
        <f>IF(mouvementmp[[#This Row],[QR Fabrication]]&lt;&gt;"",INDEX(_xlfn.TEXTSPLIT(mouvementmp[[#This Row],[QR Fabrication]],"_"),1,2),"")</f>
        <v/>
      </c>
      <c r="S342" s="47" t="str">
        <f>IF(mouvementmp[[#This Row],[QR Fabrication]]&lt;&gt;"",INDEX(_xlfn.TEXTSPLIT(mouvementmp[[#This Row],[QR Fabrication]],"_"),1,3),"")</f>
        <v/>
      </c>
      <c r="T342" s="47" t="str">
        <f>IF(mouvementmp[[#This Row],[QR Fabrication]]&lt;&gt;"",INDEX(_xlfn.TEXTSPLIT(mouvementmp[[#This Row],[QR Fabrication]],"_"),1,4),"")</f>
        <v/>
      </c>
      <c r="U342" s="47" t="str">
        <f>IF(mouvementmp[[#This Row],[QR Fabrication]]&lt;&gt;"",INDEX(_xlfn.TEXTSPLIT(mouvementmp[[#This Row],[QR Fabrication]],"_"),1,5),"")</f>
        <v/>
      </c>
      <c r="V342" s="47" t="str">
        <f>IF(mouvementmp[[#This Row],[QR Fabrication]]&lt;&gt;"",_xlfn.TEXTAFTER(mouvementmp[[#This Row],[QR Fabrication]],"_",5),"")</f>
        <v/>
      </c>
    </row>
    <row r="343" spans="1:22" ht="16.5" thickTop="1" thickBot="1" x14ac:dyDescent="0.3">
      <c r="A343" s="46" t="s">
        <v>2473</v>
      </c>
      <c r="B343" s="54" t="s">
        <v>3819</v>
      </c>
      <c r="C343" s="47" t="s">
        <v>672</v>
      </c>
      <c r="D343" s="47" t="s">
        <v>665</v>
      </c>
      <c r="E343" s="47" t="s">
        <v>669</v>
      </c>
      <c r="F343" s="48">
        <v>105</v>
      </c>
      <c r="G343" s="47"/>
      <c r="H343" s="47"/>
      <c r="I343" s="47" t="s">
        <v>664</v>
      </c>
      <c r="J343" s="49">
        <v>45923</v>
      </c>
      <c r="K343" s="47" t="str">
        <f>INDEX(_xlfn.TEXTSPLIT(mouvementmp[[#This Row],[QR MP]],"_"),1,1)</f>
        <v>C04</v>
      </c>
      <c r="L343" s="47" t="str">
        <f>INDEX(_xlfn.TEXTSPLIT(mouvementmp[[#This Row],[QR MP]],"_"),1,2)</f>
        <v>TAUPE</v>
      </c>
      <c r="M343" s="47" t="str">
        <f>INDEX(_xlfn.TEXTSPLIT(mouvementmp[[#This Row],[QR MP]],"_"),1,3)</f>
        <v>NM15-04.00</v>
      </c>
      <c r="N343" s="47" t="str">
        <f>INDEX(_xlfn.TEXTSPLIT(mouvementmp[[#This Row],[QR MP]],"_"),1,4)</f>
        <v>S2023</v>
      </c>
      <c r="O343" s="47">
        <f>-mouvementmp[[#This Row],[Poids]]</f>
        <v>-105</v>
      </c>
      <c r="P343" s="47" t="str">
        <f>IF(
   COUNTIFS($A$2:A343,A343,
             $B$2:B343,B343,
             $C$2:C343,C343,
             $D$2:D343,D343,
             $E$2:E343,E343,
             $F$2:F343,F343,
              $J$2:J343,J343)&gt;1,
   "Doublon",
   "Correcte"
)</f>
        <v>Correcte</v>
      </c>
      <c r="Q343" s="106" t="str">
        <f>IF(mouvementmp[[#This Row],[QR Fabrication]]&lt;&gt;"",INDEX(_xlfn.TEXTSPLIT(mouvementmp[[#This Row],[QR Fabrication]],"_"),1,1),"")</f>
        <v>CA250751</v>
      </c>
      <c r="R343" s="106" t="str">
        <f>IF(mouvementmp[[#This Row],[QR Fabrication]]&lt;&gt;"",INDEX(_xlfn.TEXTSPLIT(mouvementmp[[#This Row],[QR Fabrication]],"_"),1,2),"")</f>
        <v>All by Fouta</v>
      </c>
      <c r="S343" s="47" t="str">
        <f>IF(mouvementmp[[#This Row],[QR Fabrication]]&lt;&gt;"",INDEX(_xlfn.TEXTSPLIT(mouvementmp[[#This Row],[QR Fabrication]],"_"),1,3),"")</f>
        <v>Stock</v>
      </c>
      <c r="T343" s="47" t="str">
        <f>IF(mouvementmp[[#This Row],[QR Fabrication]]&lt;&gt;"",INDEX(_xlfn.TEXTSPLIT(mouvementmp[[#This Row],[QR Fabrication]],"_"),1,4),"")</f>
        <v>PACKSICL0507-B04-02</v>
      </c>
      <c r="U343" s="47" t="str">
        <f>IF(mouvementmp[[#This Row],[QR Fabrication]]&lt;&gt;"",INDEX(_xlfn.TEXTSPLIT(mouvementmp[[#This Row],[QR Fabrication]],"_"),1,5),"")</f>
        <v>PACK CLASSIQUE</v>
      </c>
      <c r="V343" s="47" t="str">
        <f>IF(mouvementmp[[#This Row],[QR Fabrication]]&lt;&gt;"",_xlfn.TEXTAFTER(mouvementmp[[#This Row],[QR Fabrication]],"_",5),"")</f>
        <v>0507</v>
      </c>
    </row>
    <row r="344" spans="1:22" ht="16.5" thickTop="1" thickBot="1" x14ac:dyDescent="0.3">
      <c r="A344" s="46" t="s">
        <v>2473</v>
      </c>
      <c r="B344" s="54" t="s">
        <v>3806</v>
      </c>
      <c r="C344" s="47" t="s">
        <v>672</v>
      </c>
      <c r="D344" s="47" t="s">
        <v>665</v>
      </c>
      <c r="E344" s="47" t="s">
        <v>669</v>
      </c>
      <c r="F344" s="48">
        <v>10.5</v>
      </c>
      <c r="G344" s="47"/>
      <c r="H344" s="47"/>
      <c r="I344" s="47" t="s">
        <v>664</v>
      </c>
      <c r="J344" s="49">
        <v>45923</v>
      </c>
      <c r="K344" s="47" t="str">
        <f>INDEX(_xlfn.TEXTSPLIT(mouvementmp[[#This Row],[QR MP]],"_"),1,1)</f>
        <v>C02</v>
      </c>
      <c r="L344" s="47" t="str">
        <f>INDEX(_xlfn.TEXTSPLIT(mouvementmp[[#This Row],[QR MP]],"_"),1,2)</f>
        <v>ECRU</v>
      </c>
      <c r="M344" s="47" t="str">
        <f>INDEX(_xlfn.TEXTSPLIT(mouvementmp[[#This Row],[QR MP]],"_"),1,3)</f>
        <v>NM15-02.00</v>
      </c>
      <c r="N344" s="47" t="str">
        <f>INDEX(_xlfn.TEXTSPLIT(mouvementmp[[#This Row],[QR MP]],"_"),1,4)</f>
        <v>61424</v>
      </c>
      <c r="O344" s="47">
        <f>-mouvementmp[[#This Row],[Poids]]</f>
        <v>-10.5</v>
      </c>
      <c r="P344" s="47" t="str">
        <f>IF(
   COUNTIFS($A$2:A344,A344,
             $B$2:B344,B344,
             $C$2:C344,C344,
             $D$2:D344,D344,
             $E$2:E344,E344,
             $F$2:F344,F344,
              $J$2:J344,J344)&gt;1,
   "Doublon",
   "Correcte"
)</f>
        <v>Correcte</v>
      </c>
      <c r="Q344" s="106" t="str">
        <f>IF(mouvementmp[[#This Row],[QR Fabrication]]&lt;&gt;"",INDEX(_xlfn.TEXTSPLIT(mouvementmp[[#This Row],[QR Fabrication]],"_"),1,1),"")</f>
        <v>CA250751</v>
      </c>
      <c r="R344" s="106" t="str">
        <f>IF(mouvementmp[[#This Row],[QR Fabrication]]&lt;&gt;"",INDEX(_xlfn.TEXTSPLIT(mouvementmp[[#This Row],[QR Fabrication]],"_"),1,2),"")</f>
        <v>All by Fouta</v>
      </c>
      <c r="S344" s="47" t="str">
        <f>IF(mouvementmp[[#This Row],[QR Fabrication]]&lt;&gt;"",INDEX(_xlfn.TEXTSPLIT(mouvementmp[[#This Row],[QR Fabrication]],"_"),1,3),"")</f>
        <v>Stock</v>
      </c>
      <c r="T344" s="47" t="str">
        <f>IF(mouvementmp[[#This Row],[QR Fabrication]]&lt;&gt;"",INDEX(_xlfn.TEXTSPLIT(mouvementmp[[#This Row],[QR Fabrication]],"_"),1,4),"")</f>
        <v>PACKSICL0507-B04-02</v>
      </c>
      <c r="U344" s="47" t="str">
        <f>IF(mouvementmp[[#This Row],[QR Fabrication]]&lt;&gt;"",INDEX(_xlfn.TEXTSPLIT(mouvementmp[[#This Row],[QR Fabrication]],"_"),1,5),"")</f>
        <v>PACK CLASSIQUE</v>
      </c>
      <c r="V344" s="47" t="str">
        <f>IF(mouvementmp[[#This Row],[QR Fabrication]]&lt;&gt;"",_xlfn.TEXTAFTER(mouvementmp[[#This Row],[QR Fabrication]],"_",5),"")</f>
        <v>0507</v>
      </c>
    </row>
    <row r="345" spans="1:22" ht="16.5" thickTop="1" thickBot="1" x14ac:dyDescent="0.3">
      <c r="A345" s="46"/>
      <c r="B345" s="54" t="s">
        <v>3910</v>
      </c>
      <c r="C345" s="47" t="s">
        <v>676</v>
      </c>
      <c r="D345" s="47" t="s">
        <v>665</v>
      </c>
      <c r="E345" s="47" t="s">
        <v>677</v>
      </c>
      <c r="F345" s="48">
        <v>60.6</v>
      </c>
      <c r="G345" s="47"/>
      <c r="H345" s="47"/>
      <c r="I345" s="47" t="s">
        <v>664</v>
      </c>
      <c r="J345" s="49">
        <v>45923</v>
      </c>
      <c r="K345" s="47" t="str">
        <f>INDEX(_xlfn.TEXTSPLIT(mouvementmp[[#This Row],[QR MP]],"_"),1,1)</f>
        <v>CH</v>
      </c>
      <c r="L345" s="47" t="str">
        <f>INDEX(_xlfn.TEXTSPLIT(mouvementmp[[#This Row],[QR MP]],"_"),1,2)</f>
        <v>Ecru</v>
      </c>
      <c r="M345" s="47" t="str">
        <f>INDEX(_xlfn.TEXTSPLIT(mouvementmp[[#This Row],[QR MP]],"_"),1,3)</f>
        <v>CH2/40CE</v>
      </c>
      <c r="N345" s="47" t="str">
        <f>INDEX(_xlfn.TEXTSPLIT(mouvementmp[[#This Row],[QR MP]],"_"),1,4)</f>
        <v>A220324523/2</v>
      </c>
      <c r="O345" s="47">
        <f>-mouvementmp[[#This Row],[Poids]]</f>
        <v>-60.6</v>
      </c>
      <c r="P345" s="47" t="str">
        <f>IF(
   COUNTIFS($A$2:A345,A345,
             $B$2:B345,B345,
             $C$2:C345,C345,
             $D$2:D345,D345,
             $E$2:E345,E345,
             $F$2:F345,F345,
              $J$2:J345,J345)&gt;1,
   "Doublon",
   "Correcte"
)</f>
        <v>Correcte</v>
      </c>
      <c r="Q345" s="106" t="str">
        <f>IF(mouvementmp[[#This Row],[QR Fabrication]]&lt;&gt;"",INDEX(_xlfn.TEXTSPLIT(mouvementmp[[#This Row],[QR Fabrication]],"_"),1,1),"")</f>
        <v/>
      </c>
      <c r="R345" s="106" t="str">
        <f>IF(mouvementmp[[#This Row],[QR Fabrication]]&lt;&gt;"",INDEX(_xlfn.TEXTSPLIT(mouvementmp[[#This Row],[QR Fabrication]],"_"),1,2),"")</f>
        <v/>
      </c>
      <c r="S345" s="47" t="str">
        <f>IF(mouvementmp[[#This Row],[QR Fabrication]]&lt;&gt;"",INDEX(_xlfn.TEXTSPLIT(mouvementmp[[#This Row],[QR Fabrication]],"_"),1,3),"")</f>
        <v/>
      </c>
      <c r="T345" s="47" t="str">
        <f>IF(mouvementmp[[#This Row],[QR Fabrication]]&lt;&gt;"",INDEX(_xlfn.TEXTSPLIT(mouvementmp[[#This Row],[QR Fabrication]],"_"),1,4),"")</f>
        <v/>
      </c>
      <c r="U345" s="47" t="str">
        <f>IF(mouvementmp[[#This Row],[QR Fabrication]]&lt;&gt;"",INDEX(_xlfn.TEXTSPLIT(mouvementmp[[#This Row],[QR Fabrication]],"_"),1,5),"")</f>
        <v/>
      </c>
      <c r="V345" s="47" t="str">
        <f>IF(mouvementmp[[#This Row],[QR Fabrication]]&lt;&gt;"",_xlfn.TEXTAFTER(mouvementmp[[#This Row],[QR Fabrication]],"_",5),"")</f>
        <v/>
      </c>
    </row>
    <row r="346" spans="1:22" ht="16.5" thickTop="1" thickBot="1" x14ac:dyDescent="0.3">
      <c r="A346" s="46"/>
      <c r="B346" s="54" t="s">
        <v>3910</v>
      </c>
      <c r="C346" s="47" t="s">
        <v>670</v>
      </c>
      <c r="D346" s="47" t="s">
        <v>666</v>
      </c>
      <c r="E346" s="47" t="s">
        <v>671</v>
      </c>
      <c r="F346" s="48">
        <v>414</v>
      </c>
      <c r="G346" s="47"/>
      <c r="H346" s="47"/>
      <c r="I346" s="47" t="s">
        <v>664</v>
      </c>
      <c r="J346" s="49">
        <v>45923</v>
      </c>
      <c r="K346" s="47" t="str">
        <f>INDEX(_xlfn.TEXTSPLIT(mouvementmp[[#This Row],[QR MP]],"_"),1,1)</f>
        <v>CH</v>
      </c>
      <c r="L346" s="47" t="str">
        <f>INDEX(_xlfn.TEXTSPLIT(mouvementmp[[#This Row],[QR MP]],"_"),1,2)</f>
        <v>Ecru</v>
      </c>
      <c r="M346" s="47" t="str">
        <f>INDEX(_xlfn.TEXTSPLIT(mouvementmp[[#This Row],[QR MP]],"_"),1,3)</f>
        <v>CH2/40CE</v>
      </c>
      <c r="N346" s="47" t="str">
        <f>INDEX(_xlfn.TEXTSPLIT(mouvementmp[[#This Row],[QR MP]],"_"),1,4)</f>
        <v>A220324523/2</v>
      </c>
      <c r="O346" s="47">
        <f>-mouvementmp[[#This Row],[Poids]]</f>
        <v>-414</v>
      </c>
      <c r="P346" s="47" t="str">
        <f>IF(
   COUNTIFS($A$2:A346,A346,
             $B$2:B346,B346,
             $C$2:C346,C346,
             $D$2:D346,D346,
             $E$2:E346,E346,
             $F$2:F346,F346,
              $J$2:J346,J346)&gt;1,
   "Doublon",
   "Correcte"
)</f>
        <v>Correcte</v>
      </c>
      <c r="Q346" s="106" t="str">
        <f>IF(mouvementmp[[#This Row],[QR Fabrication]]&lt;&gt;"",INDEX(_xlfn.TEXTSPLIT(mouvementmp[[#This Row],[QR Fabrication]],"_"),1,1),"")</f>
        <v/>
      </c>
      <c r="R346" s="106" t="str">
        <f>IF(mouvementmp[[#This Row],[QR Fabrication]]&lt;&gt;"",INDEX(_xlfn.TEXTSPLIT(mouvementmp[[#This Row],[QR Fabrication]],"_"),1,2),"")</f>
        <v/>
      </c>
      <c r="S346" s="47" t="str">
        <f>IF(mouvementmp[[#This Row],[QR Fabrication]]&lt;&gt;"",INDEX(_xlfn.TEXTSPLIT(mouvementmp[[#This Row],[QR Fabrication]],"_"),1,3),"")</f>
        <v/>
      </c>
      <c r="T346" s="47" t="str">
        <f>IF(mouvementmp[[#This Row],[QR Fabrication]]&lt;&gt;"",INDEX(_xlfn.TEXTSPLIT(mouvementmp[[#This Row],[QR Fabrication]],"_"),1,4),"")</f>
        <v/>
      </c>
      <c r="U346" s="47" t="str">
        <f>IF(mouvementmp[[#This Row],[QR Fabrication]]&lt;&gt;"",INDEX(_xlfn.TEXTSPLIT(mouvementmp[[#This Row],[QR Fabrication]],"_"),1,5),"")</f>
        <v/>
      </c>
      <c r="V346" s="47" t="str">
        <f>IF(mouvementmp[[#This Row],[QR Fabrication]]&lt;&gt;"",_xlfn.TEXTAFTER(mouvementmp[[#This Row],[QR Fabrication]],"_",5),"")</f>
        <v/>
      </c>
    </row>
    <row r="347" spans="1:22" ht="16.5" thickTop="1" thickBot="1" x14ac:dyDescent="0.3">
      <c r="A347" s="46"/>
      <c r="B347" s="54" t="s">
        <v>3910</v>
      </c>
      <c r="C347" s="47" t="s">
        <v>676</v>
      </c>
      <c r="D347" s="47" t="s">
        <v>665</v>
      </c>
      <c r="E347" s="47" t="s">
        <v>677</v>
      </c>
      <c r="F347" s="48">
        <v>61</v>
      </c>
      <c r="G347" s="47"/>
      <c r="H347" s="47"/>
      <c r="I347" s="47" t="s">
        <v>664</v>
      </c>
      <c r="J347" s="49">
        <v>45924</v>
      </c>
      <c r="K347" s="47" t="str">
        <f>INDEX(_xlfn.TEXTSPLIT(mouvementmp[[#This Row],[QR MP]],"_"),1,1)</f>
        <v>CH</v>
      </c>
      <c r="L347" s="47" t="str">
        <f>INDEX(_xlfn.TEXTSPLIT(mouvementmp[[#This Row],[QR MP]],"_"),1,2)</f>
        <v>Ecru</v>
      </c>
      <c r="M347" s="47" t="str">
        <f>INDEX(_xlfn.TEXTSPLIT(mouvementmp[[#This Row],[QR MP]],"_"),1,3)</f>
        <v>CH2/40CE</v>
      </c>
      <c r="N347" s="47" t="str">
        <f>INDEX(_xlfn.TEXTSPLIT(mouvementmp[[#This Row],[QR MP]],"_"),1,4)</f>
        <v>A220324523/2</v>
      </c>
      <c r="O347" s="47">
        <f>-mouvementmp[[#This Row],[Poids]]</f>
        <v>-61</v>
      </c>
      <c r="P347" s="47" t="str">
        <f>IF(
   COUNTIFS($A$2:A347,A347,
             $B$2:B347,B347,
             $C$2:C347,C347,
             $D$2:D347,D347,
             $E$2:E347,E347,
             $F$2:F347,F347,
              $J$2:J347,J347)&gt;1,
   "Doublon",
   "Correcte"
)</f>
        <v>Correcte</v>
      </c>
      <c r="Q347" s="106" t="str">
        <f>IF(mouvementmp[[#This Row],[QR Fabrication]]&lt;&gt;"",INDEX(_xlfn.TEXTSPLIT(mouvementmp[[#This Row],[QR Fabrication]],"_"),1,1),"")</f>
        <v/>
      </c>
      <c r="R347" s="106" t="str">
        <f>IF(mouvementmp[[#This Row],[QR Fabrication]]&lt;&gt;"",INDEX(_xlfn.TEXTSPLIT(mouvementmp[[#This Row],[QR Fabrication]],"_"),1,2),"")</f>
        <v/>
      </c>
      <c r="S347" s="47" t="str">
        <f>IF(mouvementmp[[#This Row],[QR Fabrication]]&lt;&gt;"",INDEX(_xlfn.TEXTSPLIT(mouvementmp[[#This Row],[QR Fabrication]],"_"),1,3),"")</f>
        <v/>
      </c>
      <c r="T347" s="47" t="str">
        <f>IF(mouvementmp[[#This Row],[QR Fabrication]]&lt;&gt;"",INDEX(_xlfn.TEXTSPLIT(mouvementmp[[#This Row],[QR Fabrication]],"_"),1,4),"")</f>
        <v/>
      </c>
      <c r="U347" s="47" t="str">
        <f>IF(mouvementmp[[#This Row],[QR Fabrication]]&lt;&gt;"",INDEX(_xlfn.TEXTSPLIT(mouvementmp[[#This Row],[QR Fabrication]],"_"),1,5),"")</f>
        <v/>
      </c>
      <c r="V347" s="47" t="str">
        <f>IF(mouvementmp[[#This Row],[QR Fabrication]]&lt;&gt;"",_xlfn.TEXTAFTER(mouvementmp[[#This Row],[QR Fabrication]],"_",5),"")</f>
        <v/>
      </c>
    </row>
    <row r="348" spans="1:22" ht="16.5" thickTop="1" thickBot="1" x14ac:dyDescent="0.3">
      <c r="A348" s="46"/>
      <c r="B348" s="54" t="s">
        <v>3910</v>
      </c>
      <c r="C348" s="47" t="s">
        <v>675</v>
      </c>
      <c r="D348" s="47" t="s">
        <v>671</v>
      </c>
      <c r="E348" s="47" t="s">
        <v>665</v>
      </c>
      <c r="F348" s="48">
        <v>175.9</v>
      </c>
      <c r="G348" s="47"/>
      <c r="H348" s="47"/>
      <c r="I348" s="47" t="s">
        <v>664</v>
      </c>
      <c r="J348" s="49">
        <v>45924</v>
      </c>
      <c r="K348" s="47" t="str">
        <f>INDEX(_xlfn.TEXTSPLIT(mouvementmp[[#This Row],[QR MP]],"_"),1,1)</f>
        <v>CH</v>
      </c>
      <c r="L348" s="47" t="str">
        <f>INDEX(_xlfn.TEXTSPLIT(mouvementmp[[#This Row],[QR MP]],"_"),1,2)</f>
        <v>Ecru</v>
      </c>
      <c r="M348" s="47" t="str">
        <f>INDEX(_xlfn.TEXTSPLIT(mouvementmp[[#This Row],[QR MP]],"_"),1,3)</f>
        <v>CH2/40CE</v>
      </c>
      <c r="N348" s="47" t="str">
        <f>INDEX(_xlfn.TEXTSPLIT(mouvementmp[[#This Row],[QR MP]],"_"),1,4)</f>
        <v>A220324523/2</v>
      </c>
      <c r="O348" s="47">
        <f>-mouvementmp[[#This Row],[Poids]]</f>
        <v>-175.9</v>
      </c>
      <c r="P348" s="47" t="str">
        <f>IF(
   COUNTIFS($A$2:A348,A348,
             $B$2:B348,B348,
             $C$2:C348,C348,
             $D$2:D348,D348,
             $E$2:E348,E348,
             $F$2:F348,F348,
              $J$2:J348,J348)&gt;1,
   "Doublon",
   "Correcte"
)</f>
        <v>Correcte</v>
      </c>
      <c r="Q348" s="106" t="str">
        <f>IF(mouvementmp[[#This Row],[QR Fabrication]]&lt;&gt;"",INDEX(_xlfn.TEXTSPLIT(mouvementmp[[#This Row],[QR Fabrication]],"_"),1,1),"")</f>
        <v/>
      </c>
      <c r="R348" s="106" t="str">
        <f>IF(mouvementmp[[#This Row],[QR Fabrication]]&lt;&gt;"",INDEX(_xlfn.TEXTSPLIT(mouvementmp[[#This Row],[QR Fabrication]],"_"),1,2),"")</f>
        <v/>
      </c>
      <c r="S348" s="47" t="str">
        <f>IF(mouvementmp[[#This Row],[QR Fabrication]]&lt;&gt;"",INDEX(_xlfn.TEXTSPLIT(mouvementmp[[#This Row],[QR Fabrication]],"_"),1,3),"")</f>
        <v/>
      </c>
      <c r="T348" s="47" t="str">
        <f>IF(mouvementmp[[#This Row],[QR Fabrication]]&lt;&gt;"",INDEX(_xlfn.TEXTSPLIT(mouvementmp[[#This Row],[QR Fabrication]],"_"),1,4),"")</f>
        <v/>
      </c>
      <c r="U348" s="47" t="str">
        <f>IF(mouvementmp[[#This Row],[QR Fabrication]]&lt;&gt;"",INDEX(_xlfn.TEXTSPLIT(mouvementmp[[#This Row],[QR Fabrication]],"_"),1,5),"")</f>
        <v/>
      </c>
      <c r="V348" s="47" t="str">
        <f>IF(mouvementmp[[#This Row],[QR Fabrication]]&lt;&gt;"",_xlfn.TEXTAFTER(mouvementmp[[#This Row],[QR Fabrication]],"_",5),"")</f>
        <v/>
      </c>
    </row>
    <row r="349" spans="1:22" ht="16.5" thickTop="1" thickBot="1" x14ac:dyDescent="0.3">
      <c r="A349" s="46" t="s">
        <v>2445</v>
      </c>
      <c r="B349" s="54" t="s">
        <v>3858</v>
      </c>
      <c r="C349" s="47" t="s">
        <v>672</v>
      </c>
      <c r="D349" s="47" t="s">
        <v>665</v>
      </c>
      <c r="E349" s="47" t="s">
        <v>669</v>
      </c>
      <c r="F349" s="48">
        <v>39.5</v>
      </c>
      <c r="G349" s="47"/>
      <c r="H349" s="47"/>
      <c r="I349" s="47" t="s">
        <v>664</v>
      </c>
      <c r="J349" s="49">
        <v>45924</v>
      </c>
      <c r="K349" s="47" t="str">
        <f>INDEX(_xlfn.TEXTSPLIT(mouvementmp[[#This Row],[QR MP]],"_"),1,1)</f>
        <v>C14</v>
      </c>
      <c r="L349" s="47" t="str">
        <f>INDEX(_xlfn.TEXTSPLIT(mouvementmp[[#This Row],[QR MP]],"_"),1,2)</f>
        <v>BLEU TURQUOISE</v>
      </c>
      <c r="M349" s="47" t="str">
        <f>INDEX(_xlfn.TEXTSPLIT(mouvementmp[[#This Row],[QR MP]],"_"),1,3)</f>
        <v>NM15-14.00</v>
      </c>
      <c r="N349" s="47" t="str">
        <f>INDEX(_xlfn.TEXTSPLIT(mouvementmp[[#This Row],[QR MP]],"_"),1,4)</f>
        <v>61597</v>
      </c>
      <c r="O349" s="47">
        <f>-mouvementmp[[#This Row],[Poids]]</f>
        <v>-39.5</v>
      </c>
      <c r="P349" s="47" t="str">
        <f>IF(
   COUNTIFS($A$2:A349,A349,
             $B$2:B349,B349,
             $C$2:C349,C349,
             $D$2:D349,D349,
             $E$2:E349,E349,
             $F$2:F349,F349,
              $J$2:J349,J349)&gt;1,
   "Doublon",
   "Correcte"
)</f>
        <v>Correcte</v>
      </c>
      <c r="Q349" s="106" t="str">
        <f>IF(mouvementmp[[#This Row],[QR Fabrication]]&lt;&gt;"",INDEX(_xlfn.TEXTSPLIT(mouvementmp[[#This Row],[QR Fabrication]],"_"),1,1),"")</f>
        <v>OF249809</v>
      </c>
      <c r="R349" s="106" t="str">
        <f>IF(mouvementmp[[#This Row],[QR Fabrication]]&lt;&gt;"",INDEX(_xlfn.TEXTSPLIT(mouvementmp[[#This Row],[QR Fabrication]],"_"),1,2),"")</f>
        <v>CL00884</v>
      </c>
      <c r="S349" s="47" t="str">
        <f>IF(mouvementmp[[#This Row],[QR Fabrication]]&lt;&gt;"",INDEX(_xlfn.TEXTSPLIT(mouvementmp[[#This Row],[QR Fabrication]],"_"),1,3),"")</f>
        <v>CM-FT0119</v>
      </c>
      <c r="T349" s="47" t="str">
        <f>IF(mouvementmp[[#This Row],[QR Fabrication]]&lt;&gt;"",INDEX(_xlfn.TEXTSPLIT(mouvementmp[[#This Row],[QR Fabrication]],"_"),1,4),"")</f>
        <v>IS1020-B14-01</v>
      </c>
      <c r="U349" s="47" t="str">
        <f>IF(mouvementmp[[#This Row],[QR Fabrication]]&lt;&gt;"",INDEX(_xlfn.TEXTSPLIT(mouvementmp[[#This Row],[QR Fabrication]],"_"),1,5),"")</f>
        <v>ISTANBUL</v>
      </c>
      <c r="V349" s="47" t="str">
        <f>IF(mouvementmp[[#This Row],[QR Fabrication]]&lt;&gt;"",_xlfn.TEXTAFTER(mouvementmp[[#This Row],[QR Fabrication]],"_",5),"")</f>
        <v>1020</v>
      </c>
    </row>
    <row r="350" spans="1:22" ht="16.5" thickTop="1" thickBot="1" x14ac:dyDescent="0.3">
      <c r="A350" s="46" t="s">
        <v>2445</v>
      </c>
      <c r="B350" s="54" t="s">
        <v>3920</v>
      </c>
      <c r="C350" s="47" t="s">
        <v>672</v>
      </c>
      <c r="D350" s="47" t="s">
        <v>665</v>
      </c>
      <c r="E350" s="47" t="s">
        <v>669</v>
      </c>
      <c r="F350" s="48">
        <v>13.5</v>
      </c>
      <c r="G350" s="47"/>
      <c r="H350" s="47"/>
      <c r="I350" s="47" t="s">
        <v>664</v>
      </c>
      <c r="J350" s="49">
        <v>45924</v>
      </c>
      <c r="K350" s="47" t="str">
        <f>INDEX(_xlfn.TEXTSPLIT(mouvementmp[[#This Row],[QR MP]],"_"),1,1)</f>
        <v>C01</v>
      </c>
      <c r="L350" s="47" t="str">
        <f>INDEX(_xlfn.TEXTSPLIT(mouvementmp[[#This Row],[QR MP]],"_"),1,2)</f>
        <v>BLANC</v>
      </c>
      <c r="M350" s="47" t="str">
        <f>INDEX(_xlfn.TEXTSPLIT(mouvementmp[[#This Row],[QR MP]],"_"),1,3)</f>
        <v>NM15-01.00</v>
      </c>
      <c r="N350" s="47" t="str">
        <f>INDEX(_xlfn.TEXTSPLIT(mouvementmp[[#This Row],[QR MP]],"_"),1,4)</f>
        <v>62721</v>
      </c>
      <c r="O350" s="47">
        <f>-mouvementmp[[#This Row],[Poids]]</f>
        <v>-13.5</v>
      </c>
      <c r="P350" s="47" t="str">
        <f>IF(
   COUNTIFS($A$2:A350,A350,
             $B$2:B350,B350,
             $C$2:C350,C350,
             $D$2:D350,D350,
             $E$2:E350,E350,
             $F$2:F350,F350,
              $J$2:J350,J350)&gt;1,
   "Doublon",
   "Correcte"
)</f>
        <v>Correcte</v>
      </c>
      <c r="Q350" s="106" t="str">
        <f>IF(mouvementmp[[#This Row],[QR Fabrication]]&lt;&gt;"",INDEX(_xlfn.TEXTSPLIT(mouvementmp[[#This Row],[QR Fabrication]],"_"),1,1),"")</f>
        <v>OF249809</v>
      </c>
      <c r="R350" s="106" t="str">
        <f>IF(mouvementmp[[#This Row],[QR Fabrication]]&lt;&gt;"",INDEX(_xlfn.TEXTSPLIT(mouvementmp[[#This Row],[QR Fabrication]],"_"),1,2),"")</f>
        <v>CL00884</v>
      </c>
      <c r="S350" s="47" t="str">
        <f>IF(mouvementmp[[#This Row],[QR Fabrication]]&lt;&gt;"",INDEX(_xlfn.TEXTSPLIT(mouvementmp[[#This Row],[QR Fabrication]],"_"),1,3),"")</f>
        <v>CM-FT0119</v>
      </c>
      <c r="T350" s="47" t="str">
        <f>IF(mouvementmp[[#This Row],[QR Fabrication]]&lt;&gt;"",INDEX(_xlfn.TEXTSPLIT(mouvementmp[[#This Row],[QR Fabrication]],"_"),1,4),"")</f>
        <v>IS1020-B14-01</v>
      </c>
      <c r="U350" s="47" t="str">
        <f>IF(mouvementmp[[#This Row],[QR Fabrication]]&lt;&gt;"",INDEX(_xlfn.TEXTSPLIT(mouvementmp[[#This Row],[QR Fabrication]],"_"),1,5),"")</f>
        <v>ISTANBUL</v>
      </c>
      <c r="V350" s="47" t="str">
        <f>IF(mouvementmp[[#This Row],[QR Fabrication]]&lt;&gt;"",_xlfn.TEXTAFTER(mouvementmp[[#This Row],[QR Fabrication]],"_",5),"")</f>
        <v>1020</v>
      </c>
    </row>
    <row r="351" spans="1:22" ht="16.5" thickTop="1" thickBot="1" x14ac:dyDescent="0.3">
      <c r="A351" s="46" t="s">
        <v>2474</v>
      </c>
      <c r="B351" s="54" t="s">
        <v>3838</v>
      </c>
      <c r="C351" s="47" t="s">
        <v>672</v>
      </c>
      <c r="D351" s="47" t="s">
        <v>665</v>
      </c>
      <c r="E351" s="47" t="s">
        <v>669</v>
      </c>
      <c r="F351" s="48">
        <v>10</v>
      </c>
      <c r="G351" s="47"/>
      <c r="H351" s="47"/>
      <c r="I351" s="47" t="s">
        <v>664</v>
      </c>
      <c r="J351" s="49">
        <v>45924</v>
      </c>
      <c r="K351" s="47" t="str">
        <f>INDEX(_xlfn.TEXTSPLIT(mouvementmp[[#This Row],[QR MP]],"_"),1,1)</f>
        <v>C07</v>
      </c>
      <c r="L351" s="47" t="str">
        <f>INDEX(_xlfn.TEXTSPLIT(mouvementmp[[#This Row],[QR MP]],"_"),1,2)</f>
        <v>GRIS MOYEN</v>
      </c>
      <c r="M351" s="47" t="str">
        <f>INDEX(_xlfn.TEXTSPLIT(mouvementmp[[#This Row],[QR MP]],"_"),1,3)</f>
        <v>NM15-07.00</v>
      </c>
      <c r="N351" s="47" t="str">
        <f>INDEX(_xlfn.TEXTSPLIT(mouvementmp[[#This Row],[QR MP]],"_"),1,4)</f>
        <v>61445</v>
      </c>
      <c r="O351" s="47">
        <f>-mouvementmp[[#This Row],[Poids]]</f>
        <v>-10</v>
      </c>
      <c r="P351" s="47" t="str">
        <f>IF(
   COUNTIFS($A$2:A351,A351,
             $B$2:B351,B351,
             $C$2:C351,C351,
             $D$2:D351,D351,
             $E$2:E351,E351,
             $F$2:F351,F351,
              $J$2:J351,J351)&gt;1,
   "Doublon",
   "Correcte"
)</f>
        <v>Correcte</v>
      </c>
      <c r="Q351" s="106" t="str">
        <f>IF(mouvementmp[[#This Row],[QR Fabrication]]&lt;&gt;"",INDEX(_xlfn.TEXTSPLIT(mouvementmp[[#This Row],[QR Fabrication]],"_"),1,1),"")</f>
        <v>CA250755</v>
      </c>
      <c r="R351" s="106" t="str">
        <f>IF(mouvementmp[[#This Row],[QR Fabrication]]&lt;&gt;"",INDEX(_xlfn.TEXTSPLIT(mouvementmp[[#This Row],[QR Fabrication]],"_"),1,2),"")</f>
        <v>All by Fouta</v>
      </c>
      <c r="S351" s="47" t="str">
        <f>IF(mouvementmp[[#This Row],[QR Fabrication]]&lt;&gt;"",INDEX(_xlfn.TEXTSPLIT(mouvementmp[[#This Row],[QR Fabrication]],"_"),1,3),"")</f>
        <v>Stock</v>
      </c>
      <c r="T351" s="47" t="str">
        <f>IF(mouvementmp[[#This Row],[QR Fabrication]]&lt;&gt;"",INDEX(_xlfn.TEXTSPLIT(mouvementmp[[#This Row],[QR Fabrication]],"_"),1,4),"")</f>
        <v>PACKSICL0507-B07-17</v>
      </c>
      <c r="U351" s="47" t="str">
        <f>IF(mouvementmp[[#This Row],[QR Fabrication]]&lt;&gt;"",INDEX(_xlfn.TEXTSPLIT(mouvementmp[[#This Row],[QR Fabrication]],"_"),1,5),"")</f>
        <v>PACK CLASSIQUE</v>
      </c>
      <c r="V351" s="47" t="str">
        <f>IF(mouvementmp[[#This Row],[QR Fabrication]]&lt;&gt;"",_xlfn.TEXTAFTER(mouvementmp[[#This Row],[QR Fabrication]],"_",5),"")</f>
        <v>0507</v>
      </c>
    </row>
    <row r="352" spans="1:22" ht="16.5" thickTop="1" thickBot="1" x14ac:dyDescent="0.3">
      <c r="A352" s="46" t="s">
        <v>2474</v>
      </c>
      <c r="B352" s="54" t="s">
        <v>3865</v>
      </c>
      <c r="C352" s="47" t="s">
        <v>672</v>
      </c>
      <c r="D352" s="47" t="s">
        <v>665</v>
      </c>
      <c r="E352" s="47" t="s">
        <v>669</v>
      </c>
      <c r="F352" s="48">
        <v>10.5</v>
      </c>
      <c r="G352" s="47"/>
      <c r="H352" s="47"/>
      <c r="I352" s="47" t="s">
        <v>664</v>
      </c>
      <c r="J352" s="49">
        <v>45924</v>
      </c>
      <c r="K352" s="47" t="str">
        <f>INDEX(_xlfn.TEXTSPLIT(mouvementmp[[#This Row],[QR MP]],"_"),1,1)</f>
        <v>C17</v>
      </c>
      <c r="L352" s="47" t="str">
        <f>INDEX(_xlfn.TEXTSPLIT(mouvementmp[[#This Row],[QR MP]],"_"),1,2)</f>
        <v>EMAURAUDE</v>
      </c>
      <c r="M352" s="47" t="str">
        <f>INDEX(_xlfn.TEXTSPLIT(mouvementmp[[#This Row],[QR MP]],"_"),1,3)</f>
        <v>NM15-17.00</v>
      </c>
      <c r="N352" s="47" t="str">
        <f>INDEX(_xlfn.TEXTSPLIT(mouvementmp[[#This Row],[QR MP]],"_"),1,4)</f>
        <v>61571</v>
      </c>
      <c r="O352" s="47">
        <f>-mouvementmp[[#This Row],[Poids]]</f>
        <v>-10.5</v>
      </c>
      <c r="P352" s="47" t="str">
        <f>IF(
   COUNTIFS($A$2:A352,A352,
             $B$2:B352,B352,
             $C$2:C352,C352,
             $D$2:D352,D352,
             $E$2:E352,E352,
             $F$2:F352,F352,
              $J$2:J352,J352)&gt;1,
   "Doublon",
   "Correcte"
)</f>
        <v>Correcte</v>
      </c>
      <c r="Q352" s="106" t="str">
        <f>IF(mouvementmp[[#This Row],[QR Fabrication]]&lt;&gt;"",INDEX(_xlfn.TEXTSPLIT(mouvementmp[[#This Row],[QR Fabrication]],"_"),1,1),"")</f>
        <v>CA250755</v>
      </c>
      <c r="R352" s="106" t="str">
        <f>IF(mouvementmp[[#This Row],[QR Fabrication]]&lt;&gt;"",INDEX(_xlfn.TEXTSPLIT(mouvementmp[[#This Row],[QR Fabrication]],"_"),1,2),"")</f>
        <v>All by Fouta</v>
      </c>
      <c r="S352" s="47" t="str">
        <f>IF(mouvementmp[[#This Row],[QR Fabrication]]&lt;&gt;"",INDEX(_xlfn.TEXTSPLIT(mouvementmp[[#This Row],[QR Fabrication]],"_"),1,3),"")</f>
        <v>Stock</v>
      </c>
      <c r="T352" s="47" t="str">
        <f>IF(mouvementmp[[#This Row],[QR Fabrication]]&lt;&gt;"",INDEX(_xlfn.TEXTSPLIT(mouvementmp[[#This Row],[QR Fabrication]],"_"),1,4),"")</f>
        <v>PACKSICL0507-B07-17</v>
      </c>
      <c r="U352" s="47" t="str">
        <f>IF(mouvementmp[[#This Row],[QR Fabrication]]&lt;&gt;"",INDEX(_xlfn.TEXTSPLIT(mouvementmp[[#This Row],[QR Fabrication]],"_"),1,5),"")</f>
        <v>PACK CLASSIQUE</v>
      </c>
      <c r="V352" s="47" t="str">
        <f>IF(mouvementmp[[#This Row],[QR Fabrication]]&lt;&gt;"",_xlfn.TEXTAFTER(mouvementmp[[#This Row],[QR Fabrication]],"_",5),"")</f>
        <v>0507</v>
      </c>
    </row>
    <row r="353" spans="1:22" ht="16.5" thickTop="1" thickBot="1" x14ac:dyDescent="0.3">
      <c r="A353" s="46" t="s">
        <v>2475</v>
      </c>
      <c r="B353" s="54" t="s">
        <v>3860</v>
      </c>
      <c r="C353" s="47" t="s">
        <v>672</v>
      </c>
      <c r="D353" s="47" t="s">
        <v>665</v>
      </c>
      <c r="E353" s="47" t="s">
        <v>669</v>
      </c>
      <c r="F353" s="48">
        <v>10.5</v>
      </c>
      <c r="G353" s="47"/>
      <c r="H353" s="47"/>
      <c r="I353" s="47" t="s">
        <v>664</v>
      </c>
      <c r="J353" s="49">
        <v>45924</v>
      </c>
      <c r="K353" s="47" t="str">
        <f>INDEX(_xlfn.TEXTSPLIT(mouvementmp[[#This Row],[QR MP]],"_"),1,1)</f>
        <v>C15</v>
      </c>
      <c r="L353" s="47" t="str">
        <f>INDEX(_xlfn.TEXTSPLIT(mouvementmp[[#This Row],[QR MP]],"_"),1,2)</f>
        <v>LAGON</v>
      </c>
      <c r="M353" s="47" t="str">
        <f>INDEX(_xlfn.TEXTSPLIT(mouvementmp[[#This Row],[QR MP]],"_"),1,3)</f>
        <v>NM15-15.00</v>
      </c>
      <c r="N353" s="47" t="str">
        <f>INDEX(_xlfn.TEXTSPLIT(mouvementmp[[#This Row],[QR MP]],"_"),1,4)</f>
        <v>61645</v>
      </c>
      <c r="O353" s="47">
        <f>-mouvementmp[[#This Row],[Poids]]</f>
        <v>-10.5</v>
      </c>
      <c r="P353" s="47" t="str">
        <f>IF(
   COUNTIFS($A$2:A353,A353,
             $B$2:B353,B353,
             $C$2:C353,C353,
             $D$2:D353,D353,
             $E$2:E353,E353,
             $F$2:F353,F353,
              $J$2:J353,J353)&gt;1,
   "Doublon",
   "Correcte"
)</f>
        <v>Correcte</v>
      </c>
      <c r="Q353" s="106" t="str">
        <f>IF(mouvementmp[[#This Row],[QR Fabrication]]&lt;&gt;"",INDEX(_xlfn.TEXTSPLIT(mouvementmp[[#This Row],[QR Fabrication]],"_"),1,1),"")</f>
        <v>CA250758</v>
      </c>
      <c r="R353" s="106" t="str">
        <f>IF(mouvementmp[[#This Row],[QR Fabrication]]&lt;&gt;"",INDEX(_xlfn.TEXTSPLIT(mouvementmp[[#This Row],[QR Fabrication]],"_"),1,2),"")</f>
        <v>All by Fouta</v>
      </c>
      <c r="S353" s="47" t="str">
        <f>IF(mouvementmp[[#This Row],[QR Fabrication]]&lt;&gt;"",INDEX(_xlfn.TEXTSPLIT(mouvementmp[[#This Row],[QR Fabrication]],"_"),1,3),"")</f>
        <v>Stock</v>
      </c>
      <c r="T353" s="47" t="str">
        <f>IF(mouvementmp[[#This Row],[QR Fabrication]]&lt;&gt;"",INDEX(_xlfn.TEXTSPLIT(mouvementmp[[#This Row],[QR Fabrication]],"_"),1,4),"")</f>
        <v>PACKSICL0507-B15-02</v>
      </c>
      <c r="U353" s="47" t="str">
        <f>IF(mouvementmp[[#This Row],[QR Fabrication]]&lt;&gt;"",INDEX(_xlfn.TEXTSPLIT(mouvementmp[[#This Row],[QR Fabrication]],"_"),1,5),"")</f>
        <v>PACK CLASSIQUE</v>
      </c>
      <c r="V353" s="47" t="str">
        <f>IF(mouvementmp[[#This Row],[QR Fabrication]]&lt;&gt;"",_xlfn.TEXTAFTER(mouvementmp[[#This Row],[QR Fabrication]],"_",5),"")</f>
        <v>0507</v>
      </c>
    </row>
    <row r="354" spans="1:22" ht="16.5" thickTop="1" thickBot="1" x14ac:dyDescent="0.3">
      <c r="A354" s="46" t="s">
        <v>2475</v>
      </c>
      <c r="B354" s="54" t="s">
        <v>3806</v>
      </c>
      <c r="C354" s="47" t="s">
        <v>672</v>
      </c>
      <c r="D354" s="47" t="s">
        <v>665</v>
      </c>
      <c r="E354" s="47" t="s">
        <v>669</v>
      </c>
      <c r="F354" s="48">
        <v>10</v>
      </c>
      <c r="G354" s="47"/>
      <c r="H354" s="47"/>
      <c r="I354" s="47" t="s">
        <v>664</v>
      </c>
      <c r="J354" s="49">
        <v>45924</v>
      </c>
      <c r="K354" s="47" t="str">
        <f>INDEX(_xlfn.TEXTSPLIT(mouvementmp[[#This Row],[QR MP]],"_"),1,1)</f>
        <v>C02</v>
      </c>
      <c r="L354" s="47" t="str">
        <f>INDEX(_xlfn.TEXTSPLIT(mouvementmp[[#This Row],[QR MP]],"_"),1,2)</f>
        <v>ECRU</v>
      </c>
      <c r="M354" s="47" t="str">
        <f>INDEX(_xlfn.TEXTSPLIT(mouvementmp[[#This Row],[QR MP]],"_"),1,3)</f>
        <v>NM15-02.00</v>
      </c>
      <c r="N354" s="47" t="str">
        <f>INDEX(_xlfn.TEXTSPLIT(mouvementmp[[#This Row],[QR MP]],"_"),1,4)</f>
        <v>61424</v>
      </c>
      <c r="O354" s="47">
        <f>-mouvementmp[[#This Row],[Poids]]</f>
        <v>-10</v>
      </c>
      <c r="P354" s="47" t="str">
        <f>IF(
   COUNTIFS($A$2:A354,A354,
             $B$2:B354,B354,
             $C$2:C354,C354,
             $D$2:D354,D354,
             $E$2:E354,E354,
             $F$2:F354,F354,
              $J$2:J354,J354)&gt;1,
   "Doublon",
   "Correcte"
)</f>
        <v>Correcte</v>
      </c>
      <c r="Q354" s="106" t="str">
        <f>IF(mouvementmp[[#This Row],[QR Fabrication]]&lt;&gt;"",INDEX(_xlfn.TEXTSPLIT(mouvementmp[[#This Row],[QR Fabrication]],"_"),1,1),"")</f>
        <v>CA250758</v>
      </c>
      <c r="R354" s="106" t="str">
        <f>IF(mouvementmp[[#This Row],[QR Fabrication]]&lt;&gt;"",INDEX(_xlfn.TEXTSPLIT(mouvementmp[[#This Row],[QR Fabrication]],"_"),1,2),"")</f>
        <v>All by Fouta</v>
      </c>
      <c r="S354" s="47" t="str">
        <f>IF(mouvementmp[[#This Row],[QR Fabrication]]&lt;&gt;"",INDEX(_xlfn.TEXTSPLIT(mouvementmp[[#This Row],[QR Fabrication]],"_"),1,3),"")</f>
        <v>Stock</v>
      </c>
      <c r="T354" s="47" t="str">
        <f>IF(mouvementmp[[#This Row],[QR Fabrication]]&lt;&gt;"",INDEX(_xlfn.TEXTSPLIT(mouvementmp[[#This Row],[QR Fabrication]],"_"),1,4),"")</f>
        <v>PACKSICL0507-B15-02</v>
      </c>
      <c r="U354" s="47" t="str">
        <f>IF(mouvementmp[[#This Row],[QR Fabrication]]&lt;&gt;"",INDEX(_xlfn.TEXTSPLIT(mouvementmp[[#This Row],[QR Fabrication]],"_"),1,5),"")</f>
        <v>PACK CLASSIQUE</v>
      </c>
      <c r="V354" s="47" t="str">
        <f>IF(mouvementmp[[#This Row],[QR Fabrication]]&lt;&gt;"",_xlfn.TEXTAFTER(mouvementmp[[#This Row],[QR Fabrication]],"_",5),"")</f>
        <v>0507</v>
      </c>
    </row>
    <row r="355" spans="1:22" ht="16.5" thickTop="1" thickBot="1" x14ac:dyDescent="0.3">
      <c r="A355" s="46"/>
      <c r="B355" s="54" t="s">
        <v>3920</v>
      </c>
      <c r="C355" s="47" t="s">
        <v>673</v>
      </c>
      <c r="D355" s="47" t="s">
        <v>674</v>
      </c>
      <c r="E355" s="47" t="s">
        <v>665</v>
      </c>
      <c r="F355" s="48">
        <v>25.5</v>
      </c>
      <c r="G355" s="47"/>
      <c r="H355" s="47"/>
      <c r="I355" s="47" t="s">
        <v>664</v>
      </c>
      <c r="J355" s="49">
        <v>45924</v>
      </c>
      <c r="K355" s="47" t="str">
        <f>INDEX(_xlfn.TEXTSPLIT(mouvementmp[[#This Row],[QR MP]],"_"),1,1)</f>
        <v>C01</v>
      </c>
      <c r="L355" s="47" t="str">
        <f>INDEX(_xlfn.TEXTSPLIT(mouvementmp[[#This Row],[QR MP]],"_"),1,2)</f>
        <v>BLANC</v>
      </c>
      <c r="M355" s="47" t="str">
        <f>INDEX(_xlfn.TEXTSPLIT(mouvementmp[[#This Row],[QR MP]],"_"),1,3)</f>
        <v>NM15-01.00</v>
      </c>
      <c r="N355" s="47" t="str">
        <f>INDEX(_xlfn.TEXTSPLIT(mouvementmp[[#This Row],[QR MP]],"_"),1,4)</f>
        <v>62721</v>
      </c>
      <c r="O355" s="47">
        <f>-mouvementmp[[#This Row],[Poids]]</f>
        <v>-25.5</v>
      </c>
      <c r="P355" s="47" t="str">
        <f>IF(
   COUNTIFS($A$2:A355,A355,
             $B$2:B355,B355,
             $C$2:C355,C355,
             $D$2:D355,D355,
             $E$2:E355,E355,
             $F$2:F355,F355,
              $J$2:J355,J355)&gt;1,
   "Doublon",
   "Correcte"
)</f>
        <v>Correcte</v>
      </c>
      <c r="Q355" s="106" t="str">
        <f>IF(mouvementmp[[#This Row],[QR Fabrication]]&lt;&gt;"",INDEX(_xlfn.TEXTSPLIT(mouvementmp[[#This Row],[QR Fabrication]],"_"),1,1),"")</f>
        <v/>
      </c>
      <c r="R355" s="106" t="str">
        <f>IF(mouvementmp[[#This Row],[QR Fabrication]]&lt;&gt;"",INDEX(_xlfn.TEXTSPLIT(mouvementmp[[#This Row],[QR Fabrication]],"_"),1,2),"")</f>
        <v/>
      </c>
      <c r="S355" s="47" t="str">
        <f>IF(mouvementmp[[#This Row],[QR Fabrication]]&lt;&gt;"",INDEX(_xlfn.TEXTSPLIT(mouvementmp[[#This Row],[QR Fabrication]],"_"),1,3),"")</f>
        <v/>
      </c>
      <c r="T355" s="47" t="str">
        <f>IF(mouvementmp[[#This Row],[QR Fabrication]]&lt;&gt;"",INDEX(_xlfn.TEXTSPLIT(mouvementmp[[#This Row],[QR Fabrication]],"_"),1,4),"")</f>
        <v/>
      </c>
      <c r="U355" s="47" t="str">
        <f>IF(mouvementmp[[#This Row],[QR Fabrication]]&lt;&gt;"",INDEX(_xlfn.TEXTSPLIT(mouvementmp[[#This Row],[QR Fabrication]],"_"),1,5),"")</f>
        <v/>
      </c>
      <c r="V355" s="47" t="str">
        <f>IF(mouvementmp[[#This Row],[QR Fabrication]]&lt;&gt;"",_xlfn.TEXTAFTER(mouvementmp[[#This Row],[QR Fabrication]],"_",5),"")</f>
        <v/>
      </c>
    </row>
    <row r="356" spans="1:22" ht="16.5" thickTop="1" thickBot="1" x14ac:dyDescent="0.3">
      <c r="A356" s="46" t="s">
        <v>2476</v>
      </c>
      <c r="B356" s="54" t="s">
        <v>3898</v>
      </c>
      <c r="C356" s="47" t="s">
        <v>672</v>
      </c>
      <c r="D356" s="47" t="s">
        <v>665</v>
      </c>
      <c r="E356" s="47" t="s">
        <v>669</v>
      </c>
      <c r="F356" s="48">
        <v>39</v>
      </c>
      <c r="G356" s="47"/>
      <c r="H356" s="47"/>
      <c r="I356" s="47" t="s">
        <v>664</v>
      </c>
      <c r="J356" s="49">
        <v>45924</v>
      </c>
      <c r="K356" s="47" t="str">
        <f>INDEX(_xlfn.TEXTSPLIT(mouvementmp[[#This Row],[QR MP]],"_"),1,1)</f>
        <v>C29</v>
      </c>
      <c r="L356" s="47" t="str">
        <f>INDEX(_xlfn.TEXTSPLIT(mouvementmp[[#This Row],[QR MP]],"_"),1,2)</f>
        <v>FUSHIA</v>
      </c>
      <c r="M356" s="47" t="str">
        <f>INDEX(_xlfn.TEXTSPLIT(mouvementmp[[#This Row],[QR MP]],"_"),1,3)</f>
        <v>NM15-29.00</v>
      </c>
      <c r="N356" s="47" t="str">
        <f>INDEX(_xlfn.TEXTSPLIT(mouvementmp[[#This Row],[QR MP]],"_"),1,4)</f>
        <v>61549</v>
      </c>
      <c r="O356" s="47">
        <f>-mouvementmp[[#This Row],[Poids]]</f>
        <v>-39</v>
      </c>
      <c r="P356" s="47" t="str">
        <f>IF(
   COUNTIFS($A$2:A356,A356,
             $B$2:B356,B356,
             $C$2:C356,C356,
             $D$2:D356,D356,
             $E$2:E356,E356,
             $F$2:F356,F356,
              $J$2:J356,J356)&gt;1,
   "Doublon",
   "Correcte"
)</f>
        <v>Correcte</v>
      </c>
      <c r="Q356" s="106" t="str">
        <f>IF(mouvementmp[[#This Row],[QR Fabrication]]&lt;&gt;"",INDEX(_xlfn.TEXTSPLIT(mouvementmp[[#This Row],[QR Fabrication]],"_"),1,1),"")</f>
        <v>OF249859</v>
      </c>
      <c r="R356" s="106" t="str">
        <f>IF(mouvementmp[[#This Row],[QR Fabrication]]&lt;&gt;"",INDEX(_xlfn.TEXTSPLIT(mouvementmp[[#This Row],[QR Fabrication]],"_"),1,2),"")</f>
        <v>CL00884</v>
      </c>
      <c r="S356" s="47" t="str">
        <f>IF(mouvementmp[[#This Row],[QR Fabrication]]&lt;&gt;"",INDEX(_xlfn.TEXTSPLIT(mouvementmp[[#This Row],[QR Fabrication]],"_"),1,3),"")</f>
        <v>CM-FT0119</v>
      </c>
      <c r="T356" s="47" t="str">
        <f>IF(mouvementmp[[#This Row],[QR Fabrication]]&lt;&gt;"",INDEX(_xlfn.TEXTSPLIT(mouvementmp[[#This Row],[QR Fabrication]],"_"),1,4),"")</f>
        <v>AR2020-B29-01</v>
      </c>
      <c r="U356" s="47" t="str">
        <f>IF(mouvementmp[[#This Row],[QR Fabrication]]&lt;&gt;"",INDEX(_xlfn.TEXTSPLIT(mouvementmp[[#This Row],[QR Fabrication]],"_"),1,5),"")</f>
        <v>ARTHUR</v>
      </c>
      <c r="V356" s="47" t="str">
        <f>IF(mouvementmp[[#This Row],[QR Fabrication]]&lt;&gt;"",_xlfn.TEXTAFTER(mouvementmp[[#This Row],[QR Fabrication]],"_",5),"")</f>
        <v>2020</v>
      </c>
    </row>
    <row r="357" spans="1:22" ht="16.5" thickTop="1" thickBot="1" x14ac:dyDescent="0.3">
      <c r="A357" s="46" t="s">
        <v>2477</v>
      </c>
      <c r="B357" s="54" t="s">
        <v>3925</v>
      </c>
      <c r="C357" s="47" t="s">
        <v>672</v>
      </c>
      <c r="D357" s="47" t="s">
        <v>665</v>
      </c>
      <c r="E357" s="47" t="s">
        <v>669</v>
      </c>
      <c r="F357" s="48">
        <v>15.15</v>
      </c>
      <c r="G357" s="47"/>
      <c r="H357" s="47"/>
      <c r="I357" s="47" t="s">
        <v>664</v>
      </c>
      <c r="J357" s="49">
        <v>45924</v>
      </c>
      <c r="K357" s="47" t="str">
        <f>INDEX(_xlfn.TEXTSPLIT(mouvementmp[[#This Row],[QR MP]],"_"),1,1)</f>
        <v>C19</v>
      </c>
      <c r="L357" s="47" t="str">
        <f>INDEX(_xlfn.TEXTSPLIT(mouvementmp[[#This Row],[QR MP]],"_"),1,2)</f>
        <v>KAKI</v>
      </c>
      <c r="M357" s="47" t="str">
        <f>INDEX(_xlfn.TEXTSPLIT(mouvementmp[[#This Row],[QR MP]],"_"),1,3)</f>
        <v>NM15-19.01</v>
      </c>
      <c r="N357" s="47" t="str">
        <f>INDEX(_xlfn.TEXTSPLIT(mouvementmp[[#This Row],[QR MP]],"_"),1,4)</f>
        <v>S2024</v>
      </c>
      <c r="O357" s="47">
        <f>-mouvementmp[[#This Row],[Poids]]</f>
        <v>-15.15</v>
      </c>
      <c r="P357" s="47" t="str">
        <f>IF(
   COUNTIFS($A$2:A357,A357,
             $B$2:B357,B357,
             $C$2:C357,C357,
             $D$2:D357,D357,
             $E$2:E357,E357,
             $F$2:F357,F357,
              $J$2:J357,J357)&gt;1,
   "Doublon",
   "Correcte"
)</f>
        <v>Correcte</v>
      </c>
      <c r="Q357" s="106" t="str">
        <f>IF(mouvementmp[[#This Row],[QR Fabrication]]&lt;&gt;"",INDEX(_xlfn.TEXTSPLIT(mouvementmp[[#This Row],[QR Fabrication]],"_"),1,1),"")</f>
        <v>OF250132</v>
      </c>
      <c r="R357" s="106" t="str">
        <f>IF(mouvementmp[[#This Row],[QR Fabrication]]&lt;&gt;"",INDEX(_xlfn.TEXTSPLIT(mouvementmp[[#This Row],[QR Fabrication]],"_"),1,2),"")</f>
        <v>CL00162</v>
      </c>
      <c r="S357" s="47" t="str">
        <f>IF(mouvementmp[[#This Row],[QR Fabrication]]&lt;&gt;"",INDEX(_xlfn.TEXTSPLIT(mouvementmp[[#This Row],[QR Fabrication]],"_"),1,3),"")</f>
        <v>CM-FT0130</v>
      </c>
      <c r="T357" s="47" t="str">
        <f>IF(mouvementmp[[#This Row],[QR Fabrication]]&lt;&gt;"",INDEX(_xlfn.TEXTSPLIT(mouvementmp[[#This Row],[QR Fabrication]],"_"),1,4),"")</f>
        <v>GIN2426-B19-03</v>
      </c>
      <c r="U357" s="47" t="str">
        <f>IF(mouvementmp[[#This Row],[QR Fabrication]]&lt;&gt;"",INDEX(_xlfn.TEXTSPLIT(mouvementmp[[#This Row],[QR Fabrication]],"_"),1,5),"")</f>
        <v>GINKO</v>
      </c>
      <c r="V357" s="47" t="str">
        <f>IF(mouvementmp[[#This Row],[QR Fabrication]]&lt;&gt;"",_xlfn.TEXTAFTER(mouvementmp[[#This Row],[QR Fabrication]],"_",5),"")</f>
        <v>2426</v>
      </c>
    </row>
    <row r="358" spans="1:22" ht="16.5" thickTop="1" thickBot="1" x14ac:dyDescent="0.3">
      <c r="A358" s="46" t="s">
        <v>2477</v>
      </c>
      <c r="B358" s="54" t="s">
        <v>3811</v>
      </c>
      <c r="C358" s="47" t="s">
        <v>672</v>
      </c>
      <c r="D358" s="47" t="s">
        <v>665</v>
      </c>
      <c r="E358" s="47" t="s">
        <v>669</v>
      </c>
      <c r="F358" s="48">
        <v>13.65</v>
      </c>
      <c r="G358" s="47"/>
      <c r="H358" s="47"/>
      <c r="I358" s="47" t="s">
        <v>664</v>
      </c>
      <c r="J358" s="49">
        <v>45924</v>
      </c>
      <c r="K358" s="47" t="str">
        <f>INDEX(_xlfn.TEXTSPLIT(mouvementmp[[#This Row],[QR MP]],"_"),1,1)</f>
        <v>C03</v>
      </c>
      <c r="L358" s="47" t="str">
        <f>INDEX(_xlfn.TEXTSPLIT(mouvementmp[[#This Row],[QR MP]],"_"),1,2)</f>
        <v>BEIGE CLAIR</v>
      </c>
      <c r="M358" s="47" t="str">
        <f>INDEX(_xlfn.TEXTSPLIT(mouvementmp[[#This Row],[QR MP]],"_"),1,3)</f>
        <v>NM05-03.01</v>
      </c>
      <c r="N358" s="47" t="str">
        <f>INDEX(_xlfn.TEXTSPLIT(mouvementmp[[#This Row],[QR MP]],"_"),1,4)</f>
        <v>58783</v>
      </c>
      <c r="O358" s="47">
        <f>-mouvementmp[[#This Row],[Poids]]</f>
        <v>-13.65</v>
      </c>
      <c r="P358" s="47" t="str">
        <f>IF(
   COUNTIFS($A$2:A358,A358,
             $B$2:B358,B358,
             $C$2:C358,C358,
             $D$2:D358,D358,
             $E$2:E358,E358,
             $F$2:F358,F358,
              $J$2:J358,J358)&gt;1,
   "Doublon",
   "Correcte"
)</f>
        <v>Correcte</v>
      </c>
      <c r="Q358" s="106" t="str">
        <f>IF(mouvementmp[[#This Row],[QR Fabrication]]&lt;&gt;"",INDEX(_xlfn.TEXTSPLIT(mouvementmp[[#This Row],[QR Fabrication]],"_"),1,1),"")</f>
        <v>OF250132</v>
      </c>
      <c r="R358" s="106" t="str">
        <f>IF(mouvementmp[[#This Row],[QR Fabrication]]&lt;&gt;"",INDEX(_xlfn.TEXTSPLIT(mouvementmp[[#This Row],[QR Fabrication]],"_"),1,2),"")</f>
        <v>CL00162</v>
      </c>
      <c r="S358" s="47" t="str">
        <f>IF(mouvementmp[[#This Row],[QR Fabrication]]&lt;&gt;"",INDEX(_xlfn.TEXTSPLIT(mouvementmp[[#This Row],[QR Fabrication]],"_"),1,3),"")</f>
        <v>CM-FT0130</v>
      </c>
      <c r="T358" s="47" t="str">
        <f>IF(mouvementmp[[#This Row],[QR Fabrication]]&lt;&gt;"",INDEX(_xlfn.TEXTSPLIT(mouvementmp[[#This Row],[QR Fabrication]],"_"),1,4),"")</f>
        <v>GIN2426-B19-03</v>
      </c>
      <c r="U358" s="47" t="str">
        <f>IF(mouvementmp[[#This Row],[QR Fabrication]]&lt;&gt;"",INDEX(_xlfn.TEXTSPLIT(mouvementmp[[#This Row],[QR Fabrication]],"_"),1,5),"")</f>
        <v>GINKO</v>
      </c>
      <c r="V358" s="47" t="str">
        <f>IF(mouvementmp[[#This Row],[QR Fabrication]]&lt;&gt;"",_xlfn.TEXTAFTER(mouvementmp[[#This Row],[QR Fabrication]],"_",5),"")</f>
        <v>2426</v>
      </c>
    </row>
    <row r="359" spans="1:22" ht="16.5" thickTop="1" thickBot="1" x14ac:dyDescent="0.3">
      <c r="A359" s="46" t="s">
        <v>2478</v>
      </c>
      <c r="B359" s="54" t="s">
        <v>3927</v>
      </c>
      <c r="C359" s="47" t="s">
        <v>672</v>
      </c>
      <c r="D359" s="47" t="s">
        <v>665</v>
      </c>
      <c r="E359" s="47" t="s">
        <v>669</v>
      </c>
      <c r="F359" s="48">
        <v>6.78</v>
      </c>
      <c r="G359" s="47"/>
      <c r="H359" s="47"/>
      <c r="I359" s="47" t="s">
        <v>664</v>
      </c>
      <c r="J359" s="49">
        <v>45924</v>
      </c>
      <c r="K359" s="47" t="str">
        <f>INDEX(_xlfn.TEXTSPLIT(mouvementmp[[#This Row],[QR MP]],"_"),1,1)</f>
        <v>C18</v>
      </c>
      <c r="L359" s="47" t="str">
        <f>INDEX(_xlfn.TEXTSPLIT(mouvementmp[[#This Row],[QR MP]],"_"),1,2)</f>
        <v>VERT D'EAU CLAIR</v>
      </c>
      <c r="M359" s="47" t="str">
        <f>INDEX(_xlfn.TEXTSPLIT(mouvementmp[[#This Row],[QR MP]],"_"),1,3)</f>
        <v>NM15-18.01</v>
      </c>
      <c r="N359" s="47" t="str">
        <f>INDEX(_xlfn.TEXTSPLIT(mouvementmp[[#This Row],[QR MP]],"_"),1,4)</f>
        <v>S2023</v>
      </c>
      <c r="O359" s="47">
        <f>-mouvementmp[[#This Row],[Poids]]</f>
        <v>-6.78</v>
      </c>
      <c r="P359" s="47" t="str">
        <f>IF(
   COUNTIFS($A$2:A359,A359,
             $B$2:B359,B359,
             $C$2:C359,C359,
             $D$2:D359,D359,
             $E$2:E359,E359,
             $F$2:F359,F359,
              $J$2:J359,J359)&gt;1,
   "Doublon",
   "Correcte"
)</f>
        <v>Correcte</v>
      </c>
      <c r="Q359" s="106" t="str">
        <f>IF(mouvementmp[[#This Row],[QR Fabrication]]&lt;&gt;"",INDEX(_xlfn.TEXTSPLIT(mouvementmp[[#This Row],[QR Fabrication]],"_"),1,1),"")</f>
        <v>OF250134</v>
      </c>
      <c r="R359" s="106" t="str">
        <f>IF(mouvementmp[[#This Row],[QR Fabrication]]&lt;&gt;"",INDEX(_xlfn.TEXTSPLIT(mouvementmp[[#This Row],[QR Fabrication]],"_"),1,2),"")</f>
        <v>CL00162</v>
      </c>
      <c r="S359" s="47" t="str">
        <f>IF(mouvementmp[[#This Row],[QR Fabrication]]&lt;&gt;"",INDEX(_xlfn.TEXTSPLIT(mouvementmp[[#This Row],[QR Fabrication]],"_"),1,3),"")</f>
        <v>CM-FT0130</v>
      </c>
      <c r="T359" s="47" t="str">
        <f>IF(mouvementmp[[#This Row],[QR Fabrication]]&lt;&gt;"",INDEX(_xlfn.TEXTSPLIT(mouvementmp[[#This Row],[QR Fabrication]],"_"),1,4),"")</f>
        <v>OLI2426-B18-19</v>
      </c>
      <c r="U359" s="47" t="str">
        <f>IF(mouvementmp[[#This Row],[QR Fabrication]]&lt;&gt;"",INDEX(_xlfn.TEXTSPLIT(mouvementmp[[#This Row],[QR Fabrication]],"_"),1,5),"")</f>
        <v>OLIVIER</v>
      </c>
      <c r="V359" s="47" t="str">
        <f>IF(mouvementmp[[#This Row],[QR Fabrication]]&lt;&gt;"",_xlfn.TEXTAFTER(mouvementmp[[#This Row],[QR Fabrication]],"_",5),"")</f>
        <v>2426</v>
      </c>
    </row>
    <row r="360" spans="1:22" ht="16.5" thickTop="1" thickBot="1" x14ac:dyDescent="0.3">
      <c r="A360" s="46" t="s">
        <v>2478</v>
      </c>
      <c r="B360" s="54" t="s">
        <v>3922</v>
      </c>
      <c r="C360" s="47" t="s">
        <v>672</v>
      </c>
      <c r="D360" s="47" t="s">
        <v>665</v>
      </c>
      <c r="E360" s="47" t="s">
        <v>669</v>
      </c>
      <c r="F360" s="48">
        <v>48.55</v>
      </c>
      <c r="G360" s="47"/>
      <c r="H360" s="47"/>
      <c r="I360" s="47" t="s">
        <v>664</v>
      </c>
      <c r="J360" s="49">
        <v>45924</v>
      </c>
      <c r="K360" s="47" t="str">
        <f>INDEX(_xlfn.TEXTSPLIT(mouvementmp[[#This Row],[QR MP]],"_"),1,1)</f>
        <v>C19</v>
      </c>
      <c r="L360" s="47" t="str">
        <f>INDEX(_xlfn.TEXTSPLIT(mouvementmp[[#This Row],[QR MP]],"_"),1,2)</f>
        <v>CEDRE</v>
      </c>
      <c r="M360" s="47" t="str">
        <f>INDEX(_xlfn.TEXTSPLIT(mouvementmp[[#This Row],[QR MP]],"_"),1,3)</f>
        <v>NM15-19.00</v>
      </c>
      <c r="N360" s="47" t="str">
        <f>INDEX(_xlfn.TEXTSPLIT(mouvementmp[[#This Row],[QR MP]],"_"),1,4)</f>
        <v>51471</v>
      </c>
      <c r="O360" s="47">
        <f>-mouvementmp[[#This Row],[Poids]]</f>
        <v>-48.55</v>
      </c>
      <c r="P360" s="47" t="str">
        <f>IF(
   COUNTIFS($A$2:A360,A360,
             $B$2:B360,B360,
             $C$2:C360,C360,
             $D$2:D360,D360,
             $E$2:E360,E360,
             $F$2:F360,F360,
              $J$2:J360,J360)&gt;1,
   "Doublon",
   "Correcte"
)</f>
        <v>Correcte</v>
      </c>
      <c r="Q360" s="106" t="str">
        <f>IF(mouvementmp[[#This Row],[QR Fabrication]]&lt;&gt;"",INDEX(_xlfn.TEXTSPLIT(mouvementmp[[#This Row],[QR Fabrication]],"_"),1,1),"")</f>
        <v>OF250134</v>
      </c>
      <c r="R360" s="106" t="str">
        <f>IF(mouvementmp[[#This Row],[QR Fabrication]]&lt;&gt;"",INDEX(_xlfn.TEXTSPLIT(mouvementmp[[#This Row],[QR Fabrication]],"_"),1,2),"")</f>
        <v>CL00162</v>
      </c>
      <c r="S360" s="47" t="str">
        <f>IF(mouvementmp[[#This Row],[QR Fabrication]]&lt;&gt;"",INDEX(_xlfn.TEXTSPLIT(mouvementmp[[#This Row],[QR Fabrication]],"_"),1,3),"")</f>
        <v>CM-FT0130</v>
      </c>
      <c r="T360" s="47" t="str">
        <f>IF(mouvementmp[[#This Row],[QR Fabrication]]&lt;&gt;"",INDEX(_xlfn.TEXTSPLIT(mouvementmp[[#This Row],[QR Fabrication]],"_"),1,4),"")</f>
        <v>OLI2426-B18-19</v>
      </c>
      <c r="U360" s="47" t="str">
        <f>IF(mouvementmp[[#This Row],[QR Fabrication]]&lt;&gt;"",INDEX(_xlfn.TEXTSPLIT(mouvementmp[[#This Row],[QR Fabrication]],"_"),1,5),"")</f>
        <v>OLIVIER</v>
      </c>
      <c r="V360" s="47" t="str">
        <f>IF(mouvementmp[[#This Row],[QR Fabrication]]&lt;&gt;"",_xlfn.TEXTAFTER(mouvementmp[[#This Row],[QR Fabrication]],"_",5),"")</f>
        <v>2426</v>
      </c>
    </row>
    <row r="361" spans="1:22" ht="16.5" thickTop="1" thickBot="1" x14ac:dyDescent="0.3">
      <c r="A361" s="46" t="s">
        <v>2479</v>
      </c>
      <c r="B361" s="54" t="s">
        <v>3803</v>
      </c>
      <c r="C361" s="47" t="s">
        <v>672</v>
      </c>
      <c r="D361" s="47" t="s">
        <v>665</v>
      </c>
      <c r="E361" s="47" t="s">
        <v>669</v>
      </c>
      <c r="F361" s="48">
        <v>14.75</v>
      </c>
      <c r="G361" s="47"/>
      <c r="H361" s="47"/>
      <c r="I361" s="47" t="s">
        <v>664</v>
      </c>
      <c r="J361" s="49">
        <v>45924</v>
      </c>
      <c r="K361" s="47" t="str">
        <f>INDEX(_xlfn.TEXTSPLIT(mouvementmp[[#This Row],[QR MP]],"_"),1,1)</f>
        <v>C02</v>
      </c>
      <c r="L361" s="47" t="str">
        <f>INDEX(_xlfn.TEXTSPLIT(mouvementmp[[#This Row],[QR MP]],"_"),1,2)</f>
        <v>ECRU</v>
      </c>
      <c r="M361" s="47" t="str">
        <f>INDEX(_xlfn.TEXTSPLIT(mouvementmp[[#This Row],[QR MP]],"_"),1,3)</f>
        <v>NM05-02.00</v>
      </c>
      <c r="N361" s="47" t="str">
        <f>INDEX(_xlfn.TEXTSPLIT(mouvementmp[[#This Row],[QR MP]],"_"),1,4)</f>
        <v>60083</v>
      </c>
      <c r="O361" s="47">
        <f>-mouvementmp[[#This Row],[Poids]]</f>
        <v>-14.75</v>
      </c>
      <c r="P361" s="47" t="str">
        <f>IF(
   COUNTIFS($A$2:A361,A361,
             $B$2:B361,B361,
             $C$2:C361,C361,
             $D$2:D361,D361,
             $E$2:E361,E361,
             $F$2:F361,F361,
              $J$2:J361,J361)&gt;1,
   "Doublon",
   "Correcte"
)</f>
        <v>Correcte</v>
      </c>
      <c r="Q361" s="106" t="str">
        <f>IF(mouvementmp[[#This Row],[QR Fabrication]]&lt;&gt;"",INDEX(_xlfn.TEXTSPLIT(mouvementmp[[#This Row],[QR Fabrication]],"_"),1,1),"")</f>
        <v>OF250130</v>
      </c>
      <c r="R361" s="106" t="str">
        <f>IF(mouvementmp[[#This Row],[QR Fabrication]]&lt;&gt;"",INDEX(_xlfn.TEXTSPLIT(mouvementmp[[#This Row],[QR Fabrication]],"_"),1,2),"")</f>
        <v>CL00162</v>
      </c>
      <c r="S361" s="47" t="str">
        <f>IF(mouvementmp[[#This Row],[QR Fabrication]]&lt;&gt;"",INDEX(_xlfn.TEXTSPLIT(mouvementmp[[#This Row],[QR Fabrication]],"_"),1,3),"")</f>
        <v>CM-FT0130</v>
      </c>
      <c r="T361" s="47" t="str">
        <f>IF(mouvementmp[[#This Row],[QR Fabrication]]&lt;&gt;"",INDEX(_xlfn.TEXTSPLIT(mouvementmp[[#This Row],[QR Fabrication]],"_"),1,4),"")</f>
        <v>GIN2426-B03-02</v>
      </c>
      <c r="U361" s="47" t="str">
        <f>IF(mouvementmp[[#This Row],[QR Fabrication]]&lt;&gt;"",INDEX(_xlfn.TEXTSPLIT(mouvementmp[[#This Row],[QR Fabrication]],"_"),1,5),"")</f>
        <v>GINKO</v>
      </c>
      <c r="V361" s="47" t="str">
        <f>IF(mouvementmp[[#This Row],[QR Fabrication]]&lt;&gt;"",_xlfn.TEXTAFTER(mouvementmp[[#This Row],[QR Fabrication]],"_",5),"")</f>
        <v>2426</v>
      </c>
    </row>
    <row r="362" spans="1:22" ht="16.5" thickTop="1" thickBot="1" x14ac:dyDescent="0.3">
      <c r="A362" s="46" t="s">
        <v>2479</v>
      </c>
      <c r="B362" s="54" t="s">
        <v>3812</v>
      </c>
      <c r="C362" s="47" t="s">
        <v>672</v>
      </c>
      <c r="D362" s="47" t="s">
        <v>665</v>
      </c>
      <c r="E362" s="47" t="s">
        <v>669</v>
      </c>
      <c r="F362" s="48">
        <v>10.5</v>
      </c>
      <c r="G362" s="47"/>
      <c r="H362" s="47"/>
      <c r="I362" s="47" t="s">
        <v>664</v>
      </c>
      <c r="J362" s="49">
        <v>45924</v>
      </c>
      <c r="K362" s="47" t="str">
        <f>INDEX(_xlfn.TEXTSPLIT(mouvementmp[[#This Row],[QR MP]],"_"),1,1)</f>
        <v>C03</v>
      </c>
      <c r="L362" s="47" t="str">
        <f>INDEX(_xlfn.TEXTSPLIT(mouvementmp[[#This Row],[QR MP]],"_"),1,2)</f>
        <v>BEIGE CLAIR</v>
      </c>
      <c r="M362" s="47" t="str">
        <f>INDEX(_xlfn.TEXTSPLIT(mouvementmp[[#This Row],[QR MP]],"_"),1,3)</f>
        <v>NM05-03.03</v>
      </c>
      <c r="N362" s="47" t="str">
        <f>INDEX(_xlfn.TEXTSPLIT(mouvementmp[[#This Row],[QR MP]],"_"),1,4)</f>
        <v>59648</v>
      </c>
      <c r="O362" s="47">
        <f>-mouvementmp[[#This Row],[Poids]]</f>
        <v>-10.5</v>
      </c>
      <c r="P362" s="47" t="str">
        <f>IF(
   COUNTIFS($A$2:A362,A362,
             $B$2:B362,B362,
             $C$2:C362,C362,
             $D$2:D362,D362,
             $E$2:E362,E362,
             $F$2:F362,F362,
              $J$2:J362,J362)&gt;1,
   "Doublon",
   "Correcte"
)</f>
        <v>Correcte</v>
      </c>
      <c r="Q362" s="106" t="str">
        <f>IF(mouvementmp[[#This Row],[QR Fabrication]]&lt;&gt;"",INDEX(_xlfn.TEXTSPLIT(mouvementmp[[#This Row],[QR Fabrication]],"_"),1,1),"")</f>
        <v>OF250130</v>
      </c>
      <c r="R362" s="106" t="str">
        <f>IF(mouvementmp[[#This Row],[QR Fabrication]]&lt;&gt;"",INDEX(_xlfn.TEXTSPLIT(mouvementmp[[#This Row],[QR Fabrication]],"_"),1,2),"")</f>
        <v>CL00162</v>
      </c>
      <c r="S362" s="47" t="str">
        <f>IF(mouvementmp[[#This Row],[QR Fabrication]]&lt;&gt;"",INDEX(_xlfn.TEXTSPLIT(mouvementmp[[#This Row],[QR Fabrication]],"_"),1,3),"")</f>
        <v>CM-FT0130</v>
      </c>
      <c r="T362" s="47" t="str">
        <f>IF(mouvementmp[[#This Row],[QR Fabrication]]&lt;&gt;"",INDEX(_xlfn.TEXTSPLIT(mouvementmp[[#This Row],[QR Fabrication]],"_"),1,4),"")</f>
        <v>GIN2426-B03-02</v>
      </c>
      <c r="U362" s="47" t="str">
        <f>IF(mouvementmp[[#This Row],[QR Fabrication]]&lt;&gt;"",INDEX(_xlfn.TEXTSPLIT(mouvementmp[[#This Row],[QR Fabrication]],"_"),1,5),"")</f>
        <v>GINKO</v>
      </c>
      <c r="V362" s="47" t="str">
        <f>IF(mouvementmp[[#This Row],[QR Fabrication]]&lt;&gt;"",_xlfn.TEXTAFTER(mouvementmp[[#This Row],[QR Fabrication]],"_",5),"")</f>
        <v>2426</v>
      </c>
    </row>
    <row r="363" spans="1:22" ht="16.5" thickTop="1" thickBot="1" x14ac:dyDescent="0.3">
      <c r="A363" s="46" t="s">
        <v>2480</v>
      </c>
      <c r="B363" s="54" t="s">
        <v>3898</v>
      </c>
      <c r="C363" s="47" t="s">
        <v>672</v>
      </c>
      <c r="D363" s="47" t="s">
        <v>665</v>
      </c>
      <c r="E363" s="47" t="s">
        <v>669</v>
      </c>
      <c r="F363" s="48">
        <v>61.55</v>
      </c>
      <c r="G363" s="47"/>
      <c r="H363" s="47"/>
      <c r="I363" s="47" t="s">
        <v>664</v>
      </c>
      <c r="J363" s="49">
        <v>45924</v>
      </c>
      <c r="K363" s="47" t="str">
        <f>INDEX(_xlfn.TEXTSPLIT(mouvementmp[[#This Row],[QR MP]],"_"),1,1)</f>
        <v>C29</v>
      </c>
      <c r="L363" s="47" t="str">
        <f>INDEX(_xlfn.TEXTSPLIT(mouvementmp[[#This Row],[QR MP]],"_"),1,2)</f>
        <v>FUSHIA</v>
      </c>
      <c r="M363" s="47" t="str">
        <f>INDEX(_xlfn.TEXTSPLIT(mouvementmp[[#This Row],[QR MP]],"_"),1,3)</f>
        <v>NM15-29.00</v>
      </c>
      <c r="N363" s="47" t="str">
        <f>INDEX(_xlfn.TEXTSPLIT(mouvementmp[[#This Row],[QR MP]],"_"),1,4)</f>
        <v>61549</v>
      </c>
      <c r="O363" s="47">
        <f>-mouvementmp[[#This Row],[Poids]]</f>
        <v>-61.55</v>
      </c>
      <c r="P363" s="47" t="str">
        <f>IF(
   COUNTIFS($A$2:A363,A363,
             $B$2:B363,B363,
             $C$2:C363,C363,
             $D$2:D363,D363,
             $E$2:E363,E363,
             $F$2:F363,F363,
              $J$2:J363,J363)&gt;1,
   "Doublon",
   "Correcte"
)</f>
        <v>Correcte</v>
      </c>
      <c r="Q363" s="106" t="str">
        <f>IF(mouvementmp[[#This Row],[QR Fabrication]]&lt;&gt;"",INDEX(_xlfn.TEXTSPLIT(mouvementmp[[#This Row],[QR Fabrication]],"_"),1,1),"")</f>
        <v>OF249816</v>
      </c>
      <c r="R363" s="106" t="str">
        <f>IF(mouvementmp[[#This Row],[QR Fabrication]]&lt;&gt;"",INDEX(_xlfn.TEXTSPLIT(mouvementmp[[#This Row],[QR Fabrication]],"_"),1,2),"")</f>
        <v>CL00884</v>
      </c>
      <c r="S363" s="47" t="str">
        <f>IF(mouvementmp[[#This Row],[QR Fabrication]]&lt;&gt;"",INDEX(_xlfn.TEXTSPLIT(mouvementmp[[#This Row],[QR Fabrication]],"_"),1,3),"")</f>
        <v>CM-FT0119</v>
      </c>
      <c r="T363" s="47" t="str">
        <f>IF(mouvementmp[[#This Row],[QR Fabrication]]&lt;&gt;"",INDEX(_xlfn.TEXTSPLIT(mouvementmp[[#This Row],[QR Fabrication]],"_"),1,4),"")</f>
        <v>SO1020-Q29-11-14</v>
      </c>
      <c r="U363" s="47" t="str">
        <f>IF(mouvementmp[[#This Row],[QR Fabrication]]&lt;&gt;"",INDEX(_xlfn.TEXTSPLIT(mouvementmp[[#This Row],[QR Fabrication]],"_"),1,5),"")</f>
        <v>SOUSSE</v>
      </c>
      <c r="V363" s="47" t="str">
        <f>IF(mouvementmp[[#This Row],[QR Fabrication]]&lt;&gt;"",_xlfn.TEXTAFTER(mouvementmp[[#This Row],[QR Fabrication]],"_",5),"")</f>
        <v>1020</v>
      </c>
    </row>
    <row r="364" spans="1:22" ht="16.5" thickTop="1" thickBot="1" x14ac:dyDescent="0.3">
      <c r="A364" s="46" t="s">
        <v>2480</v>
      </c>
      <c r="B364" s="54" t="s">
        <v>3847</v>
      </c>
      <c r="C364" s="47" t="s">
        <v>672</v>
      </c>
      <c r="D364" s="47" t="s">
        <v>665</v>
      </c>
      <c r="E364" s="47" t="s">
        <v>669</v>
      </c>
      <c r="F364" s="48">
        <v>16.5</v>
      </c>
      <c r="G364" s="47"/>
      <c r="H364" s="47"/>
      <c r="I364" s="47" t="s">
        <v>664</v>
      </c>
      <c r="J364" s="49">
        <v>45924</v>
      </c>
      <c r="K364" s="47" t="str">
        <f>INDEX(_xlfn.TEXTSPLIT(mouvementmp[[#This Row],[QR MP]],"_"),1,1)</f>
        <v>C11</v>
      </c>
      <c r="L364" s="47" t="str">
        <f>INDEX(_xlfn.TEXTSPLIT(mouvementmp[[#This Row],[QR MP]],"_"),1,2)</f>
        <v>BLEU GITANE</v>
      </c>
      <c r="M364" s="47" t="str">
        <f>INDEX(_xlfn.TEXTSPLIT(mouvementmp[[#This Row],[QR MP]],"_"),1,3)</f>
        <v>NM15-11.00</v>
      </c>
      <c r="N364" s="47" t="str">
        <f>INDEX(_xlfn.TEXTSPLIT(mouvementmp[[#This Row],[QR MP]],"_"),1,4)</f>
        <v>61659</v>
      </c>
      <c r="O364" s="47">
        <f>-mouvementmp[[#This Row],[Poids]]</f>
        <v>-16.5</v>
      </c>
      <c r="P364" s="47" t="str">
        <f>IF(
   COUNTIFS($A$2:A364,A364,
             $B$2:B364,B364,
             $C$2:C364,C364,
             $D$2:D364,D364,
             $E$2:E364,E364,
             $F$2:F364,F364,
              $J$2:J364,J364)&gt;1,
   "Doublon",
   "Correcte"
)</f>
        <v>Correcte</v>
      </c>
      <c r="Q364" s="106" t="str">
        <f>IF(mouvementmp[[#This Row],[QR Fabrication]]&lt;&gt;"",INDEX(_xlfn.TEXTSPLIT(mouvementmp[[#This Row],[QR Fabrication]],"_"),1,1),"")</f>
        <v>OF249816</v>
      </c>
      <c r="R364" s="106" t="str">
        <f>IF(mouvementmp[[#This Row],[QR Fabrication]]&lt;&gt;"",INDEX(_xlfn.TEXTSPLIT(mouvementmp[[#This Row],[QR Fabrication]],"_"),1,2),"")</f>
        <v>CL00884</v>
      </c>
      <c r="S364" s="47" t="str">
        <f>IF(mouvementmp[[#This Row],[QR Fabrication]]&lt;&gt;"",INDEX(_xlfn.TEXTSPLIT(mouvementmp[[#This Row],[QR Fabrication]],"_"),1,3),"")</f>
        <v>CM-FT0119</v>
      </c>
      <c r="T364" s="47" t="str">
        <f>IF(mouvementmp[[#This Row],[QR Fabrication]]&lt;&gt;"",INDEX(_xlfn.TEXTSPLIT(mouvementmp[[#This Row],[QR Fabrication]],"_"),1,4),"")</f>
        <v>SO1020-Q29-11-14</v>
      </c>
      <c r="U364" s="47" t="str">
        <f>IF(mouvementmp[[#This Row],[QR Fabrication]]&lt;&gt;"",INDEX(_xlfn.TEXTSPLIT(mouvementmp[[#This Row],[QR Fabrication]],"_"),1,5),"")</f>
        <v>SOUSSE</v>
      </c>
      <c r="V364" s="47" t="str">
        <f>IF(mouvementmp[[#This Row],[QR Fabrication]]&lt;&gt;"",_xlfn.TEXTAFTER(mouvementmp[[#This Row],[QR Fabrication]],"_",5),"")</f>
        <v>1020</v>
      </c>
    </row>
    <row r="365" spans="1:22" ht="16.5" thickTop="1" thickBot="1" x14ac:dyDescent="0.3">
      <c r="A365" s="46" t="s">
        <v>2480</v>
      </c>
      <c r="B365" s="54" t="s">
        <v>3887</v>
      </c>
      <c r="C365" s="47" t="s">
        <v>672</v>
      </c>
      <c r="D365" s="47" t="s">
        <v>665</v>
      </c>
      <c r="E365" s="47" t="s">
        <v>669</v>
      </c>
      <c r="F365" s="48">
        <v>29.5</v>
      </c>
      <c r="G365" s="47"/>
      <c r="H365" s="47"/>
      <c r="I365" s="47" t="s">
        <v>664</v>
      </c>
      <c r="J365" s="49">
        <v>45924</v>
      </c>
      <c r="K365" s="47" t="str">
        <f>INDEX(_xlfn.TEXTSPLIT(mouvementmp[[#This Row],[QR MP]],"_"),1,1)</f>
        <v>C25</v>
      </c>
      <c r="L365" s="47" t="str">
        <f>INDEX(_xlfn.TEXTSPLIT(mouvementmp[[#This Row],[QR MP]],"_"),1,2)</f>
        <v>ORANGE</v>
      </c>
      <c r="M365" s="47" t="str">
        <f>INDEX(_xlfn.TEXTSPLIT(mouvementmp[[#This Row],[QR MP]],"_"),1,3)</f>
        <v>NM15-25.00</v>
      </c>
      <c r="N365" s="47" t="str">
        <f>INDEX(_xlfn.TEXTSPLIT(mouvementmp[[#This Row],[QR MP]],"_"),1,4)</f>
        <v>61729</v>
      </c>
      <c r="O365" s="47">
        <f>-mouvementmp[[#This Row],[Poids]]</f>
        <v>-29.5</v>
      </c>
      <c r="P365" s="47" t="str">
        <f>IF(
   COUNTIFS($A$2:A365,A365,
             $B$2:B365,B365,
             $C$2:C365,C365,
             $D$2:D365,D365,
             $E$2:E365,E365,
             $F$2:F365,F365,
              $J$2:J365,J365)&gt;1,
   "Doublon",
   "Correcte"
)</f>
        <v>Correcte</v>
      </c>
      <c r="Q365" s="106" t="str">
        <f>IF(mouvementmp[[#This Row],[QR Fabrication]]&lt;&gt;"",INDEX(_xlfn.TEXTSPLIT(mouvementmp[[#This Row],[QR Fabrication]],"_"),1,1),"")</f>
        <v>OF249816</v>
      </c>
      <c r="R365" s="106" t="str">
        <f>IF(mouvementmp[[#This Row],[QR Fabrication]]&lt;&gt;"",INDEX(_xlfn.TEXTSPLIT(mouvementmp[[#This Row],[QR Fabrication]],"_"),1,2),"")</f>
        <v>CL00884</v>
      </c>
      <c r="S365" s="47" t="str">
        <f>IF(mouvementmp[[#This Row],[QR Fabrication]]&lt;&gt;"",INDEX(_xlfn.TEXTSPLIT(mouvementmp[[#This Row],[QR Fabrication]],"_"),1,3),"")</f>
        <v>CM-FT0119</v>
      </c>
      <c r="T365" s="47" t="str">
        <f>IF(mouvementmp[[#This Row],[QR Fabrication]]&lt;&gt;"",INDEX(_xlfn.TEXTSPLIT(mouvementmp[[#This Row],[QR Fabrication]],"_"),1,4),"")</f>
        <v>SO1020-Q29-11-14</v>
      </c>
      <c r="U365" s="47" t="str">
        <f>IF(mouvementmp[[#This Row],[QR Fabrication]]&lt;&gt;"",INDEX(_xlfn.TEXTSPLIT(mouvementmp[[#This Row],[QR Fabrication]],"_"),1,5),"")</f>
        <v>SOUSSE</v>
      </c>
      <c r="V365" s="47" t="str">
        <f>IF(mouvementmp[[#This Row],[QR Fabrication]]&lt;&gt;"",_xlfn.TEXTAFTER(mouvementmp[[#This Row],[QR Fabrication]],"_",5),"")</f>
        <v>1020</v>
      </c>
    </row>
    <row r="366" spans="1:22" ht="16.5" thickTop="1" thickBot="1" x14ac:dyDescent="0.3">
      <c r="A366" s="46" t="s">
        <v>2480</v>
      </c>
      <c r="B366" s="54" t="s">
        <v>3858</v>
      </c>
      <c r="C366" s="47" t="s">
        <v>672</v>
      </c>
      <c r="D366" s="47" t="s">
        <v>665</v>
      </c>
      <c r="E366" s="47" t="s">
        <v>669</v>
      </c>
      <c r="F366" s="48">
        <v>16.5</v>
      </c>
      <c r="G366" s="47"/>
      <c r="H366" s="47"/>
      <c r="I366" s="47" t="s">
        <v>664</v>
      </c>
      <c r="J366" s="49">
        <v>45924</v>
      </c>
      <c r="K366" s="47" t="str">
        <f>INDEX(_xlfn.TEXTSPLIT(mouvementmp[[#This Row],[QR MP]],"_"),1,1)</f>
        <v>C14</v>
      </c>
      <c r="L366" s="47" t="str">
        <f>INDEX(_xlfn.TEXTSPLIT(mouvementmp[[#This Row],[QR MP]],"_"),1,2)</f>
        <v>BLEU TURQUOISE</v>
      </c>
      <c r="M366" s="47" t="str">
        <f>INDEX(_xlfn.TEXTSPLIT(mouvementmp[[#This Row],[QR MP]],"_"),1,3)</f>
        <v>NM15-14.00</v>
      </c>
      <c r="N366" s="47" t="str">
        <f>INDEX(_xlfn.TEXTSPLIT(mouvementmp[[#This Row],[QR MP]],"_"),1,4)</f>
        <v>61597</v>
      </c>
      <c r="O366" s="47">
        <f>-mouvementmp[[#This Row],[Poids]]</f>
        <v>-16.5</v>
      </c>
      <c r="P366" s="47" t="str">
        <f>IF(
   COUNTIFS($A$2:A366,A366,
             $B$2:B366,B366,
             $C$2:C366,C366,
             $D$2:D366,D366,
             $E$2:E366,E366,
             $F$2:F366,F366,
              $J$2:J366,J366)&gt;1,
   "Doublon",
   "Correcte"
)</f>
        <v>Correcte</v>
      </c>
      <c r="Q366" s="106" t="str">
        <f>IF(mouvementmp[[#This Row],[QR Fabrication]]&lt;&gt;"",INDEX(_xlfn.TEXTSPLIT(mouvementmp[[#This Row],[QR Fabrication]],"_"),1,1),"")</f>
        <v>OF249816</v>
      </c>
      <c r="R366" s="106" t="str">
        <f>IF(mouvementmp[[#This Row],[QR Fabrication]]&lt;&gt;"",INDEX(_xlfn.TEXTSPLIT(mouvementmp[[#This Row],[QR Fabrication]],"_"),1,2),"")</f>
        <v>CL00884</v>
      </c>
      <c r="S366" s="47" t="str">
        <f>IF(mouvementmp[[#This Row],[QR Fabrication]]&lt;&gt;"",INDEX(_xlfn.TEXTSPLIT(mouvementmp[[#This Row],[QR Fabrication]],"_"),1,3),"")</f>
        <v>CM-FT0119</v>
      </c>
      <c r="T366" s="47" t="str">
        <f>IF(mouvementmp[[#This Row],[QR Fabrication]]&lt;&gt;"",INDEX(_xlfn.TEXTSPLIT(mouvementmp[[#This Row],[QR Fabrication]],"_"),1,4),"")</f>
        <v>SO1020-Q29-11-14</v>
      </c>
      <c r="U366" s="47" t="str">
        <f>IF(mouvementmp[[#This Row],[QR Fabrication]]&lt;&gt;"",INDEX(_xlfn.TEXTSPLIT(mouvementmp[[#This Row],[QR Fabrication]],"_"),1,5),"")</f>
        <v>SOUSSE</v>
      </c>
      <c r="V366" s="47" t="str">
        <f>IF(mouvementmp[[#This Row],[QR Fabrication]]&lt;&gt;"",_xlfn.TEXTAFTER(mouvementmp[[#This Row],[QR Fabrication]],"_",5),"")</f>
        <v>1020</v>
      </c>
    </row>
    <row r="367" spans="1:22" ht="16.5" thickTop="1" thickBot="1" x14ac:dyDescent="0.3">
      <c r="A367" s="46" t="s">
        <v>2481</v>
      </c>
      <c r="B367" s="54" t="s">
        <v>3851</v>
      </c>
      <c r="C367" s="47" t="s">
        <v>672</v>
      </c>
      <c r="D367" s="47" t="s">
        <v>665</v>
      </c>
      <c r="E367" s="47" t="s">
        <v>669</v>
      </c>
      <c r="F367" s="48">
        <v>15.1</v>
      </c>
      <c r="G367" s="47"/>
      <c r="H367" s="47"/>
      <c r="I367" s="47" t="s">
        <v>664</v>
      </c>
      <c r="J367" s="49">
        <v>45924</v>
      </c>
      <c r="K367" s="47" t="str">
        <f>INDEX(_xlfn.TEXTSPLIT(mouvementmp[[#This Row],[QR MP]],"_"),1,1)</f>
        <v>C12</v>
      </c>
      <c r="L367" s="47" t="str">
        <f>INDEX(_xlfn.TEXTSPLIT(mouvementmp[[#This Row],[QR MP]],"_"),1,2)</f>
        <v>BLEU DJEAN</v>
      </c>
      <c r="M367" s="47" t="str">
        <f>INDEX(_xlfn.TEXTSPLIT(mouvementmp[[#This Row],[QR MP]],"_"),1,3)</f>
        <v>NM15-12.00</v>
      </c>
      <c r="N367" s="47" t="str">
        <f>INDEX(_xlfn.TEXTSPLIT(mouvementmp[[#This Row],[QR MP]],"_"),1,4)</f>
        <v>S2023</v>
      </c>
      <c r="O367" s="47">
        <f>-mouvementmp[[#This Row],[Poids]]</f>
        <v>-15.1</v>
      </c>
      <c r="P367" s="47" t="str">
        <f>IF(
   COUNTIFS($A$2:A367,A367,
             $B$2:B367,B367,
             $C$2:C367,C367,
             $D$2:D367,D367,
             $E$2:E367,E367,
             $F$2:F367,F367,
              $J$2:J367,J367)&gt;1,
   "Doublon",
   "Correcte"
)</f>
        <v>Correcte</v>
      </c>
      <c r="Q367" s="106" t="str">
        <f>IF(mouvementmp[[#This Row],[QR Fabrication]]&lt;&gt;"",INDEX(_xlfn.TEXTSPLIT(mouvementmp[[#This Row],[QR Fabrication]],"_"),1,1),"")</f>
        <v>OF250131</v>
      </c>
      <c r="R367" s="106" t="str">
        <f>IF(mouvementmp[[#This Row],[QR Fabrication]]&lt;&gt;"",INDEX(_xlfn.TEXTSPLIT(mouvementmp[[#This Row],[QR Fabrication]],"_"),1,2),"")</f>
        <v>CL00162</v>
      </c>
      <c r="S367" s="47" t="str">
        <f>IF(mouvementmp[[#This Row],[QR Fabrication]]&lt;&gt;"",INDEX(_xlfn.TEXTSPLIT(mouvementmp[[#This Row],[QR Fabrication]],"_"),1,3),"")</f>
        <v>CM-FT0130</v>
      </c>
      <c r="T367" s="47" t="str">
        <f>IF(mouvementmp[[#This Row],[QR Fabrication]]&lt;&gt;"",INDEX(_xlfn.TEXTSPLIT(mouvementmp[[#This Row],[QR Fabrication]],"_"),1,4),"")</f>
        <v>GIN2426-B12-03</v>
      </c>
      <c r="U367" s="47" t="str">
        <f>IF(mouvementmp[[#This Row],[QR Fabrication]]&lt;&gt;"",INDEX(_xlfn.TEXTSPLIT(mouvementmp[[#This Row],[QR Fabrication]],"_"),1,5),"")</f>
        <v>GINKO</v>
      </c>
      <c r="V367" s="47" t="str">
        <f>IF(mouvementmp[[#This Row],[QR Fabrication]]&lt;&gt;"",_xlfn.TEXTAFTER(mouvementmp[[#This Row],[QR Fabrication]],"_",5),"")</f>
        <v>2426</v>
      </c>
    </row>
    <row r="368" spans="1:22" ht="16.5" thickTop="1" thickBot="1" x14ac:dyDescent="0.3">
      <c r="A368" s="46" t="s">
        <v>2482</v>
      </c>
      <c r="B368" s="54" t="s">
        <v>3838</v>
      </c>
      <c r="C368" s="47" t="s">
        <v>672</v>
      </c>
      <c r="D368" s="47" t="s">
        <v>665</v>
      </c>
      <c r="E368" s="47" t="s">
        <v>669</v>
      </c>
      <c r="F368" s="48">
        <v>10.5</v>
      </c>
      <c r="G368" s="47"/>
      <c r="H368" s="47"/>
      <c r="I368" s="47" t="s">
        <v>664</v>
      </c>
      <c r="J368" s="49">
        <v>45925</v>
      </c>
      <c r="K368" s="47" t="str">
        <f>INDEX(_xlfn.TEXTSPLIT(mouvementmp[[#This Row],[QR MP]],"_"),1,1)</f>
        <v>C07</v>
      </c>
      <c r="L368" s="47" t="str">
        <f>INDEX(_xlfn.TEXTSPLIT(mouvementmp[[#This Row],[QR MP]],"_"),1,2)</f>
        <v>GRIS MOYEN</v>
      </c>
      <c r="M368" s="47" t="str">
        <f>INDEX(_xlfn.TEXTSPLIT(mouvementmp[[#This Row],[QR MP]],"_"),1,3)</f>
        <v>NM15-07.00</v>
      </c>
      <c r="N368" s="47" t="str">
        <f>INDEX(_xlfn.TEXTSPLIT(mouvementmp[[#This Row],[QR MP]],"_"),1,4)</f>
        <v>61445</v>
      </c>
      <c r="O368" s="47">
        <f>-mouvementmp[[#This Row],[Poids]]</f>
        <v>-10.5</v>
      </c>
      <c r="P368" s="47" t="str">
        <f>IF(
   COUNTIFS($A$2:A368,A368,
             $B$2:B368,B368,
             $C$2:C368,C368,
             $D$2:D368,D368,
             $E$2:E368,E368,
             $F$2:F368,F368,
              $J$2:J368,J368)&gt;1,
   "Doublon",
   "Correcte"
)</f>
        <v>Correcte</v>
      </c>
      <c r="Q368" s="106" t="str">
        <f>IF(mouvementmp[[#This Row],[QR Fabrication]]&lt;&gt;"",INDEX(_xlfn.TEXTSPLIT(mouvementmp[[#This Row],[QR Fabrication]],"_"),1,1),"")</f>
        <v>CA250763</v>
      </c>
      <c r="R368" s="106" t="str">
        <f>IF(mouvementmp[[#This Row],[QR Fabrication]]&lt;&gt;"",INDEX(_xlfn.TEXTSPLIT(mouvementmp[[#This Row],[QR Fabrication]],"_"),1,2),"")</f>
        <v>All by Fouta</v>
      </c>
      <c r="S368" s="47" t="str">
        <f>IF(mouvementmp[[#This Row],[QR Fabrication]]&lt;&gt;"",INDEX(_xlfn.TEXTSPLIT(mouvementmp[[#This Row],[QR Fabrication]],"_"),1,3),"")</f>
        <v>Stock</v>
      </c>
      <c r="T368" s="47" t="str">
        <f>IF(mouvementmp[[#This Row],[QR Fabrication]]&lt;&gt;"",INDEX(_xlfn.TEXTSPLIT(mouvementmp[[#This Row],[QR Fabrication]],"_"),1,4),"")</f>
        <v>PACKSICL0507-B07-16</v>
      </c>
      <c r="U368" s="47" t="str">
        <f>IF(mouvementmp[[#This Row],[QR Fabrication]]&lt;&gt;"",INDEX(_xlfn.TEXTSPLIT(mouvementmp[[#This Row],[QR Fabrication]],"_"),1,5),"")</f>
        <v>PACK CLASSIQUE</v>
      </c>
      <c r="V368" s="47" t="str">
        <f>IF(mouvementmp[[#This Row],[QR Fabrication]]&lt;&gt;"",_xlfn.TEXTAFTER(mouvementmp[[#This Row],[QR Fabrication]],"_",5),"")</f>
        <v>0507</v>
      </c>
    </row>
    <row r="369" spans="1:22" ht="16.5" thickTop="1" thickBot="1" x14ac:dyDescent="0.3">
      <c r="A369" s="46"/>
      <c r="B369" s="54" t="s">
        <v>3910</v>
      </c>
      <c r="C369" s="47" t="s">
        <v>670</v>
      </c>
      <c r="D369" s="47" t="s">
        <v>666</v>
      </c>
      <c r="E369" s="47" t="s">
        <v>671</v>
      </c>
      <c r="F369" s="48">
        <v>414</v>
      </c>
      <c r="G369" s="47"/>
      <c r="H369" s="47"/>
      <c r="I369" s="47" t="s">
        <v>664</v>
      </c>
      <c r="J369" s="49">
        <v>45925</v>
      </c>
      <c r="K369" s="47" t="str">
        <f>INDEX(_xlfn.TEXTSPLIT(mouvementmp[[#This Row],[QR MP]],"_"),1,1)</f>
        <v>CH</v>
      </c>
      <c r="L369" s="47" t="str">
        <f>INDEX(_xlfn.TEXTSPLIT(mouvementmp[[#This Row],[QR MP]],"_"),1,2)</f>
        <v>Ecru</v>
      </c>
      <c r="M369" s="47" t="str">
        <f>INDEX(_xlfn.TEXTSPLIT(mouvementmp[[#This Row],[QR MP]],"_"),1,3)</f>
        <v>CH2/40CE</v>
      </c>
      <c r="N369" s="47" t="str">
        <f>INDEX(_xlfn.TEXTSPLIT(mouvementmp[[#This Row],[QR MP]],"_"),1,4)</f>
        <v>A220324523/2</v>
      </c>
      <c r="O369" s="47">
        <f>-mouvementmp[[#This Row],[Poids]]</f>
        <v>-414</v>
      </c>
      <c r="P369" s="47" t="str">
        <f>IF(
   COUNTIFS($A$2:A369,A369,
             $B$2:B369,B369,
             $C$2:C369,C369,
             $D$2:D369,D369,
             $E$2:E369,E369,
             $F$2:F369,F369,
              $J$2:J369,J369)&gt;1,
   "Doublon",
   "Correcte"
)</f>
        <v>Correcte</v>
      </c>
      <c r="Q369" s="106" t="str">
        <f>IF(mouvementmp[[#This Row],[QR Fabrication]]&lt;&gt;"",INDEX(_xlfn.TEXTSPLIT(mouvementmp[[#This Row],[QR Fabrication]],"_"),1,1),"")</f>
        <v/>
      </c>
      <c r="R369" s="106" t="str">
        <f>IF(mouvementmp[[#This Row],[QR Fabrication]]&lt;&gt;"",INDEX(_xlfn.TEXTSPLIT(mouvementmp[[#This Row],[QR Fabrication]],"_"),1,2),"")</f>
        <v/>
      </c>
      <c r="S369" s="47" t="str">
        <f>IF(mouvementmp[[#This Row],[QR Fabrication]]&lt;&gt;"",INDEX(_xlfn.TEXTSPLIT(mouvementmp[[#This Row],[QR Fabrication]],"_"),1,3),"")</f>
        <v/>
      </c>
      <c r="T369" s="47" t="str">
        <f>IF(mouvementmp[[#This Row],[QR Fabrication]]&lt;&gt;"",INDEX(_xlfn.TEXTSPLIT(mouvementmp[[#This Row],[QR Fabrication]],"_"),1,4),"")</f>
        <v/>
      </c>
      <c r="U369" s="47" t="str">
        <f>IF(mouvementmp[[#This Row],[QR Fabrication]]&lt;&gt;"",INDEX(_xlfn.TEXTSPLIT(mouvementmp[[#This Row],[QR Fabrication]],"_"),1,5),"")</f>
        <v/>
      </c>
      <c r="V369" s="47" t="str">
        <f>IF(mouvementmp[[#This Row],[QR Fabrication]]&lt;&gt;"",_xlfn.TEXTAFTER(mouvementmp[[#This Row],[QR Fabrication]],"_",5),"")</f>
        <v/>
      </c>
    </row>
    <row r="370" spans="1:22" ht="16.5" thickTop="1" thickBot="1" x14ac:dyDescent="0.3">
      <c r="A370" s="46" t="s">
        <v>2483</v>
      </c>
      <c r="B370" s="54" t="s">
        <v>3813</v>
      </c>
      <c r="C370" s="47" t="s">
        <v>672</v>
      </c>
      <c r="D370" s="47" t="s">
        <v>665</v>
      </c>
      <c r="E370" s="47" t="s">
        <v>669</v>
      </c>
      <c r="F370" s="48">
        <v>8.15</v>
      </c>
      <c r="G370" s="47"/>
      <c r="H370" s="47"/>
      <c r="I370" s="47" t="s">
        <v>664</v>
      </c>
      <c r="J370" s="49">
        <v>45925</v>
      </c>
      <c r="K370" s="47" t="str">
        <f>INDEX(_xlfn.TEXTSPLIT(mouvementmp[[#This Row],[QR MP]],"_"),1,1)</f>
        <v>C03</v>
      </c>
      <c r="L370" s="47" t="str">
        <f>INDEX(_xlfn.TEXTSPLIT(mouvementmp[[#This Row],[QR MP]],"_"),1,2)</f>
        <v>BEIGE CLAIRE</v>
      </c>
      <c r="M370" s="47" t="str">
        <f>INDEX(_xlfn.TEXTSPLIT(mouvementmp[[#This Row],[QR MP]],"_"),1,3)</f>
        <v>NM15-03.00</v>
      </c>
      <c r="N370" s="47" t="str">
        <f>INDEX(_xlfn.TEXTSPLIT(mouvementmp[[#This Row],[QR MP]],"_"),1,4)</f>
        <v>61559</v>
      </c>
      <c r="O370" s="47">
        <f>-mouvementmp[[#This Row],[Poids]]</f>
        <v>-8.15</v>
      </c>
      <c r="P370" s="47" t="str">
        <f>IF(
   COUNTIFS($A$2:A370,A370,
             $B$2:B370,B370,
             $C$2:C370,C370,
             $D$2:D370,D370,
             $E$2:E370,E370,
             $F$2:F370,F370,
              $J$2:J370,J370)&gt;1,
   "Doublon",
   "Correcte"
)</f>
        <v>Correcte</v>
      </c>
      <c r="Q370" s="106" t="str">
        <f>IF(mouvementmp[[#This Row],[QR Fabrication]]&lt;&gt;"",INDEX(_xlfn.TEXTSPLIT(mouvementmp[[#This Row],[QR Fabrication]],"_"),1,1),"")</f>
        <v>OF250199</v>
      </c>
      <c r="R370" s="106" t="str">
        <f>IF(mouvementmp[[#This Row],[QR Fabrication]]&lt;&gt;"",INDEX(_xlfn.TEXTSPLIT(mouvementmp[[#This Row],[QR Fabrication]],"_"),1,2),"")</f>
        <v>CL00844</v>
      </c>
      <c r="S370" s="47" t="str">
        <f>IF(mouvementmp[[#This Row],[QR Fabrication]]&lt;&gt;"",INDEX(_xlfn.TEXTSPLIT(mouvementmp[[#This Row],[QR Fabrication]],"_"),1,3),"")</f>
        <v>CM-FT0136</v>
      </c>
      <c r="T370" s="47" t="str">
        <f>IF(mouvementmp[[#This Row],[QR Fabrication]]&lt;&gt;"",INDEX(_xlfn.TEXTSPLIT(mouvementmp[[#This Row],[QR Fabrication]],"_"),1,4),"")</f>
        <v>PACKSICL0507-B03-02</v>
      </c>
      <c r="U370" s="47" t="str">
        <f>IF(mouvementmp[[#This Row],[QR Fabrication]]&lt;&gt;"",INDEX(_xlfn.TEXTSPLIT(mouvementmp[[#This Row],[QR Fabrication]],"_"),1,5),"")</f>
        <v>PACK CLASSIQUE</v>
      </c>
      <c r="V370" s="47" t="str">
        <f>IF(mouvementmp[[#This Row],[QR Fabrication]]&lt;&gt;"",_xlfn.TEXTAFTER(mouvementmp[[#This Row],[QR Fabrication]],"_",5),"")</f>
        <v>0507</v>
      </c>
    </row>
    <row r="371" spans="1:22" ht="16.5" thickTop="1" thickBot="1" x14ac:dyDescent="0.3">
      <c r="A371" s="46" t="s">
        <v>2483</v>
      </c>
      <c r="B371" s="54" t="s">
        <v>3806</v>
      </c>
      <c r="C371" s="47" t="s">
        <v>672</v>
      </c>
      <c r="D371" s="47" t="s">
        <v>665</v>
      </c>
      <c r="E371" s="47" t="s">
        <v>669</v>
      </c>
      <c r="F371" s="48">
        <v>8.4499999999999993</v>
      </c>
      <c r="G371" s="47"/>
      <c r="H371" s="47"/>
      <c r="I371" s="47" t="s">
        <v>664</v>
      </c>
      <c r="J371" s="49">
        <v>45925</v>
      </c>
      <c r="K371" s="47" t="str">
        <f>INDEX(_xlfn.TEXTSPLIT(mouvementmp[[#This Row],[QR MP]],"_"),1,1)</f>
        <v>C02</v>
      </c>
      <c r="L371" s="47" t="str">
        <f>INDEX(_xlfn.TEXTSPLIT(mouvementmp[[#This Row],[QR MP]],"_"),1,2)</f>
        <v>ECRU</v>
      </c>
      <c r="M371" s="47" t="str">
        <f>INDEX(_xlfn.TEXTSPLIT(mouvementmp[[#This Row],[QR MP]],"_"),1,3)</f>
        <v>NM15-02.00</v>
      </c>
      <c r="N371" s="47" t="str">
        <f>INDEX(_xlfn.TEXTSPLIT(mouvementmp[[#This Row],[QR MP]],"_"),1,4)</f>
        <v>61424</v>
      </c>
      <c r="O371" s="47">
        <f>-mouvementmp[[#This Row],[Poids]]</f>
        <v>-8.4499999999999993</v>
      </c>
      <c r="P371" s="47" t="str">
        <f>IF(
   COUNTIFS($A$2:A371,A371,
             $B$2:B371,B371,
             $C$2:C371,C371,
             $D$2:D371,D371,
             $E$2:E371,E371,
             $F$2:F371,F371,
              $J$2:J371,J371)&gt;1,
   "Doublon",
   "Correcte"
)</f>
        <v>Correcte</v>
      </c>
      <c r="Q371" s="106" t="str">
        <f>IF(mouvementmp[[#This Row],[QR Fabrication]]&lt;&gt;"",INDEX(_xlfn.TEXTSPLIT(mouvementmp[[#This Row],[QR Fabrication]],"_"),1,1),"")</f>
        <v>OF250199</v>
      </c>
      <c r="R371" s="106" t="str">
        <f>IF(mouvementmp[[#This Row],[QR Fabrication]]&lt;&gt;"",INDEX(_xlfn.TEXTSPLIT(mouvementmp[[#This Row],[QR Fabrication]],"_"),1,2),"")</f>
        <v>CL00844</v>
      </c>
      <c r="S371" s="47" t="str">
        <f>IF(mouvementmp[[#This Row],[QR Fabrication]]&lt;&gt;"",INDEX(_xlfn.TEXTSPLIT(mouvementmp[[#This Row],[QR Fabrication]],"_"),1,3),"")</f>
        <v>CM-FT0136</v>
      </c>
      <c r="T371" s="47" t="str">
        <f>IF(mouvementmp[[#This Row],[QR Fabrication]]&lt;&gt;"",INDEX(_xlfn.TEXTSPLIT(mouvementmp[[#This Row],[QR Fabrication]],"_"),1,4),"")</f>
        <v>PACKSICL0507-B03-02</v>
      </c>
      <c r="U371" s="47" t="str">
        <f>IF(mouvementmp[[#This Row],[QR Fabrication]]&lt;&gt;"",INDEX(_xlfn.TEXTSPLIT(mouvementmp[[#This Row],[QR Fabrication]],"_"),1,5),"")</f>
        <v>PACK CLASSIQUE</v>
      </c>
      <c r="V371" s="47" t="str">
        <f>IF(mouvementmp[[#This Row],[QR Fabrication]]&lt;&gt;"",_xlfn.TEXTAFTER(mouvementmp[[#This Row],[QR Fabrication]],"_",5),"")</f>
        <v>0507</v>
      </c>
    </row>
    <row r="372" spans="1:22" ht="16.5" thickTop="1" thickBot="1" x14ac:dyDescent="0.3">
      <c r="A372" s="46" t="s">
        <v>2478</v>
      </c>
      <c r="B372" s="54" t="s">
        <v>3927</v>
      </c>
      <c r="C372" s="47" t="s">
        <v>668</v>
      </c>
      <c r="D372" s="47" t="s">
        <v>665</v>
      </c>
      <c r="E372" s="47" t="s">
        <v>669</v>
      </c>
      <c r="F372" s="48">
        <v>0.75</v>
      </c>
      <c r="G372" s="47"/>
      <c r="H372" s="47"/>
      <c r="I372" s="47" t="s">
        <v>664</v>
      </c>
      <c r="J372" s="49">
        <v>45925</v>
      </c>
      <c r="K372" s="47" t="str">
        <f>INDEX(_xlfn.TEXTSPLIT(mouvementmp[[#This Row],[QR MP]],"_"),1,1)</f>
        <v>C18</v>
      </c>
      <c r="L372" s="47" t="str">
        <f>INDEX(_xlfn.TEXTSPLIT(mouvementmp[[#This Row],[QR MP]],"_"),1,2)</f>
        <v>VERT D'EAU CLAIR</v>
      </c>
      <c r="M372" s="47" t="str">
        <f>INDEX(_xlfn.TEXTSPLIT(mouvementmp[[#This Row],[QR MP]],"_"),1,3)</f>
        <v>NM15-18.01</v>
      </c>
      <c r="N372" s="47" t="str">
        <f>INDEX(_xlfn.TEXTSPLIT(mouvementmp[[#This Row],[QR MP]],"_"),1,4)</f>
        <v>S2023</v>
      </c>
      <c r="O372" s="47">
        <f>-mouvementmp[[#This Row],[Poids]]</f>
        <v>-0.75</v>
      </c>
      <c r="P372" s="47" t="str">
        <f>IF(
   COUNTIFS($A$2:A372,A372,
             $B$2:B372,B372,
             $C$2:C372,C372,
             $D$2:D372,D372,
             $E$2:E372,E372,
             $F$2:F372,F372,
              $J$2:J372,J372)&gt;1,
   "Doublon",
   "Correcte"
)</f>
        <v>Correcte</v>
      </c>
      <c r="Q372" s="106" t="str">
        <f>IF(mouvementmp[[#This Row],[QR Fabrication]]&lt;&gt;"",INDEX(_xlfn.TEXTSPLIT(mouvementmp[[#This Row],[QR Fabrication]],"_"),1,1),"")</f>
        <v>OF250134</v>
      </c>
      <c r="R372" s="106" t="str">
        <f>IF(mouvementmp[[#This Row],[QR Fabrication]]&lt;&gt;"",INDEX(_xlfn.TEXTSPLIT(mouvementmp[[#This Row],[QR Fabrication]],"_"),1,2),"")</f>
        <v>CL00162</v>
      </c>
      <c r="S372" s="47" t="str">
        <f>IF(mouvementmp[[#This Row],[QR Fabrication]]&lt;&gt;"",INDEX(_xlfn.TEXTSPLIT(mouvementmp[[#This Row],[QR Fabrication]],"_"),1,3),"")</f>
        <v>CM-FT0130</v>
      </c>
      <c r="T372" s="47" t="str">
        <f>IF(mouvementmp[[#This Row],[QR Fabrication]]&lt;&gt;"",INDEX(_xlfn.TEXTSPLIT(mouvementmp[[#This Row],[QR Fabrication]],"_"),1,4),"")</f>
        <v>OLI2426-B18-19</v>
      </c>
      <c r="U372" s="47" t="str">
        <f>IF(mouvementmp[[#This Row],[QR Fabrication]]&lt;&gt;"",INDEX(_xlfn.TEXTSPLIT(mouvementmp[[#This Row],[QR Fabrication]],"_"),1,5),"")</f>
        <v>OLIVIER</v>
      </c>
      <c r="V372" s="47" t="str">
        <f>IF(mouvementmp[[#This Row],[QR Fabrication]]&lt;&gt;"",_xlfn.TEXTAFTER(mouvementmp[[#This Row],[QR Fabrication]],"_",5),"")</f>
        <v>2426</v>
      </c>
    </row>
    <row r="373" spans="1:22" ht="16.5" thickTop="1" thickBot="1" x14ac:dyDescent="0.3">
      <c r="A373" s="46" t="s">
        <v>2478</v>
      </c>
      <c r="B373" s="54" t="s">
        <v>3922</v>
      </c>
      <c r="C373" s="47" t="s">
        <v>668</v>
      </c>
      <c r="D373" s="47" t="s">
        <v>665</v>
      </c>
      <c r="E373" s="47" t="s">
        <v>669</v>
      </c>
      <c r="F373" s="48">
        <v>1.95</v>
      </c>
      <c r="G373" s="47"/>
      <c r="H373" s="47"/>
      <c r="I373" s="47" t="s">
        <v>664</v>
      </c>
      <c r="J373" s="49">
        <v>45925</v>
      </c>
      <c r="K373" s="47" t="str">
        <f>INDEX(_xlfn.TEXTSPLIT(mouvementmp[[#This Row],[QR MP]],"_"),1,1)</f>
        <v>C19</v>
      </c>
      <c r="L373" s="47" t="str">
        <f>INDEX(_xlfn.TEXTSPLIT(mouvementmp[[#This Row],[QR MP]],"_"),1,2)</f>
        <v>CEDRE</v>
      </c>
      <c r="M373" s="47" t="str">
        <f>INDEX(_xlfn.TEXTSPLIT(mouvementmp[[#This Row],[QR MP]],"_"),1,3)</f>
        <v>NM15-19.00</v>
      </c>
      <c r="N373" s="47" t="str">
        <f>INDEX(_xlfn.TEXTSPLIT(mouvementmp[[#This Row],[QR MP]],"_"),1,4)</f>
        <v>51471</v>
      </c>
      <c r="O373" s="47">
        <f>-mouvementmp[[#This Row],[Poids]]</f>
        <v>-1.95</v>
      </c>
      <c r="P373" s="47" t="str">
        <f>IF(
   COUNTIFS($A$2:A373,A373,
             $B$2:B373,B373,
             $C$2:C373,C373,
             $D$2:D373,D373,
             $E$2:E373,E373,
             $F$2:F373,F373,
              $J$2:J373,J373)&gt;1,
   "Doublon",
   "Correcte"
)</f>
        <v>Correcte</v>
      </c>
      <c r="Q373" s="106" t="str">
        <f>IF(mouvementmp[[#This Row],[QR Fabrication]]&lt;&gt;"",INDEX(_xlfn.TEXTSPLIT(mouvementmp[[#This Row],[QR Fabrication]],"_"),1,1),"")</f>
        <v>OF250134</v>
      </c>
      <c r="R373" s="106" t="str">
        <f>IF(mouvementmp[[#This Row],[QR Fabrication]]&lt;&gt;"",INDEX(_xlfn.TEXTSPLIT(mouvementmp[[#This Row],[QR Fabrication]],"_"),1,2),"")</f>
        <v>CL00162</v>
      </c>
      <c r="S373" s="47" t="str">
        <f>IF(mouvementmp[[#This Row],[QR Fabrication]]&lt;&gt;"",INDEX(_xlfn.TEXTSPLIT(mouvementmp[[#This Row],[QR Fabrication]],"_"),1,3),"")</f>
        <v>CM-FT0130</v>
      </c>
      <c r="T373" s="47" t="str">
        <f>IF(mouvementmp[[#This Row],[QR Fabrication]]&lt;&gt;"",INDEX(_xlfn.TEXTSPLIT(mouvementmp[[#This Row],[QR Fabrication]],"_"),1,4),"")</f>
        <v>OLI2426-B18-19</v>
      </c>
      <c r="U373" s="47" t="str">
        <f>IF(mouvementmp[[#This Row],[QR Fabrication]]&lt;&gt;"",INDEX(_xlfn.TEXTSPLIT(mouvementmp[[#This Row],[QR Fabrication]],"_"),1,5),"")</f>
        <v>OLIVIER</v>
      </c>
      <c r="V373" s="47" t="str">
        <f>IF(mouvementmp[[#This Row],[QR Fabrication]]&lt;&gt;"",_xlfn.TEXTAFTER(mouvementmp[[#This Row],[QR Fabrication]],"_",5),"")</f>
        <v>2426</v>
      </c>
    </row>
    <row r="374" spans="1:22" ht="16.5" thickTop="1" thickBot="1" x14ac:dyDescent="0.3">
      <c r="A374" s="46" t="s">
        <v>2482</v>
      </c>
      <c r="B374" s="54" t="s">
        <v>3923</v>
      </c>
      <c r="C374" s="47" t="s">
        <v>672</v>
      </c>
      <c r="D374" s="47" t="s">
        <v>665</v>
      </c>
      <c r="E374" s="47" t="s">
        <v>669</v>
      </c>
      <c r="F374" s="48">
        <v>10.15</v>
      </c>
      <c r="G374" s="47"/>
      <c r="H374" s="47"/>
      <c r="I374" s="47" t="s">
        <v>664</v>
      </c>
      <c r="J374" s="49">
        <v>45926</v>
      </c>
      <c r="K374" s="47" t="str">
        <f>INDEX(_xlfn.TEXTSPLIT(mouvementmp[[#This Row],[QR MP]],"_"),1,1)</f>
        <v>C16</v>
      </c>
      <c r="L374" s="47" t="str">
        <f>INDEX(_xlfn.TEXTSPLIT(mouvementmp[[#This Row],[QR MP]],"_"),1,2)</f>
        <v>BLEU CIEL</v>
      </c>
      <c r="M374" s="47" t="str">
        <f>INDEX(_xlfn.TEXTSPLIT(mouvementmp[[#This Row],[QR MP]],"_"),1,3)</f>
        <v>NM15-16.00</v>
      </c>
      <c r="N374" s="47" t="str">
        <f>INDEX(_xlfn.TEXTSPLIT(mouvementmp[[#This Row],[QR MP]],"_"),1,4)</f>
        <v>61532</v>
      </c>
      <c r="O374" s="47">
        <f>-mouvementmp[[#This Row],[Poids]]</f>
        <v>-10.15</v>
      </c>
      <c r="P374" s="47" t="str">
        <f>IF(
   COUNTIFS($A$2:A374,A374,
             $B$2:B374,B374,
             $C$2:C374,C374,
             $D$2:D374,D374,
             $E$2:E374,E374,
             $F$2:F374,F374,
              $J$2:J374,J374)&gt;1,
   "Doublon",
   "Correcte"
)</f>
        <v>Correcte</v>
      </c>
      <c r="Q374" s="106" t="str">
        <f>IF(mouvementmp[[#This Row],[QR Fabrication]]&lt;&gt;"",INDEX(_xlfn.TEXTSPLIT(mouvementmp[[#This Row],[QR Fabrication]],"_"),1,1),"")</f>
        <v>CA250763</v>
      </c>
      <c r="R374" s="106" t="str">
        <f>IF(mouvementmp[[#This Row],[QR Fabrication]]&lt;&gt;"",INDEX(_xlfn.TEXTSPLIT(mouvementmp[[#This Row],[QR Fabrication]],"_"),1,2),"")</f>
        <v>All by Fouta</v>
      </c>
      <c r="S374" s="47" t="str">
        <f>IF(mouvementmp[[#This Row],[QR Fabrication]]&lt;&gt;"",INDEX(_xlfn.TEXTSPLIT(mouvementmp[[#This Row],[QR Fabrication]],"_"),1,3),"")</f>
        <v>Stock</v>
      </c>
      <c r="T374" s="47" t="str">
        <f>IF(mouvementmp[[#This Row],[QR Fabrication]]&lt;&gt;"",INDEX(_xlfn.TEXTSPLIT(mouvementmp[[#This Row],[QR Fabrication]],"_"),1,4),"")</f>
        <v>PACKSICL0507-B07-16</v>
      </c>
      <c r="U374" s="47" t="str">
        <f>IF(mouvementmp[[#This Row],[QR Fabrication]]&lt;&gt;"",INDEX(_xlfn.TEXTSPLIT(mouvementmp[[#This Row],[QR Fabrication]],"_"),1,5),"")</f>
        <v>PACK CLASSIQUE</v>
      </c>
      <c r="V374" s="47" t="str">
        <f>IF(mouvementmp[[#This Row],[QR Fabrication]]&lt;&gt;"",_xlfn.TEXTAFTER(mouvementmp[[#This Row],[QR Fabrication]],"_",5),"")</f>
        <v>0507</v>
      </c>
    </row>
    <row r="375" spans="1:22" ht="16.5" thickTop="1" thickBot="1" x14ac:dyDescent="0.3">
      <c r="A375" s="46" t="s">
        <v>2484</v>
      </c>
      <c r="B375" s="54" t="s">
        <v>3886</v>
      </c>
      <c r="C375" s="47" t="s">
        <v>672</v>
      </c>
      <c r="D375" s="47" t="s">
        <v>665</v>
      </c>
      <c r="E375" s="47" t="s">
        <v>669</v>
      </c>
      <c r="F375" s="48">
        <v>64.8</v>
      </c>
      <c r="G375" s="47"/>
      <c r="H375" s="47"/>
      <c r="I375" s="47" t="s">
        <v>664</v>
      </c>
      <c r="J375" s="49">
        <v>45926</v>
      </c>
      <c r="K375" s="47" t="str">
        <f>INDEX(_xlfn.TEXTSPLIT(mouvementmp[[#This Row],[QR MP]],"_"),1,1)</f>
        <v>C24</v>
      </c>
      <c r="L375" s="47" t="str">
        <f>INDEX(_xlfn.TEXTSPLIT(mouvementmp[[#This Row],[QR MP]],"_"),1,2)</f>
        <v>JAUNE SAFRAN</v>
      </c>
      <c r="M375" s="47" t="str">
        <f>INDEX(_xlfn.TEXTSPLIT(mouvementmp[[#This Row],[QR MP]],"_"),1,3)</f>
        <v>NM15-24.00</v>
      </c>
      <c r="N375" s="47" t="str">
        <f>INDEX(_xlfn.TEXTSPLIT(mouvementmp[[#This Row],[QR MP]],"_"),1,4)</f>
        <v>61554</v>
      </c>
      <c r="O375" s="47">
        <f>-mouvementmp[[#This Row],[Poids]]</f>
        <v>-64.8</v>
      </c>
      <c r="P375" s="47" t="str">
        <f>IF(
   COUNTIFS($A$2:A375,A375,
             $B$2:B375,B375,
             $C$2:C375,C375,
             $D$2:D375,D375,
             $E$2:E375,E375,
             $F$2:F375,F375,
              $J$2:J375,J375)&gt;1,
   "Doublon",
   "Correcte"
)</f>
        <v>Correcte</v>
      </c>
      <c r="Q375" s="106" t="str">
        <f>IF(mouvementmp[[#This Row],[QR Fabrication]]&lt;&gt;"",INDEX(_xlfn.TEXTSPLIT(mouvementmp[[#This Row],[QR Fabrication]],"_"),1,1),"")</f>
        <v>OF249868</v>
      </c>
      <c r="R375" s="106" t="str">
        <f>IF(mouvementmp[[#This Row],[QR Fabrication]]&lt;&gt;"",INDEX(_xlfn.TEXTSPLIT(mouvementmp[[#This Row],[QR Fabrication]],"_"),1,2),"")</f>
        <v>CL00884</v>
      </c>
      <c r="S375" s="47" t="str">
        <f>IF(mouvementmp[[#This Row],[QR Fabrication]]&lt;&gt;"",INDEX(_xlfn.TEXTSPLIT(mouvementmp[[#This Row],[QR Fabrication]],"_"),1,3),"")</f>
        <v>CM-FT0119</v>
      </c>
      <c r="T375" s="47" t="str">
        <f>IF(mouvementmp[[#This Row],[QR Fabrication]]&lt;&gt;"",INDEX(_xlfn.TEXTSPLIT(mouvementmp[[#This Row],[QR Fabrication]],"_"),1,4),"")</f>
        <v>EPMA0919-B24-02</v>
      </c>
      <c r="U375" s="47" t="str">
        <f>IF(mouvementmp[[#This Row],[QR Fabrication]]&lt;&gt;"",INDEX(_xlfn.TEXTSPLIT(mouvementmp[[#This Row],[QR Fabrication]],"_"),1,5),"")</f>
        <v>MARINIERE</v>
      </c>
      <c r="V375" s="47" t="str">
        <f>IF(mouvementmp[[#This Row],[QR Fabrication]]&lt;&gt;"",_xlfn.TEXTAFTER(mouvementmp[[#This Row],[QR Fabrication]],"_",5),"")</f>
        <v>0919</v>
      </c>
    </row>
    <row r="376" spans="1:22" ht="16.5" thickTop="1" thickBot="1" x14ac:dyDescent="0.3">
      <c r="A376" s="46" t="s">
        <v>2484</v>
      </c>
      <c r="B376" s="54" t="s">
        <v>3808</v>
      </c>
      <c r="C376" s="47" t="s">
        <v>672</v>
      </c>
      <c r="D376" s="47" t="s">
        <v>665</v>
      </c>
      <c r="E376" s="47" t="s">
        <v>669</v>
      </c>
      <c r="F376" s="48">
        <v>64.900000000000006</v>
      </c>
      <c r="G376" s="47"/>
      <c r="H376" s="47"/>
      <c r="I376" s="47" t="s">
        <v>664</v>
      </c>
      <c r="J376" s="49">
        <v>45926</v>
      </c>
      <c r="K376" s="47" t="str">
        <f>INDEX(_xlfn.TEXTSPLIT(mouvementmp[[#This Row],[QR MP]],"_"),1,1)</f>
        <v>C02</v>
      </c>
      <c r="L376" s="47" t="str">
        <f>INDEX(_xlfn.TEXTSPLIT(mouvementmp[[#This Row],[QR MP]],"_"),1,2)</f>
        <v>ECRU</v>
      </c>
      <c r="M376" s="47" t="str">
        <f>INDEX(_xlfn.TEXTSPLIT(mouvementmp[[#This Row],[QR MP]],"_"),1,3)</f>
        <v>NM34-02.00</v>
      </c>
      <c r="N376" s="47" t="str">
        <f>INDEX(_xlfn.TEXTSPLIT(mouvementmp[[#This Row],[QR MP]],"_"),1,4)</f>
        <v>S2024</v>
      </c>
      <c r="O376" s="47">
        <f>-mouvementmp[[#This Row],[Poids]]</f>
        <v>-64.900000000000006</v>
      </c>
      <c r="P376" s="47" t="str">
        <f>IF(
   COUNTIFS($A$2:A376,A376,
             $B$2:B376,B376,
             $C$2:C376,C376,
             $D$2:D376,D376,
             $E$2:E376,E376,
             $F$2:F376,F376,
              $J$2:J376,J376)&gt;1,
   "Doublon",
   "Correcte"
)</f>
        <v>Correcte</v>
      </c>
      <c r="Q376" s="106" t="str">
        <f>IF(mouvementmp[[#This Row],[QR Fabrication]]&lt;&gt;"",INDEX(_xlfn.TEXTSPLIT(mouvementmp[[#This Row],[QR Fabrication]],"_"),1,1),"")</f>
        <v>OF249868</v>
      </c>
      <c r="R376" s="106" t="str">
        <f>IF(mouvementmp[[#This Row],[QR Fabrication]]&lt;&gt;"",INDEX(_xlfn.TEXTSPLIT(mouvementmp[[#This Row],[QR Fabrication]],"_"),1,2),"")</f>
        <v>CL00884</v>
      </c>
      <c r="S376" s="47" t="str">
        <f>IF(mouvementmp[[#This Row],[QR Fabrication]]&lt;&gt;"",INDEX(_xlfn.TEXTSPLIT(mouvementmp[[#This Row],[QR Fabrication]],"_"),1,3),"")</f>
        <v>CM-FT0119</v>
      </c>
      <c r="T376" s="47" t="str">
        <f>IF(mouvementmp[[#This Row],[QR Fabrication]]&lt;&gt;"",INDEX(_xlfn.TEXTSPLIT(mouvementmp[[#This Row],[QR Fabrication]],"_"),1,4),"")</f>
        <v>EPMA0919-B24-02</v>
      </c>
      <c r="U376" s="47" t="str">
        <f>IF(mouvementmp[[#This Row],[QR Fabrication]]&lt;&gt;"",INDEX(_xlfn.TEXTSPLIT(mouvementmp[[#This Row],[QR Fabrication]],"_"),1,5),"")</f>
        <v>MARINIERE</v>
      </c>
      <c r="V376" s="47" t="str">
        <f>IF(mouvementmp[[#This Row],[QR Fabrication]]&lt;&gt;"",_xlfn.TEXTAFTER(mouvementmp[[#This Row],[QR Fabrication]],"_",5),"")</f>
        <v>0919</v>
      </c>
    </row>
    <row r="377" spans="1:22" ht="16.5" thickTop="1" thickBot="1" x14ac:dyDescent="0.3">
      <c r="A377" s="46" t="s">
        <v>2485</v>
      </c>
      <c r="B377" s="54" t="s">
        <v>3898</v>
      </c>
      <c r="C377" s="47" t="s">
        <v>672</v>
      </c>
      <c r="D377" s="47" t="s">
        <v>665</v>
      </c>
      <c r="E377" s="47" t="s">
        <v>669</v>
      </c>
      <c r="F377" s="48">
        <v>54.85</v>
      </c>
      <c r="G377" s="47"/>
      <c r="H377" s="47"/>
      <c r="I377" s="47" t="s">
        <v>664</v>
      </c>
      <c r="J377" s="49">
        <v>45926</v>
      </c>
      <c r="K377" s="47" t="str">
        <f>INDEX(_xlfn.TEXTSPLIT(mouvementmp[[#This Row],[QR MP]],"_"),1,1)</f>
        <v>C29</v>
      </c>
      <c r="L377" s="47" t="str">
        <f>INDEX(_xlfn.TEXTSPLIT(mouvementmp[[#This Row],[QR MP]],"_"),1,2)</f>
        <v>FUSHIA</v>
      </c>
      <c r="M377" s="47" t="str">
        <f>INDEX(_xlfn.TEXTSPLIT(mouvementmp[[#This Row],[QR MP]],"_"),1,3)</f>
        <v>NM15-29.00</v>
      </c>
      <c r="N377" s="47" t="str">
        <f>INDEX(_xlfn.TEXTSPLIT(mouvementmp[[#This Row],[QR MP]],"_"),1,4)</f>
        <v>61549</v>
      </c>
      <c r="O377" s="47">
        <f>-mouvementmp[[#This Row],[Poids]]</f>
        <v>-54.85</v>
      </c>
      <c r="P377" s="47" t="str">
        <f>IF(
   COUNTIFS($A$2:A377,A377,
             $B$2:B377,B377,
             $C$2:C377,C377,
             $D$2:D377,D377,
             $E$2:E377,E377,
             $F$2:F377,F377,
              $J$2:J377,J377)&gt;1,
   "Doublon",
   "Correcte"
)</f>
        <v>Correcte</v>
      </c>
      <c r="Q377" s="106" t="str">
        <f>IF(mouvementmp[[#This Row],[QR Fabrication]]&lt;&gt;"",INDEX(_xlfn.TEXTSPLIT(mouvementmp[[#This Row],[QR Fabrication]],"_"),1,1),"")</f>
        <v>OF249869</v>
      </c>
      <c r="R377" s="106" t="str">
        <f>IF(mouvementmp[[#This Row],[QR Fabrication]]&lt;&gt;"",INDEX(_xlfn.TEXTSPLIT(mouvementmp[[#This Row],[QR Fabrication]],"_"),1,2),"")</f>
        <v>CL00884</v>
      </c>
      <c r="S377" s="47" t="str">
        <f>IF(mouvementmp[[#This Row],[QR Fabrication]]&lt;&gt;"",INDEX(_xlfn.TEXTSPLIT(mouvementmp[[#This Row],[QR Fabrication]],"_"),1,3),"")</f>
        <v>CM-FT0119</v>
      </c>
      <c r="T377" s="47" t="str">
        <f>IF(mouvementmp[[#This Row],[QR Fabrication]]&lt;&gt;"",INDEX(_xlfn.TEXTSPLIT(mouvementmp[[#This Row],[QR Fabrication]],"_"),1,4),"")</f>
        <v>EPMA0919-B29-02</v>
      </c>
      <c r="U377" s="47" t="str">
        <f>IF(mouvementmp[[#This Row],[QR Fabrication]]&lt;&gt;"",INDEX(_xlfn.TEXTSPLIT(mouvementmp[[#This Row],[QR Fabrication]],"_"),1,5),"")</f>
        <v>MARINIERE</v>
      </c>
      <c r="V377" s="47" t="str">
        <f>IF(mouvementmp[[#This Row],[QR Fabrication]]&lt;&gt;"",_xlfn.TEXTAFTER(mouvementmp[[#This Row],[QR Fabrication]],"_",5),"")</f>
        <v>0919</v>
      </c>
    </row>
    <row r="378" spans="1:22" ht="16.5" thickTop="1" thickBot="1" x14ac:dyDescent="0.3">
      <c r="A378" s="46" t="s">
        <v>2485</v>
      </c>
      <c r="B378" s="54" t="s">
        <v>3808</v>
      </c>
      <c r="C378" s="47" t="s">
        <v>672</v>
      </c>
      <c r="D378" s="47" t="s">
        <v>665</v>
      </c>
      <c r="E378" s="47" t="s">
        <v>669</v>
      </c>
      <c r="F378" s="48">
        <v>55.85</v>
      </c>
      <c r="G378" s="47"/>
      <c r="H378" s="47"/>
      <c r="I378" s="47" t="s">
        <v>664</v>
      </c>
      <c r="J378" s="49">
        <v>45926</v>
      </c>
      <c r="K378" s="47" t="str">
        <f>INDEX(_xlfn.TEXTSPLIT(mouvementmp[[#This Row],[QR MP]],"_"),1,1)</f>
        <v>C02</v>
      </c>
      <c r="L378" s="47" t="str">
        <f>INDEX(_xlfn.TEXTSPLIT(mouvementmp[[#This Row],[QR MP]],"_"),1,2)</f>
        <v>ECRU</v>
      </c>
      <c r="M378" s="47" t="str">
        <f>INDEX(_xlfn.TEXTSPLIT(mouvementmp[[#This Row],[QR MP]],"_"),1,3)</f>
        <v>NM34-02.00</v>
      </c>
      <c r="N378" s="47" t="str">
        <f>INDEX(_xlfn.TEXTSPLIT(mouvementmp[[#This Row],[QR MP]],"_"),1,4)</f>
        <v>S2024</v>
      </c>
      <c r="O378" s="47">
        <f>-mouvementmp[[#This Row],[Poids]]</f>
        <v>-55.85</v>
      </c>
      <c r="P378" s="47" t="str">
        <f>IF(
   COUNTIFS($A$2:A378,A378,
             $B$2:B378,B378,
             $C$2:C378,C378,
             $D$2:D378,D378,
             $E$2:E378,E378,
             $F$2:F378,F378,
              $J$2:J378,J378)&gt;1,
   "Doublon",
   "Correcte"
)</f>
        <v>Correcte</v>
      </c>
      <c r="Q378" s="106" t="str">
        <f>IF(mouvementmp[[#This Row],[QR Fabrication]]&lt;&gt;"",INDEX(_xlfn.TEXTSPLIT(mouvementmp[[#This Row],[QR Fabrication]],"_"),1,1),"")</f>
        <v>OF249869</v>
      </c>
      <c r="R378" s="106" t="str">
        <f>IF(mouvementmp[[#This Row],[QR Fabrication]]&lt;&gt;"",INDEX(_xlfn.TEXTSPLIT(mouvementmp[[#This Row],[QR Fabrication]],"_"),1,2),"")</f>
        <v>CL00884</v>
      </c>
      <c r="S378" s="47" t="str">
        <f>IF(mouvementmp[[#This Row],[QR Fabrication]]&lt;&gt;"",INDEX(_xlfn.TEXTSPLIT(mouvementmp[[#This Row],[QR Fabrication]],"_"),1,3),"")</f>
        <v>CM-FT0119</v>
      </c>
      <c r="T378" s="47" t="str">
        <f>IF(mouvementmp[[#This Row],[QR Fabrication]]&lt;&gt;"",INDEX(_xlfn.TEXTSPLIT(mouvementmp[[#This Row],[QR Fabrication]],"_"),1,4),"")</f>
        <v>EPMA0919-B29-02</v>
      </c>
      <c r="U378" s="47" t="str">
        <f>IF(mouvementmp[[#This Row],[QR Fabrication]]&lt;&gt;"",INDEX(_xlfn.TEXTSPLIT(mouvementmp[[#This Row],[QR Fabrication]],"_"),1,5),"")</f>
        <v>MARINIERE</v>
      </c>
      <c r="V378" s="47" t="str">
        <f>IF(mouvementmp[[#This Row],[QR Fabrication]]&lt;&gt;"",_xlfn.TEXTAFTER(mouvementmp[[#This Row],[QR Fabrication]],"_",5),"")</f>
        <v>0919</v>
      </c>
    </row>
    <row r="379" spans="1:22" ht="16.5" thickTop="1" thickBot="1" x14ac:dyDescent="0.3">
      <c r="A379" s="46" t="s">
        <v>2473</v>
      </c>
      <c r="B379" s="54" t="s">
        <v>3819</v>
      </c>
      <c r="C379" s="47" t="s">
        <v>668</v>
      </c>
      <c r="D379" s="47" t="s">
        <v>665</v>
      </c>
      <c r="E379" s="47" t="s">
        <v>669</v>
      </c>
      <c r="F379" s="48">
        <v>1.75</v>
      </c>
      <c r="G379" s="47"/>
      <c r="H379" s="47"/>
      <c r="I379" s="47" t="s">
        <v>664</v>
      </c>
      <c r="J379" s="49">
        <v>45926</v>
      </c>
      <c r="K379" s="47" t="str">
        <f>INDEX(_xlfn.TEXTSPLIT(mouvementmp[[#This Row],[QR MP]],"_"),1,1)</f>
        <v>C04</v>
      </c>
      <c r="L379" s="47" t="str">
        <f>INDEX(_xlfn.TEXTSPLIT(mouvementmp[[#This Row],[QR MP]],"_"),1,2)</f>
        <v>TAUPE</v>
      </c>
      <c r="M379" s="47" t="str">
        <f>INDEX(_xlfn.TEXTSPLIT(mouvementmp[[#This Row],[QR MP]],"_"),1,3)</f>
        <v>NM15-04.00</v>
      </c>
      <c r="N379" s="47" t="str">
        <f>INDEX(_xlfn.TEXTSPLIT(mouvementmp[[#This Row],[QR MP]],"_"),1,4)</f>
        <v>S2023</v>
      </c>
      <c r="O379" s="47">
        <f>-mouvementmp[[#This Row],[Poids]]</f>
        <v>-1.75</v>
      </c>
      <c r="P379" s="47" t="str">
        <f>IF(
   COUNTIFS($A$2:A379,A379,
             $B$2:B379,B379,
             $C$2:C379,C379,
             $D$2:D379,D379,
             $E$2:E379,E379,
             $F$2:F379,F379,
              $J$2:J379,J379)&gt;1,
   "Doublon",
   "Correcte"
)</f>
        <v>Correcte</v>
      </c>
      <c r="Q379" s="106" t="str">
        <f>IF(mouvementmp[[#This Row],[QR Fabrication]]&lt;&gt;"",INDEX(_xlfn.TEXTSPLIT(mouvementmp[[#This Row],[QR Fabrication]],"_"),1,1),"")</f>
        <v>CA250751</v>
      </c>
      <c r="R379" s="106" t="str">
        <f>IF(mouvementmp[[#This Row],[QR Fabrication]]&lt;&gt;"",INDEX(_xlfn.TEXTSPLIT(mouvementmp[[#This Row],[QR Fabrication]],"_"),1,2),"")</f>
        <v>All by Fouta</v>
      </c>
      <c r="S379" s="47" t="str">
        <f>IF(mouvementmp[[#This Row],[QR Fabrication]]&lt;&gt;"",INDEX(_xlfn.TEXTSPLIT(mouvementmp[[#This Row],[QR Fabrication]],"_"),1,3),"")</f>
        <v>Stock</v>
      </c>
      <c r="T379" s="47" t="str">
        <f>IF(mouvementmp[[#This Row],[QR Fabrication]]&lt;&gt;"",INDEX(_xlfn.TEXTSPLIT(mouvementmp[[#This Row],[QR Fabrication]],"_"),1,4),"")</f>
        <v>PACKSICL0507-B04-02</v>
      </c>
      <c r="U379" s="47" t="str">
        <f>IF(mouvementmp[[#This Row],[QR Fabrication]]&lt;&gt;"",INDEX(_xlfn.TEXTSPLIT(mouvementmp[[#This Row],[QR Fabrication]],"_"),1,5),"")</f>
        <v>PACK CLASSIQUE</v>
      </c>
      <c r="V379" s="47" t="str">
        <f>IF(mouvementmp[[#This Row],[QR Fabrication]]&lt;&gt;"",_xlfn.TEXTAFTER(mouvementmp[[#This Row],[QR Fabrication]],"_",5),"")</f>
        <v>0507</v>
      </c>
    </row>
    <row r="380" spans="1:22" ht="16.5" thickTop="1" thickBot="1" x14ac:dyDescent="0.3">
      <c r="A380" s="46" t="s">
        <v>2473</v>
      </c>
      <c r="B380" s="54" t="s">
        <v>3806</v>
      </c>
      <c r="C380" s="47" t="s">
        <v>668</v>
      </c>
      <c r="D380" s="47" t="s">
        <v>665</v>
      </c>
      <c r="E380" s="47" t="s">
        <v>669</v>
      </c>
      <c r="F380" s="48">
        <v>1.1499999999999999</v>
      </c>
      <c r="G380" s="47"/>
      <c r="H380" s="47"/>
      <c r="I380" s="47" t="s">
        <v>664</v>
      </c>
      <c r="J380" s="49">
        <v>45926</v>
      </c>
      <c r="K380" s="47" t="str">
        <f>INDEX(_xlfn.TEXTSPLIT(mouvementmp[[#This Row],[QR MP]],"_"),1,1)</f>
        <v>C02</v>
      </c>
      <c r="L380" s="47" t="str">
        <f>INDEX(_xlfn.TEXTSPLIT(mouvementmp[[#This Row],[QR MP]],"_"),1,2)</f>
        <v>ECRU</v>
      </c>
      <c r="M380" s="47" t="str">
        <f>INDEX(_xlfn.TEXTSPLIT(mouvementmp[[#This Row],[QR MP]],"_"),1,3)</f>
        <v>NM15-02.00</v>
      </c>
      <c r="N380" s="47" t="str">
        <f>INDEX(_xlfn.TEXTSPLIT(mouvementmp[[#This Row],[QR MP]],"_"),1,4)</f>
        <v>61424</v>
      </c>
      <c r="O380" s="47">
        <f>-mouvementmp[[#This Row],[Poids]]</f>
        <v>-1.1499999999999999</v>
      </c>
      <c r="P380" s="47" t="str">
        <f>IF(
   COUNTIFS($A$2:A380,A380,
             $B$2:B380,B380,
             $C$2:C380,C380,
             $D$2:D380,D380,
             $E$2:E380,E380,
             $F$2:F380,F380,
              $J$2:J380,J380)&gt;1,
   "Doublon",
   "Correcte"
)</f>
        <v>Correcte</v>
      </c>
      <c r="Q380" s="106" t="str">
        <f>IF(mouvementmp[[#This Row],[QR Fabrication]]&lt;&gt;"",INDEX(_xlfn.TEXTSPLIT(mouvementmp[[#This Row],[QR Fabrication]],"_"),1,1),"")</f>
        <v>CA250751</v>
      </c>
      <c r="R380" s="106" t="str">
        <f>IF(mouvementmp[[#This Row],[QR Fabrication]]&lt;&gt;"",INDEX(_xlfn.TEXTSPLIT(mouvementmp[[#This Row],[QR Fabrication]],"_"),1,2),"")</f>
        <v>All by Fouta</v>
      </c>
      <c r="S380" s="47" t="str">
        <f>IF(mouvementmp[[#This Row],[QR Fabrication]]&lt;&gt;"",INDEX(_xlfn.TEXTSPLIT(mouvementmp[[#This Row],[QR Fabrication]],"_"),1,3),"")</f>
        <v>Stock</v>
      </c>
      <c r="T380" s="47" t="str">
        <f>IF(mouvementmp[[#This Row],[QR Fabrication]]&lt;&gt;"",INDEX(_xlfn.TEXTSPLIT(mouvementmp[[#This Row],[QR Fabrication]],"_"),1,4),"")</f>
        <v>PACKSICL0507-B04-02</v>
      </c>
      <c r="U380" s="47" t="str">
        <f>IF(mouvementmp[[#This Row],[QR Fabrication]]&lt;&gt;"",INDEX(_xlfn.TEXTSPLIT(mouvementmp[[#This Row],[QR Fabrication]],"_"),1,5),"")</f>
        <v>PACK CLASSIQUE</v>
      </c>
      <c r="V380" s="47" t="str">
        <f>IF(mouvementmp[[#This Row],[QR Fabrication]]&lt;&gt;"",_xlfn.TEXTAFTER(mouvementmp[[#This Row],[QR Fabrication]],"_",5),"")</f>
        <v>0507</v>
      </c>
    </row>
    <row r="381" spans="1:22" ht="16.5" thickTop="1" thickBot="1" x14ac:dyDescent="0.3">
      <c r="A381" s="46"/>
      <c r="B381" s="54" t="s">
        <v>3910</v>
      </c>
      <c r="C381" s="47" t="s">
        <v>675</v>
      </c>
      <c r="D381" s="47" t="s">
        <v>671</v>
      </c>
      <c r="E381" s="47" t="s">
        <v>665</v>
      </c>
      <c r="F381" s="48">
        <v>21.95</v>
      </c>
      <c r="G381" s="47"/>
      <c r="H381" s="47"/>
      <c r="I381" s="47" t="s">
        <v>664</v>
      </c>
      <c r="J381" s="49">
        <v>45927</v>
      </c>
      <c r="K381" s="47" t="str">
        <f>INDEX(_xlfn.TEXTSPLIT(mouvementmp[[#This Row],[QR MP]],"_"),1,1)</f>
        <v>CH</v>
      </c>
      <c r="L381" s="47" t="str">
        <f>INDEX(_xlfn.TEXTSPLIT(mouvementmp[[#This Row],[QR MP]],"_"),1,2)</f>
        <v>Ecru</v>
      </c>
      <c r="M381" s="47" t="str">
        <f>INDEX(_xlfn.TEXTSPLIT(mouvementmp[[#This Row],[QR MP]],"_"),1,3)</f>
        <v>CH2/40CE</v>
      </c>
      <c r="N381" s="47" t="str">
        <f>INDEX(_xlfn.TEXTSPLIT(mouvementmp[[#This Row],[QR MP]],"_"),1,4)</f>
        <v>A220324523/2</v>
      </c>
      <c r="O381" s="47">
        <f>-mouvementmp[[#This Row],[Poids]]</f>
        <v>-21.95</v>
      </c>
      <c r="P381" s="47" t="str">
        <f>IF(
   COUNTIFS($A$2:A381,A381,
             $B$2:B381,B381,
             $C$2:C381,C381,
             $D$2:D381,D381,
             $E$2:E381,E381,
             $F$2:F381,F381,
              $J$2:J381,J381)&gt;1,
   "Doublon",
   "Correcte"
)</f>
        <v>Correcte</v>
      </c>
      <c r="Q381" s="106" t="str">
        <f>IF(mouvementmp[[#This Row],[QR Fabrication]]&lt;&gt;"",INDEX(_xlfn.TEXTSPLIT(mouvementmp[[#This Row],[QR Fabrication]],"_"),1,1),"")</f>
        <v/>
      </c>
      <c r="R381" s="106" t="str">
        <f>IF(mouvementmp[[#This Row],[QR Fabrication]]&lt;&gt;"",INDEX(_xlfn.TEXTSPLIT(mouvementmp[[#This Row],[QR Fabrication]],"_"),1,2),"")</f>
        <v/>
      </c>
      <c r="S381" s="47" t="str">
        <f>IF(mouvementmp[[#This Row],[QR Fabrication]]&lt;&gt;"",INDEX(_xlfn.TEXTSPLIT(mouvementmp[[#This Row],[QR Fabrication]],"_"),1,3),"")</f>
        <v/>
      </c>
      <c r="T381" s="47" t="str">
        <f>IF(mouvementmp[[#This Row],[QR Fabrication]]&lt;&gt;"",INDEX(_xlfn.TEXTSPLIT(mouvementmp[[#This Row],[QR Fabrication]],"_"),1,4),"")</f>
        <v/>
      </c>
      <c r="U381" s="47" t="str">
        <f>IF(mouvementmp[[#This Row],[QR Fabrication]]&lt;&gt;"",INDEX(_xlfn.TEXTSPLIT(mouvementmp[[#This Row],[QR Fabrication]],"_"),1,5),"")</f>
        <v/>
      </c>
      <c r="V381" s="47" t="str">
        <f>IF(mouvementmp[[#This Row],[QR Fabrication]]&lt;&gt;"",_xlfn.TEXTAFTER(mouvementmp[[#This Row],[QR Fabrication]],"_",5),"")</f>
        <v/>
      </c>
    </row>
    <row r="382" spans="1:22" ht="16.5" thickTop="1" thickBot="1" x14ac:dyDescent="0.3">
      <c r="A382" s="46"/>
      <c r="B382" s="54" t="s">
        <v>3910</v>
      </c>
      <c r="C382" s="47" t="s">
        <v>676</v>
      </c>
      <c r="D382" s="47" t="s">
        <v>665</v>
      </c>
      <c r="E382" s="47" t="s">
        <v>677</v>
      </c>
      <c r="F382" s="48">
        <v>56.5</v>
      </c>
      <c r="G382" s="47"/>
      <c r="H382" s="47"/>
      <c r="I382" s="47" t="s">
        <v>664</v>
      </c>
      <c r="J382" s="49">
        <v>45927</v>
      </c>
      <c r="K382" s="47" t="str">
        <f>INDEX(_xlfn.TEXTSPLIT(mouvementmp[[#This Row],[QR MP]],"_"),1,1)</f>
        <v>CH</v>
      </c>
      <c r="L382" s="47" t="str">
        <f>INDEX(_xlfn.TEXTSPLIT(mouvementmp[[#This Row],[QR MP]],"_"),1,2)</f>
        <v>Ecru</v>
      </c>
      <c r="M382" s="47" t="str">
        <f>INDEX(_xlfn.TEXTSPLIT(mouvementmp[[#This Row],[QR MP]],"_"),1,3)</f>
        <v>CH2/40CE</v>
      </c>
      <c r="N382" s="47" t="str">
        <f>INDEX(_xlfn.TEXTSPLIT(mouvementmp[[#This Row],[QR MP]],"_"),1,4)</f>
        <v>A220324523/2</v>
      </c>
      <c r="O382" s="47">
        <f>-mouvementmp[[#This Row],[Poids]]</f>
        <v>-56.5</v>
      </c>
      <c r="P382" s="47" t="str">
        <f>IF(
   COUNTIFS($A$2:A382,A382,
             $B$2:B382,B382,
             $C$2:C382,C382,
             $D$2:D382,D382,
             $E$2:E382,E382,
             $F$2:F382,F382,
              $J$2:J382,J382)&gt;1,
   "Doublon",
   "Correcte"
)</f>
        <v>Correcte</v>
      </c>
      <c r="Q382" s="106" t="str">
        <f>IF(mouvementmp[[#This Row],[QR Fabrication]]&lt;&gt;"",INDEX(_xlfn.TEXTSPLIT(mouvementmp[[#This Row],[QR Fabrication]],"_"),1,1),"")</f>
        <v/>
      </c>
      <c r="R382" s="106" t="str">
        <f>IF(mouvementmp[[#This Row],[QR Fabrication]]&lt;&gt;"",INDEX(_xlfn.TEXTSPLIT(mouvementmp[[#This Row],[QR Fabrication]],"_"),1,2),"")</f>
        <v/>
      </c>
      <c r="S382" s="47" t="str">
        <f>IF(mouvementmp[[#This Row],[QR Fabrication]]&lt;&gt;"",INDEX(_xlfn.TEXTSPLIT(mouvementmp[[#This Row],[QR Fabrication]],"_"),1,3),"")</f>
        <v/>
      </c>
      <c r="T382" s="47" t="str">
        <f>IF(mouvementmp[[#This Row],[QR Fabrication]]&lt;&gt;"",INDEX(_xlfn.TEXTSPLIT(mouvementmp[[#This Row],[QR Fabrication]],"_"),1,4),"")</f>
        <v/>
      </c>
      <c r="U382" s="47" t="str">
        <f>IF(mouvementmp[[#This Row],[QR Fabrication]]&lt;&gt;"",INDEX(_xlfn.TEXTSPLIT(mouvementmp[[#This Row],[QR Fabrication]],"_"),1,5),"")</f>
        <v/>
      </c>
      <c r="V382" s="47" t="str">
        <f>IF(mouvementmp[[#This Row],[QR Fabrication]]&lt;&gt;"",_xlfn.TEXTAFTER(mouvementmp[[#This Row],[QR Fabrication]],"_",5),"")</f>
        <v/>
      </c>
    </row>
    <row r="383" spans="1:22" ht="16.5" thickTop="1" thickBot="1" x14ac:dyDescent="0.3">
      <c r="A383" s="46"/>
      <c r="B383" s="54" t="s">
        <v>3910</v>
      </c>
      <c r="C383" s="47" t="s">
        <v>672</v>
      </c>
      <c r="D383" s="47" t="s">
        <v>665</v>
      </c>
      <c r="E383" s="47" t="s">
        <v>669</v>
      </c>
      <c r="F383" s="48">
        <v>4.8499999999999996</v>
      </c>
      <c r="G383" s="47"/>
      <c r="H383" s="47"/>
      <c r="I383" s="47" t="s">
        <v>664</v>
      </c>
      <c r="J383" s="49">
        <v>45927</v>
      </c>
      <c r="K383" s="47" t="str">
        <f>INDEX(_xlfn.TEXTSPLIT(mouvementmp[[#This Row],[QR MP]],"_"),1,1)</f>
        <v>CH</v>
      </c>
      <c r="L383" s="47" t="str">
        <f>INDEX(_xlfn.TEXTSPLIT(mouvementmp[[#This Row],[QR MP]],"_"),1,2)</f>
        <v>Ecru</v>
      </c>
      <c r="M383" s="47" t="str">
        <f>INDEX(_xlfn.TEXTSPLIT(mouvementmp[[#This Row],[QR MP]],"_"),1,3)</f>
        <v>CH2/40CE</v>
      </c>
      <c r="N383" s="47" t="str">
        <f>INDEX(_xlfn.TEXTSPLIT(mouvementmp[[#This Row],[QR MP]],"_"),1,4)</f>
        <v>A220324523/2</v>
      </c>
      <c r="O383" s="47">
        <f>-mouvementmp[[#This Row],[Poids]]</f>
        <v>-4.8499999999999996</v>
      </c>
      <c r="P383" s="47" t="str">
        <f>IF(
   COUNTIFS($A$2:A383,A383,
             $B$2:B383,B383,
             $C$2:C383,C383,
             $D$2:D383,D383,
             $E$2:E383,E383,
             $F$2:F383,F383,
              $J$2:J383,J383)&gt;1,
   "Doublon",
   "Correcte"
)</f>
        <v>Correcte</v>
      </c>
      <c r="Q383" s="106" t="str">
        <f>IF(mouvementmp[[#This Row],[QR Fabrication]]&lt;&gt;"",INDEX(_xlfn.TEXTSPLIT(mouvementmp[[#This Row],[QR Fabrication]],"_"),1,1),"")</f>
        <v/>
      </c>
      <c r="R383" s="106" t="str">
        <f>IF(mouvementmp[[#This Row],[QR Fabrication]]&lt;&gt;"",INDEX(_xlfn.TEXTSPLIT(mouvementmp[[#This Row],[QR Fabrication]],"_"),1,2),"")</f>
        <v/>
      </c>
      <c r="S383" s="47" t="str">
        <f>IF(mouvementmp[[#This Row],[QR Fabrication]]&lt;&gt;"",INDEX(_xlfn.TEXTSPLIT(mouvementmp[[#This Row],[QR Fabrication]],"_"),1,3),"")</f>
        <v/>
      </c>
      <c r="T383" s="47" t="str">
        <f>IF(mouvementmp[[#This Row],[QR Fabrication]]&lt;&gt;"",INDEX(_xlfn.TEXTSPLIT(mouvementmp[[#This Row],[QR Fabrication]],"_"),1,4),"")</f>
        <v/>
      </c>
      <c r="U383" s="47" t="str">
        <f>IF(mouvementmp[[#This Row],[QR Fabrication]]&lt;&gt;"",INDEX(_xlfn.TEXTSPLIT(mouvementmp[[#This Row],[QR Fabrication]],"_"),1,5),"")</f>
        <v/>
      </c>
      <c r="V383" s="47" t="str">
        <f>IF(mouvementmp[[#This Row],[QR Fabrication]]&lt;&gt;"",_xlfn.TEXTAFTER(mouvementmp[[#This Row],[QR Fabrication]],"_",5),"")</f>
        <v/>
      </c>
    </row>
    <row r="384" spans="1:22" ht="16.5" thickTop="1" thickBot="1" x14ac:dyDescent="0.3">
      <c r="A384" s="46" t="s">
        <v>2477</v>
      </c>
      <c r="B384" s="54" t="s">
        <v>3925</v>
      </c>
      <c r="C384" s="47" t="s">
        <v>668</v>
      </c>
      <c r="D384" s="47" t="s">
        <v>665</v>
      </c>
      <c r="E384" s="47" t="s">
        <v>669</v>
      </c>
      <c r="F384" s="48">
        <v>1.75</v>
      </c>
      <c r="G384" s="47"/>
      <c r="H384" s="47"/>
      <c r="I384" s="47" t="s">
        <v>664</v>
      </c>
      <c r="J384" s="49">
        <v>45927</v>
      </c>
      <c r="K384" s="47" t="str">
        <f>INDEX(_xlfn.TEXTSPLIT(mouvementmp[[#This Row],[QR MP]],"_"),1,1)</f>
        <v>C19</v>
      </c>
      <c r="L384" s="47" t="str">
        <f>INDEX(_xlfn.TEXTSPLIT(mouvementmp[[#This Row],[QR MP]],"_"),1,2)</f>
        <v>KAKI</v>
      </c>
      <c r="M384" s="47" t="str">
        <f>INDEX(_xlfn.TEXTSPLIT(mouvementmp[[#This Row],[QR MP]],"_"),1,3)</f>
        <v>NM15-19.01</v>
      </c>
      <c r="N384" s="47" t="str">
        <f>INDEX(_xlfn.TEXTSPLIT(mouvementmp[[#This Row],[QR MP]],"_"),1,4)</f>
        <v>S2024</v>
      </c>
      <c r="O384" s="47">
        <f>-mouvementmp[[#This Row],[Poids]]</f>
        <v>-1.75</v>
      </c>
      <c r="P384" s="47" t="str">
        <f>IF(
   COUNTIFS($A$2:A384,A384,
             $B$2:B384,B384,
             $C$2:C384,C384,
             $D$2:D384,D384,
             $E$2:E384,E384,
             $F$2:F384,F384,
              $J$2:J384,J384)&gt;1,
   "Doublon",
   "Correcte"
)</f>
        <v>Correcte</v>
      </c>
      <c r="Q384" s="106" t="str">
        <f>IF(mouvementmp[[#This Row],[QR Fabrication]]&lt;&gt;"",INDEX(_xlfn.TEXTSPLIT(mouvementmp[[#This Row],[QR Fabrication]],"_"),1,1),"")</f>
        <v>OF250132</v>
      </c>
      <c r="R384" s="106" t="str">
        <f>IF(mouvementmp[[#This Row],[QR Fabrication]]&lt;&gt;"",INDEX(_xlfn.TEXTSPLIT(mouvementmp[[#This Row],[QR Fabrication]],"_"),1,2),"")</f>
        <v>CL00162</v>
      </c>
      <c r="S384" s="47" t="str">
        <f>IF(mouvementmp[[#This Row],[QR Fabrication]]&lt;&gt;"",INDEX(_xlfn.TEXTSPLIT(mouvementmp[[#This Row],[QR Fabrication]],"_"),1,3),"")</f>
        <v>CM-FT0130</v>
      </c>
      <c r="T384" s="47" t="str">
        <f>IF(mouvementmp[[#This Row],[QR Fabrication]]&lt;&gt;"",INDEX(_xlfn.TEXTSPLIT(mouvementmp[[#This Row],[QR Fabrication]],"_"),1,4),"")</f>
        <v>GIN2426-B19-03</v>
      </c>
      <c r="U384" s="47" t="str">
        <f>IF(mouvementmp[[#This Row],[QR Fabrication]]&lt;&gt;"",INDEX(_xlfn.TEXTSPLIT(mouvementmp[[#This Row],[QR Fabrication]],"_"),1,5),"")</f>
        <v>GINKO</v>
      </c>
      <c r="V384" s="47" t="str">
        <f>IF(mouvementmp[[#This Row],[QR Fabrication]]&lt;&gt;"",_xlfn.TEXTAFTER(mouvementmp[[#This Row],[QR Fabrication]],"_",5),"")</f>
        <v>2426</v>
      </c>
    </row>
    <row r="385" spans="1:22" ht="16.5" thickTop="1" thickBot="1" x14ac:dyDescent="0.3">
      <c r="A385" s="46" t="s">
        <v>2477</v>
      </c>
      <c r="B385" s="54" t="s">
        <v>3811</v>
      </c>
      <c r="C385" s="47" t="s">
        <v>668</v>
      </c>
      <c r="D385" s="47" t="s">
        <v>665</v>
      </c>
      <c r="E385" s="47" t="s">
        <v>669</v>
      </c>
      <c r="F385" s="48">
        <v>2.5499999999999998</v>
      </c>
      <c r="G385" s="47"/>
      <c r="H385" s="47"/>
      <c r="I385" s="47" t="s">
        <v>664</v>
      </c>
      <c r="J385" s="49">
        <v>45927</v>
      </c>
      <c r="K385" s="47" t="str">
        <f>INDEX(_xlfn.TEXTSPLIT(mouvementmp[[#This Row],[QR MP]],"_"),1,1)</f>
        <v>C03</v>
      </c>
      <c r="L385" s="47" t="str">
        <f>INDEX(_xlfn.TEXTSPLIT(mouvementmp[[#This Row],[QR MP]],"_"),1,2)</f>
        <v>BEIGE CLAIR</v>
      </c>
      <c r="M385" s="47" t="str">
        <f>INDEX(_xlfn.TEXTSPLIT(mouvementmp[[#This Row],[QR MP]],"_"),1,3)</f>
        <v>NM05-03.01</v>
      </c>
      <c r="N385" s="47" t="str">
        <f>INDEX(_xlfn.TEXTSPLIT(mouvementmp[[#This Row],[QR MP]],"_"),1,4)</f>
        <v>58783</v>
      </c>
      <c r="O385" s="47">
        <f>-mouvementmp[[#This Row],[Poids]]</f>
        <v>-2.5499999999999998</v>
      </c>
      <c r="P385" s="47" t="str">
        <f>IF(
   COUNTIFS($A$2:A385,A385,
             $B$2:B385,B385,
             $C$2:C385,C385,
             $D$2:D385,D385,
             $E$2:E385,E385,
             $F$2:F385,F385,
              $J$2:J385,J385)&gt;1,
   "Doublon",
   "Correcte"
)</f>
        <v>Correcte</v>
      </c>
      <c r="Q385" s="106" t="str">
        <f>IF(mouvementmp[[#This Row],[QR Fabrication]]&lt;&gt;"",INDEX(_xlfn.TEXTSPLIT(mouvementmp[[#This Row],[QR Fabrication]],"_"),1,1),"")</f>
        <v>OF250132</v>
      </c>
      <c r="R385" s="106" t="str">
        <f>IF(mouvementmp[[#This Row],[QR Fabrication]]&lt;&gt;"",INDEX(_xlfn.TEXTSPLIT(mouvementmp[[#This Row],[QR Fabrication]],"_"),1,2),"")</f>
        <v>CL00162</v>
      </c>
      <c r="S385" s="47" t="str">
        <f>IF(mouvementmp[[#This Row],[QR Fabrication]]&lt;&gt;"",INDEX(_xlfn.TEXTSPLIT(mouvementmp[[#This Row],[QR Fabrication]],"_"),1,3),"")</f>
        <v>CM-FT0130</v>
      </c>
      <c r="T385" s="47" t="str">
        <f>IF(mouvementmp[[#This Row],[QR Fabrication]]&lt;&gt;"",INDEX(_xlfn.TEXTSPLIT(mouvementmp[[#This Row],[QR Fabrication]],"_"),1,4),"")</f>
        <v>GIN2426-B19-03</v>
      </c>
      <c r="U385" s="47" t="str">
        <f>IF(mouvementmp[[#This Row],[QR Fabrication]]&lt;&gt;"",INDEX(_xlfn.TEXTSPLIT(mouvementmp[[#This Row],[QR Fabrication]],"_"),1,5),"")</f>
        <v>GINKO</v>
      </c>
      <c r="V385" s="47" t="str">
        <f>IF(mouvementmp[[#This Row],[QR Fabrication]]&lt;&gt;"",_xlfn.TEXTAFTER(mouvementmp[[#This Row],[QR Fabrication]],"_",5),"")</f>
        <v>2426</v>
      </c>
    </row>
    <row r="386" spans="1:22" ht="16.5" thickTop="1" thickBot="1" x14ac:dyDescent="0.3">
      <c r="A386" s="46" t="s">
        <v>2483</v>
      </c>
      <c r="B386" s="54" t="s">
        <v>3813</v>
      </c>
      <c r="C386" s="47" t="s">
        <v>668</v>
      </c>
      <c r="D386" s="47" t="s">
        <v>665</v>
      </c>
      <c r="E386" s="47" t="s">
        <v>669</v>
      </c>
      <c r="F386" s="48">
        <v>0.79</v>
      </c>
      <c r="G386" s="47"/>
      <c r="H386" s="47"/>
      <c r="I386" s="47" t="s">
        <v>664</v>
      </c>
      <c r="J386" s="49">
        <v>45929</v>
      </c>
      <c r="K386" s="47" t="str">
        <f>INDEX(_xlfn.TEXTSPLIT(mouvementmp[[#This Row],[QR MP]],"_"),1,1)</f>
        <v>C03</v>
      </c>
      <c r="L386" s="47" t="str">
        <f>INDEX(_xlfn.TEXTSPLIT(mouvementmp[[#This Row],[QR MP]],"_"),1,2)</f>
        <v>BEIGE CLAIRE</v>
      </c>
      <c r="M386" s="47" t="str">
        <f>INDEX(_xlfn.TEXTSPLIT(mouvementmp[[#This Row],[QR MP]],"_"),1,3)</f>
        <v>NM15-03.00</v>
      </c>
      <c r="N386" s="47" t="str">
        <f>INDEX(_xlfn.TEXTSPLIT(mouvementmp[[#This Row],[QR MP]],"_"),1,4)</f>
        <v>61559</v>
      </c>
      <c r="O386" s="47">
        <f>-mouvementmp[[#This Row],[Poids]]</f>
        <v>-0.79</v>
      </c>
      <c r="P386" s="47" t="str">
        <f>IF(
   COUNTIFS($A$2:A386,A386,
             $B$2:B386,B386,
             $C$2:C386,C386,
             $D$2:D386,D386,
             $E$2:E386,E386,
             $F$2:F386,F386,
              $J$2:J386,J386)&gt;1,
   "Doublon",
   "Correcte"
)</f>
        <v>Correcte</v>
      </c>
      <c r="Q386" s="106" t="str">
        <f>IF(mouvementmp[[#This Row],[QR Fabrication]]&lt;&gt;"",INDEX(_xlfn.TEXTSPLIT(mouvementmp[[#This Row],[QR Fabrication]],"_"),1,1),"")</f>
        <v>OF250199</v>
      </c>
      <c r="R386" s="106" t="str">
        <f>IF(mouvementmp[[#This Row],[QR Fabrication]]&lt;&gt;"",INDEX(_xlfn.TEXTSPLIT(mouvementmp[[#This Row],[QR Fabrication]],"_"),1,2),"")</f>
        <v>CL00844</v>
      </c>
      <c r="S386" s="47" t="str">
        <f>IF(mouvementmp[[#This Row],[QR Fabrication]]&lt;&gt;"",INDEX(_xlfn.TEXTSPLIT(mouvementmp[[#This Row],[QR Fabrication]],"_"),1,3),"")</f>
        <v>CM-FT0136</v>
      </c>
      <c r="T386" s="47" t="str">
        <f>IF(mouvementmp[[#This Row],[QR Fabrication]]&lt;&gt;"",INDEX(_xlfn.TEXTSPLIT(mouvementmp[[#This Row],[QR Fabrication]],"_"),1,4),"")</f>
        <v>PACKSICL0507-B03-02</v>
      </c>
      <c r="U386" s="47" t="str">
        <f>IF(mouvementmp[[#This Row],[QR Fabrication]]&lt;&gt;"",INDEX(_xlfn.TEXTSPLIT(mouvementmp[[#This Row],[QR Fabrication]],"_"),1,5),"")</f>
        <v>PACK CLASSIQUE</v>
      </c>
      <c r="V386" s="47" t="str">
        <f>IF(mouvementmp[[#This Row],[QR Fabrication]]&lt;&gt;"",_xlfn.TEXTAFTER(mouvementmp[[#This Row],[QR Fabrication]],"_",5),"")</f>
        <v>0507</v>
      </c>
    </row>
    <row r="387" spans="1:22" ht="16.5" thickTop="1" thickBot="1" x14ac:dyDescent="0.3">
      <c r="A387" s="46" t="s">
        <v>2483</v>
      </c>
      <c r="B387" s="54" t="s">
        <v>3806</v>
      </c>
      <c r="C387" s="47" t="s">
        <v>668</v>
      </c>
      <c r="D387" s="47" t="s">
        <v>665</v>
      </c>
      <c r="E387" s="47" t="s">
        <v>669</v>
      </c>
      <c r="F387" s="48">
        <v>0.55000000000000004</v>
      </c>
      <c r="G387" s="47"/>
      <c r="H387" s="47"/>
      <c r="I387" s="47" t="s">
        <v>664</v>
      </c>
      <c r="J387" s="49">
        <v>45929</v>
      </c>
      <c r="K387" s="47" t="str">
        <f>INDEX(_xlfn.TEXTSPLIT(mouvementmp[[#This Row],[QR MP]],"_"),1,1)</f>
        <v>C02</v>
      </c>
      <c r="L387" s="47" t="str">
        <f>INDEX(_xlfn.TEXTSPLIT(mouvementmp[[#This Row],[QR MP]],"_"),1,2)</f>
        <v>ECRU</v>
      </c>
      <c r="M387" s="47" t="str">
        <f>INDEX(_xlfn.TEXTSPLIT(mouvementmp[[#This Row],[QR MP]],"_"),1,3)</f>
        <v>NM15-02.00</v>
      </c>
      <c r="N387" s="47" t="str">
        <f>INDEX(_xlfn.TEXTSPLIT(mouvementmp[[#This Row],[QR MP]],"_"),1,4)</f>
        <v>61424</v>
      </c>
      <c r="O387" s="47">
        <f>-mouvementmp[[#This Row],[Poids]]</f>
        <v>-0.55000000000000004</v>
      </c>
      <c r="P387" s="47" t="str">
        <f>IF(
   COUNTIFS($A$2:A387,A387,
             $B$2:B387,B387,
             $C$2:C387,C387,
             $D$2:D387,D387,
             $E$2:E387,E387,
             $F$2:F387,F387,
              $J$2:J387,J387)&gt;1,
   "Doublon",
   "Correcte"
)</f>
        <v>Correcte</v>
      </c>
      <c r="Q387" s="106" t="str">
        <f>IF(mouvementmp[[#This Row],[QR Fabrication]]&lt;&gt;"",INDEX(_xlfn.TEXTSPLIT(mouvementmp[[#This Row],[QR Fabrication]],"_"),1,1),"")</f>
        <v>OF250199</v>
      </c>
      <c r="R387" s="106" t="str">
        <f>IF(mouvementmp[[#This Row],[QR Fabrication]]&lt;&gt;"",INDEX(_xlfn.TEXTSPLIT(mouvementmp[[#This Row],[QR Fabrication]],"_"),1,2),"")</f>
        <v>CL00844</v>
      </c>
      <c r="S387" s="47" t="str">
        <f>IF(mouvementmp[[#This Row],[QR Fabrication]]&lt;&gt;"",INDEX(_xlfn.TEXTSPLIT(mouvementmp[[#This Row],[QR Fabrication]],"_"),1,3),"")</f>
        <v>CM-FT0136</v>
      </c>
      <c r="T387" s="47" t="str">
        <f>IF(mouvementmp[[#This Row],[QR Fabrication]]&lt;&gt;"",INDEX(_xlfn.TEXTSPLIT(mouvementmp[[#This Row],[QR Fabrication]],"_"),1,4),"")</f>
        <v>PACKSICL0507-B03-02</v>
      </c>
      <c r="U387" s="47" t="str">
        <f>IF(mouvementmp[[#This Row],[QR Fabrication]]&lt;&gt;"",INDEX(_xlfn.TEXTSPLIT(mouvementmp[[#This Row],[QR Fabrication]],"_"),1,5),"")</f>
        <v>PACK CLASSIQUE</v>
      </c>
      <c r="V387" s="47" t="str">
        <f>IF(mouvementmp[[#This Row],[QR Fabrication]]&lt;&gt;"",_xlfn.TEXTAFTER(mouvementmp[[#This Row],[QR Fabrication]],"_",5),"")</f>
        <v>0507</v>
      </c>
    </row>
    <row r="388" spans="1:22" ht="16.5" thickTop="1" thickBot="1" x14ac:dyDescent="0.3">
      <c r="A388" s="46" t="s">
        <v>2486</v>
      </c>
      <c r="B388" s="54" t="s">
        <v>3865</v>
      </c>
      <c r="C388" s="47" t="s">
        <v>668</v>
      </c>
      <c r="D388" s="47" t="s">
        <v>665</v>
      </c>
      <c r="E388" s="47" t="s">
        <v>669</v>
      </c>
      <c r="F388" s="48">
        <v>7.95</v>
      </c>
      <c r="G388" s="47"/>
      <c r="H388" s="47"/>
      <c r="I388" s="47" t="s">
        <v>664</v>
      </c>
      <c r="J388" s="49">
        <v>45929</v>
      </c>
      <c r="K388" s="47" t="str">
        <f>INDEX(_xlfn.TEXTSPLIT(mouvementmp[[#This Row],[QR MP]],"_"),1,1)</f>
        <v>C17</v>
      </c>
      <c r="L388" s="47" t="str">
        <f>INDEX(_xlfn.TEXTSPLIT(mouvementmp[[#This Row],[QR MP]],"_"),1,2)</f>
        <v>EMAURAUDE</v>
      </c>
      <c r="M388" s="47" t="str">
        <f>INDEX(_xlfn.TEXTSPLIT(mouvementmp[[#This Row],[QR MP]],"_"),1,3)</f>
        <v>NM15-17.00</v>
      </c>
      <c r="N388" s="47" t="str">
        <f>INDEX(_xlfn.TEXTSPLIT(mouvementmp[[#This Row],[QR MP]],"_"),1,4)</f>
        <v>61571</v>
      </c>
      <c r="O388" s="47">
        <f>-mouvementmp[[#This Row],[Poids]]</f>
        <v>-7.95</v>
      </c>
      <c r="P388" s="47" t="str">
        <f>IF(
   COUNTIFS($A$2:A388,A388,
             $B$2:B388,B388,
             $C$2:C388,C388,
             $D$2:D388,D388,
             $E$2:E388,E388,
             $F$2:F388,F388,
              $J$2:J388,J388)&gt;1,
   "Doublon",
   "Correcte"
)</f>
        <v>Correcte</v>
      </c>
      <c r="Q388" s="106" t="str">
        <f>IF(mouvementmp[[#This Row],[QR Fabrication]]&lt;&gt;"",INDEX(_xlfn.TEXTSPLIT(mouvementmp[[#This Row],[QR Fabrication]],"_"),1,1),"")</f>
        <v>OF243387</v>
      </c>
      <c r="R388" s="106" t="str">
        <f>IF(mouvementmp[[#This Row],[QR Fabrication]]&lt;&gt;"",INDEX(_xlfn.TEXTSPLIT(mouvementmp[[#This Row],[QR Fabrication]],"_"),1,2),"")</f>
        <v>CL00882</v>
      </c>
      <c r="S388" s="47" t="str">
        <f>IF(mouvementmp[[#This Row],[QR Fabrication]]&lt;&gt;"",INDEX(_xlfn.TEXTSPLIT(mouvementmp[[#This Row],[QR Fabrication]],"_"),1,3),"")</f>
        <v>ABF-CM90234</v>
      </c>
      <c r="T388" s="47" t="str">
        <f>IF(mouvementmp[[#This Row],[QR Fabrication]]&lt;&gt;"",INDEX(_xlfn.TEXTSPLIT(mouvementmp[[#This Row],[QR Fabrication]],"_"),1,4),"")</f>
        <v>PONADU-B18-17</v>
      </c>
      <c r="U388" s="47" t="str">
        <f>IF(mouvementmp[[#This Row],[QR Fabrication]]&lt;&gt;"",INDEX(_xlfn.TEXTSPLIT(mouvementmp[[#This Row],[QR Fabrication]],"_"),1,5),"")</f>
        <v>PONCHO BICOULEUR</v>
      </c>
      <c r="V388" s="47" t="str">
        <f>IF(mouvementmp[[#This Row],[QR Fabrication]]&lt;&gt;"",_xlfn.TEXTAFTER(mouvementmp[[#This Row],[QR Fabrication]],"_",5),"")</f>
        <v>ADU</v>
      </c>
    </row>
    <row r="389" spans="1:22" ht="16.5" thickTop="1" thickBot="1" x14ac:dyDescent="0.3">
      <c r="A389" s="46" t="s">
        <v>2487</v>
      </c>
      <c r="B389" s="54" t="s">
        <v>3806</v>
      </c>
      <c r="C389" s="47" t="s">
        <v>668</v>
      </c>
      <c r="D389" s="47" t="s">
        <v>665</v>
      </c>
      <c r="E389" s="47" t="s">
        <v>669</v>
      </c>
      <c r="F389" s="48">
        <v>6.85</v>
      </c>
      <c r="G389" s="47"/>
      <c r="H389" s="47"/>
      <c r="I389" s="47" t="s">
        <v>664</v>
      </c>
      <c r="J389" s="49">
        <v>45929</v>
      </c>
      <c r="K389" s="47" t="str">
        <f>INDEX(_xlfn.TEXTSPLIT(mouvementmp[[#This Row],[QR MP]],"_"),1,1)</f>
        <v>C02</v>
      </c>
      <c r="L389" s="47" t="str">
        <f>INDEX(_xlfn.TEXTSPLIT(mouvementmp[[#This Row],[QR MP]],"_"),1,2)</f>
        <v>ECRU</v>
      </c>
      <c r="M389" s="47" t="str">
        <f>INDEX(_xlfn.TEXTSPLIT(mouvementmp[[#This Row],[QR MP]],"_"),1,3)</f>
        <v>NM15-02.00</v>
      </c>
      <c r="N389" s="47" t="str">
        <f>INDEX(_xlfn.TEXTSPLIT(mouvementmp[[#This Row],[QR MP]],"_"),1,4)</f>
        <v>61424</v>
      </c>
      <c r="O389" s="47">
        <f>-mouvementmp[[#This Row],[Poids]]</f>
        <v>-6.85</v>
      </c>
      <c r="P389" s="47" t="str">
        <f>IF(
   COUNTIFS($A$2:A389,A389,
             $B$2:B389,B389,
             $C$2:C389,C389,
             $D$2:D389,D389,
             $E$2:E389,E389,
             $F$2:F389,F389,
              $J$2:J389,J389)&gt;1,
   "Doublon",
   "Correcte"
)</f>
        <v>Correcte</v>
      </c>
      <c r="Q389" s="106" t="str">
        <f>IF(mouvementmp[[#This Row],[QR Fabrication]]&lt;&gt;"",INDEX(_xlfn.TEXTSPLIT(mouvementmp[[#This Row],[QR Fabrication]],"_"),1,1),"")</f>
        <v>OF243383</v>
      </c>
      <c r="R389" s="106" t="str">
        <f>IF(mouvementmp[[#This Row],[QR Fabrication]]&lt;&gt;"",INDEX(_xlfn.TEXTSPLIT(mouvementmp[[#This Row],[QR Fabrication]],"_"),1,2),"")</f>
        <v>CL00882</v>
      </c>
      <c r="S389" s="47" t="str">
        <f>IF(mouvementmp[[#This Row],[QR Fabrication]]&lt;&gt;"",INDEX(_xlfn.TEXTSPLIT(mouvementmp[[#This Row],[QR Fabrication]],"_"),1,3),"")</f>
        <v>ABF-CM90234</v>
      </c>
      <c r="T389" s="47" t="str">
        <f>IF(mouvementmp[[#This Row],[QR Fabrication]]&lt;&gt;"",INDEX(_xlfn.TEXTSPLIT(mouvementmp[[#This Row],[QR Fabrication]],"_"),1,4),"")</f>
        <v>PONADU-B02-03</v>
      </c>
      <c r="U389" s="47" t="str">
        <f>IF(mouvementmp[[#This Row],[QR Fabrication]]&lt;&gt;"",INDEX(_xlfn.TEXTSPLIT(mouvementmp[[#This Row],[QR Fabrication]],"_"),1,5),"")</f>
        <v>PONCHO BICOULEUR</v>
      </c>
      <c r="V389" s="47" t="str">
        <f>IF(mouvementmp[[#This Row],[QR Fabrication]]&lt;&gt;"",_xlfn.TEXTAFTER(mouvementmp[[#This Row],[QR Fabrication]],"_",5),"")</f>
        <v>ADU</v>
      </c>
    </row>
    <row r="390" spans="1:22" ht="16.5" thickTop="1" thickBot="1" x14ac:dyDescent="0.3">
      <c r="A390" s="46" t="s">
        <v>2487</v>
      </c>
      <c r="B390" s="54" t="s">
        <v>3814</v>
      </c>
      <c r="C390" s="47" t="s">
        <v>668</v>
      </c>
      <c r="D390" s="47" t="s">
        <v>665</v>
      </c>
      <c r="E390" s="47" t="s">
        <v>669</v>
      </c>
      <c r="F390" s="48">
        <v>7.54</v>
      </c>
      <c r="G390" s="47"/>
      <c r="H390" s="47"/>
      <c r="I390" s="47" t="s">
        <v>664</v>
      </c>
      <c r="J390" s="49">
        <v>45929</v>
      </c>
      <c r="K390" s="47" t="str">
        <f>INDEX(_xlfn.TEXTSPLIT(mouvementmp[[#This Row],[QR MP]],"_"),1,1)</f>
        <v>C03</v>
      </c>
      <c r="L390" s="47" t="str">
        <f>INDEX(_xlfn.TEXTSPLIT(mouvementmp[[#This Row],[QR MP]],"_"),1,2)</f>
        <v xml:space="preserve">BEIGE </v>
      </c>
      <c r="M390" s="47" t="str">
        <f>INDEX(_xlfn.TEXTSPLIT(mouvementmp[[#This Row],[QR MP]],"_"),1,3)</f>
        <v>NM15-03.01</v>
      </c>
      <c r="N390" s="47" t="str">
        <f>INDEX(_xlfn.TEXTSPLIT(mouvementmp[[#This Row],[QR MP]],"_"),1,4)</f>
        <v>61559</v>
      </c>
      <c r="O390" s="47">
        <f>-mouvementmp[[#This Row],[Poids]]</f>
        <v>-7.54</v>
      </c>
      <c r="P390" s="47" t="str">
        <f>IF(
   COUNTIFS($A$2:A390,A390,
             $B$2:B390,B390,
             $C$2:C390,C390,
             $D$2:D390,D390,
             $E$2:E390,E390,
             $F$2:F390,F390,
              $J$2:J390,J390)&gt;1,
   "Doublon",
   "Correcte"
)</f>
        <v>Correcte</v>
      </c>
      <c r="Q390" s="106" t="str">
        <f>IF(mouvementmp[[#This Row],[QR Fabrication]]&lt;&gt;"",INDEX(_xlfn.TEXTSPLIT(mouvementmp[[#This Row],[QR Fabrication]],"_"),1,1),"")</f>
        <v>OF243383</v>
      </c>
      <c r="R390" s="106" t="str">
        <f>IF(mouvementmp[[#This Row],[QR Fabrication]]&lt;&gt;"",INDEX(_xlfn.TEXTSPLIT(mouvementmp[[#This Row],[QR Fabrication]],"_"),1,2),"")</f>
        <v>CL00882</v>
      </c>
      <c r="S390" s="47" t="str">
        <f>IF(mouvementmp[[#This Row],[QR Fabrication]]&lt;&gt;"",INDEX(_xlfn.TEXTSPLIT(mouvementmp[[#This Row],[QR Fabrication]],"_"),1,3),"")</f>
        <v>ABF-CM90234</v>
      </c>
      <c r="T390" s="47" t="str">
        <f>IF(mouvementmp[[#This Row],[QR Fabrication]]&lt;&gt;"",INDEX(_xlfn.TEXTSPLIT(mouvementmp[[#This Row],[QR Fabrication]],"_"),1,4),"")</f>
        <v>PONADU-B02-03</v>
      </c>
      <c r="U390" s="47" t="str">
        <f>IF(mouvementmp[[#This Row],[QR Fabrication]]&lt;&gt;"",INDEX(_xlfn.TEXTSPLIT(mouvementmp[[#This Row],[QR Fabrication]],"_"),1,5),"")</f>
        <v>PONCHO BICOULEUR</v>
      </c>
      <c r="V390" s="47" t="str">
        <f>IF(mouvementmp[[#This Row],[QR Fabrication]]&lt;&gt;"",_xlfn.TEXTAFTER(mouvementmp[[#This Row],[QR Fabrication]],"_",5),"")</f>
        <v>ADU</v>
      </c>
    </row>
    <row r="391" spans="1:22" ht="16.5" thickTop="1" thickBot="1" x14ac:dyDescent="0.3">
      <c r="A391" s="46" t="s">
        <v>2488</v>
      </c>
      <c r="B391" s="54" t="s">
        <v>3923</v>
      </c>
      <c r="C391" s="47" t="s">
        <v>668</v>
      </c>
      <c r="D391" s="47" t="s">
        <v>665</v>
      </c>
      <c r="E391" s="47" t="s">
        <v>669</v>
      </c>
      <c r="F391" s="48">
        <v>36.75</v>
      </c>
      <c r="G391" s="47"/>
      <c r="H391" s="47"/>
      <c r="I391" s="47" t="s">
        <v>664</v>
      </c>
      <c r="J391" s="49">
        <v>45929</v>
      </c>
      <c r="K391" s="47" t="str">
        <f>INDEX(_xlfn.TEXTSPLIT(mouvementmp[[#This Row],[QR MP]],"_"),1,1)</f>
        <v>C16</v>
      </c>
      <c r="L391" s="47" t="str">
        <f>INDEX(_xlfn.TEXTSPLIT(mouvementmp[[#This Row],[QR MP]],"_"),1,2)</f>
        <v>BLEU CIEL</v>
      </c>
      <c r="M391" s="47" t="str">
        <f>INDEX(_xlfn.TEXTSPLIT(mouvementmp[[#This Row],[QR MP]],"_"),1,3)</f>
        <v>NM15-16.00</v>
      </c>
      <c r="N391" s="47" t="str">
        <f>INDEX(_xlfn.TEXTSPLIT(mouvementmp[[#This Row],[QR MP]],"_"),1,4)</f>
        <v>61532</v>
      </c>
      <c r="O391" s="47">
        <f>-mouvementmp[[#This Row],[Poids]]</f>
        <v>-36.75</v>
      </c>
      <c r="P391" s="47" t="str">
        <f>IF(
   COUNTIFS($A$2:A391,A391,
             $B$2:B391,B391,
             $C$2:C391,C391,
             $D$2:D391,D391,
             $E$2:E391,E391,
             $F$2:F391,F391,
              $J$2:J391,J391)&gt;1,
   "Doublon",
   "Correcte"
)</f>
        <v>Correcte</v>
      </c>
      <c r="Q391" s="106" t="str">
        <f>IF(mouvementmp[[#This Row],[QR Fabrication]]&lt;&gt;"",INDEX(_xlfn.TEXTSPLIT(mouvementmp[[#This Row],[QR Fabrication]],"_"),1,1),"")</f>
        <v>OF243177</v>
      </c>
      <c r="R391" s="106" t="str">
        <f>IF(mouvementmp[[#This Row],[QR Fabrication]]&lt;&gt;"",INDEX(_xlfn.TEXTSPLIT(mouvementmp[[#This Row],[QR Fabrication]],"_"),1,2),"")</f>
        <v>All By Fouta</v>
      </c>
      <c r="S391" s="47" t="str">
        <f>IF(mouvementmp[[#This Row],[QR Fabrication]]&lt;&gt;"",INDEX(_xlfn.TEXTSPLIT(mouvementmp[[#This Row],[QR Fabrication]],"_"),1,3),"")</f>
        <v>Stock</v>
      </c>
      <c r="T391" s="47" t="str">
        <f>IF(mouvementmp[[#This Row],[QR Fabrication]]&lt;&gt;"",INDEX(_xlfn.TEXTSPLIT(mouvementmp[[#This Row],[QR Fabrication]],"_"),1,4),"")</f>
        <v>PONADU-B16-10</v>
      </c>
      <c r="U391" s="47" t="str">
        <f>IF(mouvementmp[[#This Row],[QR Fabrication]]&lt;&gt;"",INDEX(_xlfn.TEXTSPLIT(mouvementmp[[#This Row],[QR Fabrication]],"_"),1,5),"")</f>
        <v>PONCHO BICOULEUR</v>
      </c>
      <c r="V391" s="47" t="str">
        <f>IF(mouvementmp[[#This Row],[QR Fabrication]]&lt;&gt;"",_xlfn.TEXTAFTER(mouvementmp[[#This Row],[QR Fabrication]],"_",5),"")</f>
        <v>ADU</v>
      </c>
    </row>
    <row r="392" spans="1:22" ht="16.5" thickTop="1" thickBot="1" x14ac:dyDescent="0.3">
      <c r="A392" s="46" t="s">
        <v>2488</v>
      </c>
      <c r="B392" s="54" t="s">
        <v>3846</v>
      </c>
      <c r="C392" s="47" t="s">
        <v>668</v>
      </c>
      <c r="D392" s="47" t="s">
        <v>665</v>
      </c>
      <c r="E392" s="47" t="s">
        <v>669</v>
      </c>
      <c r="F392" s="48">
        <v>47.55</v>
      </c>
      <c r="G392" s="47"/>
      <c r="H392" s="47"/>
      <c r="I392" s="47" t="s">
        <v>664</v>
      </c>
      <c r="J392" s="49">
        <v>45929</v>
      </c>
      <c r="K392" s="47" t="str">
        <f>INDEX(_xlfn.TEXTSPLIT(mouvementmp[[#This Row],[QR MP]],"_"),1,1)</f>
        <v>C10</v>
      </c>
      <c r="L392" s="47" t="str">
        <f>INDEX(_xlfn.TEXTSPLIT(mouvementmp[[#This Row],[QR MP]],"_"),1,2)</f>
        <v>BLEU MARINE</v>
      </c>
      <c r="M392" s="47" t="str">
        <f>INDEX(_xlfn.TEXTSPLIT(mouvementmp[[#This Row],[QR MP]],"_"),1,3)</f>
        <v>NM15-10.00</v>
      </c>
      <c r="N392" s="47" t="str">
        <f>INDEX(_xlfn.TEXTSPLIT(mouvementmp[[#This Row],[QR MP]],"_"),1,4)</f>
        <v>61462</v>
      </c>
      <c r="O392" s="47">
        <f>-mouvementmp[[#This Row],[Poids]]</f>
        <v>-47.55</v>
      </c>
      <c r="P392" s="47" t="str">
        <f>IF(
   COUNTIFS($A$2:A392,A392,
             $B$2:B392,B392,
             $C$2:C392,C392,
             $D$2:D392,D392,
             $E$2:E392,E392,
             $F$2:F392,F392,
              $J$2:J392,J392)&gt;1,
   "Doublon",
   "Correcte"
)</f>
        <v>Correcte</v>
      </c>
      <c r="Q392" s="106" t="str">
        <f>IF(mouvementmp[[#This Row],[QR Fabrication]]&lt;&gt;"",INDEX(_xlfn.TEXTSPLIT(mouvementmp[[#This Row],[QR Fabrication]],"_"),1,1),"")</f>
        <v>OF243177</v>
      </c>
      <c r="R392" s="106" t="str">
        <f>IF(mouvementmp[[#This Row],[QR Fabrication]]&lt;&gt;"",INDEX(_xlfn.TEXTSPLIT(mouvementmp[[#This Row],[QR Fabrication]],"_"),1,2),"")</f>
        <v>All By Fouta</v>
      </c>
      <c r="S392" s="47" t="str">
        <f>IF(mouvementmp[[#This Row],[QR Fabrication]]&lt;&gt;"",INDEX(_xlfn.TEXTSPLIT(mouvementmp[[#This Row],[QR Fabrication]],"_"),1,3),"")</f>
        <v>Stock</v>
      </c>
      <c r="T392" s="47" t="str">
        <f>IF(mouvementmp[[#This Row],[QR Fabrication]]&lt;&gt;"",INDEX(_xlfn.TEXTSPLIT(mouvementmp[[#This Row],[QR Fabrication]],"_"),1,4),"")</f>
        <v>PONADU-B16-10</v>
      </c>
      <c r="U392" s="47" t="str">
        <f>IF(mouvementmp[[#This Row],[QR Fabrication]]&lt;&gt;"",INDEX(_xlfn.TEXTSPLIT(mouvementmp[[#This Row],[QR Fabrication]],"_"),1,5),"")</f>
        <v>PONCHO BICOULEUR</v>
      </c>
      <c r="V392" s="47" t="str">
        <f>IF(mouvementmp[[#This Row],[QR Fabrication]]&lt;&gt;"",_xlfn.TEXTAFTER(mouvementmp[[#This Row],[QR Fabrication]],"_",5),"")</f>
        <v>ADU</v>
      </c>
    </row>
    <row r="393" spans="1:22" ht="16.5" thickTop="1" thickBot="1" x14ac:dyDescent="0.3">
      <c r="A393" s="46"/>
      <c r="B393" s="54" t="s">
        <v>3910</v>
      </c>
      <c r="C393" s="47" t="s">
        <v>670</v>
      </c>
      <c r="D393" s="47" t="s">
        <v>666</v>
      </c>
      <c r="E393" s="47" t="s">
        <v>671</v>
      </c>
      <c r="F393" s="48">
        <v>414</v>
      </c>
      <c r="G393" s="47"/>
      <c r="H393" s="47"/>
      <c r="I393" s="47" t="s">
        <v>664</v>
      </c>
      <c r="J393" s="49">
        <v>45929</v>
      </c>
      <c r="K393" s="47" t="str">
        <f>INDEX(_xlfn.TEXTSPLIT(mouvementmp[[#This Row],[QR MP]],"_"),1,1)</f>
        <v>CH</v>
      </c>
      <c r="L393" s="47" t="str">
        <f>INDEX(_xlfn.TEXTSPLIT(mouvementmp[[#This Row],[QR MP]],"_"),1,2)</f>
        <v>Ecru</v>
      </c>
      <c r="M393" s="47" t="str">
        <f>INDEX(_xlfn.TEXTSPLIT(mouvementmp[[#This Row],[QR MP]],"_"),1,3)</f>
        <v>CH2/40CE</v>
      </c>
      <c r="N393" s="47" t="str">
        <f>INDEX(_xlfn.TEXTSPLIT(mouvementmp[[#This Row],[QR MP]],"_"),1,4)</f>
        <v>A220324523/2</v>
      </c>
      <c r="O393" s="47">
        <f>-mouvementmp[[#This Row],[Poids]]</f>
        <v>-414</v>
      </c>
      <c r="P393" s="47" t="str">
        <f>IF(
   COUNTIFS($A$2:A393,A393,
             $B$2:B393,B393,
             $C$2:C393,C393,
             $D$2:D393,D393,
             $E$2:E393,E393,
             $F$2:F393,F393,
              $J$2:J393,J393)&gt;1,
   "Doublon",
   "Correcte"
)</f>
        <v>Correcte</v>
      </c>
      <c r="Q393" s="106" t="str">
        <f>IF(mouvementmp[[#This Row],[QR Fabrication]]&lt;&gt;"",INDEX(_xlfn.TEXTSPLIT(mouvementmp[[#This Row],[QR Fabrication]],"_"),1,1),"")</f>
        <v/>
      </c>
      <c r="R393" s="106" t="str">
        <f>IF(mouvementmp[[#This Row],[QR Fabrication]]&lt;&gt;"",INDEX(_xlfn.TEXTSPLIT(mouvementmp[[#This Row],[QR Fabrication]],"_"),1,2),"")</f>
        <v/>
      </c>
      <c r="S393" s="47" t="str">
        <f>IF(mouvementmp[[#This Row],[QR Fabrication]]&lt;&gt;"",INDEX(_xlfn.TEXTSPLIT(mouvementmp[[#This Row],[QR Fabrication]],"_"),1,3),"")</f>
        <v/>
      </c>
      <c r="T393" s="47" t="str">
        <f>IF(mouvementmp[[#This Row],[QR Fabrication]]&lt;&gt;"",INDEX(_xlfn.TEXTSPLIT(mouvementmp[[#This Row],[QR Fabrication]],"_"),1,4),"")</f>
        <v/>
      </c>
      <c r="U393" s="47" t="str">
        <f>IF(mouvementmp[[#This Row],[QR Fabrication]]&lt;&gt;"",INDEX(_xlfn.TEXTSPLIT(mouvementmp[[#This Row],[QR Fabrication]],"_"),1,5),"")</f>
        <v/>
      </c>
      <c r="V393" s="47" t="str">
        <f>IF(mouvementmp[[#This Row],[QR Fabrication]]&lt;&gt;"",_xlfn.TEXTAFTER(mouvementmp[[#This Row],[QR Fabrication]],"_",5),"")</f>
        <v/>
      </c>
    </row>
    <row r="394" spans="1:22" ht="16.5" thickTop="1" thickBot="1" x14ac:dyDescent="0.3">
      <c r="A394" s="46" t="s">
        <v>2489</v>
      </c>
      <c r="B394" s="54" t="s">
        <v>3884</v>
      </c>
      <c r="C394" s="47" t="s">
        <v>672</v>
      </c>
      <c r="D394" s="47" t="s">
        <v>665</v>
      </c>
      <c r="E394" s="47" t="s">
        <v>669</v>
      </c>
      <c r="F394" s="48">
        <v>13</v>
      </c>
      <c r="G394" s="47"/>
      <c r="H394" s="47"/>
      <c r="I394" s="47" t="s">
        <v>664</v>
      </c>
      <c r="J394" s="49">
        <v>45929</v>
      </c>
      <c r="K394" s="47" t="str">
        <f>INDEX(_xlfn.TEXTSPLIT(mouvementmp[[#This Row],[QR MP]],"_"),1,1)</f>
        <v>C23</v>
      </c>
      <c r="L394" s="47" t="str">
        <f>INDEX(_xlfn.TEXTSPLIT(mouvementmp[[#This Row],[QR MP]],"_"),1,2)</f>
        <v>OR</v>
      </c>
      <c r="M394" s="47" t="str">
        <f>INDEX(_xlfn.TEXTSPLIT(mouvementmp[[#This Row],[QR MP]],"_"),1,3)</f>
        <v>NM15-23.00</v>
      </c>
      <c r="N394" s="47" t="str">
        <f>INDEX(_xlfn.TEXTSPLIT(mouvementmp[[#This Row],[QR MP]],"_"),1,4)</f>
        <v>61566</v>
      </c>
      <c r="O394" s="47">
        <f>-mouvementmp[[#This Row],[Poids]]</f>
        <v>-13</v>
      </c>
      <c r="P394" s="47" t="str">
        <f>IF(
   COUNTIFS($A$2:A394,A394,
             $B$2:B394,B394,
             $C$2:C394,C394,
             $D$2:D394,D394,
             $E$2:E394,E394,
             $F$2:F394,F394,
              $J$2:J394,J394)&gt;1,
   "Doublon",
   "Correcte"
)</f>
        <v>Correcte</v>
      </c>
      <c r="Q394" s="106" t="str">
        <f>IF(mouvementmp[[#This Row],[QR Fabrication]]&lt;&gt;"",INDEX(_xlfn.TEXTSPLIT(mouvementmp[[#This Row],[QR Fabrication]],"_"),1,1),"")</f>
        <v>OF249858</v>
      </c>
      <c r="R394" s="106" t="str">
        <f>IF(mouvementmp[[#This Row],[QR Fabrication]]&lt;&gt;"",INDEX(_xlfn.TEXTSPLIT(mouvementmp[[#This Row],[QR Fabrication]],"_"),1,2),"")</f>
        <v>CL00884</v>
      </c>
      <c r="S394" s="47" t="str">
        <f>IF(mouvementmp[[#This Row],[QR Fabrication]]&lt;&gt;"",INDEX(_xlfn.TEXTSPLIT(mouvementmp[[#This Row],[QR Fabrication]],"_"),1,3),"")</f>
        <v>CM-FT0119</v>
      </c>
      <c r="T394" s="47" t="str">
        <f>IF(mouvementmp[[#This Row],[QR Fabrication]]&lt;&gt;"",INDEX(_xlfn.TEXTSPLIT(mouvementmp[[#This Row],[QR Fabrication]],"_"),1,4),"")</f>
        <v>AR2020-B23-01</v>
      </c>
      <c r="U394" s="47" t="str">
        <f>IF(mouvementmp[[#This Row],[QR Fabrication]]&lt;&gt;"",INDEX(_xlfn.TEXTSPLIT(mouvementmp[[#This Row],[QR Fabrication]],"_"),1,5),"")</f>
        <v>ARTHUR</v>
      </c>
      <c r="V394" s="47" t="str">
        <f>IF(mouvementmp[[#This Row],[QR Fabrication]]&lt;&gt;"",_xlfn.TEXTAFTER(mouvementmp[[#This Row],[QR Fabrication]],"_",5),"")</f>
        <v>2020</v>
      </c>
    </row>
    <row r="395" spans="1:22" ht="16.5" thickTop="1" thickBot="1" x14ac:dyDescent="0.3">
      <c r="A395" s="46"/>
      <c r="B395" s="54" t="s">
        <v>3910</v>
      </c>
      <c r="C395" s="47" t="s">
        <v>676</v>
      </c>
      <c r="D395" s="47" t="s">
        <v>665</v>
      </c>
      <c r="E395" s="47" t="s">
        <v>677</v>
      </c>
      <c r="F395" s="48">
        <v>71.8</v>
      </c>
      <c r="G395" s="47"/>
      <c r="H395" s="47"/>
      <c r="I395" s="47" t="s">
        <v>664</v>
      </c>
      <c r="J395" s="49">
        <v>45929</v>
      </c>
      <c r="K395" s="47" t="str">
        <f>INDEX(_xlfn.TEXTSPLIT(mouvementmp[[#This Row],[QR MP]],"_"),1,1)</f>
        <v>CH</v>
      </c>
      <c r="L395" s="47" t="str">
        <f>INDEX(_xlfn.TEXTSPLIT(mouvementmp[[#This Row],[QR MP]],"_"),1,2)</f>
        <v>Ecru</v>
      </c>
      <c r="M395" s="47" t="str">
        <f>INDEX(_xlfn.TEXTSPLIT(mouvementmp[[#This Row],[QR MP]],"_"),1,3)</f>
        <v>CH2/40CE</v>
      </c>
      <c r="N395" s="47" t="str">
        <f>INDEX(_xlfn.TEXTSPLIT(mouvementmp[[#This Row],[QR MP]],"_"),1,4)</f>
        <v>A220324523/2</v>
      </c>
      <c r="O395" s="47">
        <f>-mouvementmp[[#This Row],[Poids]]</f>
        <v>-71.8</v>
      </c>
      <c r="P395" s="47" t="str">
        <f>IF(
   COUNTIFS($A$2:A395,A395,
             $B$2:B395,B395,
             $C$2:C395,C395,
             $D$2:D395,D395,
             $E$2:E395,E395,
             $F$2:F395,F395,
              $J$2:J395,J395)&gt;1,
   "Doublon",
   "Correcte"
)</f>
        <v>Correcte</v>
      </c>
      <c r="Q395" s="106" t="str">
        <f>IF(mouvementmp[[#This Row],[QR Fabrication]]&lt;&gt;"",INDEX(_xlfn.TEXTSPLIT(mouvementmp[[#This Row],[QR Fabrication]],"_"),1,1),"")</f>
        <v/>
      </c>
      <c r="R395" s="106" t="str">
        <f>IF(mouvementmp[[#This Row],[QR Fabrication]]&lt;&gt;"",INDEX(_xlfn.TEXTSPLIT(mouvementmp[[#This Row],[QR Fabrication]],"_"),1,2),"")</f>
        <v/>
      </c>
      <c r="S395" s="47" t="str">
        <f>IF(mouvementmp[[#This Row],[QR Fabrication]]&lt;&gt;"",INDEX(_xlfn.TEXTSPLIT(mouvementmp[[#This Row],[QR Fabrication]],"_"),1,3),"")</f>
        <v/>
      </c>
      <c r="T395" s="47" t="str">
        <f>IF(mouvementmp[[#This Row],[QR Fabrication]]&lt;&gt;"",INDEX(_xlfn.TEXTSPLIT(mouvementmp[[#This Row],[QR Fabrication]],"_"),1,4),"")</f>
        <v/>
      </c>
      <c r="U395" s="47" t="str">
        <f>IF(mouvementmp[[#This Row],[QR Fabrication]]&lt;&gt;"",INDEX(_xlfn.TEXTSPLIT(mouvementmp[[#This Row],[QR Fabrication]],"_"),1,5),"")</f>
        <v/>
      </c>
      <c r="V395" s="47" t="str">
        <f>IF(mouvementmp[[#This Row],[QR Fabrication]]&lt;&gt;"",_xlfn.TEXTAFTER(mouvementmp[[#This Row],[QR Fabrication]],"_",5),"")</f>
        <v/>
      </c>
    </row>
    <row r="396" spans="1:22" ht="16.5" thickTop="1" thickBot="1" x14ac:dyDescent="0.3">
      <c r="A396" s="46" t="s">
        <v>2490</v>
      </c>
      <c r="B396" s="54" t="s">
        <v>3858</v>
      </c>
      <c r="C396" s="47" t="s">
        <v>672</v>
      </c>
      <c r="D396" s="47" t="s">
        <v>665</v>
      </c>
      <c r="E396" s="47" t="s">
        <v>669</v>
      </c>
      <c r="F396" s="48">
        <v>16.75</v>
      </c>
      <c r="G396" s="47"/>
      <c r="H396" s="47"/>
      <c r="I396" s="47" t="s">
        <v>664</v>
      </c>
      <c r="J396" s="49">
        <v>45929</v>
      </c>
      <c r="K396" s="47" t="str">
        <f>INDEX(_xlfn.TEXTSPLIT(mouvementmp[[#This Row],[QR MP]],"_"),1,1)</f>
        <v>C14</v>
      </c>
      <c r="L396" s="47" t="str">
        <f>INDEX(_xlfn.TEXTSPLIT(mouvementmp[[#This Row],[QR MP]],"_"),1,2)</f>
        <v>BLEU TURQUOISE</v>
      </c>
      <c r="M396" s="47" t="str">
        <f>INDEX(_xlfn.TEXTSPLIT(mouvementmp[[#This Row],[QR MP]],"_"),1,3)</f>
        <v>NM15-14.00</v>
      </c>
      <c r="N396" s="47" t="str">
        <f>INDEX(_xlfn.TEXTSPLIT(mouvementmp[[#This Row],[QR MP]],"_"),1,4)</f>
        <v>61597</v>
      </c>
      <c r="O396" s="47">
        <f>-mouvementmp[[#This Row],[Poids]]</f>
        <v>-16.75</v>
      </c>
      <c r="P396" s="47" t="str">
        <f>IF(
   COUNTIFS($A$2:A396,A396,
             $B$2:B396,B396,
             $C$2:C396,C396,
             $D$2:D396,D396,
             $E$2:E396,E396,
             $F$2:F396,F396,
              $J$2:J396,J396)&gt;1,
   "Doublon",
   "Correcte"
)</f>
        <v>Correcte</v>
      </c>
      <c r="Q396" s="106" t="str">
        <f>IF(mouvementmp[[#This Row],[QR Fabrication]]&lt;&gt;"",INDEX(_xlfn.TEXTSPLIT(mouvementmp[[#This Row],[QR Fabrication]],"_"),1,1),"")</f>
        <v>OF249848</v>
      </c>
      <c r="R396" s="106" t="str">
        <f>IF(mouvementmp[[#This Row],[QR Fabrication]]&lt;&gt;"",INDEX(_xlfn.TEXTSPLIT(mouvementmp[[#This Row],[QR Fabrication]],"_"),1,2),"")</f>
        <v>CL00884</v>
      </c>
      <c r="S396" s="47" t="str">
        <f>IF(mouvementmp[[#This Row],[QR Fabrication]]&lt;&gt;"",INDEX(_xlfn.TEXTSPLIT(mouvementmp[[#This Row],[QR Fabrication]],"_"),1,3),"")</f>
        <v>CM-FT0119</v>
      </c>
      <c r="T396" s="47" t="str">
        <f>IF(mouvementmp[[#This Row],[QR Fabrication]]&lt;&gt;"",INDEX(_xlfn.TEXTSPLIT(mouvementmp[[#This Row],[QR Fabrication]],"_"),1,4),"")</f>
        <v>ST1020-S14-16-17</v>
      </c>
      <c r="U396" s="47" t="str">
        <f>IF(mouvementmp[[#This Row],[QR Fabrication]]&lt;&gt;"",INDEX(_xlfn.TEXTSPLIT(mouvementmp[[#This Row],[QR Fabrication]],"_"),1,5),"")</f>
        <v>ST TROPEZ</v>
      </c>
      <c r="V396" s="47" t="str">
        <f>IF(mouvementmp[[#This Row],[QR Fabrication]]&lt;&gt;"",_xlfn.TEXTAFTER(mouvementmp[[#This Row],[QR Fabrication]],"_",5),"")</f>
        <v>1020</v>
      </c>
    </row>
    <row r="397" spans="1:22" ht="16.5" thickTop="1" thickBot="1" x14ac:dyDescent="0.3">
      <c r="A397" s="46" t="s">
        <v>2490</v>
      </c>
      <c r="B397" s="54" t="s">
        <v>3923</v>
      </c>
      <c r="C397" s="47" t="s">
        <v>672</v>
      </c>
      <c r="D397" s="47" t="s">
        <v>665</v>
      </c>
      <c r="E397" s="47" t="s">
        <v>669</v>
      </c>
      <c r="F397" s="48">
        <v>16.5</v>
      </c>
      <c r="G397" s="47"/>
      <c r="H397" s="47"/>
      <c r="I397" s="47" t="s">
        <v>664</v>
      </c>
      <c r="J397" s="49">
        <v>45929</v>
      </c>
      <c r="K397" s="47" t="str">
        <f>INDEX(_xlfn.TEXTSPLIT(mouvementmp[[#This Row],[QR MP]],"_"),1,1)</f>
        <v>C16</v>
      </c>
      <c r="L397" s="47" t="str">
        <f>INDEX(_xlfn.TEXTSPLIT(mouvementmp[[#This Row],[QR MP]],"_"),1,2)</f>
        <v>BLEU CIEL</v>
      </c>
      <c r="M397" s="47" t="str">
        <f>INDEX(_xlfn.TEXTSPLIT(mouvementmp[[#This Row],[QR MP]],"_"),1,3)</f>
        <v>NM15-16.00</v>
      </c>
      <c r="N397" s="47" t="str">
        <f>INDEX(_xlfn.TEXTSPLIT(mouvementmp[[#This Row],[QR MP]],"_"),1,4)</f>
        <v>61532</v>
      </c>
      <c r="O397" s="47">
        <f>-mouvementmp[[#This Row],[Poids]]</f>
        <v>-16.5</v>
      </c>
      <c r="P397" s="47" t="str">
        <f>IF(
   COUNTIFS($A$2:A397,A397,
             $B$2:B397,B397,
             $C$2:C397,C397,
             $D$2:D397,D397,
             $E$2:E397,E397,
             $F$2:F397,F397,
              $J$2:J397,J397)&gt;1,
   "Doublon",
   "Correcte"
)</f>
        <v>Correcte</v>
      </c>
      <c r="Q397" s="106" t="str">
        <f>IF(mouvementmp[[#This Row],[QR Fabrication]]&lt;&gt;"",INDEX(_xlfn.TEXTSPLIT(mouvementmp[[#This Row],[QR Fabrication]],"_"),1,1),"")</f>
        <v>OF249848</v>
      </c>
      <c r="R397" s="106" t="str">
        <f>IF(mouvementmp[[#This Row],[QR Fabrication]]&lt;&gt;"",INDEX(_xlfn.TEXTSPLIT(mouvementmp[[#This Row],[QR Fabrication]],"_"),1,2),"")</f>
        <v>CL00884</v>
      </c>
      <c r="S397" s="47" t="str">
        <f>IF(mouvementmp[[#This Row],[QR Fabrication]]&lt;&gt;"",INDEX(_xlfn.TEXTSPLIT(mouvementmp[[#This Row],[QR Fabrication]],"_"),1,3),"")</f>
        <v>CM-FT0119</v>
      </c>
      <c r="T397" s="47" t="str">
        <f>IF(mouvementmp[[#This Row],[QR Fabrication]]&lt;&gt;"",INDEX(_xlfn.TEXTSPLIT(mouvementmp[[#This Row],[QR Fabrication]],"_"),1,4),"")</f>
        <v>ST1020-S14-16-17</v>
      </c>
      <c r="U397" s="47" t="str">
        <f>IF(mouvementmp[[#This Row],[QR Fabrication]]&lt;&gt;"",INDEX(_xlfn.TEXTSPLIT(mouvementmp[[#This Row],[QR Fabrication]],"_"),1,5),"")</f>
        <v>ST TROPEZ</v>
      </c>
      <c r="V397" s="47" t="str">
        <f>IF(mouvementmp[[#This Row],[QR Fabrication]]&lt;&gt;"",_xlfn.TEXTAFTER(mouvementmp[[#This Row],[QR Fabrication]],"_",5),"")</f>
        <v>1020</v>
      </c>
    </row>
    <row r="398" spans="1:22" ht="16.5" thickTop="1" thickBot="1" x14ac:dyDescent="0.3">
      <c r="A398" s="46" t="s">
        <v>2490</v>
      </c>
      <c r="B398" s="54" t="s">
        <v>3868</v>
      </c>
      <c r="C398" s="47" t="s">
        <v>672</v>
      </c>
      <c r="D398" s="47" t="s">
        <v>665</v>
      </c>
      <c r="E398" s="47" t="s">
        <v>669</v>
      </c>
      <c r="F398" s="48">
        <v>16.55</v>
      </c>
      <c r="G398" s="47"/>
      <c r="H398" s="47"/>
      <c r="I398" s="47" t="s">
        <v>664</v>
      </c>
      <c r="J398" s="49">
        <v>45929</v>
      </c>
      <c r="K398" s="47" t="str">
        <f>INDEX(_xlfn.TEXTSPLIT(mouvementmp[[#This Row],[QR MP]],"_"),1,1)</f>
        <v>C18</v>
      </c>
      <c r="L398" s="47" t="str">
        <f>INDEX(_xlfn.TEXTSPLIT(mouvementmp[[#This Row],[QR MP]],"_"),1,2)</f>
        <v xml:space="preserve">VERT D'EAU </v>
      </c>
      <c r="M398" s="47" t="str">
        <f>INDEX(_xlfn.TEXTSPLIT(mouvementmp[[#This Row],[QR MP]],"_"),1,3)</f>
        <v>NM15-18.00</v>
      </c>
      <c r="N398" s="47" t="str">
        <f>INDEX(_xlfn.TEXTSPLIT(mouvementmp[[#This Row],[QR MP]],"_"),1,4)</f>
        <v>61535</v>
      </c>
      <c r="O398" s="47">
        <f>-mouvementmp[[#This Row],[Poids]]</f>
        <v>-16.55</v>
      </c>
      <c r="P398" s="47" t="str">
        <f>IF(
   COUNTIFS($A$2:A398,A398,
             $B$2:B398,B398,
             $C$2:C398,C398,
             $D$2:D398,D398,
             $E$2:E398,E398,
             $F$2:F398,F398,
              $J$2:J398,J398)&gt;1,
   "Doublon",
   "Correcte"
)</f>
        <v>Correcte</v>
      </c>
      <c r="Q398" s="106" t="str">
        <f>IF(mouvementmp[[#This Row],[QR Fabrication]]&lt;&gt;"",INDEX(_xlfn.TEXTSPLIT(mouvementmp[[#This Row],[QR Fabrication]],"_"),1,1),"")</f>
        <v>OF249848</v>
      </c>
      <c r="R398" s="106" t="str">
        <f>IF(mouvementmp[[#This Row],[QR Fabrication]]&lt;&gt;"",INDEX(_xlfn.TEXTSPLIT(mouvementmp[[#This Row],[QR Fabrication]],"_"),1,2),"")</f>
        <v>CL00884</v>
      </c>
      <c r="S398" s="47" t="str">
        <f>IF(mouvementmp[[#This Row],[QR Fabrication]]&lt;&gt;"",INDEX(_xlfn.TEXTSPLIT(mouvementmp[[#This Row],[QR Fabrication]],"_"),1,3),"")</f>
        <v>CM-FT0119</v>
      </c>
      <c r="T398" s="47" t="str">
        <f>IF(mouvementmp[[#This Row],[QR Fabrication]]&lt;&gt;"",INDEX(_xlfn.TEXTSPLIT(mouvementmp[[#This Row],[QR Fabrication]],"_"),1,4),"")</f>
        <v>ST1020-S14-16-17</v>
      </c>
      <c r="U398" s="47" t="str">
        <f>IF(mouvementmp[[#This Row],[QR Fabrication]]&lt;&gt;"",INDEX(_xlfn.TEXTSPLIT(mouvementmp[[#This Row],[QR Fabrication]],"_"),1,5),"")</f>
        <v>ST TROPEZ</v>
      </c>
      <c r="V398" s="47" t="str">
        <f>IF(mouvementmp[[#This Row],[QR Fabrication]]&lt;&gt;"",_xlfn.TEXTAFTER(mouvementmp[[#This Row],[QR Fabrication]],"_",5),"")</f>
        <v>1020</v>
      </c>
    </row>
    <row r="399" spans="1:22" ht="16.5" thickTop="1" thickBot="1" x14ac:dyDescent="0.3">
      <c r="A399" s="46" t="s">
        <v>2490</v>
      </c>
      <c r="B399" s="54" t="s">
        <v>3881</v>
      </c>
      <c r="C399" s="47" t="s">
        <v>672</v>
      </c>
      <c r="D399" s="47" t="s">
        <v>665</v>
      </c>
      <c r="E399" s="47" t="s">
        <v>669</v>
      </c>
      <c r="F399" s="48">
        <v>16.75</v>
      </c>
      <c r="G399" s="47"/>
      <c r="H399" s="47"/>
      <c r="I399" s="47" t="s">
        <v>664</v>
      </c>
      <c r="J399" s="49">
        <v>45929</v>
      </c>
      <c r="K399" s="47" t="str">
        <f>INDEX(_xlfn.TEXTSPLIT(mouvementmp[[#This Row],[QR MP]],"_"),1,1)</f>
        <v>C22</v>
      </c>
      <c r="L399" s="47" t="str">
        <f>INDEX(_xlfn.TEXTSPLIT(mouvementmp[[#This Row],[QR MP]],"_"),1,2)</f>
        <v>JAUNE FLUO</v>
      </c>
      <c r="M399" s="47" t="str">
        <f>INDEX(_xlfn.TEXTSPLIT(mouvementmp[[#This Row],[QR MP]],"_"),1,3)</f>
        <v>NM15-22.00</v>
      </c>
      <c r="N399" s="47" t="str">
        <f>INDEX(_xlfn.TEXTSPLIT(mouvementmp[[#This Row],[QR MP]],"_"),1,4)</f>
        <v>61540</v>
      </c>
      <c r="O399" s="47">
        <f>-mouvementmp[[#This Row],[Poids]]</f>
        <v>-16.75</v>
      </c>
      <c r="P399" s="47" t="str">
        <f>IF(
   COUNTIFS($A$2:A399,A399,
             $B$2:B399,B399,
             $C$2:C399,C399,
             $D$2:D399,D399,
             $E$2:E399,E399,
             $F$2:F399,F399,
              $J$2:J399,J399)&gt;1,
   "Doublon",
   "Correcte"
)</f>
        <v>Correcte</v>
      </c>
      <c r="Q399" s="106" t="str">
        <f>IF(mouvementmp[[#This Row],[QR Fabrication]]&lt;&gt;"",INDEX(_xlfn.TEXTSPLIT(mouvementmp[[#This Row],[QR Fabrication]],"_"),1,1),"")</f>
        <v>OF249848</v>
      </c>
      <c r="R399" s="106" t="str">
        <f>IF(mouvementmp[[#This Row],[QR Fabrication]]&lt;&gt;"",INDEX(_xlfn.TEXTSPLIT(mouvementmp[[#This Row],[QR Fabrication]],"_"),1,2),"")</f>
        <v>CL00884</v>
      </c>
      <c r="S399" s="47" t="str">
        <f>IF(mouvementmp[[#This Row],[QR Fabrication]]&lt;&gt;"",INDEX(_xlfn.TEXTSPLIT(mouvementmp[[#This Row],[QR Fabrication]],"_"),1,3),"")</f>
        <v>CM-FT0119</v>
      </c>
      <c r="T399" s="47" t="str">
        <f>IF(mouvementmp[[#This Row],[QR Fabrication]]&lt;&gt;"",INDEX(_xlfn.TEXTSPLIT(mouvementmp[[#This Row],[QR Fabrication]],"_"),1,4),"")</f>
        <v>ST1020-S14-16-17</v>
      </c>
      <c r="U399" s="47" t="str">
        <f>IF(mouvementmp[[#This Row],[QR Fabrication]]&lt;&gt;"",INDEX(_xlfn.TEXTSPLIT(mouvementmp[[#This Row],[QR Fabrication]],"_"),1,5),"")</f>
        <v>ST TROPEZ</v>
      </c>
      <c r="V399" s="47" t="str">
        <f>IF(mouvementmp[[#This Row],[QR Fabrication]]&lt;&gt;"",_xlfn.TEXTAFTER(mouvementmp[[#This Row],[QR Fabrication]],"_",5),"")</f>
        <v>1020</v>
      </c>
    </row>
    <row r="400" spans="1:22" ht="16.5" thickTop="1" thickBot="1" x14ac:dyDescent="0.3">
      <c r="A400" s="46" t="s">
        <v>2490</v>
      </c>
      <c r="B400" s="54" t="s">
        <v>3884</v>
      </c>
      <c r="C400" s="47" t="s">
        <v>672</v>
      </c>
      <c r="D400" s="47" t="s">
        <v>665</v>
      </c>
      <c r="E400" s="47" t="s">
        <v>669</v>
      </c>
      <c r="F400" s="48">
        <v>16.5</v>
      </c>
      <c r="G400" s="47"/>
      <c r="H400" s="47"/>
      <c r="I400" s="47" t="s">
        <v>664</v>
      </c>
      <c r="J400" s="49">
        <v>45929</v>
      </c>
      <c r="K400" s="47" t="str">
        <f>INDEX(_xlfn.TEXTSPLIT(mouvementmp[[#This Row],[QR MP]],"_"),1,1)</f>
        <v>C23</v>
      </c>
      <c r="L400" s="47" t="str">
        <f>INDEX(_xlfn.TEXTSPLIT(mouvementmp[[#This Row],[QR MP]],"_"),1,2)</f>
        <v>OR</v>
      </c>
      <c r="M400" s="47" t="str">
        <f>INDEX(_xlfn.TEXTSPLIT(mouvementmp[[#This Row],[QR MP]],"_"),1,3)</f>
        <v>NM15-23.00</v>
      </c>
      <c r="N400" s="47" t="str">
        <f>INDEX(_xlfn.TEXTSPLIT(mouvementmp[[#This Row],[QR MP]],"_"),1,4)</f>
        <v>61566</v>
      </c>
      <c r="O400" s="47">
        <f>-mouvementmp[[#This Row],[Poids]]</f>
        <v>-16.5</v>
      </c>
      <c r="P400" s="47" t="str">
        <f>IF(
   COUNTIFS($A$2:A400,A400,
             $B$2:B400,B400,
             $C$2:C400,C400,
             $D$2:D400,D400,
             $E$2:E400,E400,
             $F$2:F400,F400,
              $J$2:J400,J400)&gt;1,
   "Doublon",
   "Correcte"
)</f>
        <v>Correcte</v>
      </c>
      <c r="Q400" s="106" t="str">
        <f>IF(mouvementmp[[#This Row],[QR Fabrication]]&lt;&gt;"",INDEX(_xlfn.TEXTSPLIT(mouvementmp[[#This Row],[QR Fabrication]],"_"),1,1),"")</f>
        <v>OF249848</v>
      </c>
      <c r="R400" s="106" t="str">
        <f>IF(mouvementmp[[#This Row],[QR Fabrication]]&lt;&gt;"",INDEX(_xlfn.TEXTSPLIT(mouvementmp[[#This Row],[QR Fabrication]],"_"),1,2),"")</f>
        <v>CL00884</v>
      </c>
      <c r="S400" s="47" t="str">
        <f>IF(mouvementmp[[#This Row],[QR Fabrication]]&lt;&gt;"",INDEX(_xlfn.TEXTSPLIT(mouvementmp[[#This Row],[QR Fabrication]],"_"),1,3),"")</f>
        <v>CM-FT0119</v>
      </c>
      <c r="T400" s="47" t="str">
        <f>IF(mouvementmp[[#This Row],[QR Fabrication]]&lt;&gt;"",INDEX(_xlfn.TEXTSPLIT(mouvementmp[[#This Row],[QR Fabrication]],"_"),1,4),"")</f>
        <v>ST1020-S14-16-17</v>
      </c>
      <c r="U400" s="47" t="str">
        <f>IF(mouvementmp[[#This Row],[QR Fabrication]]&lt;&gt;"",INDEX(_xlfn.TEXTSPLIT(mouvementmp[[#This Row],[QR Fabrication]],"_"),1,5),"")</f>
        <v>ST TROPEZ</v>
      </c>
      <c r="V400" s="47" t="str">
        <f>IF(mouvementmp[[#This Row],[QR Fabrication]]&lt;&gt;"",_xlfn.TEXTAFTER(mouvementmp[[#This Row],[QR Fabrication]],"_",5),"")</f>
        <v>1020</v>
      </c>
    </row>
    <row r="401" spans="1:22" ht="16.5" thickTop="1" thickBot="1" x14ac:dyDescent="0.3">
      <c r="A401" s="46" t="s">
        <v>2490</v>
      </c>
      <c r="B401" s="54" t="s">
        <v>3898</v>
      </c>
      <c r="C401" s="47" t="s">
        <v>672</v>
      </c>
      <c r="D401" s="47" t="s">
        <v>665</v>
      </c>
      <c r="E401" s="47" t="s">
        <v>669</v>
      </c>
      <c r="F401" s="48">
        <v>16.5</v>
      </c>
      <c r="G401" s="47"/>
      <c r="H401" s="47"/>
      <c r="I401" s="47" t="s">
        <v>664</v>
      </c>
      <c r="J401" s="49">
        <v>45929</v>
      </c>
      <c r="K401" s="47" t="str">
        <f>INDEX(_xlfn.TEXTSPLIT(mouvementmp[[#This Row],[QR MP]],"_"),1,1)</f>
        <v>C29</v>
      </c>
      <c r="L401" s="47" t="str">
        <f>INDEX(_xlfn.TEXTSPLIT(mouvementmp[[#This Row],[QR MP]],"_"),1,2)</f>
        <v>FUSHIA</v>
      </c>
      <c r="M401" s="47" t="str">
        <f>INDEX(_xlfn.TEXTSPLIT(mouvementmp[[#This Row],[QR MP]],"_"),1,3)</f>
        <v>NM15-29.00</v>
      </c>
      <c r="N401" s="47" t="str">
        <f>INDEX(_xlfn.TEXTSPLIT(mouvementmp[[#This Row],[QR MP]],"_"),1,4)</f>
        <v>61549</v>
      </c>
      <c r="O401" s="47">
        <f>-mouvementmp[[#This Row],[Poids]]</f>
        <v>-16.5</v>
      </c>
      <c r="P401" s="47" t="str">
        <f>IF(
   COUNTIFS($A$2:A401,A401,
             $B$2:B401,B401,
             $C$2:C401,C401,
             $D$2:D401,D401,
             $E$2:E401,E401,
             $F$2:F401,F401,
              $J$2:J401,J401)&gt;1,
   "Doublon",
   "Correcte"
)</f>
        <v>Correcte</v>
      </c>
      <c r="Q401" s="106" t="str">
        <f>IF(mouvementmp[[#This Row],[QR Fabrication]]&lt;&gt;"",INDEX(_xlfn.TEXTSPLIT(mouvementmp[[#This Row],[QR Fabrication]],"_"),1,1),"")</f>
        <v>OF249848</v>
      </c>
      <c r="R401" s="106" t="str">
        <f>IF(mouvementmp[[#This Row],[QR Fabrication]]&lt;&gt;"",INDEX(_xlfn.TEXTSPLIT(mouvementmp[[#This Row],[QR Fabrication]],"_"),1,2),"")</f>
        <v>CL00884</v>
      </c>
      <c r="S401" s="47" t="str">
        <f>IF(mouvementmp[[#This Row],[QR Fabrication]]&lt;&gt;"",INDEX(_xlfn.TEXTSPLIT(mouvementmp[[#This Row],[QR Fabrication]],"_"),1,3),"")</f>
        <v>CM-FT0119</v>
      </c>
      <c r="T401" s="47" t="str">
        <f>IF(mouvementmp[[#This Row],[QR Fabrication]]&lt;&gt;"",INDEX(_xlfn.TEXTSPLIT(mouvementmp[[#This Row],[QR Fabrication]],"_"),1,4),"")</f>
        <v>ST1020-S14-16-17</v>
      </c>
      <c r="U401" s="47" t="str">
        <f>IF(mouvementmp[[#This Row],[QR Fabrication]]&lt;&gt;"",INDEX(_xlfn.TEXTSPLIT(mouvementmp[[#This Row],[QR Fabrication]],"_"),1,5),"")</f>
        <v>ST TROPEZ</v>
      </c>
      <c r="V401" s="47" t="str">
        <f>IF(mouvementmp[[#This Row],[QR Fabrication]]&lt;&gt;"",_xlfn.TEXTAFTER(mouvementmp[[#This Row],[QR Fabrication]],"_",5),"")</f>
        <v>1020</v>
      </c>
    </row>
    <row r="402" spans="1:22" ht="16.5" thickTop="1" thickBot="1" x14ac:dyDescent="0.3">
      <c r="A402" s="46" t="s">
        <v>2491</v>
      </c>
      <c r="B402" s="54" t="s">
        <v>3858</v>
      </c>
      <c r="C402" s="47" t="s">
        <v>672</v>
      </c>
      <c r="D402" s="47" t="s">
        <v>665</v>
      </c>
      <c r="E402" s="47" t="s">
        <v>669</v>
      </c>
      <c r="F402" s="48">
        <v>16.5</v>
      </c>
      <c r="G402" s="47"/>
      <c r="H402" s="47"/>
      <c r="I402" s="47" t="s">
        <v>664</v>
      </c>
      <c r="J402" s="49">
        <v>45929</v>
      </c>
      <c r="K402" s="47" t="str">
        <f>INDEX(_xlfn.TEXTSPLIT(mouvementmp[[#This Row],[QR MP]],"_"),1,1)</f>
        <v>C14</v>
      </c>
      <c r="L402" s="47" t="str">
        <f>INDEX(_xlfn.TEXTSPLIT(mouvementmp[[#This Row],[QR MP]],"_"),1,2)</f>
        <v>BLEU TURQUOISE</v>
      </c>
      <c r="M402" s="47" t="str">
        <f>INDEX(_xlfn.TEXTSPLIT(mouvementmp[[#This Row],[QR MP]],"_"),1,3)</f>
        <v>NM15-14.00</v>
      </c>
      <c r="N402" s="47" t="str">
        <f>INDEX(_xlfn.TEXTSPLIT(mouvementmp[[#This Row],[QR MP]],"_"),1,4)</f>
        <v>61597</v>
      </c>
      <c r="O402" s="47">
        <f>-mouvementmp[[#This Row],[Poids]]</f>
        <v>-16.5</v>
      </c>
      <c r="P402" s="47" t="str">
        <f>IF(
   COUNTIFS($A$2:A402,A402,
             $B$2:B402,B402,
             $C$2:C402,C402,
             $D$2:D402,D402,
             $E$2:E402,E402,
             $F$2:F402,F402,
              $J$2:J402,J402)&gt;1,
   "Doublon",
   "Correcte"
)</f>
        <v>Correcte</v>
      </c>
      <c r="Q402" s="106" t="str">
        <f>IF(mouvementmp[[#This Row],[QR Fabrication]]&lt;&gt;"",INDEX(_xlfn.TEXTSPLIT(mouvementmp[[#This Row],[QR Fabrication]],"_"),1,1),"")</f>
        <v>OF249946</v>
      </c>
      <c r="R402" s="106" t="str">
        <f>IF(mouvementmp[[#This Row],[QR Fabrication]]&lt;&gt;"",INDEX(_xlfn.TEXTSPLIT(mouvementmp[[#This Row],[QR Fabrication]],"_"),1,2),"")</f>
        <v>CL00884</v>
      </c>
      <c r="S402" s="47" t="str">
        <f>IF(mouvementmp[[#This Row],[QR Fabrication]]&lt;&gt;"",INDEX(_xlfn.TEXTSPLIT(mouvementmp[[#This Row],[QR Fabrication]],"_"),1,3),"")</f>
        <v>CM-FT0120</v>
      </c>
      <c r="T402" s="47" t="str">
        <f>IF(mouvementmp[[#This Row],[QR Fabrication]]&lt;&gt;"",INDEX(_xlfn.TEXTSPLIT(mouvementmp[[#This Row],[QR Fabrication]],"_"),1,4),"")</f>
        <v>ST1020-S14-16-17</v>
      </c>
      <c r="U402" s="47" t="str">
        <f>IF(mouvementmp[[#This Row],[QR Fabrication]]&lt;&gt;"",INDEX(_xlfn.TEXTSPLIT(mouvementmp[[#This Row],[QR Fabrication]],"_"),1,5),"")</f>
        <v>ST TROPEZ</v>
      </c>
      <c r="V402" s="47" t="str">
        <f>IF(mouvementmp[[#This Row],[QR Fabrication]]&lt;&gt;"",_xlfn.TEXTAFTER(mouvementmp[[#This Row],[QR Fabrication]],"_",5),"")</f>
        <v>1020</v>
      </c>
    </row>
    <row r="403" spans="1:22" ht="16.5" thickTop="1" thickBot="1" x14ac:dyDescent="0.3">
      <c r="A403" s="46" t="s">
        <v>2491</v>
      </c>
      <c r="B403" s="54" t="s">
        <v>3923</v>
      </c>
      <c r="C403" s="47" t="s">
        <v>672</v>
      </c>
      <c r="D403" s="47" t="s">
        <v>665</v>
      </c>
      <c r="E403" s="47" t="s">
        <v>669</v>
      </c>
      <c r="F403" s="48">
        <v>16.55</v>
      </c>
      <c r="G403" s="47"/>
      <c r="H403" s="47"/>
      <c r="I403" s="47" t="s">
        <v>664</v>
      </c>
      <c r="J403" s="49">
        <v>45929</v>
      </c>
      <c r="K403" s="47" t="str">
        <f>INDEX(_xlfn.TEXTSPLIT(mouvementmp[[#This Row],[QR MP]],"_"),1,1)</f>
        <v>C16</v>
      </c>
      <c r="L403" s="47" t="str">
        <f>INDEX(_xlfn.TEXTSPLIT(mouvementmp[[#This Row],[QR MP]],"_"),1,2)</f>
        <v>BLEU CIEL</v>
      </c>
      <c r="M403" s="47" t="str">
        <f>INDEX(_xlfn.TEXTSPLIT(mouvementmp[[#This Row],[QR MP]],"_"),1,3)</f>
        <v>NM15-16.00</v>
      </c>
      <c r="N403" s="47" t="str">
        <f>INDEX(_xlfn.TEXTSPLIT(mouvementmp[[#This Row],[QR MP]],"_"),1,4)</f>
        <v>61532</v>
      </c>
      <c r="O403" s="47">
        <f>-mouvementmp[[#This Row],[Poids]]</f>
        <v>-16.55</v>
      </c>
      <c r="P403" s="47" t="str">
        <f>IF(
   COUNTIFS($A$2:A403,A403,
             $B$2:B403,B403,
             $C$2:C403,C403,
             $D$2:D403,D403,
             $E$2:E403,E403,
             $F$2:F403,F403,
              $J$2:J403,J403)&gt;1,
   "Doublon",
   "Correcte"
)</f>
        <v>Correcte</v>
      </c>
      <c r="Q403" s="106" t="str">
        <f>IF(mouvementmp[[#This Row],[QR Fabrication]]&lt;&gt;"",INDEX(_xlfn.TEXTSPLIT(mouvementmp[[#This Row],[QR Fabrication]],"_"),1,1),"")</f>
        <v>OF249946</v>
      </c>
      <c r="R403" s="106" t="str">
        <f>IF(mouvementmp[[#This Row],[QR Fabrication]]&lt;&gt;"",INDEX(_xlfn.TEXTSPLIT(mouvementmp[[#This Row],[QR Fabrication]],"_"),1,2),"")</f>
        <v>CL00884</v>
      </c>
      <c r="S403" s="47" t="str">
        <f>IF(mouvementmp[[#This Row],[QR Fabrication]]&lt;&gt;"",INDEX(_xlfn.TEXTSPLIT(mouvementmp[[#This Row],[QR Fabrication]],"_"),1,3),"")</f>
        <v>CM-FT0120</v>
      </c>
      <c r="T403" s="47" t="str">
        <f>IF(mouvementmp[[#This Row],[QR Fabrication]]&lt;&gt;"",INDEX(_xlfn.TEXTSPLIT(mouvementmp[[#This Row],[QR Fabrication]],"_"),1,4),"")</f>
        <v>ST1020-S14-16-17</v>
      </c>
      <c r="U403" s="47" t="str">
        <f>IF(mouvementmp[[#This Row],[QR Fabrication]]&lt;&gt;"",INDEX(_xlfn.TEXTSPLIT(mouvementmp[[#This Row],[QR Fabrication]],"_"),1,5),"")</f>
        <v>ST TROPEZ</v>
      </c>
      <c r="V403" s="47" t="str">
        <f>IF(mouvementmp[[#This Row],[QR Fabrication]]&lt;&gt;"",_xlfn.TEXTAFTER(mouvementmp[[#This Row],[QR Fabrication]],"_",5),"")</f>
        <v>1020</v>
      </c>
    </row>
    <row r="404" spans="1:22" ht="16.5" thickTop="1" thickBot="1" x14ac:dyDescent="0.3">
      <c r="A404" s="46" t="s">
        <v>2491</v>
      </c>
      <c r="B404" s="54" t="s">
        <v>3927</v>
      </c>
      <c r="C404" s="47" t="s">
        <v>672</v>
      </c>
      <c r="D404" s="47" t="s">
        <v>665</v>
      </c>
      <c r="E404" s="47" t="s">
        <v>669</v>
      </c>
      <c r="F404" s="48">
        <v>16.5</v>
      </c>
      <c r="G404" s="47"/>
      <c r="H404" s="47"/>
      <c r="I404" s="47" t="s">
        <v>664</v>
      </c>
      <c r="J404" s="49">
        <v>45929</v>
      </c>
      <c r="K404" s="47" t="str">
        <f>INDEX(_xlfn.TEXTSPLIT(mouvementmp[[#This Row],[QR MP]],"_"),1,1)</f>
        <v>C18</v>
      </c>
      <c r="L404" s="47" t="str">
        <f>INDEX(_xlfn.TEXTSPLIT(mouvementmp[[#This Row],[QR MP]],"_"),1,2)</f>
        <v>VERT D'EAU CLAIR</v>
      </c>
      <c r="M404" s="47" t="str">
        <f>INDEX(_xlfn.TEXTSPLIT(mouvementmp[[#This Row],[QR MP]],"_"),1,3)</f>
        <v>NM15-18.01</v>
      </c>
      <c r="N404" s="47" t="str">
        <f>INDEX(_xlfn.TEXTSPLIT(mouvementmp[[#This Row],[QR MP]],"_"),1,4)</f>
        <v>S2023</v>
      </c>
      <c r="O404" s="47">
        <f>-mouvementmp[[#This Row],[Poids]]</f>
        <v>-16.5</v>
      </c>
      <c r="P404" s="47" t="str">
        <f>IF(
   COUNTIFS($A$2:A404,A404,
             $B$2:B404,B404,
             $C$2:C404,C404,
             $D$2:D404,D404,
             $E$2:E404,E404,
             $F$2:F404,F404,
              $J$2:J404,J404)&gt;1,
   "Doublon",
   "Correcte"
)</f>
        <v>Correcte</v>
      </c>
      <c r="Q404" s="106" t="str">
        <f>IF(mouvementmp[[#This Row],[QR Fabrication]]&lt;&gt;"",INDEX(_xlfn.TEXTSPLIT(mouvementmp[[#This Row],[QR Fabrication]],"_"),1,1),"")</f>
        <v>OF249946</v>
      </c>
      <c r="R404" s="106" t="str">
        <f>IF(mouvementmp[[#This Row],[QR Fabrication]]&lt;&gt;"",INDEX(_xlfn.TEXTSPLIT(mouvementmp[[#This Row],[QR Fabrication]],"_"),1,2),"")</f>
        <v>CL00884</v>
      </c>
      <c r="S404" s="47" t="str">
        <f>IF(mouvementmp[[#This Row],[QR Fabrication]]&lt;&gt;"",INDEX(_xlfn.TEXTSPLIT(mouvementmp[[#This Row],[QR Fabrication]],"_"),1,3),"")</f>
        <v>CM-FT0120</v>
      </c>
      <c r="T404" s="47" t="str">
        <f>IF(mouvementmp[[#This Row],[QR Fabrication]]&lt;&gt;"",INDEX(_xlfn.TEXTSPLIT(mouvementmp[[#This Row],[QR Fabrication]],"_"),1,4),"")</f>
        <v>ST1020-S14-16-17</v>
      </c>
      <c r="U404" s="47" t="str">
        <f>IF(mouvementmp[[#This Row],[QR Fabrication]]&lt;&gt;"",INDEX(_xlfn.TEXTSPLIT(mouvementmp[[#This Row],[QR Fabrication]],"_"),1,5),"")</f>
        <v>ST TROPEZ</v>
      </c>
      <c r="V404" s="47" t="str">
        <f>IF(mouvementmp[[#This Row],[QR Fabrication]]&lt;&gt;"",_xlfn.TEXTAFTER(mouvementmp[[#This Row],[QR Fabrication]],"_",5),"")</f>
        <v>1020</v>
      </c>
    </row>
    <row r="405" spans="1:22" ht="16.5" thickTop="1" thickBot="1" x14ac:dyDescent="0.3">
      <c r="A405" s="46" t="s">
        <v>2491</v>
      </c>
      <c r="B405" s="54" t="s">
        <v>3881</v>
      </c>
      <c r="C405" s="47" t="s">
        <v>672</v>
      </c>
      <c r="D405" s="47" t="s">
        <v>665</v>
      </c>
      <c r="E405" s="47" t="s">
        <v>669</v>
      </c>
      <c r="F405" s="48">
        <v>16.75</v>
      </c>
      <c r="G405" s="47"/>
      <c r="H405" s="47"/>
      <c r="I405" s="47" t="s">
        <v>664</v>
      </c>
      <c r="J405" s="49">
        <v>45929</v>
      </c>
      <c r="K405" s="47" t="str">
        <f>INDEX(_xlfn.TEXTSPLIT(mouvementmp[[#This Row],[QR MP]],"_"),1,1)</f>
        <v>C22</v>
      </c>
      <c r="L405" s="47" t="str">
        <f>INDEX(_xlfn.TEXTSPLIT(mouvementmp[[#This Row],[QR MP]],"_"),1,2)</f>
        <v>JAUNE FLUO</v>
      </c>
      <c r="M405" s="47" t="str">
        <f>INDEX(_xlfn.TEXTSPLIT(mouvementmp[[#This Row],[QR MP]],"_"),1,3)</f>
        <v>NM15-22.00</v>
      </c>
      <c r="N405" s="47" t="str">
        <f>INDEX(_xlfn.TEXTSPLIT(mouvementmp[[#This Row],[QR MP]],"_"),1,4)</f>
        <v>61540</v>
      </c>
      <c r="O405" s="47">
        <f>-mouvementmp[[#This Row],[Poids]]</f>
        <v>-16.75</v>
      </c>
      <c r="P405" s="47" t="str">
        <f>IF(
   COUNTIFS($A$2:A405,A405,
             $B$2:B405,B405,
             $C$2:C405,C405,
             $D$2:D405,D405,
             $E$2:E405,E405,
             $F$2:F405,F405,
              $J$2:J405,J405)&gt;1,
   "Doublon",
   "Correcte"
)</f>
        <v>Correcte</v>
      </c>
      <c r="Q405" s="106" t="str">
        <f>IF(mouvementmp[[#This Row],[QR Fabrication]]&lt;&gt;"",INDEX(_xlfn.TEXTSPLIT(mouvementmp[[#This Row],[QR Fabrication]],"_"),1,1),"")</f>
        <v>OF249946</v>
      </c>
      <c r="R405" s="106" t="str">
        <f>IF(mouvementmp[[#This Row],[QR Fabrication]]&lt;&gt;"",INDEX(_xlfn.TEXTSPLIT(mouvementmp[[#This Row],[QR Fabrication]],"_"),1,2),"")</f>
        <v>CL00884</v>
      </c>
      <c r="S405" s="47" t="str">
        <f>IF(mouvementmp[[#This Row],[QR Fabrication]]&lt;&gt;"",INDEX(_xlfn.TEXTSPLIT(mouvementmp[[#This Row],[QR Fabrication]],"_"),1,3),"")</f>
        <v>CM-FT0120</v>
      </c>
      <c r="T405" s="47" t="str">
        <f>IF(mouvementmp[[#This Row],[QR Fabrication]]&lt;&gt;"",INDEX(_xlfn.TEXTSPLIT(mouvementmp[[#This Row],[QR Fabrication]],"_"),1,4),"")</f>
        <v>ST1020-S14-16-17</v>
      </c>
      <c r="U405" s="47" t="str">
        <f>IF(mouvementmp[[#This Row],[QR Fabrication]]&lt;&gt;"",INDEX(_xlfn.TEXTSPLIT(mouvementmp[[#This Row],[QR Fabrication]],"_"),1,5),"")</f>
        <v>ST TROPEZ</v>
      </c>
      <c r="V405" s="47" t="str">
        <f>IF(mouvementmp[[#This Row],[QR Fabrication]]&lt;&gt;"",_xlfn.TEXTAFTER(mouvementmp[[#This Row],[QR Fabrication]],"_",5),"")</f>
        <v>1020</v>
      </c>
    </row>
    <row r="406" spans="1:22" ht="16.5" thickTop="1" thickBot="1" x14ac:dyDescent="0.3">
      <c r="A406" s="46" t="s">
        <v>2491</v>
      </c>
      <c r="B406" s="54" t="s">
        <v>3884</v>
      </c>
      <c r="C406" s="47" t="s">
        <v>672</v>
      </c>
      <c r="D406" s="47" t="s">
        <v>665</v>
      </c>
      <c r="E406" s="47" t="s">
        <v>669</v>
      </c>
      <c r="F406" s="48">
        <v>16.5</v>
      </c>
      <c r="G406" s="47"/>
      <c r="H406" s="47"/>
      <c r="I406" s="47" t="s">
        <v>664</v>
      </c>
      <c r="J406" s="49">
        <v>45929</v>
      </c>
      <c r="K406" s="47" t="str">
        <f>INDEX(_xlfn.TEXTSPLIT(mouvementmp[[#This Row],[QR MP]],"_"),1,1)</f>
        <v>C23</v>
      </c>
      <c r="L406" s="47" t="str">
        <f>INDEX(_xlfn.TEXTSPLIT(mouvementmp[[#This Row],[QR MP]],"_"),1,2)</f>
        <v>OR</v>
      </c>
      <c r="M406" s="47" t="str">
        <f>INDEX(_xlfn.TEXTSPLIT(mouvementmp[[#This Row],[QR MP]],"_"),1,3)</f>
        <v>NM15-23.00</v>
      </c>
      <c r="N406" s="47" t="str">
        <f>INDEX(_xlfn.TEXTSPLIT(mouvementmp[[#This Row],[QR MP]],"_"),1,4)</f>
        <v>61566</v>
      </c>
      <c r="O406" s="47">
        <f>-mouvementmp[[#This Row],[Poids]]</f>
        <v>-16.5</v>
      </c>
      <c r="P406" s="47" t="str">
        <f>IF(
   COUNTIFS($A$2:A406,A406,
             $B$2:B406,B406,
             $C$2:C406,C406,
             $D$2:D406,D406,
             $E$2:E406,E406,
             $F$2:F406,F406,
              $J$2:J406,J406)&gt;1,
   "Doublon",
   "Correcte"
)</f>
        <v>Correcte</v>
      </c>
      <c r="Q406" s="106" t="str">
        <f>IF(mouvementmp[[#This Row],[QR Fabrication]]&lt;&gt;"",INDEX(_xlfn.TEXTSPLIT(mouvementmp[[#This Row],[QR Fabrication]],"_"),1,1),"")</f>
        <v>OF249946</v>
      </c>
      <c r="R406" s="106" t="str">
        <f>IF(mouvementmp[[#This Row],[QR Fabrication]]&lt;&gt;"",INDEX(_xlfn.TEXTSPLIT(mouvementmp[[#This Row],[QR Fabrication]],"_"),1,2),"")</f>
        <v>CL00884</v>
      </c>
      <c r="S406" s="47" t="str">
        <f>IF(mouvementmp[[#This Row],[QR Fabrication]]&lt;&gt;"",INDEX(_xlfn.TEXTSPLIT(mouvementmp[[#This Row],[QR Fabrication]],"_"),1,3),"")</f>
        <v>CM-FT0120</v>
      </c>
      <c r="T406" s="47" t="str">
        <f>IF(mouvementmp[[#This Row],[QR Fabrication]]&lt;&gt;"",INDEX(_xlfn.TEXTSPLIT(mouvementmp[[#This Row],[QR Fabrication]],"_"),1,4),"")</f>
        <v>ST1020-S14-16-17</v>
      </c>
      <c r="U406" s="47" t="str">
        <f>IF(mouvementmp[[#This Row],[QR Fabrication]]&lt;&gt;"",INDEX(_xlfn.TEXTSPLIT(mouvementmp[[#This Row],[QR Fabrication]],"_"),1,5),"")</f>
        <v>ST TROPEZ</v>
      </c>
      <c r="V406" s="47" t="str">
        <f>IF(mouvementmp[[#This Row],[QR Fabrication]]&lt;&gt;"",_xlfn.TEXTAFTER(mouvementmp[[#This Row],[QR Fabrication]],"_",5),"")</f>
        <v>1020</v>
      </c>
    </row>
    <row r="407" spans="1:22" ht="16.5" thickTop="1" thickBot="1" x14ac:dyDescent="0.3">
      <c r="A407" s="46" t="s">
        <v>2491</v>
      </c>
      <c r="B407" s="54" t="s">
        <v>3898</v>
      </c>
      <c r="C407" s="47" t="s">
        <v>672</v>
      </c>
      <c r="D407" s="47" t="s">
        <v>665</v>
      </c>
      <c r="E407" s="47" t="s">
        <v>669</v>
      </c>
      <c r="F407" s="48">
        <v>16.5</v>
      </c>
      <c r="G407" s="47"/>
      <c r="H407" s="47"/>
      <c r="I407" s="47" t="s">
        <v>664</v>
      </c>
      <c r="J407" s="49">
        <v>45929</v>
      </c>
      <c r="K407" s="47" t="str">
        <f>INDEX(_xlfn.TEXTSPLIT(mouvementmp[[#This Row],[QR MP]],"_"),1,1)</f>
        <v>C29</v>
      </c>
      <c r="L407" s="47" t="str">
        <f>INDEX(_xlfn.TEXTSPLIT(mouvementmp[[#This Row],[QR MP]],"_"),1,2)</f>
        <v>FUSHIA</v>
      </c>
      <c r="M407" s="47" t="str">
        <f>INDEX(_xlfn.TEXTSPLIT(mouvementmp[[#This Row],[QR MP]],"_"),1,3)</f>
        <v>NM15-29.00</v>
      </c>
      <c r="N407" s="47" t="str">
        <f>INDEX(_xlfn.TEXTSPLIT(mouvementmp[[#This Row],[QR MP]],"_"),1,4)</f>
        <v>61549</v>
      </c>
      <c r="O407" s="47">
        <f>-mouvementmp[[#This Row],[Poids]]</f>
        <v>-16.5</v>
      </c>
      <c r="P407" s="47" t="str">
        <f>IF(
   COUNTIFS($A$2:A407,A407,
             $B$2:B407,B407,
             $C$2:C407,C407,
             $D$2:D407,D407,
             $E$2:E407,E407,
             $F$2:F407,F407,
              $J$2:J407,J407)&gt;1,
   "Doublon",
   "Correcte"
)</f>
        <v>Correcte</v>
      </c>
      <c r="Q407" s="106" t="str">
        <f>IF(mouvementmp[[#This Row],[QR Fabrication]]&lt;&gt;"",INDEX(_xlfn.TEXTSPLIT(mouvementmp[[#This Row],[QR Fabrication]],"_"),1,1),"")</f>
        <v>OF249946</v>
      </c>
      <c r="R407" s="106" t="str">
        <f>IF(mouvementmp[[#This Row],[QR Fabrication]]&lt;&gt;"",INDEX(_xlfn.TEXTSPLIT(mouvementmp[[#This Row],[QR Fabrication]],"_"),1,2),"")</f>
        <v>CL00884</v>
      </c>
      <c r="S407" s="47" t="str">
        <f>IF(mouvementmp[[#This Row],[QR Fabrication]]&lt;&gt;"",INDEX(_xlfn.TEXTSPLIT(mouvementmp[[#This Row],[QR Fabrication]],"_"),1,3),"")</f>
        <v>CM-FT0120</v>
      </c>
      <c r="T407" s="47" t="str">
        <f>IF(mouvementmp[[#This Row],[QR Fabrication]]&lt;&gt;"",INDEX(_xlfn.TEXTSPLIT(mouvementmp[[#This Row],[QR Fabrication]],"_"),1,4),"")</f>
        <v>ST1020-S14-16-17</v>
      </c>
      <c r="U407" s="47" t="str">
        <f>IF(mouvementmp[[#This Row],[QR Fabrication]]&lt;&gt;"",INDEX(_xlfn.TEXTSPLIT(mouvementmp[[#This Row],[QR Fabrication]],"_"),1,5),"")</f>
        <v>ST TROPEZ</v>
      </c>
      <c r="V407" s="47" t="str">
        <f>IF(mouvementmp[[#This Row],[QR Fabrication]]&lt;&gt;"",_xlfn.TEXTAFTER(mouvementmp[[#This Row],[QR Fabrication]],"_",5),"")</f>
        <v>1020</v>
      </c>
    </row>
    <row r="408" spans="1:22" ht="16.5" thickTop="1" thickBot="1" x14ac:dyDescent="0.3">
      <c r="A408" s="46" t="s">
        <v>2476</v>
      </c>
      <c r="B408" s="54" t="s">
        <v>3898</v>
      </c>
      <c r="C408" s="47" t="s">
        <v>668</v>
      </c>
      <c r="D408" s="47" t="s">
        <v>665</v>
      </c>
      <c r="E408" s="47" t="s">
        <v>669</v>
      </c>
      <c r="F408" s="48">
        <v>1.75</v>
      </c>
      <c r="G408" s="47"/>
      <c r="H408" s="47"/>
      <c r="I408" s="47" t="s">
        <v>664</v>
      </c>
      <c r="J408" s="49">
        <v>45930</v>
      </c>
      <c r="K408" s="47" t="str">
        <f>INDEX(_xlfn.TEXTSPLIT(mouvementmp[[#This Row],[QR MP]],"_"),1,1)</f>
        <v>C29</v>
      </c>
      <c r="L408" s="47" t="str">
        <f>INDEX(_xlfn.TEXTSPLIT(mouvementmp[[#This Row],[QR MP]],"_"),1,2)</f>
        <v>FUSHIA</v>
      </c>
      <c r="M408" s="47" t="str">
        <f>INDEX(_xlfn.TEXTSPLIT(mouvementmp[[#This Row],[QR MP]],"_"),1,3)</f>
        <v>NM15-29.00</v>
      </c>
      <c r="N408" s="47" t="str">
        <f>INDEX(_xlfn.TEXTSPLIT(mouvementmp[[#This Row],[QR MP]],"_"),1,4)</f>
        <v>61549</v>
      </c>
      <c r="O408" s="47">
        <f>-mouvementmp[[#This Row],[Poids]]</f>
        <v>-1.75</v>
      </c>
      <c r="P408" s="47" t="str">
        <f>IF(
   COUNTIFS($A$2:A408,A408,
             $B$2:B408,B408,
             $C$2:C408,C408,
             $D$2:D408,D408,
             $E$2:E408,E408,
             $F$2:F408,F408,
              $J$2:J408,J408)&gt;1,
   "Doublon",
   "Correcte"
)</f>
        <v>Correcte</v>
      </c>
      <c r="Q408" s="106" t="str">
        <f>IF(mouvementmp[[#This Row],[QR Fabrication]]&lt;&gt;"",INDEX(_xlfn.TEXTSPLIT(mouvementmp[[#This Row],[QR Fabrication]],"_"),1,1),"")</f>
        <v>OF249859</v>
      </c>
      <c r="R408" s="106" t="str">
        <f>IF(mouvementmp[[#This Row],[QR Fabrication]]&lt;&gt;"",INDEX(_xlfn.TEXTSPLIT(mouvementmp[[#This Row],[QR Fabrication]],"_"),1,2),"")</f>
        <v>CL00884</v>
      </c>
      <c r="S408" s="47" t="str">
        <f>IF(mouvementmp[[#This Row],[QR Fabrication]]&lt;&gt;"",INDEX(_xlfn.TEXTSPLIT(mouvementmp[[#This Row],[QR Fabrication]],"_"),1,3),"")</f>
        <v>CM-FT0119</v>
      </c>
      <c r="T408" s="47" t="str">
        <f>IF(mouvementmp[[#This Row],[QR Fabrication]]&lt;&gt;"",INDEX(_xlfn.TEXTSPLIT(mouvementmp[[#This Row],[QR Fabrication]],"_"),1,4),"")</f>
        <v>AR2020-B29-01</v>
      </c>
      <c r="U408" s="47" t="str">
        <f>IF(mouvementmp[[#This Row],[QR Fabrication]]&lt;&gt;"",INDEX(_xlfn.TEXTSPLIT(mouvementmp[[#This Row],[QR Fabrication]],"_"),1,5),"")</f>
        <v>ARTHUR</v>
      </c>
      <c r="V408" s="47" t="str">
        <f>IF(mouvementmp[[#This Row],[QR Fabrication]]&lt;&gt;"",_xlfn.TEXTAFTER(mouvementmp[[#This Row],[QR Fabrication]],"_",5),"")</f>
        <v>2020</v>
      </c>
    </row>
    <row r="409" spans="1:22" ht="16.5" thickTop="1" thickBot="1" x14ac:dyDescent="0.3">
      <c r="A409" s="46"/>
      <c r="B409" s="54" t="s">
        <v>3910</v>
      </c>
      <c r="C409" s="47" t="s">
        <v>676</v>
      </c>
      <c r="D409" s="47" t="s">
        <v>665</v>
      </c>
      <c r="E409" s="47" t="s">
        <v>677</v>
      </c>
      <c r="F409" s="48">
        <v>76.2</v>
      </c>
      <c r="G409" s="47"/>
      <c r="H409" s="47"/>
      <c r="I409" s="47" t="s">
        <v>664</v>
      </c>
      <c r="J409" s="49">
        <v>45931</v>
      </c>
      <c r="K409" s="47" t="str">
        <f>INDEX(_xlfn.TEXTSPLIT(mouvementmp[[#This Row],[QR MP]],"_"),1,1)</f>
        <v>CH</v>
      </c>
      <c r="L409" s="47" t="str">
        <f>INDEX(_xlfn.TEXTSPLIT(mouvementmp[[#This Row],[QR MP]],"_"),1,2)</f>
        <v>Ecru</v>
      </c>
      <c r="M409" s="47" t="str">
        <f>INDEX(_xlfn.TEXTSPLIT(mouvementmp[[#This Row],[QR MP]],"_"),1,3)</f>
        <v>CH2/40CE</v>
      </c>
      <c r="N409" s="47" t="str">
        <f>INDEX(_xlfn.TEXTSPLIT(mouvementmp[[#This Row],[QR MP]],"_"),1,4)</f>
        <v>A220324523/2</v>
      </c>
      <c r="O409" s="47">
        <f>-mouvementmp[[#This Row],[Poids]]</f>
        <v>-76.2</v>
      </c>
      <c r="P409" s="47" t="str">
        <f>IF(
   COUNTIFS($A$2:A409,A409,
             $B$2:B409,B409,
             $C$2:C409,C409,
             $D$2:D409,D409,
             $E$2:E409,E409,
             $F$2:F409,F409,
              $J$2:J409,J409)&gt;1,
   "Doublon",
   "Correcte"
)</f>
        <v>Correcte</v>
      </c>
      <c r="Q409" s="106" t="str">
        <f>IF(mouvementmp[[#This Row],[QR Fabrication]]&lt;&gt;"",INDEX(_xlfn.TEXTSPLIT(mouvementmp[[#This Row],[QR Fabrication]],"_"),1,1),"")</f>
        <v/>
      </c>
      <c r="R409" s="106" t="str">
        <f>IF(mouvementmp[[#This Row],[QR Fabrication]]&lt;&gt;"",INDEX(_xlfn.TEXTSPLIT(mouvementmp[[#This Row],[QR Fabrication]],"_"),1,2),"")</f>
        <v/>
      </c>
      <c r="S409" s="47" t="str">
        <f>IF(mouvementmp[[#This Row],[QR Fabrication]]&lt;&gt;"",INDEX(_xlfn.TEXTSPLIT(mouvementmp[[#This Row],[QR Fabrication]],"_"),1,3),"")</f>
        <v/>
      </c>
      <c r="T409" s="47" t="str">
        <f>IF(mouvementmp[[#This Row],[QR Fabrication]]&lt;&gt;"",INDEX(_xlfn.TEXTSPLIT(mouvementmp[[#This Row],[QR Fabrication]],"_"),1,4),"")</f>
        <v/>
      </c>
      <c r="U409" s="47" t="str">
        <f>IF(mouvementmp[[#This Row],[QR Fabrication]]&lt;&gt;"",INDEX(_xlfn.TEXTSPLIT(mouvementmp[[#This Row],[QR Fabrication]],"_"),1,5),"")</f>
        <v/>
      </c>
      <c r="V409" s="47" t="str">
        <f>IF(mouvementmp[[#This Row],[QR Fabrication]]&lt;&gt;"",_xlfn.TEXTAFTER(mouvementmp[[#This Row],[QR Fabrication]],"_",5),"")</f>
        <v/>
      </c>
    </row>
    <row r="410" spans="1:22" ht="16.5" thickTop="1" thickBot="1" x14ac:dyDescent="0.3">
      <c r="A410" s="46" t="s">
        <v>2492</v>
      </c>
      <c r="B410" s="54" t="s">
        <v>3886</v>
      </c>
      <c r="C410" s="47" t="s">
        <v>672</v>
      </c>
      <c r="D410" s="47" t="s">
        <v>665</v>
      </c>
      <c r="E410" s="47" t="s">
        <v>669</v>
      </c>
      <c r="F410" s="48">
        <v>97.5</v>
      </c>
      <c r="G410" s="47"/>
      <c r="H410" s="47"/>
      <c r="I410" s="47" t="s">
        <v>664</v>
      </c>
      <c r="J410" s="49">
        <v>45931</v>
      </c>
      <c r="K410" s="47" t="str">
        <f>INDEX(_xlfn.TEXTSPLIT(mouvementmp[[#This Row],[QR MP]],"_"),1,1)</f>
        <v>C24</v>
      </c>
      <c r="L410" s="47" t="str">
        <f>INDEX(_xlfn.TEXTSPLIT(mouvementmp[[#This Row],[QR MP]],"_"),1,2)</f>
        <v>JAUNE SAFRAN</v>
      </c>
      <c r="M410" s="47" t="str">
        <f>INDEX(_xlfn.TEXTSPLIT(mouvementmp[[#This Row],[QR MP]],"_"),1,3)</f>
        <v>NM15-24.00</v>
      </c>
      <c r="N410" s="47" t="str">
        <f>INDEX(_xlfn.TEXTSPLIT(mouvementmp[[#This Row],[QR MP]],"_"),1,4)</f>
        <v>61554</v>
      </c>
      <c r="O410" s="47">
        <f>-mouvementmp[[#This Row],[Poids]]</f>
        <v>-97.5</v>
      </c>
      <c r="P410" s="47" t="str">
        <f>IF(
   COUNTIFS($A$2:A410,A410,
             $B$2:B410,B410,
             $C$2:C410,C410,
             $D$2:D410,D410,
             $E$2:E410,E410,
             $F$2:F410,F410,
              $J$2:J410,J410)&gt;1,
   "Doublon",
   "Correcte"
)</f>
        <v>Correcte</v>
      </c>
      <c r="Q410" s="106" t="str">
        <f>IF(mouvementmp[[#This Row],[QR Fabrication]]&lt;&gt;"",INDEX(_xlfn.TEXTSPLIT(mouvementmp[[#This Row],[QR Fabrication]],"_"),1,1),"")</f>
        <v>OF249880</v>
      </c>
      <c r="R410" s="106" t="str">
        <f>IF(mouvementmp[[#This Row],[QR Fabrication]]&lt;&gt;"",INDEX(_xlfn.TEXTSPLIT(mouvementmp[[#This Row],[QR Fabrication]],"_"),1,2),"")</f>
        <v>CL00884</v>
      </c>
      <c r="S410" s="47" t="str">
        <f>IF(mouvementmp[[#This Row],[QR Fabrication]]&lt;&gt;"",INDEX(_xlfn.TEXTSPLIT(mouvementmp[[#This Row],[QR Fabrication]],"_"),1,3),"")</f>
        <v>CM-FT0120</v>
      </c>
      <c r="T410" s="47" t="str">
        <f>IF(mouvementmp[[#This Row],[QR Fabrication]]&lt;&gt;"",INDEX(_xlfn.TEXTSPLIT(mouvementmp[[#This Row],[QR Fabrication]],"_"),1,4),"")</f>
        <v>IB1020-B24-01</v>
      </c>
      <c r="U410" s="47" t="str">
        <f>IF(mouvementmp[[#This Row],[QR Fabrication]]&lt;&gt;"",INDEX(_xlfn.TEXTSPLIT(mouvementmp[[#This Row],[QR Fabrication]],"_"),1,5),"")</f>
        <v>IBIZA</v>
      </c>
      <c r="V410" s="47" t="str">
        <f>IF(mouvementmp[[#This Row],[QR Fabrication]]&lt;&gt;"",_xlfn.TEXTAFTER(mouvementmp[[#This Row],[QR Fabrication]],"_",5),"")</f>
        <v>1020</v>
      </c>
    </row>
    <row r="411" spans="1:22" ht="16.5" thickTop="1" thickBot="1" x14ac:dyDescent="0.3">
      <c r="A411" s="46" t="s">
        <v>2493</v>
      </c>
      <c r="B411" s="54" t="s">
        <v>3808</v>
      </c>
      <c r="C411" s="47" t="s">
        <v>672</v>
      </c>
      <c r="D411" s="47" t="s">
        <v>665</v>
      </c>
      <c r="E411" s="47" t="s">
        <v>669</v>
      </c>
      <c r="F411" s="48">
        <v>12.85</v>
      </c>
      <c r="G411" s="47"/>
      <c r="H411" s="47"/>
      <c r="I411" s="47" t="s">
        <v>664</v>
      </c>
      <c r="J411" s="49">
        <v>45931</v>
      </c>
      <c r="K411" s="47" t="str">
        <f>INDEX(_xlfn.TEXTSPLIT(mouvementmp[[#This Row],[QR MP]],"_"),1,1)</f>
        <v>C02</v>
      </c>
      <c r="L411" s="47" t="str">
        <f>INDEX(_xlfn.TEXTSPLIT(mouvementmp[[#This Row],[QR MP]],"_"),1,2)</f>
        <v>ECRU</v>
      </c>
      <c r="M411" s="47" t="str">
        <f>INDEX(_xlfn.TEXTSPLIT(mouvementmp[[#This Row],[QR MP]],"_"),1,3)</f>
        <v>NM34-02.00</v>
      </c>
      <c r="N411" s="47" t="str">
        <f>INDEX(_xlfn.TEXTSPLIT(mouvementmp[[#This Row],[QR MP]],"_"),1,4)</f>
        <v>S2024</v>
      </c>
      <c r="O411" s="47">
        <f>-mouvementmp[[#This Row],[Poids]]</f>
        <v>-12.85</v>
      </c>
      <c r="P411" s="47" t="str">
        <f>IF(
   COUNTIFS($A$2:A411,A411,
             $B$2:B411,B411,
             $C$2:C411,C411,
             $D$2:D411,D411,
             $E$2:E411,E411,
             $F$2:F411,F411,
              $J$2:J411,J411)&gt;1,
   "Doublon",
   "Correcte"
)</f>
        <v>Correcte</v>
      </c>
      <c r="Q411" s="106" t="str">
        <f>IF(mouvementmp[[#This Row],[QR Fabrication]]&lt;&gt;"",INDEX(_xlfn.TEXTSPLIT(mouvementmp[[#This Row],[QR Fabrication]],"_"),1,1),"")</f>
        <v>OF249836</v>
      </c>
      <c r="R411" s="106" t="str">
        <f>IF(mouvementmp[[#This Row],[QR Fabrication]]&lt;&gt;"",INDEX(_xlfn.TEXTSPLIT(mouvementmp[[#This Row],[QR Fabrication]],"_"),1,2),"")</f>
        <v>CL00884</v>
      </c>
      <c r="S411" s="47" t="str">
        <f>IF(mouvementmp[[#This Row],[QR Fabrication]]&lt;&gt;"",INDEX(_xlfn.TEXTSPLIT(mouvementmp[[#This Row],[QR Fabrication]],"_"),1,3),"")</f>
        <v>CM-FT0119</v>
      </c>
      <c r="T411" s="47" t="str">
        <f>IF(mouvementmp[[#This Row],[QR Fabrication]]&lt;&gt;"",INDEX(_xlfn.TEXTSPLIT(mouvementmp[[#This Row],[QR Fabrication]],"_"),1,4),"")</f>
        <v>FI1020-C02-28-29</v>
      </c>
      <c r="U411" s="47" t="str">
        <f>IF(mouvementmp[[#This Row],[QR Fabrication]]&lt;&gt;"",INDEX(_xlfn.TEXTSPLIT(mouvementmp[[#This Row],[QR Fabrication]],"_"),1,5),"")</f>
        <v>FIVE</v>
      </c>
      <c r="V411" s="47" t="str">
        <f>IF(mouvementmp[[#This Row],[QR Fabrication]]&lt;&gt;"",_xlfn.TEXTAFTER(mouvementmp[[#This Row],[QR Fabrication]],"_",5),"")</f>
        <v>1020</v>
      </c>
    </row>
    <row r="412" spans="1:22" ht="16.5" thickTop="1" thickBot="1" x14ac:dyDescent="0.3">
      <c r="A412" s="46" t="s">
        <v>2493</v>
      </c>
      <c r="B412" s="54" t="s">
        <v>3896</v>
      </c>
      <c r="C412" s="47" t="s">
        <v>672</v>
      </c>
      <c r="D412" s="47" t="s">
        <v>665</v>
      </c>
      <c r="E412" s="47" t="s">
        <v>669</v>
      </c>
      <c r="F412" s="48">
        <v>39.5</v>
      </c>
      <c r="G412" s="47"/>
      <c r="H412" s="47"/>
      <c r="I412" s="47" t="s">
        <v>664</v>
      </c>
      <c r="J412" s="49">
        <v>45931</v>
      </c>
      <c r="K412" s="47" t="str">
        <f>INDEX(_xlfn.TEXTSPLIT(mouvementmp[[#This Row],[QR MP]],"_"),1,1)</f>
        <v>C28</v>
      </c>
      <c r="L412" s="47" t="str">
        <f>INDEX(_xlfn.TEXTSPLIT(mouvementmp[[#This Row],[QR MP]],"_"),1,2)</f>
        <v>FRAMBOISE</v>
      </c>
      <c r="M412" s="47" t="str">
        <f>INDEX(_xlfn.TEXTSPLIT(mouvementmp[[#This Row],[QR MP]],"_"),1,3)</f>
        <v>NM15-28.00</v>
      </c>
      <c r="N412" s="47" t="str">
        <f>INDEX(_xlfn.TEXTSPLIT(mouvementmp[[#This Row],[QR MP]],"_"),1,4)</f>
        <v>S2022</v>
      </c>
      <c r="O412" s="47">
        <f>-mouvementmp[[#This Row],[Poids]]</f>
        <v>-39.5</v>
      </c>
      <c r="P412" s="47" t="str">
        <f>IF(
   COUNTIFS($A$2:A412,A412,
             $B$2:B412,B412,
             $C$2:C412,C412,
             $D$2:D412,D412,
             $E$2:E412,E412,
             $F$2:F412,F412,
              $J$2:J412,J412)&gt;1,
   "Doublon",
   "Correcte"
)</f>
        <v>Correcte</v>
      </c>
      <c r="Q412" s="106" t="str">
        <f>IF(mouvementmp[[#This Row],[QR Fabrication]]&lt;&gt;"",INDEX(_xlfn.TEXTSPLIT(mouvementmp[[#This Row],[QR Fabrication]],"_"),1,1),"")</f>
        <v>OF249836</v>
      </c>
      <c r="R412" s="106" t="str">
        <f>IF(mouvementmp[[#This Row],[QR Fabrication]]&lt;&gt;"",INDEX(_xlfn.TEXTSPLIT(mouvementmp[[#This Row],[QR Fabrication]],"_"),1,2),"")</f>
        <v>CL00884</v>
      </c>
      <c r="S412" s="47" t="str">
        <f>IF(mouvementmp[[#This Row],[QR Fabrication]]&lt;&gt;"",INDEX(_xlfn.TEXTSPLIT(mouvementmp[[#This Row],[QR Fabrication]],"_"),1,3),"")</f>
        <v>CM-FT0119</v>
      </c>
      <c r="T412" s="47" t="str">
        <f>IF(mouvementmp[[#This Row],[QR Fabrication]]&lt;&gt;"",INDEX(_xlfn.TEXTSPLIT(mouvementmp[[#This Row],[QR Fabrication]],"_"),1,4),"")</f>
        <v>FI1020-C02-28-29</v>
      </c>
      <c r="U412" s="47" t="str">
        <f>IF(mouvementmp[[#This Row],[QR Fabrication]]&lt;&gt;"",INDEX(_xlfn.TEXTSPLIT(mouvementmp[[#This Row],[QR Fabrication]],"_"),1,5),"")</f>
        <v>FIVE</v>
      </c>
      <c r="V412" s="47" t="str">
        <f>IF(mouvementmp[[#This Row],[QR Fabrication]]&lt;&gt;"",_xlfn.TEXTAFTER(mouvementmp[[#This Row],[QR Fabrication]],"_",5),"")</f>
        <v>1020</v>
      </c>
    </row>
    <row r="413" spans="1:22" ht="16.5" thickTop="1" thickBot="1" x14ac:dyDescent="0.3">
      <c r="A413" s="46" t="s">
        <v>2493</v>
      </c>
      <c r="B413" s="54" t="s">
        <v>3898</v>
      </c>
      <c r="C413" s="47" t="s">
        <v>672</v>
      </c>
      <c r="D413" s="47" t="s">
        <v>665</v>
      </c>
      <c r="E413" s="47" t="s">
        <v>669</v>
      </c>
      <c r="F413" s="48">
        <v>39.5</v>
      </c>
      <c r="G413" s="47"/>
      <c r="H413" s="47"/>
      <c r="I413" s="47" t="s">
        <v>664</v>
      </c>
      <c r="J413" s="49">
        <v>45931</v>
      </c>
      <c r="K413" s="47" t="str">
        <f>INDEX(_xlfn.TEXTSPLIT(mouvementmp[[#This Row],[QR MP]],"_"),1,1)</f>
        <v>C29</v>
      </c>
      <c r="L413" s="47" t="str">
        <f>INDEX(_xlfn.TEXTSPLIT(mouvementmp[[#This Row],[QR MP]],"_"),1,2)</f>
        <v>FUSHIA</v>
      </c>
      <c r="M413" s="47" t="str">
        <f>INDEX(_xlfn.TEXTSPLIT(mouvementmp[[#This Row],[QR MP]],"_"),1,3)</f>
        <v>NM15-29.00</v>
      </c>
      <c r="N413" s="47" t="str">
        <f>INDEX(_xlfn.TEXTSPLIT(mouvementmp[[#This Row],[QR MP]],"_"),1,4)</f>
        <v>61549</v>
      </c>
      <c r="O413" s="47">
        <f>-mouvementmp[[#This Row],[Poids]]</f>
        <v>-39.5</v>
      </c>
      <c r="P413" s="47" t="str">
        <f>IF(
   COUNTIFS($A$2:A413,A413,
             $B$2:B413,B413,
             $C$2:C413,C413,
             $D$2:D413,D413,
             $E$2:E413,E413,
             $F$2:F413,F413,
              $J$2:J413,J413)&gt;1,
   "Doublon",
   "Correcte"
)</f>
        <v>Correcte</v>
      </c>
      <c r="Q413" s="106" t="str">
        <f>IF(mouvementmp[[#This Row],[QR Fabrication]]&lt;&gt;"",INDEX(_xlfn.TEXTSPLIT(mouvementmp[[#This Row],[QR Fabrication]],"_"),1,1),"")</f>
        <v>OF249836</v>
      </c>
      <c r="R413" s="106" t="str">
        <f>IF(mouvementmp[[#This Row],[QR Fabrication]]&lt;&gt;"",INDEX(_xlfn.TEXTSPLIT(mouvementmp[[#This Row],[QR Fabrication]],"_"),1,2),"")</f>
        <v>CL00884</v>
      </c>
      <c r="S413" s="47" t="str">
        <f>IF(mouvementmp[[#This Row],[QR Fabrication]]&lt;&gt;"",INDEX(_xlfn.TEXTSPLIT(mouvementmp[[#This Row],[QR Fabrication]],"_"),1,3),"")</f>
        <v>CM-FT0119</v>
      </c>
      <c r="T413" s="47" t="str">
        <f>IF(mouvementmp[[#This Row],[QR Fabrication]]&lt;&gt;"",INDEX(_xlfn.TEXTSPLIT(mouvementmp[[#This Row],[QR Fabrication]],"_"),1,4),"")</f>
        <v>FI1020-C02-28-29</v>
      </c>
      <c r="U413" s="47" t="str">
        <f>IF(mouvementmp[[#This Row],[QR Fabrication]]&lt;&gt;"",INDEX(_xlfn.TEXTSPLIT(mouvementmp[[#This Row],[QR Fabrication]],"_"),1,5),"")</f>
        <v>FIVE</v>
      </c>
      <c r="V413" s="47" t="str">
        <f>IF(mouvementmp[[#This Row],[QR Fabrication]]&lt;&gt;"",_xlfn.TEXTAFTER(mouvementmp[[#This Row],[QR Fabrication]],"_",5),"")</f>
        <v>1020</v>
      </c>
    </row>
    <row r="414" spans="1:22" ht="16.5" thickTop="1" thickBot="1" x14ac:dyDescent="0.3">
      <c r="A414" s="46" t="s">
        <v>2493</v>
      </c>
      <c r="B414" s="54" t="s">
        <v>3901</v>
      </c>
      <c r="C414" s="47" t="s">
        <v>672</v>
      </c>
      <c r="D414" s="47" t="s">
        <v>665</v>
      </c>
      <c r="E414" s="47" t="s">
        <v>669</v>
      </c>
      <c r="F414" s="48">
        <v>33.15</v>
      </c>
      <c r="G414" s="47"/>
      <c r="H414" s="47"/>
      <c r="I414" s="47" t="s">
        <v>664</v>
      </c>
      <c r="J414" s="49">
        <v>45931</v>
      </c>
      <c r="K414" s="47" t="str">
        <f>INDEX(_xlfn.TEXTSPLIT(mouvementmp[[#This Row],[QR MP]],"_"),1,1)</f>
        <v>C30</v>
      </c>
      <c r="L414" s="47" t="str">
        <f>INDEX(_xlfn.TEXTSPLIT(mouvementmp[[#This Row],[QR MP]],"_"),1,2)</f>
        <v>PRALINE</v>
      </c>
      <c r="M414" s="47" t="str">
        <f>INDEX(_xlfn.TEXTSPLIT(mouvementmp[[#This Row],[QR MP]],"_"),1,3)</f>
        <v>NM15-30.00</v>
      </c>
      <c r="N414" s="47" t="str">
        <f>INDEX(_xlfn.TEXTSPLIT(mouvementmp[[#This Row],[QR MP]],"_"),1,4)</f>
        <v>61570</v>
      </c>
      <c r="O414" s="47">
        <f>-mouvementmp[[#This Row],[Poids]]</f>
        <v>-33.15</v>
      </c>
      <c r="P414" s="47" t="str">
        <f>IF(
   COUNTIFS($A$2:A414,A414,
             $B$2:B414,B414,
             $C$2:C414,C414,
             $D$2:D414,D414,
             $E$2:E414,E414,
             $F$2:F414,F414,
              $J$2:J414,J414)&gt;1,
   "Doublon",
   "Correcte"
)</f>
        <v>Correcte</v>
      </c>
      <c r="Q414" s="106" t="str">
        <f>IF(mouvementmp[[#This Row],[QR Fabrication]]&lt;&gt;"",INDEX(_xlfn.TEXTSPLIT(mouvementmp[[#This Row],[QR Fabrication]],"_"),1,1),"")</f>
        <v>OF249836</v>
      </c>
      <c r="R414" s="106" t="str">
        <f>IF(mouvementmp[[#This Row],[QR Fabrication]]&lt;&gt;"",INDEX(_xlfn.TEXTSPLIT(mouvementmp[[#This Row],[QR Fabrication]],"_"),1,2),"")</f>
        <v>CL00884</v>
      </c>
      <c r="S414" s="47" t="str">
        <f>IF(mouvementmp[[#This Row],[QR Fabrication]]&lt;&gt;"",INDEX(_xlfn.TEXTSPLIT(mouvementmp[[#This Row],[QR Fabrication]],"_"),1,3),"")</f>
        <v>CM-FT0119</v>
      </c>
      <c r="T414" s="47" t="str">
        <f>IF(mouvementmp[[#This Row],[QR Fabrication]]&lt;&gt;"",INDEX(_xlfn.TEXTSPLIT(mouvementmp[[#This Row],[QR Fabrication]],"_"),1,4),"")</f>
        <v>FI1020-C02-28-29</v>
      </c>
      <c r="U414" s="47" t="str">
        <f>IF(mouvementmp[[#This Row],[QR Fabrication]]&lt;&gt;"",INDEX(_xlfn.TEXTSPLIT(mouvementmp[[#This Row],[QR Fabrication]],"_"),1,5),"")</f>
        <v>FIVE</v>
      </c>
      <c r="V414" s="47" t="str">
        <f>IF(mouvementmp[[#This Row],[QR Fabrication]]&lt;&gt;"",_xlfn.TEXTAFTER(mouvementmp[[#This Row],[QR Fabrication]],"_",5),"")</f>
        <v>1020</v>
      </c>
    </row>
    <row r="415" spans="1:22" ht="16.5" thickTop="1" thickBot="1" x14ac:dyDescent="0.3">
      <c r="A415" s="46" t="s">
        <v>2493</v>
      </c>
      <c r="B415" s="54" t="s">
        <v>3905</v>
      </c>
      <c r="C415" s="47" t="s">
        <v>672</v>
      </c>
      <c r="D415" s="47" t="s">
        <v>665</v>
      </c>
      <c r="E415" s="47" t="s">
        <v>669</v>
      </c>
      <c r="F415" s="48">
        <v>19.649999999999999</v>
      </c>
      <c r="G415" s="47"/>
      <c r="H415" s="47"/>
      <c r="I415" s="47" t="s">
        <v>664</v>
      </c>
      <c r="J415" s="49">
        <v>45931</v>
      </c>
      <c r="K415" s="47" t="str">
        <f>INDEX(_xlfn.TEXTSPLIT(mouvementmp[[#This Row],[QR MP]],"_"),1,1)</f>
        <v>C32</v>
      </c>
      <c r="L415" s="47" t="str">
        <f>INDEX(_xlfn.TEXTSPLIT(mouvementmp[[#This Row],[QR MP]],"_"),1,2)</f>
        <v>VIEUX ROSE</v>
      </c>
      <c r="M415" s="47" t="str">
        <f>INDEX(_xlfn.TEXTSPLIT(mouvementmp[[#This Row],[QR MP]],"_"),1,3)</f>
        <v>NM15-32.00</v>
      </c>
      <c r="N415" s="47" t="str">
        <f>INDEX(_xlfn.TEXTSPLIT(mouvementmp[[#This Row],[QR MP]],"_"),1,4)</f>
        <v>61455</v>
      </c>
      <c r="O415" s="47">
        <f>-mouvementmp[[#This Row],[Poids]]</f>
        <v>-19.649999999999999</v>
      </c>
      <c r="P415" s="47" t="str">
        <f>IF(
   COUNTIFS($A$2:A415,A415,
             $B$2:B415,B415,
             $C$2:C415,C415,
             $D$2:D415,D415,
             $E$2:E415,E415,
             $F$2:F415,F415,
              $J$2:J415,J415)&gt;1,
   "Doublon",
   "Correcte"
)</f>
        <v>Correcte</v>
      </c>
      <c r="Q415" s="106" t="str">
        <f>IF(mouvementmp[[#This Row],[QR Fabrication]]&lt;&gt;"",INDEX(_xlfn.TEXTSPLIT(mouvementmp[[#This Row],[QR Fabrication]],"_"),1,1),"")</f>
        <v>OF249836</v>
      </c>
      <c r="R415" s="106" t="str">
        <f>IF(mouvementmp[[#This Row],[QR Fabrication]]&lt;&gt;"",INDEX(_xlfn.TEXTSPLIT(mouvementmp[[#This Row],[QR Fabrication]],"_"),1,2),"")</f>
        <v>CL00884</v>
      </c>
      <c r="S415" s="47" t="str">
        <f>IF(mouvementmp[[#This Row],[QR Fabrication]]&lt;&gt;"",INDEX(_xlfn.TEXTSPLIT(mouvementmp[[#This Row],[QR Fabrication]],"_"),1,3),"")</f>
        <v>CM-FT0119</v>
      </c>
      <c r="T415" s="47" t="str">
        <f>IF(mouvementmp[[#This Row],[QR Fabrication]]&lt;&gt;"",INDEX(_xlfn.TEXTSPLIT(mouvementmp[[#This Row],[QR Fabrication]],"_"),1,4),"")</f>
        <v>FI1020-C02-28-29</v>
      </c>
      <c r="U415" s="47" t="str">
        <f>IF(mouvementmp[[#This Row],[QR Fabrication]]&lt;&gt;"",INDEX(_xlfn.TEXTSPLIT(mouvementmp[[#This Row],[QR Fabrication]],"_"),1,5),"")</f>
        <v>FIVE</v>
      </c>
      <c r="V415" s="47" t="str">
        <f>IF(mouvementmp[[#This Row],[QR Fabrication]]&lt;&gt;"",_xlfn.TEXTAFTER(mouvementmp[[#This Row],[QR Fabrication]],"_",5),"")</f>
        <v>1020</v>
      </c>
    </row>
    <row r="416" spans="1:22" ht="16.5" thickTop="1" thickBot="1" x14ac:dyDescent="0.3">
      <c r="A416" s="46" t="s">
        <v>2494</v>
      </c>
      <c r="B416" s="54" t="s">
        <v>3856</v>
      </c>
      <c r="C416" s="47" t="s">
        <v>672</v>
      </c>
      <c r="D416" s="47" t="s">
        <v>665</v>
      </c>
      <c r="E416" s="47" t="s">
        <v>669</v>
      </c>
      <c r="F416" s="48">
        <v>19</v>
      </c>
      <c r="G416" s="47"/>
      <c r="H416" s="47"/>
      <c r="I416" s="47" t="s">
        <v>664</v>
      </c>
      <c r="J416" s="49">
        <v>45931</v>
      </c>
      <c r="K416" s="47" t="str">
        <f>INDEX(_xlfn.TEXTSPLIT(mouvementmp[[#This Row],[QR MP]],"_"),1,1)</f>
        <v>C13</v>
      </c>
      <c r="L416" s="47" t="str">
        <f>INDEX(_xlfn.TEXTSPLIT(mouvementmp[[#This Row],[QR MP]],"_"),1,2)</f>
        <v>BLEU ROI</v>
      </c>
      <c r="M416" s="47" t="str">
        <f>INDEX(_xlfn.TEXTSPLIT(mouvementmp[[#This Row],[QR MP]],"_"),1,3)</f>
        <v>NM20-13.00</v>
      </c>
      <c r="N416" s="47" t="str">
        <f>INDEX(_xlfn.TEXTSPLIT(mouvementmp[[#This Row],[QR MP]],"_"),1,4)</f>
        <v>S2023</v>
      </c>
      <c r="O416" s="47">
        <f>-mouvementmp[[#This Row],[Poids]]</f>
        <v>-19</v>
      </c>
      <c r="P416" s="47" t="str">
        <f>IF(
   COUNTIFS($A$2:A416,A416,
             $B$2:B416,B416,
             $C$2:C416,C416,
             $D$2:D416,D416,
             $E$2:E416,E416,
             $F$2:F416,F416,
              $J$2:J416,J416)&gt;1,
   "Doublon",
   "Correcte"
)</f>
        <v>Correcte</v>
      </c>
      <c r="Q416" s="106" t="str">
        <f>IF(mouvementmp[[#This Row],[QR Fabrication]]&lt;&gt;"",INDEX(_xlfn.TEXTSPLIT(mouvementmp[[#This Row],[QR Fabrication]],"_"),1,1),"")</f>
        <v>CA250047</v>
      </c>
      <c r="R416" s="106" t="str">
        <f>IF(mouvementmp[[#This Row],[QR Fabrication]]&lt;&gt;"",INDEX(_xlfn.TEXTSPLIT(mouvementmp[[#This Row],[QR Fabrication]],"_"),1,2),"")</f>
        <v>All by Fouta</v>
      </c>
      <c r="S416" s="47" t="str">
        <f>IF(mouvementmp[[#This Row],[QR Fabrication]]&lt;&gt;"",INDEX(_xlfn.TEXTSPLIT(mouvementmp[[#This Row],[QR Fabrication]],"_"),1,3),"")</f>
        <v>Stock</v>
      </c>
      <c r="T416" s="47" t="str">
        <f>IF(mouvementmp[[#This Row],[QR Fabrication]]&lt;&gt;"",INDEX(_xlfn.TEXTSPLIT(mouvementmp[[#This Row],[QR Fabrication]],"_"),1,4),"")</f>
        <v>UNS1626-13</v>
      </c>
      <c r="U416" s="47" t="str">
        <f>IF(mouvementmp[[#This Row],[QR Fabrication]]&lt;&gt;"",INDEX(_xlfn.TEXTSPLIT(mouvementmp[[#This Row],[QR Fabrication]],"_"),1,5),"")</f>
        <v>UNI SURPIQUE</v>
      </c>
      <c r="V416" s="47" t="str">
        <f>IF(mouvementmp[[#This Row],[QR Fabrication]]&lt;&gt;"",_xlfn.TEXTAFTER(mouvementmp[[#This Row],[QR Fabrication]],"_",5),"")</f>
        <v>1626</v>
      </c>
    </row>
    <row r="417" spans="1:22" ht="16.5" thickTop="1" thickBot="1" x14ac:dyDescent="0.3">
      <c r="A417" s="46" t="s">
        <v>2495</v>
      </c>
      <c r="B417" s="54" t="s">
        <v>3874</v>
      </c>
      <c r="C417" s="47" t="s">
        <v>668</v>
      </c>
      <c r="D417" s="47" t="s">
        <v>665</v>
      </c>
      <c r="E417" s="47" t="s">
        <v>669</v>
      </c>
      <c r="F417" s="48">
        <v>1.35</v>
      </c>
      <c r="G417" s="47"/>
      <c r="H417" s="47"/>
      <c r="I417" s="47" t="s">
        <v>664</v>
      </c>
      <c r="J417" s="49">
        <v>45931</v>
      </c>
      <c r="K417" s="47" t="str">
        <f>INDEX(_xlfn.TEXTSPLIT(mouvementmp[[#This Row],[QR MP]],"_"),1,1)</f>
        <v>C20</v>
      </c>
      <c r="L417" s="47" t="str">
        <f>INDEX(_xlfn.TEXTSPLIT(mouvementmp[[#This Row],[QR MP]],"_"),1,2)</f>
        <v>VERT OLIVE</v>
      </c>
      <c r="M417" s="47" t="str">
        <f>INDEX(_xlfn.TEXTSPLIT(mouvementmp[[#This Row],[QR MP]],"_"),1,3)</f>
        <v>NM15-20.00</v>
      </c>
      <c r="N417" s="47" t="str">
        <f>INDEX(_xlfn.TEXTSPLIT(mouvementmp[[#This Row],[QR MP]],"_"),1,4)</f>
        <v>S2023</v>
      </c>
      <c r="O417" s="47">
        <f>-mouvementmp[[#This Row],[Poids]]</f>
        <v>-1.35</v>
      </c>
      <c r="P417" s="47" t="str">
        <f>IF(
   COUNTIFS($A$2:A417,A417,
             $B$2:B417,B417,
             $C$2:C417,C417,
             $D$2:D417,D417,
             $E$2:E417,E417,
             $F$2:F417,F417,
              $J$2:J417,J417)&gt;1,
   "Doublon",
   "Correcte"
)</f>
        <v>Correcte</v>
      </c>
      <c r="Q417" s="106" t="str">
        <f>IF(mouvementmp[[#This Row],[QR Fabrication]]&lt;&gt;"",INDEX(_xlfn.TEXTSPLIT(mouvementmp[[#This Row],[QR Fabrication]],"_"),1,1),"")</f>
        <v>CA250052</v>
      </c>
      <c r="R417" s="106" t="str">
        <f>IF(mouvementmp[[#This Row],[QR Fabrication]]&lt;&gt;"",INDEX(_xlfn.TEXTSPLIT(mouvementmp[[#This Row],[QR Fabrication]],"_"),1,2),"")</f>
        <v>All by Fouta</v>
      </c>
      <c r="S417" s="47" t="str">
        <f>IF(mouvementmp[[#This Row],[QR Fabrication]]&lt;&gt;"",INDEX(_xlfn.TEXTSPLIT(mouvementmp[[#This Row],[QR Fabrication]],"_"),1,3),"")</f>
        <v>Stock</v>
      </c>
      <c r="T417" s="47" t="str">
        <f>IF(mouvementmp[[#This Row],[QR Fabrication]]&lt;&gt;"",INDEX(_xlfn.TEXTSPLIT(mouvementmp[[#This Row],[QR Fabrication]],"_"),1,4),"")</f>
        <v>UNS1626-20</v>
      </c>
      <c r="U417" s="47" t="str">
        <f>IF(mouvementmp[[#This Row],[QR Fabrication]]&lt;&gt;"",INDEX(_xlfn.TEXTSPLIT(mouvementmp[[#This Row],[QR Fabrication]],"_"),1,5),"")</f>
        <v>UNI SURPIQUE</v>
      </c>
      <c r="V417" s="47" t="str">
        <f>IF(mouvementmp[[#This Row],[QR Fabrication]]&lt;&gt;"",_xlfn.TEXTAFTER(mouvementmp[[#This Row],[QR Fabrication]],"_",5),"")</f>
        <v>1626</v>
      </c>
    </row>
    <row r="418" spans="1:22" ht="16.5" thickTop="1" thickBot="1" x14ac:dyDescent="0.3">
      <c r="A418" s="46" t="s">
        <v>2496</v>
      </c>
      <c r="B418" s="54" t="s">
        <v>3886</v>
      </c>
      <c r="C418" s="47" t="s">
        <v>672</v>
      </c>
      <c r="D418" s="47" t="s">
        <v>665</v>
      </c>
      <c r="E418" s="47" t="s">
        <v>669</v>
      </c>
      <c r="F418" s="48">
        <v>10.5</v>
      </c>
      <c r="G418" s="47"/>
      <c r="H418" s="47"/>
      <c r="I418" s="47" t="s">
        <v>664</v>
      </c>
      <c r="J418" s="49">
        <v>45932</v>
      </c>
      <c r="K418" s="47" t="str">
        <f>INDEX(_xlfn.TEXTSPLIT(mouvementmp[[#This Row],[QR MP]],"_"),1,1)</f>
        <v>C24</v>
      </c>
      <c r="L418" s="47" t="str">
        <f>INDEX(_xlfn.TEXTSPLIT(mouvementmp[[#This Row],[QR MP]],"_"),1,2)</f>
        <v>JAUNE SAFRAN</v>
      </c>
      <c r="M418" s="47" t="str">
        <f>INDEX(_xlfn.TEXTSPLIT(mouvementmp[[#This Row],[QR MP]],"_"),1,3)</f>
        <v>NM15-24.00</v>
      </c>
      <c r="N418" s="47" t="str">
        <f>INDEX(_xlfn.TEXTSPLIT(mouvementmp[[#This Row],[QR MP]],"_"),1,4)</f>
        <v>61554</v>
      </c>
      <c r="O418" s="47">
        <f>-mouvementmp[[#This Row],[Poids]]</f>
        <v>-10.5</v>
      </c>
      <c r="P418" s="47" t="str">
        <f>IF(
   COUNTIFS($A$2:A418,A418,
             $B$2:B418,B418,
             $C$2:C418,C418,
             $D$2:D418,D418,
             $E$2:E418,E418,
             $F$2:F418,F418,
              $J$2:J418,J418)&gt;1,
   "Doublon",
   "Correcte"
)</f>
        <v>Correcte</v>
      </c>
      <c r="Q418" s="106" t="str">
        <f>IF(mouvementmp[[#This Row],[QR Fabrication]]&lt;&gt;"",INDEX(_xlfn.TEXTSPLIT(mouvementmp[[#This Row],[QR Fabrication]],"_"),1,1),"")</f>
        <v>CA250761</v>
      </c>
      <c r="R418" s="106" t="str">
        <f>IF(mouvementmp[[#This Row],[QR Fabrication]]&lt;&gt;"",INDEX(_xlfn.TEXTSPLIT(mouvementmp[[#This Row],[QR Fabrication]],"_"),1,2),"")</f>
        <v>All by Fouta</v>
      </c>
      <c r="S418" s="47" t="str">
        <f>IF(mouvementmp[[#This Row],[QR Fabrication]]&lt;&gt;"",INDEX(_xlfn.TEXTSPLIT(mouvementmp[[#This Row],[QR Fabrication]],"_"),1,3),"")</f>
        <v>Stock</v>
      </c>
      <c r="T418" s="47" t="str">
        <f>IF(mouvementmp[[#This Row],[QR Fabrication]]&lt;&gt;"",INDEX(_xlfn.TEXTSPLIT(mouvementmp[[#This Row],[QR Fabrication]],"_"),1,4),"")</f>
        <v>PACKSICL0507-B24-10</v>
      </c>
      <c r="U418" s="47" t="str">
        <f>IF(mouvementmp[[#This Row],[QR Fabrication]]&lt;&gt;"",INDEX(_xlfn.TEXTSPLIT(mouvementmp[[#This Row],[QR Fabrication]],"_"),1,5),"")</f>
        <v>PACK CLASSIQUE</v>
      </c>
      <c r="V418" s="47" t="str">
        <f>IF(mouvementmp[[#This Row],[QR Fabrication]]&lt;&gt;"",_xlfn.TEXTAFTER(mouvementmp[[#This Row],[QR Fabrication]],"_",5),"")</f>
        <v>0507</v>
      </c>
    </row>
    <row r="419" spans="1:22" ht="16.5" thickTop="1" thickBot="1" x14ac:dyDescent="0.3">
      <c r="A419" s="46" t="s">
        <v>2496</v>
      </c>
      <c r="B419" s="54" t="s">
        <v>3847</v>
      </c>
      <c r="C419" s="47" t="s">
        <v>672</v>
      </c>
      <c r="D419" s="47" t="s">
        <v>665</v>
      </c>
      <c r="E419" s="47" t="s">
        <v>669</v>
      </c>
      <c r="F419" s="48">
        <v>10.25</v>
      </c>
      <c r="G419" s="47"/>
      <c r="H419" s="47"/>
      <c r="I419" s="47" t="s">
        <v>664</v>
      </c>
      <c r="J419" s="49">
        <v>45932</v>
      </c>
      <c r="K419" s="47" t="str">
        <f>INDEX(_xlfn.TEXTSPLIT(mouvementmp[[#This Row],[QR MP]],"_"),1,1)</f>
        <v>C11</v>
      </c>
      <c r="L419" s="47" t="str">
        <f>INDEX(_xlfn.TEXTSPLIT(mouvementmp[[#This Row],[QR MP]],"_"),1,2)</f>
        <v>BLEU GITANE</v>
      </c>
      <c r="M419" s="47" t="str">
        <f>INDEX(_xlfn.TEXTSPLIT(mouvementmp[[#This Row],[QR MP]],"_"),1,3)</f>
        <v>NM15-11.00</v>
      </c>
      <c r="N419" s="47" t="str">
        <f>INDEX(_xlfn.TEXTSPLIT(mouvementmp[[#This Row],[QR MP]],"_"),1,4)</f>
        <v>61659</v>
      </c>
      <c r="O419" s="47">
        <f>-mouvementmp[[#This Row],[Poids]]</f>
        <v>-10.25</v>
      </c>
      <c r="P419" s="47" t="str">
        <f>IF(
   COUNTIFS($A$2:A419,A419,
             $B$2:B419,B419,
             $C$2:C419,C419,
             $D$2:D419,D419,
             $E$2:E419,E419,
             $F$2:F419,F419,
              $J$2:J419,J419)&gt;1,
   "Doublon",
   "Correcte"
)</f>
        <v>Correcte</v>
      </c>
      <c r="Q419" s="106" t="str">
        <f>IF(mouvementmp[[#This Row],[QR Fabrication]]&lt;&gt;"",INDEX(_xlfn.TEXTSPLIT(mouvementmp[[#This Row],[QR Fabrication]],"_"),1,1),"")</f>
        <v>CA250761</v>
      </c>
      <c r="R419" s="106" t="str">
        <f>IF(mouvementmp[[#This Row],[QR Fabrication]]&lt;&gt;"",INDEX(_xlfn.TEXTSPLIT(mouvementmp[[#This Row],[QR Fabrication]],"_"),1,2),"")</f>
        <v>All by Fouta</v>
      </c>
      <c r="S419" s="47" t="str">
        <f>IF(mouvementmp[[#This Row],[QR Fabrication]]&lt;&gt;"",INDEX(_xlfn.TEXTSPLIT(mouvementmp[[#This Row],[QR Fabrication]],"_"),1,3),"")</f>
        <v>Stock</v>
      </c>
      <c r="T419" s="47" t="str">
        <f>IF(mouvementmp[[#This Row],[QR Fabrication]]&lt;&gt;"",INDEX(_xlfn.TEXTSPLIT(mouvementmp[[#This Row],[QR Fabrication]],"_"),1,4),"")</f>
        <v>PACKSICL0507-B24-10</v>
      </c>
      <c r="U419" s="47" t="str">
        <f>IF(mouvementmp[[#This Row],[QR Fabrication]]&lt;&gt;"",INDEX(_xlfn.TEXTSPLIT(mouvementmp[[#This Row],[QR Fabrication]],"_"),1,5),"")</f>
        <v>PACK CLASSIQUE</v>
      </c>
      <c r="V419" s="47" t="str">
        <f>IF(mouvementmp[[#This Row],[QR Fabrication]]&lt;&gt;"",_xlfn.TEXTAFTER(mouvementmp[[#This Row],[QR Fabrication]],"_",5),"")</f>
        <v>0507</v>
      </c>
    </row>
    <row r="420" spans="1:22" ht="16.5" thickTop="1" thickBot="1" x14ac:dyDescent="0.3">
      <c r="A420" s="46" t="s">
        <v>2497</v>
      </c>
      <c r="B420" s="54" t="s">
        <v>3858</v>
      </c>
      <c r="C420" s="47" t="s">
        <v>672</v>
      </c>
      <c r="D420" s="47" t="s">
        <v>665</v>
      </c>
      <c r="E420" s="47" t="s">
        <v>669</v>
      </c>
      <c r="F420" s="48">
        <v>10.5</v>
      </c>
      <c r="G420" s="47"/>
      <c r="H420" s="47"/>
      <c r="I420" s="47" t="s">
        <v>664</v>
      </c>
      <c r="J420" s="49">
        <v>45932</v>
      </c>
      <c r="K420" s="47" t="str">
        <f>INDEX(_xlfn.TEXTSPLIT(mouvementmp[[#This Row],[QR MP]],"_"),1,1)</f>
        <v>C14</v>
      </c>
      <c r="L420" s="47" t="str">
        <f>INDEX(_xlfn.TEXTSPLIT(mouvementmp[[#This Row],[QR MP]],"_"),1,2)</f>
        <v>BLEU TURQUOISE</v>
      </c>
      <c r="M420" s="47" t="str">
        <f>INDEX(_xlfn.TEXTSPLIT(mouvementmp[[#This Row],[QR MP]],"_"),1,3)</f>
        <v>NM15-14.00</v>
      </c>
      <c r="N420" s="47" t="str">
        <f>INDEX(_xlfn.TEXTSPLIT(mouvementmp[[#This Row],[QR MP]],"_"),1,4)</f>
        <v>61597</v>
      </c>
      <c r="O420" s="47">
        <f>-mouvementmp[[#This Row],[Poids]]</f>
        <v>-10.5</v>
      </c>
      <c r="P420" s="47" t="str">
        <f>IF(
   COUNTIFS($A$2:A420,A420,
             $B$2:B420,B420,
             $C$2:C420,C420,
             $D$2:D420,D420,
             $E$2:E420,E420,
             $F$2:F420,F420,
              $J$2:J420,J420)&gt;1,
   "Doublon",
   "Correcte"
)</f>
        <v>Correcte</v>
      </c>
      <c r="Q420" s="106" t="str">
        <f>IF(mouvementmp[[#This Row],[QR Fabrication]]&lt;&gt;"",INDEX(_xlfn.TEXTSPLIT(mouvementmp[[#This Row],[QR Fabrication]],"_"),1,1),"")</f>
        <v>CA250759</v>
      </c>
      <c r="R420" s="106" t="str">
        <f>IF(mouvementmp[[#This Row],[QR Fabrication]]&lt;&gt;"",INDEX(_xlfn.TEXTSPLIT(mouvementmp[[#This Row],[QR Fabrication]],"_"),1,2),"")</f>
        <v>All by Fouta</v>
      </c>
      <c r="S420" s="47" t="str">
        <f>IF(mouvementmp[[#This Row],[QR Fabrication]]&lt;&gt;"",INDEX(_xlfn.TEXTSPLIT(mouvementmp[[#This Row],[QR Fabrication]],"_"),1,3),"")</f>
        <v>Stock</v>
      </c>
      <c r="T420" s="47" t="str">
        <f>IF(mouvementmp[[#This Row],[QR Fabrication]]&lt;&gt;"",INDEX(_xlfn.TEXTSPLIT(mouvementmp[[#This Row],[QR Fabrication]],"_"),1,4),"")</f>
        <v>PACKSICL0507-B14-13</v>
      </c>
      <c r="U420" s="47" t="str">
        <f>IF(mouvementmp[[#This Row],[QR Fabrication]]&lt;&gt;"",INDEX(_xlfn.TEXTSPLIT(mouvementmp[[#This Row],[QR Fabrication]],"_"),1,5),"")</f>
        <v>PACK CLASSIQUE</v>
      </c>
      <c r="V420" s="47" t="str">
        <f>IF(mouvementmp[[#This Row],[QR Fabrication]]&lt;&gt;"",_xlfn.TEXTAFTER(mouvementmp[[#This Row],[QR Fabrication]],"_",5),"")</f>
        <v>0507</v>
      </c>
    </row>
    <row r="421" spans="1:22" ht="16.5" thickTop="1" thickBot="1" x14ac:dyDescent="0.3">
      <c r="A421" s="46" t="s">
        <v>2497</v>
      </c>
      <c r="B421" s="54" t="s">
        <v>3856</v>
      </c>
      <c r="C421" s="47" t="s">
        <v>672</v>
      </c>
      <c r="D421" s="47" t="s">
        <v>665</v>
      </c>
      <c r="E421" s="47" t="s">
        <v>669</v>
      </c>
      <c r="F421" s="48">
        <v>10.5</v>
      </c>
      <c r="G421" s="47"/>
      <c r="H421" s="47"/>
      <c r="I421" s="47" t="s">
        <v>664</v>
      </c>
      <c r="J421" s="49">
        <v>45932</v>
      </c>
      <c r="K421" s="47" t="str">
        <f>INDEX(_xlfn.TEXTSPLIT(mouvementmp[[#This Row],[QR MP]],"_"),1,1)</f>
        <v>C13</v>
      </c>
      <c r="L421" s="47" t="str">
        <f>INDEX(_xlfn.TEXTSPLIT(mouvementmp[[#This Row],[QR MP]],"_"),1,2)</f>
        <v>BLEU ROI</v>
      </c>
      <c r="M421" s="47" t="str">
        <f>INDEX(_xlfn.TEXTSPLIT(mouvementmp[[#This Row],[QR MP]],"_"),1,3)</f>
        <v>NM20-13.00</v>
      </c>
      <c r="N421" s="47" t="str">
        <f>INDEX(_xlfn.TEXTSPLIT(mouvementmp[[#This Row],[QR MP]],"_"),1,4)</f>
        <v>S2023</v>
      </c>
      <c r="O421" s="47">
        <f>-mouvementmp[[#This Row],[Poids]]</f>
        <v>-10.5</v>
      </c>
      <c r="P421" s="47" t="str">
        <f>IF(
   COUNTIFS($A$2:A421,A421,
             $B$2:B421,B421,
             $C$2:C421,C421,
             $D$2:D421,D421,
             $E$2:E421,E421,
             $F$2:F421,F421,
              $J$2:J421,J421)&gt;1,
   "Doublon",
   "Correcte"
)</f>
        <v>Correcte</v>
      </c>
      <c r="Q421" s="106" t="str">
        <f>IF(mouvementmp[[#This Row],[QR Fabrication]]&lt;&gt;"",INDEX(_xlfn.TEXTSPLIT(mouvementmp[[#This Row],[QR Fabrication]],"_"),1,1),"")</f>
        <v>CA250759</v>
      </c>
      <c r="R421" s="106" t="str">
        <f>IF(mouvementmp[[#This Row],[QR Fabrication]]&lt;&gt;"",INDEX(_xlfn.TEXTSPLIT(mouvementmp[[#This Row],[QR Fabrication]],"_"),1,2),"")</f>
        <v>All by Fouta</v>
      </c>
      <c r="S421" s="47" t="str">
        <f>IF(mouvementmp[[#This Row],[QR Fabrication]]&lt;&gt;"",INDEX(_xlfn.TEXTSPLIT(mouvementmp[[#This Row],[QR Fabrication]],"_"),1,3),"")</f>
        <v>Stock</v>
      </c>
      <c r="T421" s="47" t="str">
        <f>IF(mouvementmp[[#This Row],[QR Fabrication]]&lt;&gt;"",INDEX(_xlfn.TEXTSPLIT(mouvementmp[[#This Row],[QR Fabrication]],"_"),1,4),"")</f>
        <v>PACKSICL0507-B14-13</v>
      </c>
      <c r="U421" s="47" t="str">
        <f>IF(mouvementmp[[#This Row],[QR Fabrication]]&lt;&gt;"",INDEX(_xlfn.TEXTSPLIT(mouvementmp[[#This Row],[QR Fabrication]],"_"),1,5),"")</f>
        <v>PACK CLASSIQUE</v>
      </c>
      <c r="V421" s="47" t="str">
        <f>IF(mouvementmp[[#This Row],[QR Fabrication]]&lt;&gt;"",_xlfn.TEXTAFTER(mouvementmp[[#This Row],[QR Fabrication]],"_",5),"")</f>
        <v>0507</v>
      </c>
    </row>
    <row r="422" spans="1:22" ht="16.5" thickTop="1" thickBot="1" x14ac:dyDescent="0.3">
      <c r="A422" s="46" t="s">
        <v>2498</v>
      </c>
      <c r="B422" s="54" t="s">
        <v>3868</v>
      </c>
      <c r="C422" s="47" t="s">
        <v>672</v>
      </c>
      <c r="D422" s="47" t="s">
        <v>665</v>
      </c>
      <c r="E422" s="47" t="s">
        <v>669</v>
      </c>
      <c r="F422" s="48">
        <v>10.15</v>
      </c>
      <c r="G422" s="47"/>
      <c r="H422" s="47"/>
      <c r="I422" s="47" t="s">
        <v>664</v>
      </c>
      <c r="J422" s="49">
        <v>45932</v>
      </c>
      <c r="K422" s="47" t="str">
        <f>INDEX(_xlfn.TEXTSPLIT(mouvementmp[[#This Row],[QR MP]],"_"),1,1)</f>
        <v>C18</v>
      </c>
      <c r="L422" s="47" t="str">
        <f>INDEX(_xlfn.TEXTSPLIT(mouvementmp[[#This Row],[QR MP]],"_"),1,2)</f>
        <v xml:space="preserve">VERT D'EAU </v>
      </c>
      <c r="M422" s="47" t="str">
        <f>INDEX(_xlfn.TEXTSPLIT(mouvementmp[[#This Row],[QR MP]],"_"),1,3)</f>
        <v>NM15-18.00</v>
      </c>
      <c r="N422" s="47" t="str">
        <f>INDEX(_xlfn.TEXTSPLIT(mouvementmp[[#This Row],[QR MP]],"_"),1,4)</f>
        <v>61535</v>
      </c>
      <c r="O422" s="47">
        <f>-mouvementmp[[#This Row],[Poids]]</f>
        <v>-10.15</v>
      </c>
      <c r="P422" s="47" t="str">
        <f>IF(
   COUNTIFS($A$2:A422,A422,
             $B$2:B422,B422,
             $C$2:C422,C422,
             $D$2:D422,D422,
             $E$2:E422,E422,
             $F$2:F422,F422,
              $J$2:J422,J422)&gt;1,
   "Doublon",
   "Correcte"
)</f>
        <v>Correcte</v>
      </c>
      <c r="Q422" s="106" t="str">
        <f>IF(mouvementmp[[#This Row],[QR Fabrication]]&lt;&gt;"",INDEX(_xlfn.TEXTSPLIT(mouvementmp[[#This Row],[QR Fabrication]],"_"),1,1),"")</f>
        <v>CA250764</v>
      </c>
      <c r="R422" s="106" t="str">
        <f>IF(mouvementmp[[#This Row],[QR Fabrication]]&lt;&gt;"",INDEX(_xlfn.TEXTSPLIT(mouvementmp[[#This Row],[QR Fabrication]],"_"),1,2),"")</f>
        <v>All by Fouta</v>
      </c>
      <c r="S422" s="47" t="str">
        <f>IF(mouvementmp[[#This Row],[QR Fabrication]]&lt;&gt;"",INDEX(_xlfn.TEXTSPLIT(mouvementmp[[#This Row],[QR Fabrication]],"_"),1,3),"")</f>
        <v>Stock</v>
      </c>
      <c r="T422" s="47" t="str">
        <f>IF(mouvementmp[[#This Row],[QR Fabrication]]&lt;&gt;"",INDEX(_xlfn.TEXTSPLIT(mouvementmp[[#This Row],[QR Fabrication]],"_"),1,4),"")</f>
        <v>PACKSICL0507-B18-19</v>
      </c>
      <c r="U422" s="47" t="str">
        <f>IF(mouvementmp[[#This Row],[QR Fabrication]]&lt;&gt;"",INDEX(_xlfn.TEXTSPLIT(mouvementmp[[#This Row],[QR Fabrication]],"_"),1,5),"")</f>
        <v>PACK CLASSIQUE</v>
      </c>
      <c r="V422" s="47" t="str">
        <f>IF(mouvementmp[[#This Row],[QR Fabrication]]&lt;&gt;"",_xlfn.TEXTAFTER(mouvementmp[[#This Row],[QR Fabrication]],"_",5),"")</f>
        <v>0507</v>
      </c>
    </row>
    <row r="423" spans="1:22" ht="16.5" thickTop="1" thickBot="1" x14ac:dyDescent="0.3">
      <c r="A423" s="46" t="s">
        <v>2498</v>
      </c>
      <c r="B423" s="54" t="s">
        <v>3925</v>
      </c>
      <c r="C423" s="47" t="s">
        <v>672</v>
      </c>
      <c r="D423" s="47" t="s">
        <v>665</v>
      </c>
      <c r="E423" s="47" t="s">
        <v>669</v>
      </c>
      <c r="F423" s="48">
        <v>10.5</v>
      </c>
      <c r="G423" s="47"/>
      <c r="H423" s="47"/>
      <c r="I423" s="47" t="s">
        <v>664</v>
      </c>
      <c r="J423" s="49">
        <v>45932</v>
      </c>
      <c r="K423" s="47" t="str">
        <f>INDEX(_xlfn.TEXTSPLIT(mouvementmp[[#This Row],[QR MP]],"_"),1,1)</f>
        <v>C19</v>
      </c>
      <c r="L423" s="47" t="str">
        <f>INDEX(_xlfn.TEXTSPLIT(mouvementmp[[#This Row],[QR MP]],"_"),1,2)</f>
        <v>KAKI</v>
      </c>
      <c r="M423" s="47" t="str">
        <f>INDEX(_xlfn.TEXTSPLIT(mouvementmp[[#This Row],[QR MP]],"_"),1,3)</f>
        <v>NM15-19.01</v>
      </c>
      <c r="N423" s="47" t="str">
        <f>INDEX(_xlfn.TEXTSPLIT(mouvementmp[[#This Row],[QR MP]],"_"),1,4)</f>
        <v>S2024</v>
      </c>
      <c r="O423" s="47">
        <f>-mouvementmp[[#This Row],[Poids]]</f>
        <v>-10.5</v>
      </c>
      <c r="P423" s="47" t="str">
        <f>IF(
   COUNTIFS($A$2:A423,A423,
             $B$2:B423,B423,
             $C$2:C423,C423,
             $D$2:D423,D423,
             $E$2:E423,E423,
             $F$2:F423,F423,
              $J$2:J423,J423)&gt;1,
   "Doublon",
   "Correcte"
)</f>
        <v>Correcte</v>
      </c>
      <c r="Q423" s="106" t="str">
        <f>IF(mouvementmp[[#This Row],[QR Fabrication]]&lt;&gt;"",INDEX(_xlfn.TEXTSPLIT(mouvementmp[[#This Row],[QR Fabrication]],"_"),1,1),"")</f>
        <v>CA250764</v>
      </c>
      <c r="R423" s="106" t="str">
        <f>IF(mouvementmp[[#This Row],[QR Fabrication]]&lt;&gt;"",INDEX(_xlfn.TEXTSPLIT(mouvementmp[[#This Row],[QR Fabrication]],"_"),1,2),"")</f>
        <v>All by Fouta</v>
      </c>
      <c r="S423" s="47" t="str">
        <f>IF(mouvementmp[[#This Row],[QR Fabrication]]&lt;&gt;"",INDEX(_xlfn.TEXTSPLIT(mouvementmp[[#This Row],[QR Fabrication]],"_"),1,3),"")</f>
        <v>Stock</v>
      </c>
      <c r="T423" s="47" t="str">
        <f>IF(mouvementmp[[#This Row],[QR Fabrication]]&lt;&gt;"",INDEX(_xlfn.TEXTSPLIT(mouvementmp[[#This Row],[QR Fabrication]],"_"),1,4),"")</f>
        <v>PACKSICL0507-B18-19</v>
      </c>
      <c r="U423" s="47" t="str">
        <f>IF(mouvementmp[[#This Row],[QR Fabrication]]&lt;&gt;"",INDEX(_xlfn.TEXTSPLIT(mouvementmp[[#This Row],[QR Fabrication]],"_"),1,5),"")</f>
        <v>PACK CLASSIQUE</v>
      </c>
      <c r="V423" s="47" t="str">
        <f>IF(mouvementmp[[#This Row],[QR Fabrication]]&lt;&gt;"",_xlfn.TEXTAFTER(mouvementmp[[#This Row],[QR Fabrication]],"_",5),"")</f>
        <v>0507</v>
      </c>
    </row>
    <row r="424" spans="1:22" ht="16.5" thickTop="1" thickBot="1" x14ac:dyDescent="0.3">
      <c r="A424" s="46" t="s">
        <v>2499</v>
      </c>
      <c r="B424" s="54" t="s">
        <v>3846</v>
      </c>
      <c r="C424" s="47" t="s">
        <v>672</v>
      </c>
      <c r="D424" s="47" t="s">
        <v>665</v>
      </c>
      <c r="E424" s="47" t="s">
        <v>669</v>
      </c>
      <c r="F424" s="48">
        <v>100.5</v>
      </c>
      <c r="G424" s="47"/>
      <c r="H424" s="47"/>
      <c r="I424" s="47" t="s">
        <v>664</v>
      </c>
      <c r="J424" s="49">
        <v>45932</v>
      </c>
      <c r="K424" s="47" t="str">
        <f>INDEX(_xlfn.TEXTSPLIT(mouvementmp[[#This Row],[QR MP]],"_"),1,1)</f>
        <v>C10</v>
      </c>
      <c r="L424" s="47" t="str">
        <f>INDEX(_xlfn.TEXTSPLIT(mouvementmp[[#This Row],[QR MP]],"_"),1,2)</f>
        <v>BLEU MARINE</v>
      </c>
      <c r="M424" s="47" t="str">
        <f>INDEX(_xlfn.TEXTSPLIT(mouvementmp[[#This Row],[QR MP]],"_"),1,3)</f>
        <v>NM15-10.00</v>
      </c>
      <c r="N424" s="47" t="str">
        <f>INDEX(_xlfn.TEXTSPLIT(mouvementmp[[#This Row],[QR MP]],"_"),1,4)</f>
        <v>61462</v>
      </c>
      <c r="O424" s="47">
        <f>-mouvementmp[[#This Row],[Poids]]</f>
        <v>-100.5</v>
      </c>
      <c r="P424" s="47" t="str">
        <f>IF(
   COUNTIFS($A$2:A424,A424,
             $B$2:B424,B424,
             $C$2:C424,C424,
             $D$2:D424,D424,
             $E$2:E424,E424,
             $F$2:F424,F424,
              $J$2:J424,J424)&gt;1,
   "Doublon",
   "Correcte"
)</f>
        <v>Correcte</v>
      </c>
      <c r="Q424" s="106" t="str">
        <f>IF(mouvementmp[[#This Row],[QR Fabrication]]&lt;&gt;"",INDEX(_xlfn.TEXTSPLIT(mouvementmp[[#This Row],[QR Fabrication]],"_"),1,1),"")</f>
        <v>CA250756</v>
      </c>
      <c r="R424" s="106" t="str">
        <f>IF(mouvementmp[[#This Row],[QR Fabrication]]&lt;&gt;"",INDEX(_xlfn.TEXTSPLIT(mouvementmp[[#This Row],[QR Fabrication]],"_"),1,2),"")</f>
        <v>All by Fouta</v>
      </c>
      <c r="S424" s="47" t="str">
        <f>IF(mouvementmp[[#This Row],[QR Fabrication]]&lt;&gt;"",INDEX(_xlfn.TEXTSPLIT(mouvementmp[[#This Row],[QR Fabrication]],"_"),1,3),"")</f>
        <v>Stock</v>
      </c>
      <c r="T424" s="47" t="str">
        <f>IF(mouvementmp[[#This Row],[QR Fabrication]]&lt;&gt;"",INDEX(_xlfn.TEXTSPLIT(mouvementmp[[#This Row],[QR Fabrication]],"_"),1,4),"")</f>
        <v>PACKSICL0507-B10-25</v>
      </c>
      <c r="U424" s="47" t="str">
        <f>IF(mouvementmp[[#This Row],[QR Fabrication]]&lt;&gt;"",INDEX(_xlfn.TEXTSPLIT(mouvementmp[[#This Row],[QR Fabrication]],"_"),1,5),"")</f>
        <v>PACK CLASSIQUE</v>
      </c>
      <c r="V424" s="47" t="str">
        <f>IF(mouvementmp[[#This Row],[QR Fabrication]]&lt;&gt;"",_xlfn.TEXTAFTER(mouvementmp[[#This Row],[QR Fabrication]],"_",5),"")</f>
        <v>0507</v>
      </c>
    </row>
    <row r="425" spans="1:22" ht="16.5" thickTop="1" thickBot="1" x14ac:dyDescent="0.3">
      <c r="A425" s="46" t="s">
        <v>2499</v>
      </c>
      <c r="B425" s="54" t="s">
        <v>3887</v>
      </c>
      <c r="C425" s="47" t="s">
        <v>672</v>
      </c>
      <c r="D425" s="47" t="s">
        <v>665</v>
      </c>
      <c r="E425" s="47" t="s">
        <v>669</v>
      </c>
      <c r="F425" s="48">
        <v>10.5</v>
      </c>
      <c r="G425" s="47"/>
      <c r="H425" s="47"/>
      <c r="I425" s="47" t="s">
        <v>664</v>
      </c>
      <c r="J425" s="49">
        <v>45932</v>
      </c>
      <c r="K425" s="47" t="str">
        <f>INDEX(_xlfn.TEXTSPLIT(mouvementmp[[#This Row],[QR MP]],"_"),1,1)</f>
        <v>C25</v>
      </c>
      <c r="L425" s="47" t="str">
        <f>INDEX(_xlfn.TEXTSPLIT(mouvementmp[[#This Row],[QR MP]],"_"),1,2)</f>
        <v>ORANGE</v>
      </c>
      <c r="M425" s="47" t="str">
        <f>INDEX(_xlfn.TEXTSPLIT(mouvementmp[[#This Row],[QR MP]],"_"),1,3)</f>
        <v>NM15-25.00</v>
      </c>
      <c r="N425" s="47" t="str">
        <f>INDEX(_xlfn.TEXTSPLIT(mouvementmp[[#This Row],[QR MP]],"_"),1,4)</f>
        <v>61729</v>
      </c>
      <c r="O425" s="47">
        <f>-mouvementmp[[#This Row],[Poids]]</f>
        <v>-10.5</v>
      </c>
      <c r="P425" s="47" t="str">
        <f>IF(
   COUNTIFS($A$2:A425,A425,
             $B$2:B425,B425,
             $C$2:C425,C425,
             $D$2:D425,D425,
             $E$2:E425,E425,
             $F$2:F425,F425,
              $J$2:J425,J425)&gt;1,
   "Doublon",
   "Correcte"
)</f>
        <v>Correcte</v>
      </c>
      <c r="Q425" s="106" t="str">
        <f>IF(mouvementmp[[#This Row],[QR Fabrication]]&lt;&gt;"",INDEX(_xlfn.TEXTSPLIT(mouvementmp[[#This Row],[QR Fabrication]],"_"),1,1),"")</f>
        <v>CA250756</v>
      </c>
      <c r="R425" s="106" t="str">
        <f>IF(mouvementmp[[#This Row],[QR Fabrication]]&lt;&gt;"",INDEX(_xlfn.TEXTSPLIT(mouvementmp[[#This Row],[QR Fabrication]],"_"),1,2),"")</f>
        <v>All by Fouta</v>
      </c>
      <c r="S425" s="47" t="str">
        <f>IF(mouvementmp[[#This Row],[QR Fabrication]]&lt;&gt;"",INDEX(_xlfn.TEXTSPLIT(mouvementmp[[#This Row],[QR Fabrication]],"_"),1,3),"")</f>
        <v>Stock</v>
      </c>
      <c r="T425" s="47" t="str">
        <f>IF(mouvementmp[[#This Row],[QR Fabrication]]&lt;&gt;"",INDEX(_xlfn.TEXTSPLIT(mouvementmp[[#This Row],[QR Fabrication]],"_"),1,4),"")</f>
        <v>PACKSICL0507-B10-25</v>
      </c>
      <c r="U425" s="47" t="str">
        <f>IF(mouvementmp[[#This Row],[QR Fabrication]]&lt;&gt;"",INDEX(_xlfn.TEXTSPLIT(mouvementmp[[#This Row],[QR Fabrication]],"_"),1,5),"")</f>
        <v>PACK CLASSIQUE</v>
      </c>
      <c r="V425" s="47" t="str">
        <f>IF(mouvementmp[[#This Row],[QR Fabrication]]&lt;&gt;"",_xlfn.TEXTAFTER(mouvementmp[[#This Row],[QR Fabrication]],"_",5),"")</f>
        <v>0507</v>
      </c>
    </row>
    <row r="426" spans="1:22" ht="16.5" thickTop="1" thickBot="1" x14ac:dyDescent="0.3">
      <c r="A426" s="46"/>
      <c r="B426" s="54" t="s">
        <v>3910</v>
      </c>
      <c r="C426" s="47" t="s">
        <v>675</v>
      </c>
      <c r="D426" s="47" t="s">
        <v>678</v>
      </c>
      <c r="E426" s="47" t="s">
        <v>665</v>
      </c>
      <c r="F426" s="48">
        <v>19.399999999999999</v>
      </c>
      <c r="G426" s="47"/>
      <c r="H426" s="47"/>
      <c r="I426" s="47" t="s">
        <v>664</v>
      </c>
      <c r="J426" s="49">
        <v>45932</v>
      </c>
      <c r="K426" s="47" t="str">
        <f>INDEX(_xlfn.TEXTSPLIT(mouvementmp[[#This Row],[QR MP]],"_"),1,1)</f>
        <v>CH</v>
      </c>
      <c r="L426" s="47" t="str">
        <f>INDEX(_xlfn.TEXTSPLIT(mouvementmp[[#This Row],[QR MP]],"_"),1,2)</f>
        <v>Ecru</v>
      </c>
      <c r="M426" s="47" t="str">
        <f>INDEX(_xlfn.TEXTSPLIT(mouvementmp[[#This Row],[QR MP]],"_"),1,3)</f>
        <v>CH2/40CE</v>
      </c>
      <c r="N426" s="47" t="str">
        <f>INDEX(_xlfn.TEXTSPLIT(mouvementmp[[#This Row],[QR MP]],"_"),1,4)</f>
        <v>A220324523/2</v>
      </c>
      <c r="O426" s="47">
        <f>-mouvementmp[[#This Row],[Poids]]</f>
        <v>-19.399999999999999</v>
      </c>
      <c r="P426" s="47" t="str">
        <f>IF(
   COUNTIFS($A$2:A426,A426,
             $B$2:B426,B426,
             $C$2:C426,C426,
             $D$2:D426,D426,
             $E$2:E426,E426,
             $F$2:F426,F426,
              $J$2:J426,J426)&gt;1,
   "Doublon",
   "Correcte"
)</f>
        <v>Correcte</v>
      </c>
      <c r="Q426" s="106" t="str">
        <f>IF(mouvementmp[[#This Row],[QR Fabrication]]&lt;&gt;"",INDEX(_xlfn.TEXTSPLIT(mouvementmp[[#This Row],[QR Fabrication]],"_"),1,1),"")</f>
        <v/>
      </c>
      <c r="R426" s="106" t="str">
        <f>IF(mouvementmp[[#This Row],[QR Fabrication]]&lt;&gt;"",INDEX(_xlfn.TEXTSPLIT(mouvementmp[[#This Row],[QR Fabrication]],"_"),1,2),"")</f>
        <v/>
      </c>
      <c r="S426" s="47" t="str">
        <f>IF(mouvementmp[[#This Row],[QR Fabrication]]&lt;&gt;"",INDEX(_xlfn.TEXTSPLIT(mouvementmp[[#This Row],[QR Fabrication]],"_"),1,3),"")</f>
        <v/>
      </c>
      <c r="T426" s="47" t="str">
        <f>IF(mouvementmp[[#This Row],[QR Fabrication]]&lt;&gt;"",INDEX(_xlfn.TEXTSPLIT(mouvementmp[[#This Row],[QR Fabrication]],"_"),1,4),"")</f>
        <v/>
      </c>
      <c r="U426" s="47" t="str">
        <f>IF(mouvementmp[[#This Row],[QR Fabrication]]&lt;&gt;"",INDEX(_xlfn.TEXTSPLIT(mouvementmp[[#This Row],[QR Fabrication]],"_"),1,5),"")</f>
        <v/>
      </c>
      <c r="V426" s="47" t="str">
        <f>IF(mouvementmp[[#This Row],[QR Fabrication]]&lt;&gt;"",_xlfn.TEXTAFTER(mouvementmp[[#This Row],[QR Fabrication]],"_",5),"")</f>
        <v/>
      </c>
    </row>
    <row r="427" spans="1:22" ht="16.5" thickTop="1" thickBot="1" x14ac:dyDescent="0.3">
      <c r="A427" s="46"/>
      <c r="B427" s="54" t="s">
        <v>3910</v>
      </c>
      <c r="C427" s="47" t="s">
        <v>675</v>
      </c>
      <c r="D427" s="47" t="s">
        <v>671</v>
      </c>
      <c r="E427" s="47" t="s">
        <v>665</v>
      </c>
      <c r="F427" s="48">
        <v>166.7</v>
      </c>
      <c r="G427" s="47"/>
      <c r="H427" s="47"/>
      <c r="I427" s="47" t="s">
        <v>664</v>
      </c>
      <c r="J427" s="49">
        <v>45932</v>
      </c>
      <c r="K427" s="47" t="str">
        <f>INDEX(_xlfn.TEXTSPLIT(mouvementmp[[#This Row],[QR MP]],"_"),1,1)</f>
        <v>CH</v>
      </c>
      <c r="L427" s="47" t="str">
        <f>INDEX(_xlfn.TEXTSPLIT(mouvementmp[[#This Row],[QR MP]],"_"),1,2)</f>
        <v>Ecru</v>
      </c>
      <c r="M427" s="47" t="str">
        <f>INDEX(_xlfn.TEXTSPLIT(mouvementmp[[#This Row],[QR MP]],"_"),1,3)</f>
        <v>CH2/40CE</v>
      </c>
      <c r="N427" s="47" t="str">
        <f>INDEX(_xlfn.TEXTSPLIT(mouvementmp[[#This Row],[QR MP]],"_"),1,4)</f>
        <v>A220324523/2</v>
      </c>
      <c r="O427" s="47">
        <f>-mouvementmp[[#This Row],[Poids]]</f>
        <v>-166.7</v>
      </c>
      <c r="P427" s="47" t="str">
        <f>IF(
   COUNTIFS($A$2:A427,A427,
             $B$2:B427,B427,
             $C$2:C427,C427,
             $D$2:D427,D427,
             $E$2:E427,E427,
             $F$2:F427,F427,
              $J$2:J427,J427)&gt;1,
   "Doublon",
   "Correcte"
)</f>
        <v>Correcte</v>
      </c>
      <c r="Q427" s="106" t="str">
        <f>IF(mouvementmp[[#This Row],[QR Fabrication]]&lt;&gt;"",INDEX(_xlfn.TEXTSPLIT(mouvementmp[[#This Row],[QR Fabrication]],"_"),1,1),"")</f>
        <v/>
      </c>
      <c r="R427" s="106" t="str">
        <f>IF(mouvementmp[[#This Row],[QR Fabrication]]&lt;&gt;"",INDEX(_xlfn.TEXTSPLIT(mouvementmp[[#This Row],[QR Fabrication]],"_"),1,2),"")</f>
        <v/>
      </c>
      <c r="S427" s="47" t="str">
        <f>IF(mouvementmp[[#This Row],[QR Fabrication]]&lt;&gt;"",INDEX(_xlfn.TEXTSPLIT(mouvementmp[[#This Row],[QR Fabrication]],"_"),1,3),"")</f>
        <v/>
      </c>
      <c r="T427" s="47" t="str">
        <f>IF(mouvementmp[[#This Row],[QR Fabrication]]&lt;&gt;"",INDEX(_xlfn.TEXTSPLIT(mouvementmp[[#This Row],[QR Fabrication]],"_"),1,4),"")</f>
        <v/>
      </c>
      <c r="U427" s="47" t="str">
        <f>IF(mouvementmp[[#This Row],[QR Fabrication]]&lt;&gt;"",INDEX(_xlfn.TEXTSPLIT(mouvementmp[[#This Row],[QR Fabrication]],"_"),1,5),"")</f>
        <v/>
      </c>
      <c r="V427" s="47" t="str">
        <f>IF(mouvementmp[[#This Row],[QR Fabrication]]&lt;&gt;"",_xlfn.TEXTAFTER(mouvementmp[[#This Row],[QR Fabrication]],"_",5),"")</f>
        <v/>
      </c>
    </row>
    <row r="428" spans="1:22" ht="16.5" thickTop="1" thickBot="1" x14ac:dyDescent="0.3">
      <c r="A428" s="46"/>
      <c r="B428" s="54" t="s">
        <v>3910</v>
      </c>
      <c r="C428" s="47" t="s">
        <v>670</v>
      </c>
      <c r="D428" s="47" t="s">
        <v>665</v>
      </c>
      <c r="E428" s="47" t="s">
        <v>678</v>
      </c>
      <c r="F428" s="48">
        <v>241.5</v>
      </c>
      <c r="G428" s="47"/>
      <c r="H428" s="47"/>
      <c r="I428" s="47" t="s">
        <v>664</v>
      </c>
      <c r="J428" s="49">
        <v>45933</v>
      </c>
      <c r="K428" s="47" t="str">
        <f>INDEX(_xlfn.TEXTSPLIT(mouvementmp[[#This Row],[QR MP]],"_"),1,1)</f>
        <v>CH</v>
      </c>
      <c r="L428" s="47" t="str">
        <f>INDEX(_xlfn.TEXTSPLIT(mouvementmp[[#This Row],[QR MP]],"_"),1,2)</f>
        <v>Ecru</v>
      </c>
      <c r="M428" s="47" t="str">
        <f>INDEX(_xlfn.TEXTSPLIT(mouvementmp[[#This Row],[QR MP]],"_"),1,3)</f>
        <v>CH2/40CE</v>
      </c>
      <c r="N428" s="47" t="str">
        <f>INDEX(_xlfn.TEXTSPLIT(mouvementmp[[#This Row],[QR MP]],"_"),1,4)</f>
        <v>A220324523/2</v>
      </c>
      <c r="O428" s="47">
        <f>-mouvementmp[[#This Row],[Poids]]</f>
        <v>-241.5</v>
      </c>
      <c r="P428" s="47" t="str">
        <f>IF(
   COUNTIFS($A$2:A428,A428,
             $B$2:B428,B428,
             $C$2:C428,C428,
             $D$2:D428,D428,
             $E$2:E428,E428,
             $F$2:F428,F428,
              $J$2:J428,J428)&gt;1,
   "Doublon",
   "Correcte"
)</f>
        <v>Correcte</v>
      </c>
      <c r="Q428" s="106" t="str">
        <f>IF(mouvementmp[[#This Row],[QR Fabrication]]&lt;&gt;"",INDEX(_xlfn.TEXTSPLIT(mouvementmp[[#This Row],[QR Fabrication]],"_"),1,1),"")</f>
        <v/>
      </c>
      <c r="R428" s="106" t="str">
        <f>IF(mouvementmp[[#This Row],[QR Fabrication]]&lt;&gt;"",INDEX(_xlfn.TEXTSPLIT(mouvementmp[[#This Row],[QR Fabrication]],"_"),1,2),"")</f>
        <v/>
      </c>
      <c r="S428" s="47" t="str">
        <f>IF(mouvementmp[[#This Row],[QR Fabrication]]&lt;&gt;"",INDEX(_xlfn.TEXTSPLIT(mouvementmp[[#This Row],[QR Fabrication]],"_"),1,3),"")</f>
        <v/>
      </c>
      <c r="T428" s="47" t="str">
        <f>IF(mouvementmp[[#This Row],[QR Fabrication]]&lt;&gt;"",INDEX(_xlfn.TEXTSPLIT(mouvementmp[[#This Row],[QR Fabrication]],"_"),1,4),"")</f>
        <v/>
      </c>
      <c r="U428" s="47" t="str">
        <f>IF(mouvementmp[[#This Row],[QR Fabrication]]&lt;&gt;"",INDEX(_xlfn.TEXTSPLIT(mouvementmp[[#This Row],[QR Fabrication]],"_"),1,5),"")</f>
        <v/>
      </c>
      <c r="V428" s="47" t="str">
        <f>IF(mouvementmp[[#This Row],[QR Fabrication]]&lt;&gt;"",_xlfn.TEXTAFTER(mouvementmp[[#This Row],[QR Fabrication]],"_",5),"")</f>
        <v/>
      </c>
    </row>
    <row r="429" spans="1:22" ht="16.5" thickTop="1" thickBot="1" x14ac:dyDescent="0.3">
      <c r="A429" s="46"/>
      <c r="B429" s="54" t="s">
        <v>3910</v>
      </c>
      <c r="C429" s="47" t="s">
        <v>670</v>
      </c>
      <c r="D429" s="47" t="s">
        <v>665</v>
      </c>
      <c r="E429" s="47" t="s">
        <v>678</v>
      </c>
      <c r="F429" s="48">
        <v>255.7</v>
      </c>
      <c r="G429" s="47"/>
      <c r="H429" s="47"/>
      <c r="I429" s="47" t="s">
        <v>664</v>
      </c>
      <c r="J429" s="49">
        <v>45933</v>
      </c>
      <c r="K429" s="47" t="str">
        <f>INDEX(_xlfn.TEXTSPLIT(mouvementmp[[#This Row],[QR MP]],"_"),1,1)</f>
        <v>CH</v>
      </c>
      <c r="L429" s="47" t="str">
        <f>INDEX(_xlfn.TEXTSPLIT(mouvementmp[[#This Row],[QR MP]],"_"),1,2)</f>
        <v>Ecru</v>
      </c>
      <c r="M429" s="47" t="str">
        <f>INDEX(_xlfn.TEXTSPLIT(mouvementmp[[#This Row],[QR MP]],"_"),1,3)</f>
        <v>CH2/40CE</v>
      </c>
      <c r="N429" s="47" t="str">
        <f>INDEX(_xlfn.TEXTSPLIT(mouvementmp[[#This Row],[QR MP]],"_"),1,4)</f>
        <v>A220324523/2</v>
      </c>
      <c r="O429" s="47">
        <f>-mouvementmp[[#This Row],[Poids]]</f>
        <v>-255.7</v>
      </c>
      <c r="P429" s="47" t="str">
        <f>IF(
   COUNTIFS($A$2:A429,A429,
             $B$2:B429,B429,
             $C$2:C429,C429,
             $D$2:D429,D429,
             $E$2:E429,E429,
             $F$2:F429,F429,
              $J$2:J429,J429)&gt;1,
   "Doublon",
   "Correcte"
)</f>
        <v>Correcte</v>
      </c>
      <c r="Q429" s="106" t="str">
        <f>IF(mouvementmp[[#This Row],[QR Fabrication]]&lt;&gt;"",INDEX(_xlfn.TEXTSPLIT(mouvementmp[[#This Row],[QR Fabrication]],"_"),1,1),"")</f>
        <v/>
      </c>
      <c r="R429" s="106" t="str">
        <f>IF(mouvementmp[[#This Row],[QR Fabrication]]&lt;&gt;"",INDEX(_xlfn.TEXTSPLIT(mouvementmp[[#This Row],[QR Fabrication]],"_"),1,2),"")</f>
        <v/>
      </c>
      <c r="S429" s="47" t="str">
        <f>IF(mouvementmp[[#This Row],[QR Fabrication]]&lt;&gt;"",INDEX(_xlfn.TEXTSPLIT(mouvementmp[[#This Row],[QR Fabrication]],"_"),1,3),"")</f>
        <v/>
      </c>
      <c r="T429" s="47" t="str">
        <f>IF(mouvementmp[[#This Row],[QR Fabrication]]&lt;&gt;"",INDEX(_xlfn.TEXTSPLIT(mouvementmp[[#This Row],[QR Fabrication]],"_"),1,4),"")</f>
        <v/>
      </c>
      <c r="U429" s="47" t="str">
        <f>IF(mouvementmp[[#This Row],[QR Fabrication]]&lt;&gt;"",INDEX(_xlfn.TEXTSPLIT(mouvementmp[[#This Row],[QR Fabrication]],"_"),1,5),"")</f>
        <v/>
      </c>
      <c r="V429" s="47" t="str">
        <f>IF(mouvementmp[[#This Row],[QR Fabrication]]&lt;&gt;"",_xlfn.TEXTAFTER(mouvementmp[[#This Row],[QR Fabrication]],"_",5),"")</f>
        <v/>
      </c>
    </row>
    <row r="430" spans="1:22" ht="16.5" thickTop="1" thickBot="1" x14ac:dyDescent="0.3">
      <c r="A430" s="46"/>
      <c r="B430" s="54" t="s">
        <v>3910</v>
      </c>
      <c r="C430" s="47" t="s">
        <v>676</v>
      </c>
      <c r="D430" s="47" t="s">
        <v>665</v>
      </c>
      <c r="E430" s="47" t="s">
        <v>677</v>
      </c>
      <c r="F430" s="48">
        <v>115.5</v>
      </c>
      <c r="G430" s="47"/>
      <c r="H430" s="47"/>
      <c r="I430" s="47" t="s">
        <v>664</v>
      </c>
      <c r="J430" s="49">
        <v>45933</v>
      </c>
      <c r="K430" s="47" t="str">
        <f>INDEX(_xlfn.TEXTSPLIT(mouvementmp[[#This Row],[QR MP]],"_"),1,1)</f>
        <v>CH</v>
      </c>
      <c r="L430" s="47" t="str">
        <f>INDEX(_xlfn.TEXTSPLIT(mouvementmp[[#This Row],[QR MP]],"_"),1,2)</f>
        <v>Ecru</v>
      </c>
      <c r="M430" s="47" t="str">
        <f>INDEX(_xlfn.TEXTSPLIT(mouvementmp[[#This Row],[QR MP]],"_"),1,3)</f>
        <v>CH2/40CE</v>
      </c>
      <c r="N430" s="47" t="str">
        <f>INDEX(_xlfn.TEXTSPLIT(mouvementmp[[#This Row],[QR MP]],"_"),1,4)</f>
        <v>A220324523/2</v>
      </c>
      <c r="O430" s="47">
        <f>-mouvementmp[[#This Row],[Poids]]</f>
        <v>-115.5</v>
      </c>
      <c r="P430" s="47" t="str">
        <f>IF(
   COUNTIFS($A$2:A430,A430,
             $B$2:B430,B430,
             $C$2:C430,C430,
             $D$2:D430,D430,
             $E$2:E430,E430,
             $F$2:F430,F430,
              $J$2:J430,J430)&gt;1,
   "Doublon",
   "Correcte"
)</f>
        <v>Correcte</v>
      </c>
      <c r="Q430" s="106" t="str">
        <f>IF(mouvementmp[[#This Row],[QR Fabrication]]&lt;&gt;"",INDEX(_xlfn.TEXTSPLIT(mouvementmp[[#This Row],[QR Fabrication]],"_"),1,1),"")</f>
        <v/>
      </c>
      <c r="R430" s="106" t="str">
        <f>IF(mouvementmp[[#This Row],[QR Fabrication]]&lt;&gt;"",INDEX(_xlfn.TEXTSPLIT(mouvementmp[[#This Row],[QR Fabrication]],"_"),1,2),"")</f>
        <v/>
      </c>
      <c r="S430" s="47" t="str">
        <f>IF(mouvementmp[[#This Row],[QR Fabrication]]&lt;&gt;"",INDEX(_xlfn.TEXTSPLIT(mouvementmp[[#This Row],[QR Fabrication]],"_"),1,3),"")</f>
        <v/>
      </c>
      <c r="T430" s="47" t="str">
        <f>IF(mouvementmp[[#This Row],[QR Fabrication]]&lt;&gt;"",INDEX(_xlfn.TEXTSPLIT(mouvementmp[[#This Row],[QR Fabrication]],"_"),1,4),"")</f>
        <v/>
      </c>
      <c r="U430" s="47" t="str">
        <f>IF(mouvementmp[[#This Row],[QR Fabrication]]&lt;&gt;"",INDEX(_xlfn.TEXTSPLIT(mouvementmp[[#This Row],[QR Fabrication]],"_"),1,5),"")</f>
        <v/>
      </c>
      <c r="V430" s="47" t="str">
        <f>IF(mouvementmp[[#This Row],[QR Fabrication]]&lt;&gt;"",_xlfn.TEXTAFTER(mouvementmp[[#This Row],[QR Fabrication]],"_",5),"")</f>
        <v/>
      </c>
    </row>
    <row r="431" spans="1:22" ht="16.5" thickTop="1" thickBot="1" x14ac:dyDescent="0.3">
      <c r="A431" s="46" t="s">
        <v>2500</v>
      </c>
      <c r="B431" s="54" t="s">
        <v>3865</v>
      </c>
      <c r="C431" s="47" t="s">
        <v>672</v>
      </c>
      <c r="D431" s="47" t="s">
        <v>665</v>
      </c>
      <c r="E431" s="47" t="s">
        <v>669</v>
      </c>
      <c r="F431" s="48">
        <v>91.5</v>
      </c>
      <c r="G431" s="47"/>
      <c r="H431" s="47"/>
      <c r="I431" s="47" t="s">
        <v>664</v>
      </c>
      <c r="J431" s="49">
        <v>45933</v>
      </c>
      <c r="K431" s="47" t="str">
        <f>INDEX(_xlfn.TEXTSPLIT(mouvementmp[[#This Row],[QR MP]],"_"),1,1)</f>
        <v>C17</v>
      </c>
      <c r="L431" s="47" t="str">
        <f>INDEX(_xlfn.TEXTSPLIT(mouvementmp[[#This Row],[QR MP]],"_"),1,2)</f>
        <v>EMAURAUDE</v>
      </c>
      <c r="M431" s="47" t="str">
        <f>INDEX(_xlfn.TEXTSPLIT(mouvementmp[[#This Row],[QR MP]],"_"),1,3)</f>
        <v>NM15-17.00</v>
      </c>
      <c r="N431" s="47" t="str">
        <f>INDEX(_xlfn.TEXTSPLIT(mouvementmp[[#This Row],[QR MP]],"_"),1,4)</f>
        <v>61571</v>
      </c>
      <c r="O431" s="47">
        <f>-mouvementmp[[#This Row],[Poids]]</f>
        <v>-91.5</v>
      </c>
      <c r="P431" s="47" t="str">
        <f>IF(
   COUNTIFS($A$2:A431,A431,
             $B$2:B431,B431,
             $C$2:C431,C431,
             $D$2:D431,D431,
             $E$2:E431,E431,
             $F$2:F431,F431,
              $J$2:J431,J431)&gt;1,
   "Doublon",
   "Correcte"
)</f>
        <v>Correcte</v>
      </c>
      <c r="Q431" s="106" t="str">
        <f>IF(mouvementmp[[#This Row],[QR Fabrication]]&lt;&gt;"",INDEX(_xlfn.TEXTSPLIT(mouvementmp[[#This Row],[QR Fabrication]],"_"),1,1),"")</f>
        <v>OF249799</v>
      </c>
      <c r="R431" s="106" t="str">
        <f>IF(mouvementmp[[#This Row],[QR Fabrication]]&lt;&gt;"",INDEX(_xlfn.TEXTSPLIT(mouvementmp[[#This Row],[QR Fabrication]],"_"),1,2),"")</f>
        <v>CL00884</v>
      </c>
      <c r="S431" s="47" t="str">
        <f>IF(mouvementmp[[#This Row],[QR Fabrication]]&lt;&gt;"",INDEX(_xlfn.TEXTSPLIT(mouvementmp[[#This Row],[QR Fabrication]],"_"),1,3),"")</f>
        <v>CM-FT0119</v>
      </c>
      <c r="T431" s="47" t="str">
        <f>IF(mouvementmp[[#This Row],[QR Fabrication]]&lt;&gt;"",INDEX(_xlfn.TEXTSPLIT(mouvementmp[[#This Row],[QR Fabrication]],"_"),1,4),"")</f>
        <v>LI1020-B17-01</v>
      </c>
      <c r="U431" s="47" t="str">
        <f>IF(mouvementmp[[#This Row],[QR Fabrication]]&lt;&gt;"",INDEX(_xlfn.TEXTSPLIT(mouvementmp[[#This Row],[QR Fabrication]],"_"),1,5),"")</f>
        <v>LILI</v>
      </c>
      <c r="V431" s="47" t="str">
        <f>IF(mouvementmp[[#This Row],[QR Fabrication]]&lt;&gt;"",_xlfn.TEXTAFTER(mouvementmp[[#This Row],[QR Fabrication]],"_",5),"")</f>
        <v>1020</v>
      </c>
    </row>
    <row r="432" spans="1:22" ht="16.5" thickTop="1" thickBot="1" x14ac:dyDescent="0.3">
      <c r="A432" s="46"/>
      <c r="B432" s="54" t="s">
        <v>3910</v>
      </c>
      <c r="C432" s="47" t="s">
        <v>676</v>
      </c>
      <c r="D432" s="47" t="s">
        <v>665</v>
      </c>
      <c r="E432" s="47" t="s">
        <v>677</v>
      </c>
      <c r="F432" s="48">
        <v>71.5</v>
      </c>
      <c r="G432" s="47"/>
      <c r="H432" s="47"/>
      <c r="I432" s="47" t="s">
        <v>664</v>
      </c>
      <c r="J432" s="49">
        <v>45933</v>
      </c>
      <c r="K432" s="47" t="str">
        <f>INDEX(_xlfn.TEXTSPLIT(mouvementmp[[#This Row],[QR MP]],"_"),1,1)</f>
        <v>CH</v>
      </c>
      <c r="L432" s="47" t="str">
        <f>INDEX(_xlfn.TEXTSPLIT(mouvementmp[[#This Row],[QR MP]],"_"),1,2)</f>
        <v>Ecru</v>
      </c>
      <c r="M432" s="47" t="str">
        <f>INDEX(_xlfn.TEXTSPLIT(mouvementmp[[#This Row],[QR MP]],"_"),1,3)</f>
        <v>CH2/40CE</v>
      </c>
      <c r="N432" s="47" t="str">
        <f>INDEX(_xlfn.TEXTSPLIT(mouvementmp[[#This Row],[QR MP]],"_"),1,4)</f>
        <v>A220324523/2</v>
      </c>
      <c r="O432" s="47">
        <f>-mouvementmp[[#This Row],[Poids]]</f>
        <v>-71.5</v>
      </c>
      <c r="P432" s="47" t="str">
        <f>IF(
   COUNTIFS($A$2:A432,A432,
             $B$2:B432,B432,
             $C$2:C432,C432,
             $D$2:D432,D432,
             $E$2:E432,E432,
             $F$2:F432,F432,
              $J$2:J432,J432)&gt;1,
   "Doublon",
   "Correcte"
)</f>
        <v>Correcte</v>
      </c>
      <c r="Q432" s="106" t="str">
        <f>IF(mouvementmp[[#This Row],[QR Fabrication]]&lt;&gt;"",INDEX(_xlfn.TEXTSPLIT(mouvementmp[[#This Row],[QR Fabrication]],"_"),1,1),"")</f>
        <v/>
      </c>
      <c r="R432" s="106" t="str">
        <f>IF(mouvementmp[[#This Row],[QR Fabrication]]&lt;&gt;"",INDEX(_xlfn.TEXTSPLIT(mouvementmp[[#This Row],[QR Fabrication]],"_"),1,2),"")</f>
        <v/>
      </c>
      <c r="S432" s="47" t="str">
        <f>IF(mouvementmp[[#This Row],[QR Fabrication]]&lt;&gt;"",INDEX(_xlfn.TEXTSPLIT(mouvementmp[[#This Row],[QR Fabrication]],"_"),1,3),"")</f>
        <v/>
      </c>
      <c r="T432" s="47" t="str">
        <f>IF(mouvementmp[[#This Row],[QR Fabrication]]&lt;&gt;"",INDEX(_xlfn.TEXTSPLIT(mouvementmp[[#This Row],[QR Fabrication]],"_"),1,4),"")</f>
        <v/>
      </c>
      <c r="U432" s="47" t="str">
        <f>IF(mouvementmp[[#This Row],[QR Fabrication]]&lt;&gt;"",INDEX(_xlfn.TEXTSPLIT(mouvementmp[[#This Row],[QR Fabrication]],"_"),1,5),"")</f>
        <v/>
      </c>
      <c r="V432" s="47" t="str">
        <f>IF(mouvementmp[[#This Row],[QR Fabrication]]&lt;&gt;"",_xlfn.TEXTAFTER(mouvementmp[[#This Row],[QR Fabrication]],"_",5),"")</f>
        <v/>
      </c>
    </row>
    <row r="433" spans="1:22" ht="16.5" thickTop="1" thickBot="1" x14ac:dyDescent="0.3">
      <c r="A433" s="46" t="s">
        <v>2481</v>
      </c>
      <c r="B433" s="54" t="s">
        <v>3851</v>
      </c>
      <c r="C433" s="47" t="s">
        <v>668</v>
      </c>
      <c r="D433" s="47" t="s">
        <v>665</v>
      </c>
      <c r="E433" s="47" t="s">
        <v>669</v>
      </c>
      <c r="F433" s="48">
        <v>1.1499999999999999</v>
      </c>
      <c r="G433" s="47"/>
      <c r="H433" s="47"/>
      <c r="I433" s="47" t="s">
        <v>664</v>
      </c>
      <c r="J433" s="49">
        <v>45933</v>
      </c>
      <c r="K433" s="47" t="str">
        <f>INDEX(_xlfn.TEXTSPLIT(mouvementmp[[#This Row],[QR MP]],"_"),1,1)</f>
        <v>C12</v>
      </c>
      <c r="L433" s="47" t="str">
        <f>INDEX(_xlfn.TEXTSPLIT(mouvementmp[[#This Row],[QR MP]],"_"),1,2)</f>
        <v>BLEU DJEAN</v>
      </c>
      <c r="M433" s="47" t="str">
        <f>INDEX(_xlfn.TEXTSPLIT(mouvementmp[[#This Row],[QR MP]],"_"),1,3)</f>
        <v>NM15-12.00</v>
      </c>
      <c r="N433" s="47" t="str">
        <f>INDEX(_xlfn.TEXTSPLIT(mouvementmp[[#This Row],[QR MP]],"_"),1,4)</f>
        <v>S2023</v>
      </c>
      <c r="O433" s="47">
        <f>-mouvementmp[[#This Row],[Poids]]</f>
        <v>-1.1499999999999999</v>
      </c>
      <c r="P433" s="47" t="str">
        <f>IF(
   COUNTIFS($A$2:A433,A433,
             $B$2:B433,B433,
             $C$2:C433,C433,
             $D$2:D433,D433,
             $E$2:E433,E433,
             $F$2:F433,F433,
              $J$2:J433,J433)&gt;1,
   "Doublon",
   "Correcte"
)</f>
        <v>Correcte</v>
      </c>
      <c r="Q433" s="106" t="str">
        <f>IF(mouvementmp[[#This Row],[QR Fabrication]]&lt;&gt;"",INDEX(_xlfn.TEXTSPLIT(mouvementmp[[#This Row],[QR Fabrication]],"_"),1,1),"")</f>
        <v>OF250131</v>
      </c>
      <c r="R433" s="106" t="str">
        <f>IF(mouvementmp[[#This Row],[QR Fabrication]]&lt;&gt;"",INDEX(_xlfn.TEXTSPLIT(mouvementmp[[#This Row],[QR Fabrication]],"_"),1,2),"")</f>
        <v>CL00162</v>
      </c>
      <c r="S433" s="47" t="str">
        <f>IF(mouvementmp[[#This Row],[QR Fabrication]]&lt;&gt;"",INDEX(_xlfn.TEXTSPLIT(mouvementmp[[#This Row],[QR Fabrication]],"_"),1,3),"")</f>
        <v>CM-FT0130</v>
      </c>
      <c r="T433" s="47" t="str">
        <f>IF(mouvementmp[[#This Row],[QR Fabrication]]&lt;&gt;"",INDEX(_xlfn.TEXTSPLIT(mouvementmp[[#This Row],[QR Fabrication]],"_"),1,4),"")</f>
        <v>GIN2426-B12-03</v>
      </c>
      <c r="U433" s="47" t="str">
        <f>IF(mouvementmp[[#This Row],[QR Fabrication]]&lt;&gt;"",INDEX(_xlfn.TEXTSPLIT(mouvementmp[[#This Row],[QR Fabrication]],"_"),1,5),"")</f>
        <v>GINKO</v>
      </c>
      <c r="V433" s="47" t="str">
        <f>IF(mouvementmp[[#This Row],[QR Fabrication]]&lt;&gt;"",_xlfn.TEXTAFTER(mouvementmp[[#This Row],[QR Fabrication]],"_",5),"")</f>
        <v>2426</v>
      </c>
    </row>
    <row r="434" spans="1:22" ht="16.5" thickTop="1" thickBot="1" x14ac:dyDescent="0.3">
      <c r="A434" s="46" t="s">
        <v>2481</v>
      </c>
      <c r="B434" s="54" t="s">
        <v>3811</v>
      </c>
      <c r="C434" s="47" t="s">
        <v>668</v>
      </c>
      <c r="D434" s="47" t="s">
        <v>665</v>
      </c>
      <c r="E434" s="47" t="s">
        <v>669</v>
      </c>
      <c r="F434" s="48">
        <v>1.05</v>
      </c>
      <c r="G434" s="47"/>
      <c r="H434" s="47"/>
      <c r="I434" s="47" t="s">
        <v>664</v>
      </c>
      <c r="J434" s="49">
        <v>45933</v>
      </c>
      <c r="K434" s="47" t="str">
        <f>INDEX(_xlfn.TEXTSPLIT(mouvementmp[[#This Row],[QR MP]],"_"),1,1)</f>
        <v>C03</v>
      </c>
      <c r="L434" s="47" t="str">
        <f>INDEX(_xlfn.TEXTSPLIT(mouvementmp[[#This Row],[QR MP]],"_"),1,2)</f>
        <v>BEIGE CLAIR</v>
      </c>
      <c r="M434" s="47" t="str">
        <f>INDEX(_xlfn.TEXTSPLIT(mouvementmp[[#This Row],[QR MP]],"_"),1,3)</f>
        <v>NM05-03.01</v>
      </c>
      <c r="N434" s="47" t="str">
        <f>INDEX(_xlfn.TEXTSPLIT(mouvementmp[[#This Row],[QR MP]],"_"),1,4)</f>
        <v>58783</v>
      </c>
      <c r="O434" s="47">
        <f>-mouvementmp[[#This Row],[Poids]]</f>
        <v>-1.05</v>
      </c>
      <c r="P434" s="47" t="str">
        <f>IF(
   COUNTIFS($A$2:A434,A434,
             $B$2:B434,B434,
             $C$2:C434,C434,
             $D$2:D434,D434,
             $E$2:E434,E434,
             $F$2:F434,F434,
              $J$2:J434,J434)&gt;1,
   "Doublon",
   "Correcte"
)</f>
        <v>Correcte</v>
      </c>
      <c r="Q434" s="106" t="str">
        <f>IF(mouvementmp[[#This Row],[QR Fabrication]]&lt;&gt;"",INDEX(_xlfn.TEXTSPLIT(mouvementmp[[#This Row],[QR Fabrication]],"_"),1,1),"")</f>
        <v>OF250131</v>
      </c>
      <c r="R434" s="106" t="str">
        <f>IF(mouvementmp[[#This Row],[QR Fabrication]]&lt;&gt;"",INDEX(_xlfn.TEXTSPLIT(mouvementmp[[#This Row],[QR Fabrication]],"_"),1,2),"")</f>
        <v>CL00162</v>
      </c>
      <c r="S434" s="47" t="str">
        <f>IF(mouvementmp[[#This Row],[QR Fabrication]]&lt;&gt;"",INDEX(_xlfn.TEXTSPLIT(mouvementmp[[#This Row],[QR Fabrication]],"_"),1,3),"")</f>
        <v>CM-FT0130</v>
      </c>
      <c r="T434" s="47" t="str">
        <f>IF(mouvementmp[[#This Row],[QR Fabrication]]&lt;&gt;"",INDEX(_xlfn.TEXTSPLIT(mouvementmp[[#This Row],[QR Fabrication]],"_"),1,4),"")</f>
        <v>GIN2426-B12-03</v>
      </c>
      <c r="U434" s="47" t="str">
        <f>IF(mouvementmp[[#This Row],[QR Fabrication]]&lt;&gt;"",INDEX(_xlfn.TEXTSPLIT(mouvementmp[[#This Row],[QR Fabrication]],"_"),1,5),"")</f>
        <v>GINKO</v>
      </c>
      <c r="V434" s="47" t="str">
        <f>IF(mouvementmp[[#This Row],[QR Fabrication]]&lt;&gt;"",_xlfn.TEXTAFTER(mouvementmp[[#This Row],[QR Fabrication]],"_",5),"")</f>
        <v>2426</v>
      </c>
    </row>
    <row r="435" spans="1:22" ht="16.5" thickTop="1" thickBot="1" x14ac:dyDescent="0.3">
      <c r="A435" s="46" t="s">
        <v>2479</v>
      </c>
      <c r="B435" s="54" t="s">
        <v>3803</v>
      </c>
      <c r="C435" s="47" t="s">
        <v>668</v>
      </c>
      <c r="D435" s="47" t="s">
        <v>665</v>
      </c>
      <c r="E435" s="47" t="s">
        <v>669</v>
      </c>
      <c r="F435" s="48">
        <v>1.1499999999999999</v>
      </c>
      <c r="G435" s="47"/>
      <c r="H435" s="47"/>
      <c r="I435" s="47" t="s">
        <v>664</v>
      </c>
      <c r="J435" s="49">
        <v>45933</v>
      </c>
      <c r="K435" s="47" t="str">
        <f>INDEX(_xlfn.TEXTSPLIT(mouvementmp[[#This Row],[QR MP]],"_"),1,1)</f>
        <v>C02</v>
      </c>
      <c r="L435" s="47" t="str">
        <f>INDEX(_xlfn.TEXTSPLIT(mouvementmp[[#This Row],[QR MP]],"_"),1,2)</f>
        <v>ECRU</v>
      </c>
      <c r="M435" s="47" t="str">
        <f>INDEX(_xlfn.TEXTSPLIT(mouvementmp[[#This Row],[QR MP]],"_"),1,3)</f>
        <v>NM05-02.00</v>
      </c>
      <c r="N435" s="47" t="str">
        <f>INDEX(_xlfn.TEXTSPLIT(mouvementmp[[#This Row],[QR MP]],"_"),1,4)</f>
        <v>60083</v>
      </c>
      <c r="O435" s="47">
        <f>-mouvementmp[[#This Row],[Poids]]</f>
        <v>-1.1499999999999999</v>
      </c>
      <c r="P435" s="47" t="str">
        <f>IF(
   COUNTIFS($A$2:A435,A435,
             $B$2:B435,B435,
             $C$2:C435,C435,
             $D$2:D435,D435,
             $E$2:E435,E435,
             $F$2:F435,F435,
              $J$2:J435,J435)&gt;1,
   "Doublon",
   "Correcte"
)</f>
        <v>Correcte</v>
      </c>
      <c r="Q435" s="106" t="str">
        <f>IF(mouvementmp[[#This Row],[QR Fabrication]]&lt;&gt;"",INDEX(_xlfn.TEXTSPLIT(mouvementmp[[#This Row],[QR Fabrication]],"_"),1,1),"")</f>
        <v>OF250130</v>
      </c>
      <c r="R435" s="106" t="str">
        <f>IF(mouvementmp[[#This Row],[QR Fabrication]]&lt;&gt;"",INDEX(_xlfn.TEXTSPLIT(mouvementmp[[#This Row],[QR Fabrication]],"_"),1,2),"")</f>
        <v>CL00162</v>
      </c>
      <c r="S435" s="47" t="str">
        <f>IF(mouvementmp[[#This Row],[QR Fabrication]]&lt;&gt;"",INDEX(_xlfn.TEXTSPLIT(mouvementmp[[#This Row],[QR Fabrication]],"_"),1,3),"")</f>
        <v>CM-FT0130</v>
      </c>
      <c r="T435" s="47" t="str">
        <f>IF(mouvementmp[[#This Row],[QR Fabrication]]&lt;&gt;"",INDEX(_xlfn.TEXTSPLIT(mouvementmp[[#This Row],[QR Fabrication]],"_"),1,4),"")</f>
        <v>GIN2426-B03-02</v>
      </c>
      <c r="U435" s="47" t="str">
        <f>IF(mouvementmp[[#This Row],[QR Fabrication]]&lt;&gt;"",INDEX(_xlfn.TEXTSPLIT(mouvementmp[[#This Row],[QR Fabrication]],"_"),1,5),"")</f>
        <v>GINKO</v>
      </c>
      <c r="V435" s="47" t="str">
        <f>IF(mouvementmp[[#This Row],[QR Fabrication]]&lt;&gt;"",_xlfn.TEXTAFTER(mouvementmp[[#This Row],[QR Fabrication]],"_",5),"")</f>
        <v>2426</v>
      </c>
    </row>
    <row r="436" spans="1:22" ht="16.5" thickTop="1" thickBot="1" x14ac:dyDescent="0.3">
      <c r="A436" s="46" t="s">
        <v>2479</v>
      </c>
      <c r="B436" s="54" t="s">
        <v>3812</v>
      </c>
      <c r="C436" s="47" t="s">
        <v>668</v>
      </c>
      <c r="D436" s="47" t="s">
        <v>665</v>
      </c>
      <c r="E436" s="47" t="s">
        <v>669</v>
      </c>
      <c r="F436" s="48">
        <v>1.75</v>
      </c>
      <c r="G436" s="47"/>
      <c r="H436" s="47"/>
      <c r="I436" s="47" t="s">
        <v>664</v>
      </c>
      <c r="J436" s="49">
        <v>45933</v>
      </c>
      <c r="K436" s="47" t="str">
        <f>INDEX(_xlfn.TEXTSPLIT(mouvementmp[[#This Row],[QR MP]],"_"),1,1)</f>
        <v>C03</v>
      </c>
      <c r="L436" s="47" t="str">
        <f>INDEX(_xlfn.TEXTSPLIT(mouvementmp[[#This Row],[QR MP]],"_"),1,2)</f>
        <v>BEIGE CLAIR</v>
      </c>
      <c r="M436" s="47" t="str">
        <f>INDEX(_xlfn.TEXTSPLIT(mouvementmp[[#This Row],[QR MP]],"_"),1,3)</f>
        <v>NM05-03.03</v>
      </c>
      <c r="N436" s="47" t="str">
        <f>INDEX(_xlfn.TEXTSPLIT(mouvementmp[[#This Row],[QR MP]],"_"),1,4)</f>
        <v>59648</v>
      </c>
      <c r="O436" s="47">
        <f>-mouvementmp[[#This Row],[Poids]]</f>
        <v>-1.75</v>
      </c>
      <c r="P436" s="47" t="str">
        <f>IF(
   COUNTIFS($A$2:A436,A436,
             $B$2:B436,B436,
             $C$2:C436,C436,
             $D$2:D436,D436,
             $E$2:E436,E436,
             $F$2:F436,F436,
              $J$2:J436,J436)&gt;1,
   "Doublon",
   "Correcte"
)</f>
        <v>Correcte</v>
      </c>
      <c r="Q436" s="106" t="str">
        <f>IF(mouvementmp[[#This Row],[QR Fabrication]]&lt;&gt;"",INDEX(_xlfn.TEXTSPLIT(mouvementmp[[#This Row],[QR Fabrication]],"_"),1,1),"")</f>
        <v>OF250130</v>
      </c>
      <c r="R436" s="106" t="str">
        <f>IF(mouvementmp[[#This Row],[QR Fabrication]]&lt;&gt;"",INDEX(_xlfn.TEXTSPLIT(mouvementmp[[#This Row],[QR Fabrication]],"_"),1,2),"")</f>
        <v>CL00162</v>
      </c>
      <c r="S436" s="47" t="str">
        <f>IF(mouvementmp[[#This Row],[QR Fabrication]]&lt;&gt;"",INDEX(_xlfn.TEXTSPLIT(mouvementmp[[#This Row],[QR Fabrication]],"_"),1,3),"")</f>
        <v>CM-FT0130</v>
      </c>
      <c r="T436" s="47" t="str">
        <f>IF(mouvementmp[[#This Row],[QR Fabrication]]&lt;&gt;"",INDEX(_xlfn.TEXTSPLIT(mouvementmp[[#This Row],[QR Fabrication]],"_"),1,4),"")</f>
        <v>GIN2426-B03-02</v>
      </c>
      <c r="U436" s="47" t="str">
        <f>IF(mouvementmp[[#This Row],[QR Fabrication]]&lt;&gt;"",INDEX(_xlfn.TEXTSPLIT(mouvementmp[[#This Row],[QR Fabrication]],"_"),1,5),"")</f>
        <v>GINKO</v>
      </c>
      <c r="V436" s="47" t="str">
        <f>IF(mouvementmp[[#This Row],[QR Fabrication]]&lt;&gt;"",_xlfn.TEXTAFTER(mouvementmp[[#This Row],[QR Fabrication]],"_",5),"")</f>
        <v>2426</v>
      </c>
    </row>
    <row r="437" spans="1:22" ht="16.5" thickTop="1" thickBot="1" x14ac:dyDescent="0.3">
      <c r="A437" s="46"/>
      <c r="B437" s="54" t="s">
        <v>3910</v>
      </c>
      <c r="C437" s="47" t="s">
        <v>670</v>
      </c>
      <c r="D437" s="47" t="s">
        <v>665</v>
      </c>
      <c r="E437" s="47" t="s">
        <v>678</v>
      </c>
      <c r="F437" s="48">
        <v>71.5</v>
      </c>
      <c r="G437" s="47"/>
      <c r="H437" s="47"/>
      <c r="I437" s="47" t="s">
        <v>664</v>
      </c>
      <c r="J437" s="49">
        <v>45934</v>
      </c>
      <c r="K437" s="47" t="str">
        <f>INDEX(_xlfn.TEXTSPLIT(mouvementmp[[#This Row],[QR MP]],"_"),1,1)</f>
        <v>CH</v>
      </c>
      <c r="L437" s="47" t="str">
        <f>INDEX(_xlfn.TEXTSPLIT(mouvementmp[[#This Row],[QR MP]],"_"),1,2)</f>
        <v>Ecru</v>
      </c>
      <c r="M437" s="47" t="str">
        <f>INDEX(_xlfn.TEXTSPLIT(mouvementmp[[#This Row],[QR MP]],"_"),1,3)</f>
        <v>CH2/40CE</v>
      </c>
      <c r="N437" s="47" t="str">
        <f>INDEX(_xlfn.TEXTSPLIT(mouvementmp[[#This Row],[QR MP]],"_"),1,4)</f>
        <v>A220324523/2</v>
      </c>
      <c r="O437" s="47">
        <f>-mouvementmp[[#This Row],[Poids]]</f>
        <v>-71.5</v>
      </c>
      <c r="P437" s="47" t="str">
        <f>IF(
   COUNTIFS($A$2:A437,A437,
             $B$2:B437,B437,
             $C$2:C437,C437,
             $D$2:D437,D437,
             $E$2:E437,E437,
             $F$2:F437,F437,
              $J$2:J437,J437)&gt;1,
   "Doublon",
   "Correcte"
)</f>
        <v>Correcte</v>
      </c>
      <c r="Q437" s="106" t="str">
        <f>IF(mouvementmp[[#This Row],[QR Fabrication]]&lt;&gt;"",INDEX(_xlfn.TEXTSPLIT(mouvementmp[[#This Row],[QR Fabrication]],"_"),1,1),"")</f>
        <v/>
      </c>
      <c r="R437" s="106" t="str">
        <f>IF(mouvementmp[[#This Row],[QR Fabrication]]&lt;&gt;"",INDEX(_xlfn.TEXTSPLIT(mouvementmp[[#This Row],[QR Fabrication]],"_"),1,2),"")</f>
        <v/>
      </c>
      <c r="S437" s="47" t="str">
        <f>IF(mouvementmp[[#This Row],[QR Fabrication]]&lt;&gt;"",INDEX(_xlfn.TEXTSPLIT(mouvementmp[[#This Row],[QR Fabrication]],"_"),1,3),"")</f>
        <v/>
      </c>
      <c r="T437" s="47" t="str">
        <f>IF(mouvementmp[[#This Row],[QR Fabrication]]&lt;&gt;"",INDEX(_xlfn.TEXTSPLIT(mouvementmp[[#This Row],[QR Fabrication]],"_"),1,4),"")</f>
        <v/>
      </c>
      <c r="U437" s="47" t="str">
        <f>IF(mouvementmp[[#This Row],[QR Fabrication]]&lt;&gt;"",INDEX(_xlfn.TEXTSPLIT(mouvementmp[[#This Row],[QR Fabrication]],"_"),1,5),"")</f>
        <v/>
      </c>
      <c r="V437" s="47" t="str">
        <f>IF(mouvementmp[[#This Row],[QR Fabrication]]&lt;&gt;"",_xlfn.TEXTAFTER(mouvementmp[[#This Row],[QR Fabrication]],"_",5),"")</f>
        <v/>
      </c>
    </row>
    <row r="438" spans="1:22" ht="16.5" thickTop="1" thickBot="1" x14ac:dyDescent="0.3">
      <c r="A438" s="46" t="s">
        <v>2475</v>
      </c>
      <c r="B438" s="54" t="s">
        <v>3860</v>
      </c>
      <c r="C438" s="47" t="s">
        <v>668</v>
      </c>
      <c r="D438" s="47" t="s">
        <v>665</v>
      </c>
      <c r="E438" s="47" t="s">
        <v>669</v>
      </c>
      <c r="F438" s="48">
        <v>1.75</v>
      </c>
      <c r="G438" s="47"/>
      <c r="H438" s="47"/>
      <c r="I438" s="47" t="s">
        <v>664</v>
      </c>
      <c r="J438" s="49">
        <v>45934</v>
      </c>
      <c r="K438" s="47" t="str">
        <f>INDEX(_xlfn.TEXTSPLIT(mouvementmp[[#This Row],[QR MP]],"_"),1,1)</f>
        <v>C15</v>
      </c>
      <c r="L438" s="47" t="str">
        <f>INDEX(_xlfn.TEXTSPLIT(mouvementmp[[#This Row],[QR MP]],"_"),1,2)</f>
        <v>LAGON</v>
      </c>
      <c r="M438" s="47" t="str">
        <f>INDEX(_xlfn.TEXTSPLIT(mouvementmp[[#This Row],[QR MP]],"_"),1,3)</f>
        <v>NM15-15.00</v>
      </c>
      <c r="N438" s="47" t="str">
        <f>INDEX(_xlfn.TEXTSPLIT(mouvementmp[[#This Row],[QR MP]],"_"),1,4)</f>
        <v>61645</v>
      </c>
      <c r="O438" s="47">
        <f>-mouvementmp[[#This Row],[Poids]]</f>
        <v>-1.75</v>
      </c>
      <c r="P438" s="47" t="str">
        <f>IF(
   COUNTIFS($A$2:A438,A438,
             $B$2:B438,B438,
             $C$2:C438,C438,
             $D$2:D438,D438,
             $E$2:E438,E438,
             $F$2:F438,F438,
              $J$2:J438,J438)&gt;1,
   "Doublon",
   "Correcte"
)</f>
        <v>Correcte</v>
      </c>
      <c r="Q438" s="106" t="str">
        <f>IF(mouvementmp[[#This Row],[QR Fabrication]]&lt;&gt;"",INDEX(_xlfn.TEXTSPLIT(mouvementmp[[#This Row],[QR Fabrication]],"_"),1,1),"")</f>
        <v>CA250758</v>
      </c>
      <c r="R438" s="106" t="str">
        <f>IF(mouvementmp[[#This Row],[QR Fabrication]]&lt;&gt;"",INDEX(_xlfn.TEXTSPLIT(mouvementmp[[#This Row],[QR Fabrication]],"_"),1,2),"")</f>
        <v>All by Fouta</v>
      </c>
      <c r="S438" s="47" t="str">
        <f>IF(mouvementmp[[#This Row],[QR Fabrication]]&lt;&gt;"",INDEX(_xlfn.TEXTSPLIT(mouvementmp[[#This Row],[QR Fabrication]],"_"),1,3),"")</f>
        <v>Stock</v>
      </c>
      <c r="T438" s="47" t="str">
        <f>IF(mouvementmp[[#This Row],[QR Fabrication]]&lt;&gt;"",INDEX(_xlfn.TEXTSPLIT(mouvementmp[[#This Row],[QR Fabrication]],"_"),1,4),"")</f>
        <v>PACKSICL0507-B15-02</v>
      </c>
      <c r="U438" s="47" t="str">
        <f>IF(mouvementmp[[#This Row],[QR Fabrication]]&lt;&gt;"",INDEX(_xlfn.TEXTSPLIT(mouvementmp[[#This Row],[QR Fabrication]],"_"),1,5),"")</f>
        <v>PACK CLASSIQUE</v>
      </c>
      <c r="V438" s="47" t="str">
        <f>IF(mouvementmp[[#This Row],[QR Fabrication]]&lt;&gt;"",_xlfn.TEXTAFTER(mouvementmp[[#This Row],[QR Fabrication]],"_",5),"")</f>
        <v>0507</v>
      </c>
    </row>
    <row r="439" spans="1:22" ht="16.5" thickTop="1" thickBot="1" x14ac:dyDescent="0.3">
      <c r="A439" s="46" t="s">
        <v>2475</v>
      </c>
      <c r="B439" s="54" t="s">
        <v>3806</v>
      </c>
      <c r="C439" s="47" t="s">
        <v>668</v>
      </c>
      <c r="D439" s="47" t="s">
        <v>665</v>
      </c>
      <c r="E439" s="47" t="s">
        <v>669</v>
      </c>
      <c r="F439" s="48">
        <v>0.95</v>
      </c>
      <c r="G439" s="47"/>
      <c r="H439" s="47"/>
      <c r="I439" s="47" t="s">
        <v>664</v>
      </c>
      <c r="J439" s="49">
        <v>45934</v>
      </c>
      <c r="K439" s="47" t="str">
        <f>INDEX(_xlfn.TEXTSPLIT(mouvementmp[[#This Row],[QR MP]],"_"),1,1)</f>
        <v>C02</v>
      </c>
      <c r="L439" s="47" t="str">
        <f>INDEX(_xlfn.TEXTSPLIT(mouvementmp[[#This Row],[QR MP]],"_"),1,2)</f>
        <v>ECRU</v>
      </c>
      <c r="M439" s="47" t="str">
        <f>INDEX(_xlfn.TEXTSPLIT(mouvementmp[[#This Row],[QR MP]],"_"),1,3)</f>
        <v>NM15-02.00</v>
      </c>
      <c r="N439" s="47" t="str">
        <f>INDEX(_xlfn.TEXTSPLIT(mouvementmp[[#This Row],[QR MP]],"_"),1,4)</f>
        <v>61424</v>
      </c>
      <c r="O439" s="47">
        <f>-mouvementmp[[#This Row],[Poids]]</f>
        <v>-0.95</v>
      </c>
      <c r="P439" s="47" t="str">
        <f>IF(
   COUNTIFS($A$2:A439,A439,
             $B$2:B439,B439,
             $C$2:C439,C439,
             $D$2:D439,D439,
             $E$2:E439,E439,
             $F$2:F439,F439,
              $J$2:J439,J439)&gt;1,
   "Doublon",
   "Correcte"
)</f>
        <v>Correcte</v>
      </c>
      <c r="Q439" s="106" t="str">
        <f>IF(mouvementmp[[#This Row],[QR Fabrication]]&lt;&gt;"",INDEX(_xlfn.TEXTSPLIT(mouvementmp[[#This Row],[QR Fabrication]],"_"),1,1),"")</f>
        <v>CA250758</v>
      </c>
      <c r="R439" s="106" t="str">
        <f>IF(mouvementmp[[#This Row],[QR Fabrication]]&lt;&gt;"",INDEX(_xlfn.TEXTSPLIT(mouvementmp[[#This Row],[QR Fabrication]],"_"),1,2),"")</f>
        <v>All by Fouta</v>
      </c>
      <c r="S439" s="47" t="str">
        <f>IF(mouvementmp[[#This Row],[QR Fabrication]]&lt;&gt;"",INDEX(_xlfn.TEXTSPLIT(mouvementmp[[#This Row],[QR Fabrication]],"_"),1,3),"")</f>
        <v>Stock</v>
      </c>
      <c r="T439" s="47" t="str">
        <f>IF(mouvementmp[[#This Row],[QR Fabrication]]&lt;&gt;"",INDEX(_xlfn.TEXTSPLIT(mouvementmp[[#This Row],[QR Fabrication]],"_"),1,4),"")</f>
        <v>PACKSICL0507-B15-02</v>
      </c>
      <c r="U439" s="47" t="str">
        <f>IF(mouvementmp[[#This Row],[QR Fabrication]]&lt;&gt;"",INDEX(_xlfn.TEXTSPLIT(mouvementmp[[#This Row],[QR Fabrication]],"_"),1,5),"")</f>
        <v>PACK CLASSIQUE</v>
      </c>
      <c r="V439" s="47" t="str">
        <f>IF(mouvementmp[[#This Row],[QR Fabrication]]&lt;&gt;"",_xlfn.TEXTAFTER(mouvementmp[[#This Row],[QR Fabrication]],"_",5),"")</f>
        <v>0507</v>
      </c>
    </row>
    <row r="440" spans="1:22" ht="16.5" thickTop="1" thickBot="1" x14ac:dyDescent="0.3">
      <c r="A440" s="46" t="s">
        <v>2482</v>
      </c>
      <c r="B440" s="54" t="s">
        <v>3838</v>
      </c>
      <c r="C440" s="47" t="s">
        <v>668</v>
      </c>
      <c r="D440" s="47" t="s">
        <v>665</v>
      </c>
      <c r="E440" s="47" t="s">
        <v>669</v>
      </c>
      <c r="F440" s="48">
        <v>1.55</v>
      </c>
      <c r="G440" s="47"/>
      <c r="H440" s="47"/>
      <c r="I440" s="47" t="s">
        <v>664</v>
      </c>
      <c r="J440" s="49">
        <v>45934</v>
      </c>
      <c r="K440" s="47" t="str">
        <f>INDEX(_xlfn.TEXTSPLIT(mouvementmp[[#This Row],[QR MP]],"_"),1,1)</f>
        <v>C07</v>
      </c>
      <c r="L440" s="47" t="str">
        <f>INDEX(_xlfn.TEXTSPLIT(mouvementmp[[#This Row],[QR MP]],"_"),1,2)</f>
        <v>GRIS MOYEN</v>
      </c>
      <c r="M440" s="47" t="str">
        <f>INDEX(_xlfn.TEXTSPLIT(mouvementmp[[#This Row],[QR MP]],"_"),1,3)</f>
        <v>NM15-07.00</v>
      </c>
      <c r="N440" s="47" t="str">
        <f>INDEX(_xlfn.TEXTSPLIT(mouvementmp[[#This Row],[QR MP]],"_"),1,4)</f>
        <v>61445</v>
      </c>
      <c r="O440" s="47">
        <f>-mouvementmp[[#This Row],[Poids]]</f>
        <v>-1.55</v>
      </c>
      <c r="P440" s="47" t="str">
        <f>IF(
   COUNTIFS($A$2:A440,A440,
             $B$2:B440,B440,
             $C$2:C440,C440,
             $D$2:D440,D440,
             $E$2:E440,E440,
             $F$2:F440,F440,
              $J$2:J440,J440)&gt;1,
   "Doublon",
   "Correcte"
)</f>
        <v>Correcte</v>
      </c>
      <c r="Q440" s="106" t="str">
        <f>IF(mouvementmp[[#This Row],[QR Fabrication]]&lt;&gt;"",INDEX(_xlfn.TEXTSPLIT(mouvementmp[[#This Row],[QR Fabrication]],"_"),1,1),"")</f>
        <v>CA250763</v>
      </c>
      <c r="R440" s="106" t="str">
        <f>IF(mouvementmp[[#This Row],[QR Fabrication]]&lt;&gt;"",INDEX(_xlfn.TEXTSPLIT(mouvementmp[[#This Row],[QR Fabrication]],"_"),1,2),"")</f>
        <v>All by Fouta</v>
      </c>
      <c r="S440" s="47" t="str">
        <f>IF(mouvementmp[[#This Row],[QR Fabrication]]&lt;&gt;"",INDEX(_xlfn.TEXTSPLIT(mouvementmp[[#This Row],[QR Fabrication]],"_"),1,3),"")</f>
        <v>Stock</v>
      </c>
      <c r="T440" s="47" t="str">
        <f>IF(mouvementmp[[#This Row],[QR Fabrication]]&lt;&gt;"",INDEX(_xlfn.TEXTSPLIT(mouvementmp[[#This Row],[QR Fabrication]],"_"),1,4),"")</f>
        <v>PACKSICL0507-B07-16</v>
      </c>
      <c r="U440" s="47" t="str">
        <f>IF(mouvementmp[[#This Row],[QR Fabrication]]&lt;&gt;"",INDEX(_xlfn.TEXTSPLIT(mouvementmp[[#This Row],[QR Fabrication]],"_"),1,5),"")</f>
        <v>PACK CLASSIQUE</v>
      </c>
      <c r="V440" s="47" t="str">
        <f>IF(mouvementmp[[#This Row],[QR Fabrication]]&lt;&gt;"",_xlfn.TEXTAFTER(mouvementmp[[#This Row],[QR Fabrication]],"_",5),"")</f>
        <v>0507</v>
      </c>
    </row>
    <row r="441" spans="1:22" ht="16.5" thickTop="1" thickBot="1" x14ac:dyDescent="0.3">
      <c r="A441" s="46" t="s">
        <v>2482</v>
      </c>
      <c r="B441" s="54" t="s">
        <v>3923</v>
      </c>
      <c r="C441" s="47" t="s">
        <v>668</v>
      </c>
      <c r="D441" s="47" t="s">
        <v>665</v>
      </c>
      <c r="E441" s="47" t="s">
        <v>669</v>
      </c>
      <c r="F441" s="48">
        <v>1.75</v>
      </c>
      <c r="G441" s="47"/>
      <c r="H441" s="47"/>
      <c r="I441" s="47" t="s">
        <v>664</v>
      </c>
      <c r="J441" s="49">
        <v>45934</v>
      </c>
      <c r="K441" s="47" t="str">
        <f>INDEX(_xlfn.TEXTSPLIT(mouvementmp[[#This Row],[QR MP]],"_"),1,1)</f>
        <v>C16</v>
      </c>
      <c r="L441" s="47" t="str">
        <f>INDEX(_xlfn.TEXTSPLIT(mouvementmp[[#This Row],[QR MP]],"_"),1,2)</f>
        <v>BLEU CIEL</v>
      </c>
      <c r="M441" s="47" t="str">
        <f>INDEX(_xlfn.TEXTSPLIT(mouvementmp[[#This Row],[QR MP]],"_"),1,3)</f>
        <v>NM15-16.00</v>
      </c>
      <c r="N441" s="47" t="str">
        <f>INDEX(_xlfn.TEXTSPLIT(mouvementmp[[#This Row],[QR MP]],"_"),1,4)</f>
        <v>61532</v>
      </c>
      <c r="O441" s="47">
        <f>-mouvementmp[[#This Row],[Poids]]</f>
        <v>-1.75</v>
      </c>
      <c r="P441" s="47" t="str">
        <f>IF(
   COUNTIFS($A$2:A441,A441,
             $B$2:B441,B441,
             $C$2:C441,C441,
             $D$2:D441,D441,
             $E$2:E441,E441,
             $F$2:F441,F441,
              $J$2:J441,J441)&gt;1,
   "Doublon",
   "Correcte"
)</f>
        <v>Correcte</v>
      </c>
      <c r="Q441" s="106" t="str">
        <f>IF(mouvementmp[[#This Row],[QR Fabrication]]&lt;&gt;"",INDEX(_xlfn.TEXTSPLIT(mouvementmp[[#This Row],[QR Fabrication]],"_"),1,1),"")</f>
        <v>CA250763</v>
      </c>
      <c r="R441" s="106" t="str">
        <f>IF(mouvementmp[[#This Row],[QR Fabrication]]&lt;&gt;"",INDEX(_xlfn.TEXTSPLIT(mouvementmp[[#This Row],[QR Fabrication]],"_"),1,2),"")</f>
        <v>All by Fouta</v>
      </c>
      <c r="S441" s="47" t="str">
        <f>IF(mouvementmp[[#This Row],[QR Fabrication]]&lt;&gt;"",INDEX(_xlfn.TEXTSPLIT(mouvementmp[[#This Row],[QR Fabrication]],"_"),1,3),"")</f>
        <v>Stock</v>
      </c>
      <c r="T441" s="47" t="str">
        <f>IF(mouvementmp[[#This Row],[QR Fabrication]]&lt;&gt;"",INDEX(_xlfn.TEXTSPLIT(mouvementmp[[#This Row],[QR Fabrication]],"_"),1,4),"")</f>
        <v>PACKSICL0507-B07-16</v>
      </c>
      <c r="U441" s="47" t="str">
        <f>IF(mouvementmp[[#This Row],[QR Fabrication]]&lt;&gt;"",INDEX(_xlfn.TEXTSPLIT(mouvementmp[[#This Row],[QR Fabrication]],"_"),1,5),"")</f>
        <v>PACK CLASSIQUE</v>
      </c>
      <c r="V441" s="47" t="str">
        <f>IF(mouvementmp[[#This Row],[QR Fabrication]]&lt;&gt;"",_xlfn.TEXTAFTER(mouvementmp[[#This Row],[QR Fabrication]],"_",5),"")</f>
        <v>0507</v>
      </c>
    </row>
    <row r="442" spans="1:22" ht="16.5" thickTop="1" thickBot="1" x14ac:dyDescent="0.3">
      <c r="A442" s="46" t="s">
        <v>2499</v>
      </c>
      <c r="B442" s="54" t="s">
        <v>3846</v>
      </c>
      <c r="C442" s="47" t="s">
        <v>668</v>
      </c>
      <c r="D442" s="47" t="s">
        <v>665</v>
      </c>
      <c r="E442" s="47" t="s">
        <v>669</v>
      </c>
      <c r="F442" s="48">
        <v>0.75</v>
      </c>
      <c r="G442" s="47"/>
      <c r="H442" s="47"/>
      <c r="I442" s="47" t="s">
        <v>664</v>
      </c>
      <c r="J442" s="49">
        <v>45934</v>
      </c>
      <c r="K442" s="47" t="str">
        <f>INDEX(_xlfn.TEXTSPLIT(mouvementmp[[#This Row],[QR MP]],"_"),1,1)</f>
        <v>C10</v>
      </c>
      <c r="L442" s="47" t="str">
        <f>INDEX(_xlfn.TEXTSPLIT(mouvementmp[[#This Row],[QR MP]],"_"),1,2)</f>
        <v>BLEU MARINE</v>
      </c>
      <c r="M442" s="47" t="str">
        <f>INDEX(_xlfn.TEXTSPLIT(mouvementmp[[#This Row],[QR MP]],"_"),1,3)</f>
        <v>NM15-10.00</v>
      </c>
      <c r="N442" s="47" t="str">
        <f>INDEX(_xlfn.TEXTSPLIT(mouvementmp[[#This Row],[QR MP]],"_"),1,4)</f>
        <v>61462</v>
      </c>
      <c r="O442" s="47">
        <f>-mouvementmp[[#This Row],[Poids]]</f>
        <v>-0.75</v>
      </c>
      <c r="P442" s="47" t="str">
        <f>IF(
   COUNTIFS($A$2:A442,A442,
             $B$2:B442,B442,
             $C$2:C442,C442,
             $D$2:D442,D442,
             $E$2:E442,E442,
             $F$2:F442,F442,
              $J$2:J442,J442)&gt;1,
   "Doublon",
   "Correcte"
)</f>
        <v>Correcte</v>
      </c>
      <c r="Q442" s="106" t="str">
        <f>IF(mouvementmp[[#This Row],[QR Fabrication]]&lt;&gt;"",INDEX(_xlfn.TEXTSPLIT(mouvementmp[[#This Row],[QR Fabrication]],"_"),1,1),"")</f>
        <v>CA250756</v>
      </c>
      <c r="R442" s="106" t="str">
        <f>IF(mouvementmp[[#This Row],[QR Fabrication]]&lt;&gt;"",INDEX(_xlfn.TEXTSPLIT(mouvementmp[[#This Row],[QR Fabrication]],"_"),1,2),"")</f>
        <v>All by Fouta</v>
      </c>
      <c r="S442" s="47" t="str">
        <f>IF(mouvementmp[[#This Row],[QR Fabrication]]&lt;&gt;"",INDEX(_xlfn.TEXTSPLIT(mouvementmp[[#This Row],[QR Fabrication]],"_"),1,3),"")</f>
        <v>Stock</v>
      </c>
      <c r="T442" s="47" t="str">
        <f>IF(mouvementmp[[#This Row],[QR Fabrication]]&lt;&gt;"",INDEX(_xlfn.TEXTSPLIT(mouvementmp[[#This Row],[QR Fabrication]],"_"),1,4),"")</f>
        <v>PACKSICL0507-B10-25</v>
      </c>
      <c r="U442" s="47" t="str">
        <f>IF(mouvementmp[[#This Row],[QR Fabrication]]&lt;&gt;"",INDEX(_xlfn.TEXTSPLIT(mouvementmp[[#This Row],[QR Fabrication]],"_"),1,5),"")</f>
        <v>PACK CLASSIQUE</v>
      </c>
      <c r="V442" s="47" t="str">
        <f>IF(mouvementmp[[#This Row],[QR Fabrication]]&lt;&gt;"",_xlfn.TEXTAFTER(mouvementmp[[#This Row],[QR Fabrication]],"_",5),"")</f>
        <v>0507</v>
      </c>
    </row>
    <row r="443" spans="1:22" ht="16.5" thickTop="1" thickBot="1" x14ac:dyDescent="0.3">
      <c r="A443" s="46" t="s">
        <v>2499</v>
      </c>
      <c r="B443" s="54" t="s">
        <v>3887</v>
      </c>
      <c r="C443" s="47" t="s">
        <v>668</v>
      </c>
      <c r="D443" s="47" t="s">
        <v>665</v>
      </c>
      <c r="E443" s="47" t="s">
        <v>669</v>
      </c>
      <c r="F443" s="48">
        <v>1.85</v>
      </c>
      <c r="G443" s="47"/>
      <c r="H443" s="47"/>
      <c r="I443" s="47" t="s">
        <v>664</v>
      </c>
      <c r="J443" s="49">
        <v>45934</v>
      </c>
      <c r="K443" s="47" t="str">
        <f>INDEX(_xlfn.TEXTSPLIT(mouvementmp[[#This Row],[QR MP]],"_"),1,1)</f>
        <v>C25</v>
      </c>
      <c r="L443" s="47" t="str">
        <f>INDEX(_xlfn.TEXTSPLIT(mouvementmp[[#This Row],[QR MP]],"_"),1,2)</f>
        <v>ORANGE</v>
      </c>
      <c r="M443" s="47" t="str">
        <f>INDEX(_xlfn.TEXTSPLIT(mouvementmp[[#This Row],[QR MP]],"_"),1,3)</f>
        <v>NM15-25.00</v>
      </c>
      <c r="N443" s="47" t="str">
        <f>INDEX(_xlfn.TEXTSPLIT(mouvementmp[[#This Row],[QR MP]],"_"),1,4)</f>
        <v>61729</v>
      </c>
      <c r="O443" s="47">
        <f>-mouvementmp[[#This Row],[Poids]]</f>
        <v>-1.85</v>
      </c>
      <c r="P443" s="47" t="str">
        <f>IF(
   COUNTIFS($A$2:A443,A443,
             $B$2:B443,B443,
             $C$2:C443,C443,
             $D$2:D443,D443,
             $E$2:E443,E443,
             $F$2:F443,F443,
              $J$2:J443,J443)&gt;1,
   "Doublon",
   "Correcte"
)</f>
        <v>Correcte</v>
      </c>
      <c r="Q443" s="106" t="str">
        <f>IF(mouvementmp[[#This Row],[QR Fabrication]]&lt;&gt;"",INDEX(_xlfn.TEXTSPLIT(mouvementmp[[#This Row],[QR Fabrication]],"_"),1,1),"")</f>
        <v>CA250756</v>
      </c>
      <c r="R443" s="106" t="str">
        <f>IF(mouvementmp[[#This Row],[QR Fabrication]]&lt;&gt;"",INDEX(_xlfn.TEXTSPLIT(mouvementmp[[#This Row],[QR Fabrication]],"_"),1,2),"")</f>
        <v>All by Fouta</v>
      </c>
      <c r="S443" s="47" t="str">
        <f>IF(mouvementmp[[#This Row],[QR Fabrication]]&lt;&gt;"",INDEX(_xlfn.TEXTSPLIT(mouvementmp[[#This Row],[QR Fabrication]],"_"),1,3),"")</f>
        <v>Stock</v>
      </c>
      <c r="T443" s="47" t="str">
        <f>IF(mouvementmp[[#This Row],[QR Fabrication]]&lt;&gt;"",INDEX(_xlfn.TEXTSPLIT(mouvementmp[[#This Row],[QR Fabrication]],"_"),1,4),"")</f>
        <v>PACKSICL0507-B10-25</v>
      </c>
      <c r="U443" s="47" t="str">
        <f>IF(mouvementmp[[#This Row],[QR Fabrication]]&lt;&gt;"",INDEX(_xlfn.TEXTSPLIT(mouvementmp[[#This Row],[QR Fabrication]],"_"),1,5),"")</f>
        <v>PACK CLASSIQUE</v>
      </c>
      <c r="V443" s="47" t="str">
        <f>IF(mouvementmp[[#This Row],[QR Fabrication]]&lt;&gt;"",_xlfn.TEXTAFTER(mouvementmp[[#This Row],[QR Fabrication]],"_",5),"")</f>
        <v>0507</v>
      </c>
    </row>
    <row r="444" spans="1:22" ht="16.5" thickTop="1" thickBot="1" x14ac:dyDescent="0.3">
      <c r="A444" s="46" t="s">
        <v>2471</v>
      </c>
      <c r="B444" s="54" t="s">
        <v>3897</v>
      </c>
      <c r="C444" s="47" t="s">
        <v>668</v>
      </c>
      <c r="D444" s="47" t="s">
        <v>665</v>
      </c>
      <c r="E444" s="47" t="s">
        <v>669</v>
      </c>
      <c r="F444" s="48">
        <v>2.35</v>
      </c>
      <c r="G444" s="47"/>
      <c r="H444" s="47"/>
      <c r="I444" s="47" t="s">
        <v>664</v>
      </c>
      <c r="J444" s="49">
        <v>45934</v>
      </c>
      <c r="K444" s="47" t="str">
        <f>INDEX(_xlfn.TEXTSPLIT(mouvementmp[[#This Row],[QR MP]],"_"),1,1)</f>
        <v>C28</v>
      </c>
      <c r="L444" s="47" t="str">
        <f>INDEX(_xlfn.TEXTSPLIT(mouvementmp[[#This Row],[QR MP]],"_"),1,2)</f>
        <v>FRAMBOISE</v>
      </c>
      <c r="M444" s="47" t="str">
        <f>INDEX(_xlfn.TEXTSPLIT(mouvementmp[[#This Row],[QR MP]],"_"),1,3)</f>
        <v>NM15-28.01</v>
      </c>
      <c r="N444" s="47" t="str">
        <f>INDEX(_xlfn.TEXTSPLIT(mouvementmp[[#This Row],[QR MP]],"_"),1,4)</f>
        <v>61639</v>
      </c>
      <c r="O444" s="47">
        <f>-mouvementmp[[#This Row],[Poids]]</f>
        <v>-2.35</v>
      </c>
      <c r="P444" s="47" t="str">
        <f>IF(
   COUNTIFS($A$2:A444,A444,
             $B$2:B444,B444,
             $C$2:C444,C444,
             $D$2:D444,D444,
             $E$2:E444,E444,
             $F$2:F444,F444,
              $J$2:J444,J444)&gt;1,
   "Doublon",
   "Correcte"
)</f>
        <v>Correcte</v>
      </c>
      <c r="Q444" s="106" t="str">
        <f>IF(mouvementmp[[#This Row],[QR Fabrication]]&lt;&gt;"",INDEX(_xlfn.TEXTSPLIT(mouvementmp[[#This Row],[QR Fabrication]],"_"),1,1),"")</f>
        <v>OF249798</v>
      </c>
      <c r="R444" s="106" t="str">
        <f>IF(mouvementmp[[#This Row],[QR Fabrication]]&lt;&gt;"",INDEX(_xlfn.TEXTSPLIT(mouvementmp[[#This Row],[QR Fabrication]],"_"),1,2),"")</f>
        <v>CL00884</v>
      </c>
      <c r="S444" s="47" t="str">
        <f>IF(mouvementmp[[#This Row],[QR Fabrication]]&lt;&gt;"",INDEX(_xlfn.TEXTSPLIT(mouvementmp[[#This Row],[QR Fabrication]],"_"),1,3),"")</f>
        <v>CM-FT0119</v>
      </c>
      <c r="T444" s="47" t="str">
        <f>IF(mouvementmp[[#This Row],[QR Fabrication]]&lt;&gt;"",INDEX(_xlfn.TEXTSPLIT(mouvementmp[[#This Row],[QR Fabrication]],"_"),1,4),"")</f>
        <v>LI1020-B28-01</v>
      </c>
      <c r="U444" s="47" t="str">
        <f>IF(mouvementmp[[#This Row],[QR Fabrication]]&lt;&gt;"",INDEX(_xlfn.TEXTSPLIT(mouvementmp[[#This Row],[QR Fabrication]],"_"),1,5),"")</f>
        <v>LILI</v>
      </c>
      <c r="V444" s="47" t="str">
        <f>IF(mouvementmp[[#This Row],[QR Fabrication]]&lt;&gt;"",_xlfn.TEXTAFTER(mouvementmp[[#This Row],[QR Fabrication]],"_",5),"")</f>
        <v>1020</v>
      </c>
    </row>
    <row r="445" spans="1:22" ht="16.5" thickTop="1" thickBot="1" x14ac:dyDescent="0.3">
      <c r="A445" s="46" t="s">
        <v>2457</v>
      </c>
      <c r="B445" s="54" t="s">
        <v>3874</v>
      </c>
      <c r="C445" s="47" t="s">
        <v>668</v>
      </c>
      <c r="D445" s="47" t="s">
        <v>665</v>
      </c>
      <c r="E445" s="47" t="s">
        <v>669</v>
      </c>
      <c r="F445" s="48">
        <v>1.95</v>
      </c>
      <c r="G445" s="47"/>
      <c r="H445" s="47"/>
      <c r="I445" s="47" t="s">
        <v>664</v>
      </c>
      <c r="J445" s="49">
        <v>45934</v>
      </c>
      <c r="K445" s="47" t="str">
        <f>INDEX(_xlfn.TEXTSPLIT(mouvementmp[[#This Row],[QR MP]],"_"),1,1)</f>
        <v>C20</v>
      </c>
      <c r="L445" s="47" t="str">
        <f>INDEX(_xlfn.TEXTSPLIT(mouvementmp[[#This Row],[QR MP]],"_"),1,2)</f>
        <v>VERT OLIVE</v>
      </c>
      <c r="M445" s="47" t="str">
        <f>INDEX(_xlfn.TEXTSPLIT(mouvementmp[[#This Row],[QR MP]],"_"),1,3)</f>
        <v>NM15-20.00</v>
      </c>
      <c r="N445" s="47" t="str">
        <f>INDEX(_xlfn.TEXTSPLIT(mouvementmp[[#This Row],[QR MP]],"_"),1,4)</f>
        <v>S2023</v>
      </c>
      <c r="O445" s="47">
        <f>-mouvementmp[[#This Row],[Poids]]</f>
        <v>-1.95</v>
      </c>
      <c r="P445" s="47" t="str">
        <f>IF(
   COUNTIFS($A$2:A445,A445,
             $B$2:B445,B445,
             $C$2:C445,C445,
             $D$2:D445,D445,
             $E$2:E445,E445,
             $F$2:F445,F445,
              $J$2:J445,J445)&gt;1,
   "Doublon",
   "Correcte"
)</f>
        <v>Correcte</v>
      </c>
      <c r="Q445" s="106" t="str">
        <f>IF(mouvementmp[[#This Row],[QR Fabrication]]&lt;&gt;"",INDEX(_xlfn.TEXTSPLIT(mouvementmp[[#This Row],[QR Fabrication]],"_"),1,1),"")</f>
        <v>OF249849</v>
      </c>
      <c r="R445" s="106" t="str">
        <f>IF(mouvementmp[[#This Row],[QR Fabrication]]&lt;&gt;"",INDEX(_xlfn.TEXTSPLIT(mouvementmp[[#This Row],[QR Fabrication]],"_"),1,2),"")</f>
        <v>CL00884</v>
      </c>
      <c r="S445" s="47" t="str">
        <f>IF(mouvementmp[[#This Row],[QR Fabrication]]&lt;&gt;"",INDEX(_xlfn.TEXTSPLIT(mouvementmp[[#This Row],[QR Fabrication]],"_"),1,3),"")</f>
        <v>CM-FT0119</v>
      </c>
      <c r="T445" s="47" t="str">
        <f>IF(mouvementmp[[#This Row],[QR Fabrication]]&lt;&gt;"",INDEX(_xlfn.TEXTSPLIT(mouvementmp[[#This Row],[QR Fabrication]],"_"),1,4),"")</f>
        <v>ST1020-S20-24-17</v>
      </c>
      <c r="U445" s="47" t="str">
        <f>IF(mouvementmp[[#This Row],[QR Fabrication]]&lt;&gt;"",INDEX(_xlfn.TEXTSPLIT(mouvementmp[[#This Row],[QR Fabrication]],"_"),1,5),"")</f>
        <v>ST TROPEZ</v>
      </c>
      <c r="V445" s="47" t="str">
        <f>IF(mouvementmp[[#This Row],[QR Fabrication]]&lt;&gt;"",_xlfn.TEXTAFTER(mouvementmp[[#This Row],[QR Fabrication]],"_",5),"")</f>
        <v>1020</v>
      </c>
    </row>
    <row r="446" spans="1:22" ht="16.5" thickTop="1" thickBot="1" x14ac:dyDescent="0.3">
      <c r="A446" s="46" t="s">
        <v>2457</v>
      </c>
      <c r="B446" s="54" t="s">
        <v>3886</v>
      </c>
      <c r="C446" s="47" t="s">
        <v>668</v>
      </c>
      <c r="D446" s="47" t="s">
        <v>665</v>
      </c>
      <c r="E446" s="47" t="s">
        <v>669</v>
      </c>
      <c r="F446" s="48">
        <v>1.25</v>
      </c>
      <c r="G446" s="47"/>
      <c r="H446" s="47"/>
      <c r="I446" s="47" t="s">
        <v>664</v>
      </c>
      <c r="J446" s="49">
        <v>45934</v>
      </c>
      <c r="K446" s="47" t="str">
        <f>INDEX(_xlfn.TEXTSPLIT(mouvementmp[[#This Row],[QR MP]],"_"),1,1)</f>
        <v>C24</v>
      </c>
      <c r="L446" s="47" t="str">
        <f>INDEX(_xlfn.TEXTSPLIT(mouvementmp[[#This Row],[QR MP]],"_"),1,2)</f>
        <v>JAUNE SAFRAN</v>
      </c>
      <c r="M446" s="47" t="str">
        <f>INDEX(_xlfn.TEXTSPLIT(mouvementmp[[#This Row],[QR MP]],"_"),1,3)</f>
        <v>NM15-24.00</v>
      </c>
      <c r="N446" s="47" t="str">
        <f>INDEX(_xlfn.TEXTSPLIT(mouvementmp[[#This Row],[QR MP]],"_"),1,4)</f>
        <v>61554</v>
      </c>
      <c r="O446" s="47">
        <f>-mouvementmp[[#This Row],[Poids]]</f>
        <v>-1.25</v>
      </c>
      <c r="P446" s="47" t="str">
        <f>IF(
   COUNTIFS($A$2:A446,A446,
             $B$2:B446,B446,
             $C$2:C446,C446,
             $D$2:D446,D446,
             $E$2:E446,E446,
             $F$2:F446,F446,
              $J$2:J446,J446)&gt;1,
   "Doublon",
   "Correcte"
)</f>
        <v>Correcte</v>
      </c>
      <c r="Q446" s="106" t="str">
        <f>IF(mouvementmp[[#This Row],[QR Fabrication]]&lt;&gt;"",INDEX(_xlfn.TEXTSPLIT(mouvementmp[[#This Row],[QR Fabrication]],"_"),1,1),"")</f>
        <v>OF249849</v>
      </c>
      <c r="R446" s="106" t="str">
        <f>IF(mouvementmp[[#This Row],[QR Fabrication]]&lt;&gt;"",INDEX(_xlfn.TEXTSPLIT(mouvementmp[[#This Row],[QR Fabrication]],"_"),1,2),"")</f>
        <v>CL00884</v>
      </c>
      <c r="S446" s="47" t="str">
        <f>IF(mouvementmp[[#This Row],[QR Fabrication]]&lt;&gt;"",INDEX(_xlfn.TEXTSPLIT(mouvementmp[[#This Row],[QR Fabrication]],"_"),1,3),"")</f>
        <v>CM-FT0119</v>
      </c>
      <c r="T446" s="47" t="str">
        <f>IF(mouvementmp[[#This Row],[QR Fabrication]]&lt;&gt;"",INDEX(_xlfn.TEXTSPLIT(mouvementmp[[#This Row],[QR Fabrication]],"_"),1,4),"")</f>
        <v>ST1020-S20-24-17</v>
      </c>
      <c r="U446" s="47" t="str">
        <f>IF(mouvementmp[[#This Row],[QR Fabrication]]&lt;&gt;"",INDEX(_xlfn.TEXTSPLIT(mouvementmp[[#This Row],[QR Fabrication]],"_"),1,5),"")</f>
        <v>ST TROPEZ</v>
      </c>
      <c r="V446" s="47" t="str">
        <f>IF(mouvementmp[[#This Row],[QR Fabrication]]&lt;&gt;"",_xlfn.TEXTAFTER(mouvementmp[[#This Row],[QR Fabrication]],"_",5),"")</f>
        <v>1020</v>
      </c>
    </row>
    <row r="447" spans="1:22" ht="16.5" thickTop="1" thickBot="1" x14ac:dyDescent="0.3">
      <c r="A447" s="46" t="s">
        <v>2457</v>
      </c>
      <c r="B447" s="54" t="s">
        <v>3868</v>
      </c>
      <c r="C447" s="47" t="s">
        <v>668</v>
      </c>
      <c r="D447" s="47" t="s">
        <v>665</v>
      </c>
      <c r="E447" s="47" t="s">
        <v>669</v>
      </c>
      <c r="F447" s="48">
        <v>1.81</v>
      </c>
      <c r="G447" s="47"/>
      <c r="H447" s="47"/>
      <c r="I447" s="47" t="s">
        <v>664</v>
      </c>
      <c r="J447" s="49">
        <v>45934</v>
      </c>
      <c r="K447" s="47" t="str">
        <f>INDEX(_xlfn.TEXTSPLIT(mouvementmp[[#This Row],[QR MP]],"_"),1,1)</f>
        <v>C18</v>
      </c>
      <c r="L447" s="47" t="str">
        <f>INDEX(_xlfn.TEXTSPLIT(mouvementmp[[#This Row],[QR MP]],"_"),1,2)</f>
        <v xml:space="preserve">VERT D'EAU </v>
      </c>
      <c r="M447" s="47" t="str">
        <f>INDEX(_xlfn.TEXTSPLIT(mouvementmp[[#This Row],[QR MP]],"_"),1,3)</f>
        <v>NM15-18.00</v>
      </c>
      <c r="N447" s="47" t="str">
        <f>INDEX(_xlfn.TEXTSPLIT(mouvementmp[[#This Row],[QR MP]],"_"),1,4)</f>
        <v>61535</v>
      </c>
      <c r="O447" s="47">
        <f>-mouvementmp[[#This Row],[Poids]]</f>
        <v>-1.81</v>
      </c>
      <c r="P447" s="47" t="str">
        <f>IF(
   COUNTIFS($A$2:A447,A447,
             $B$2:B447,B447,
             $C$2:C447,C447,
             $D$2:D447,D447,
             $E$2:E447,E447,
             $F$2:F447,F447,
              $J$2:J447,J447)&gt;1,
   "Doublon",
   "Correcte"
)</f>
        <v>Correcte</v>
      </c>
      <c r="Q447" s="106" t="str">
        <f>IF(mouvementmp[[#This Row],[QR Fabrication]]&lt;&gt;"",INDEX(_xlfn.TEXTSPLIT(mouvementmp[[#This Row],[QR Fabrication]],"_"),1,1),"")</f>
        <v>OF249849</v>
      </c>
      <c r="R447" s="106" t="str">
        <f>IF(mouvementmp[[#This Row],[QR Fabrication]]&lt;&gt;"",INDEX(_xlfn.TEXTSPLIT(mouvementmp[[#This Row],[QR Fabrication]],"_"),1,2),"")</f>
        <v>CL00884</v>
      </c>
      <c r="S447" s="47" t="str">
        <f>IF(mouvementmp[[#This Row],[QR Fabrication]]&lt;&gt;"",INDEX(_xlfn.TEXTSPLIT(mouvementmp[[#This Row],[QR Fabrication]],"_"),1,3),"")</f>
        <v>CM-FT0119</v>
      </c>
      <c r="T447" s="47" t="str">
        <f>IF(mouvementmp[[#This Row],[QR Fabrication]]&lt;&gt;"",INDEX(_xlfn.TEXTSPLIT(mouvementmp[[#This Row],[QR Fabrication]],"_"),1,4),"")</f>
        <v>ST1020-S20-24-17</v>
      </c>
      <c r="U447" s="47" t="str">
        <f>IF(mouvementmp[[#This Row],[QR Fabrication]]&lt;&gt;"",INDEX(_xlfn.TEXTSPLIT(mouvementmp[[#This Row],[QR Fabrication]],"_"),1,5),"")</f>
        <v>ST TROPEZ</v>
      </c>
      <c r="V447" s="47" t="str">
        <f>IF(mouvementmp[[#This Row],[QR Fabrication]]&lt;&gt;"",_xlfn.TEXTAFTER(mouvementmp[[#This Row],[QR Fabrication]],"_",5),"")</f>
        <v>1020</v>
      </c>
    </row>
    <row r="448" spans="1:22" ht="16.5" thickTop="1" thickBot="1" x14ac:dyDescent="0.3">
      <c r="A448" s="46" t="s">
        <v>2457</v>
      </c>
      <c r="B448" s="54" t="s">
        <v>3884</v>
      </c>
      <c r="C448" s="47" t="s">
        <v>668</v>
      </c>
      <c r="D448" s="47" t="s">
        <v>665</v>
      </c>
      <c r="E448" s="47" t="s">
        <v>669</v>
      </c>
      <c r="F448" s="48">
        <v>2.15</v>
      </c>
      <c r="G448" s="47"/>
      <c r="H448" s="47"/>
      <c r="I448" s="47" t="s">
        <v>664</v>
      </c>
      <c r="J448" s="49">
        <v>45934</v>
      </c>
      <c r="K448" s="47" t="str">
        <f>INDEX(_xlfn.TEXTSPLIT(mouvementmp[[#This Row],[QR MP]],"_"),1,1)</f>
        <v>C23</v>
      </c>
      <c r="L448" s="47" t="str">
        <f>INDEX(_xlfn.TEXTSPLIT(mouvementmp[[#This Row],[QR MP]],"_"),1,2)</f>
        <v>OR</v>
      </c>
      <c r="M448" s="47" t="str">
        <f>INDEX(_xlfn.TEXTSPLIT(mouvementmp[[#This Row],[QR MP]],"_"),1,3)</f>
        <v>NM15-23.00</v>
      </c>
      <c r="N448" s="47" t="str">
        <f>INDEX(_xlfn.TEXTSPLIT(mouvementmp[[#This Row],[QR MP]],"_"),1,4)</f>
        <v>61566</v>
      </c>
      <c r="O448" s="47">
        <f>-mouvementmp[[#This Row],[Poids]]</f>
        <v>-2.15</v>
      </c>
      <c r="P448" s="47" t="str">
        <f>IF(
   COUNTIFS($A$2:A448,A448,
             $B$2:B448,B448,
             $C$2:C448,C448,
             $D$2:D448,D448,
             $E$2:E448,E448,
             $F$2:F448,F448,
              $J$2:J448,J448)&gt;1,
   "Doublon",
   "Correcte"
)</f>
        <v>Correcte</v>
      </c>
      <c r="Q448" s="106" t="str">
        <f>IF(mouvementmp[[#This Row],[QR Fabrication]]&lt;&gt;"",INDEX(_xlfn.TEXTSPLIT(mouvementmp[[#This Row],[QR Fabrication]],"_"),1,1),"")</f>
        <v>OF249849</v>
      </c>
      <c r="R448" s="106" t="str">
        <f>IF(mouvementmp[[#This Row],[QR Fabrication]]&lt;&gt;"",INDEX(_xlfn.TEXTSPLIT(mouvementmp[[#This Row],[QR Fabrication]],"_"),1,2),"")</f>
        <v>CL00884</v>
      </c>
      <c r="S448" s="47" t="str">
        <f>IF(mouvementmp[[#This Row],[QR Fabrication]]&lt;&gt;"",INDEX(_xlfn.TEXTSPLIT(mouvementmp[[#This Row],[QR Fabrication]],"_"),1,3),"")</f>
        <v>CM-FT0119</v>
      </c>
      <c r="T448" s="47" t="str">
        <f>IF(mouvementmp[[#This Row],[QR Fabrication]]&lt;&gt;"",INDEX(_xlfn.TEXTSPLIT(mouvementmp[[#This Row],[QR Fabrication]],"_"),1,4),"")</f>
        <v>ST1020-S20-24-17</v>
      </c>
      <c r="U448" s="47" t="str">
        <f>IF(mouvementmp[[#This Row],[QR Fabrication]]&lt;&gt;"",INDEX(_xlfn.TEXTSPLIT(mouvementmp[[#This Row],[QR Fabrication]],"_"),1,5),"")</f>
        <v>ST TROPEZ</v>
      </c>
      <c r="V448" s="47" t="str">
        <f>IF(mouvementmp[[#This Row],[QR Fabrication]]&lt;&gt;"",_xlfn.TEXTAFTER(mouvementmp[[#This Row],[QR Fabrication]],"_",5),"")</f>
        <v>1020</v>
      </c>
    </row>
    <row r="449" spans="1:22" ht="16.5" thickTop="1" thickBot="1" x14ac:dyDescent="0.3">
      <c r="A449" s="46" t="s">
        <v>2457</v>
      </c>
      <c r="B449" s="54" t="s">
        <v>3923</v>
      </c>
      <c r="C449" s="47" t="s">
        <v>668</v>
      </c>
      <c r="D449" s="47" t="s">
        <v>665</v>
      </c>
      <c r="E449" s="47" t="s">
        <v>669</v>
      </c>
      <c r="F449" s="48">
        <v>1.95</v>
      </c>
      <c r="G449" s="47"/>
      <c r="H449" s="47"/>
      <c r="I449" s="47" t="s">
        <v>664</v>
      </c>
      <c r="J449" s="49">
        <v>45934</v>
      </c>
      <c r="K449" s="47" t="str">
        <f>INDEX(_xlfn.TEXTSPLIT(mouvementmp[[#This Row],[QR MP]],"_"),1,1)</f>
        <v>C16</v>
      </c>
      <c r="L449" s="47" t="str">
        <f>INDEX(_xlfn.TEXTSPLIT(mouvementmp[[#This Row],[QR MP]],"_"),1,2)</f>
        <v>BLEU CIEL</v>
      </c>
      <c r="M449" s="47" t="str">
        <f>INDEX(_xlfn.TEXTSPLIT(mouvementmp[[#This Row],[QR MP]],"_"),1,3)</f>
        <v>NM15-16.00</v>
      </c>
      <c r="N449" s="47" t="str">
        <f>INDEX(_xlfn.TEXTSPLIT(mouvementmp[[#This Row],[QR MP]],"_"),1,4)</f>
        <v>61532</v>
      </c>
      <c r="O449" s="47">
        <f>-mouvementmp[[#This Row],[Poids]]</f>
        <v>-1.95</v>
      </c>
      <c r="P449" s="47" t="str">
        <f>IF(
   COUNTIFS($A$2:A449,A449,
             $B$2:B449,B449,
             $C$2:C449,C449,
             $D$2:D449,D449,
             $E$2:E449,E449,
             $F$2:F449,F449,
              $J$2:J449,J449)&gt;1,
   "Doublon",
   "Correcte"
)</f>
        <v>Correcte</v>
      </c>
      <c r="Q449" s="106" t="str">
        <f>IF(mouvementmp[[#This Row],[QR Fabrication]]&lt;&gt;"",INDEX(_xlfn.TEXTSPLIT(mouvementmp[[#This Row],[QR Fabrication]],"_"),1,1),"")</f>
        <v>OF249849</v>
      </c>
      <c r="R449" s="106" t="str">
        <f>IF(mouvementmp[[#This Row],[QR Fabrication]]&lt;&gt;"",INDEX(_xlfn.TEXTSPLIT(mouvementmp[[#This Row],[QR Fabrication]],"_"),1,2),"")</f>
        <v>CL00884</v>
      </c>
      <c r="S449" s="47" t="str">
        <f>IF(mouvementmp[[#This Row],[QR Fabrication]]&lt;&gt;"",INDEX(_xlfn.TEXTSPLIT(mouvementmp[[#This Row],[QR Fabrication]],"_"),1,3),"")</f>
        <v>CM-FT0119</v>
      </c>
      <c r="T449" s="47" t="str">
        <f>IF(mouvementmp[[#This Row],[QR Fabrication]]&lt;&gt;"",INDEX(_xlfn.TEXTSPLIT(mouvementmp[[#This Row],[QR Fabrication]],"_"),1,4),"")</f>
        <v>ST1020-S20-24-17</v>
      </c>
      <c r="U449" s="47" t="str">
        <f>IF(mouvementmp[[#This Row],[QR Fabrication]]&lt;&gt;"",INDEX(_xlfn.TEXTSPLIT(mouvementmp[[#This Row],[QR Fabrication]],"_"),1,5),"")</f>
        <v>ST TROPEZ</v>
      </c>
      <c r="V449" s="47" t="str">
        <f>IF(mouvementmp[[#This Row],[QR Fabrication]]&lt;&gt;"",_xlfn.TEXTAFTER(mouvementmp[[#This Row],[QR Fabrication]],"_",5),"")</f>
        <v>1020</v>
      </c>
    </row>
    <row r="450" spans="1:22" ht="16.5" thickTop="1" thickBot="1" x14ac:dyDescent="0.3">
      <c r="A450" s="46" t="s">
        <v>2457</v>
      </c>
      <c r="B450" s="54" t="s">
        <v>3881</v>
      </c>
      <c r="C450" s="47" t="s">
        <v>668</v>
      </c>
      <c r="D450" s="47" t="s">
        <v>665</v>
      </c>
      <c r="E450" s="47" t="s">
        <v>669</v>
      </c>
      <c r="F450" s="48">
        <v>1.1499999999999999</v>
      </c>
      <c r="G450" s="47"/>
      <c r="H450" s="47"/>
      <c r="I450" s="47" t="s">
        <v>664</v>
      </c>
      <c r="J450" s="49">
        <v>45934</v>
      </c>
      <c r="K450" s="47" t="str">
        <f>INDEX(_xlfn.TEXTSPLIT(mouvementmp[[#This Row],[QR MP]],"_"),1,1)</f>
        <v>C22</v>
      </c>
      <c r="L450" s="47" t="str">
        <f>INDEX(_xlfn.TEXTSPLIT(mouvementmp[[#This Row],[QR MP]],"_"),1,2)</f>
        <v>JAUNE FLUO</v>
      </c>
      <c r="M450" s="47" t="str">
        <f>INDEX(_xlfn.TEXTSPLIT(mouvementmp[[#This Row],[QR MP]],"_"),1,3)</f>
        <v>NM15-22.00</v>
      </c>
      <c r="N450" s="47" t="str">
        <f>INDEX(_xlfn.TEXTSPLIT(mouvementmp[[#This Row],[QR MP]],"_"),1,4)</f>
        <v>61540</v>
      </c>
      <c r="O450" s="47">
        <f>-mouvementmp[[#This Row],[Poids]]</f>
        <v>-1.1499999999999999</v>
      </c>
      <c r="P450" s="47" t="str">
        <f>IF(
   COUNTIFS($A$2:A450,A450,
             $B$2:B450,B450,
             $C$2:C450,C450,
             $D$2:D450,D450,
             $E$2:E450,E450,
             $F$2:F450,F450,
              $J$2:J450,J450)&gt;1,
   "Doublon",
   "Correcte"
)</f>
        <v>Correcte</v>
      </c>
      <c r="Q450" s="106" t="str">
        <f>IF(mouvementmp[[#This Row],[QR Fabrication]]&lt;&gt;"",INDEX(_xlfn.TEXTSPLIT(mouvementmp[[#This Row],[QR Fabrication]],"_"),1,1),"")</f>
        <v>OF249849</v>
      </c>
      <c r="R450" s="106" t="str">
        <f>IF(mouvementmp[[#This Row],[QR Fabrication]]&lt;&gt;"",INDEX(_xlfn.TEXTSPLIT(mouvementmp[[#This Row],[QR Fabrication]],"_"),1,2),"")</f>
        <v>CL00884</v>
      </c>
      <c r="S450" s="47" t="str">
        <f>IF(mouvementmp[[#This Row],[QR Fabrication]]&lt;&gt;"",INDEX(_xlfn.TEXTSPLIT(mouvementmp[[#This Row],[QR Fabrication]],"_"),1,3),"")</f>
        <v>CM-FT0119</v>
      </c>
      <c r="T450" s="47" t="str">
        <f>IF(mouvementmp[[#This Row],[QR Fabrication]]&lt;&gt;"",INDEX(_xlfn.TEXTSPLIT(mouvementmp[[#This Row],[QR Fabrication]],"_"),1,4),"")</f>
        <v>ST1020-S20-24-17</v>
      </c>
      <c r="U450" s="47" t="str">
        <f>IF(mouvementmp[[#This Row],[QR Fabrication]]&lt;&gt;"",INDEX(_xlfn.TEXTSPLIT(mouvementmp[[#This Row],[QR Fabrication]],"_"),1,5),"")</f>
        <v>ST TROPEZ</v>
      </c>
      <c r="V450" s="47" t="str">
        <f>IF(mouvementmp[[#This Row],[QR Fabrication]]&lt;&gt;"",_xlfn.TEXTAFTER(mouvementmp[[#This Row],[QR Fabrication]],"_",5),"")</f>
        <v>1020</v>
      </c>
    </row>
    <row r="451" spans="1:22" ht="16.5" thickTop="1" thickBot="1" x14ac:dyDescent="0.3">
      <c r="A451" s="46" t="s">
        <v>2491</v>
      </c>
      <c r="B451" s="54" t="s">
        <v>3858</v>
      </c>
      <c r="C451" s="47" t="s">
        <v>668</v>
      </c>
      <c r="D451" s="47" t="s">
        <v>665</v>
      </c>
      <c r="E451" s="47" t="s">
        <v>669</v>
      </c>
      <c r="F451" s="48">
        <v>0.75</v>
      </c>
      <c r="G451" s="47"/>
      <c r="H451" s="47"/>
      <c r="I451" s="47" t="s">
        <v>664</v>
      </c>
      <c r="J451" s="49">
        <v>45934</v>
      </c>
      <c r="K451" s="47" t="str">
        <f>INDEX(_xlfn.TEXTSPLIT(mouvementmp[[#This Row],[QR MP]],"_"),1,1)</f>
        <v>C14</v>
      </c>
      <c r="L451" s="47" t="str">
        <f>INDEX(_xlfn.TEXTSPLIT(mouvementmp[[#This Row],[QR MP]],"_"),1,2)</f>
        <v>BLEU TURQUOISE</v>
      </c>
      <c r="M451" s="47" t="str">
        <f>INDEX(_xlfn.TEXTSPLIT(mouvementmp[[#This Row],[QR MP]],"_"),1,3)</f>
        <v>NM15-14.00</v>
      </c>
      <c r="N451" s="47" t="str">
        <f>INDEX(_xlfn.TEXTSPLIT(mouvementmp[[#This Row],[QR MP]],"_"),1,4)</f>
        <v>61597</v>
      </c>
      <c r="O451" s="47">
        <f>-mouvementmp[[#This Row],[Poids]]</f>
        <v>-0.75</v>
      </c>
      <c r="P451" s="47" t="str">
        <f>IF(
   COUNTIFS($A$2:A451,A451,
             $B$2:B451,B451,
             $C$2:C451,C451,
             $D$2:D451,D451,
             $E$2:E451,E451,
             $F$2:F451,F451,
              $J$2:J451,J451)&gt;1,
   "Doublon",
   "Correcte"
)</f>
        <v>Correcte</v>
      </c>
      <c r="Q451" s="106" t="str">
        <f>IF(mouvementmp[[#This Row],[QR Fabrication]]&lt;&gt;"",INDEX(_xlfn.TEXTSPLIT(mouvementmp[[#This Row],[QR Fabrication]],"_"),1,1),"")</f>
        <v>OF249946</v>
      </c>
      <c r="R451" s="106" t="str">
        <f>IF(mouvementmp[[#This Row],[QR Fabrication]]&lt;&gt;"",INDEX(_xlfn.TEXTSPLIT(mouvementmp[[#This Row],[QR Fabrication]],"_"),1,2),"")</f>
        <v>CL00884</v>
      </c>
      <c r="S451" s="47" t="str">
        <f>IF(mouvementmp[[#This Row],[QR Fabrication]]&lt;&gt;"",INDEX(_xlfn.TEXTSPLIT(mouvementmp[[#This Row],[QR Fabrication]],"_"),1,3),"")</f>
        <v>CM-FT0120</v>
      </c>
      <c r="T451" s="47" t="str">
        <f>IF(mouvementmp[[#This Row],[QR Fabrication]]&lt;&gt;"",INDEX(_xlfn.TEXTSPLIT(mouvementmp[[#This Row],[QR Fabrication]],"_"),1,4),"")</f>
        <v>ST1020-S14-16-17</v>
      </c>
      <c r="U451" s="47" t="str">
        <f>IF(mouvementmp[[#This Row],[QR Fabrication]]&lt;&gt;"",INDEX(_xlfn.TEXTSPLIT(mouvementmp[[#This Row],[QR Fabrication]],"_"),1,5),"")</f>
        <v>ST TROPEZ</v>
      </c>
      <c r="V451" s="47" t="str">
        <f>IF(mouvementmp[[#This Row],[QR Fabrication]]&lt;&gt;"",_xlfn.TEXTAFTER(mouvementmp[[#This Row],[QR Fabrication]],"_",5),"")</f>
        <v>1020</v>
      </c>
    </row>
    <row r="452" spans="1:22" ht="16.5" thickTop="1" thickBot="1" x14ac:dyDescent="0.3">
      <c r="A452" s="46" t="s">
        <v>2491</v>
      </c>
      <c r="B452" s="54" t="s">
        <v>3923</v>
      </c>
      <c r="C452" s="47" t="s">
        <v>668</v>
      </c>
      <c r="D452" s="47" t="s">
        <v>665</v>
      </c>
      <c r="E452" s="47" t="s">
        <v>669</v>
      </c>
      <c r="F452" s="48">
        <v>0.95</v>
      </c>
      <c r="G452" s="47"/>
      <c r="H452" s="47"/>
      <c r="I452" s="47" t="s">
        <v>664</v>
      </c>
      <c r="J452" s="49">
        <v>45934</v>
      </c>
      <c r="K452" s="47" t="str">
        <f>INDEX(_xlfn.TEXTSPLIT(mouvementmp[[#This Row],[QR MP]],"_"),1,1)</f>
        <v>C16</v>
      </c>
      <c r="L452" s="47" t="str">
        <f>INDEX(_xlfn.TEXTSPLIT(mouvementmp[[#This Row],[QR MP]],"_"),1,2)</f>
        <v>BLEU CIEL</v>
      </c>
      <c r="M452" s="47" t="str">
        <f>INDEX(_xlfn.TEXTSPLIT(mouvementmp[[#This Row],[QR MP]],"_"),1,3)</f>
        <v>NM15-16.00</v>
      </c>
      <c r="N452" s="47" t="str">
        <f>INDEX(_xlfn.TEXTSPLIT(mouvementmp[[#This Row],[QR MP]],"_"),1,4)</f>
        <v>61532</v>
      </c>
      <c r="O452" s="47">
        <f>-mouvementmp[[#This Row],[Poids]]</f>
        <v>-0.95</v>
      </c>
      <c r="P452" s="47" t="str">
        <f>IF(
   COUNTIFS($A$2:A452,A452,
             $B$2:B452,B452,
             $C$2:C452,C452,
             $D$2:D452,D452,
             $E$2:E452,E452,
             $F$2:F452,F452,
              $J$2:J452,J452)&gt;1,
   "Doublon",
   "Correcte"
)</f>
        <v>Correcte</v>
      </c>
      <c r="Q452" s="106" t="str">
        <f>IF(mouvementmp[[#This Row],[QR Fabrication]]&lt;&gt;"",INDEX(_xlfn.TEXTSPLIT(mouvementmp[[#This Row],[QR Fabrication]],"_"),1,1),"")</f>
        <v>OF249946</v>
      </c>
      <c r="R452" s="106" t="str">
        <f>IF(mouvementmp[[#This Row],[QR Fabrication]]&lt;&gt;"",INDEX(_xlfn.TEXTSPLIT(mouvementmp[[#This Row],[QR Fabrication]],"_"),1,2),"")</f>
        <v>CL00884</v>
      </c>
      <c r="S452" s="47" t="str">
        <f>IF(mouvementmp[[#This Row],[QR Fabrication]]&lt;&gt;"",INDEX(_xlfn.TEXTSPLIT(mouvementmp[[#This Row],[QR Fabrication]],"_"),1,3),"")</f>
        <v>CM-FT0120</v>
      </c>
      <c r="T452" s="47" t="str">
        <f>IF(mouvementmp[[#This Row],[QR Fabrication]]&lt;&gt;"",INDEX(_xlfn.TEXTSPLIT(mouvementmp[[#This Row],[QR Fabrication]],"_"),1,4),"")</f>
        <v>ST1020-S14-16-17</v>
      </c>
      <c r="U452" s="47" t="str">
        <f>IF(mouvementmp[[#This Row],[QR Fabrication]]&lt;&gt;"",INDEX(_xlfn.TEXTSPLIT(mouvementmp[[#This Row],[QR Fabrication]],"_"),1,5),"")</f>
        <v>ST TROPEZ</v>
      </c>
      <c r="V452" s="47" t="str">
        <f>IF(mouvementmp[[#This Row],[QR Fabrication]]&lt;&gt;"",_xlfn.TEXTAFTER(mouvementmp[[#This Row],[QR Fabrication]],"_",5),"")</f>
        <v>1020</v>
      </c>
    </row>
    <row r="453" spans="1:22" ht="16.5" thickTop="1" thickBot="1" x14ac:dyDescent="0.3">
      <c r="A453" s="46" t="s">
        <v>2491</v>
      </c>
      <c r="B453" s="54" t="s">
        <v>3927</v>
      </c>
      <c r="C453" s="47" t="s">
        <v>668</v>
      </c>
      <c r="D453" s="47" t="s">
        <v>665</v>
      </c>
      <c r="E453" s="47" t="s">
        <v>669</v>
      </c>
      <c r="F453" s="48">
        <v>1.1499999999999999</v>
      </c>
      <c r="G453" s="47"/>
      <c r="H453" s="47"/>
      <c r="I453" s="47" t="s">
        <v>664</v>
      </c>
      <c r="J453" s="49">
        <v>45934</v>
      </c>
      <c r="K453" s="47" t="str">
        <f>INDEX(_xlfn.TEXTSPLIT(mouvementmp[[#This Row],[QR MP]],"_"),1,1)</f>
        <v>C18</v>
      </c>
      <c r="L453" s="47" t="str">
        <f>INDEX(_xlfn.TEXTSPLIT(mouvementmp[[#This Row],[QR MP]],"_"),1,2)</f>
        <v>VERT D'EAU CLAIR</v>
      </c>
      <c r="M453" s="47" t="str">
        <f>INDEX(_xlfn.TEXTSPLIT(mouvementmp[[#This Row],[QR MP]],"_"),1,3)</f>
        <v>NM15-18.01</v>
      </c>
      <c r="N453" s="47" t="str">
        <f>INDEX(_xlfn.TEXTSPLIT(mouvementmp[[#This Row],[QR MP]],"_"),1,4)</f>
        <v>S2023</v>
      </c>
      <c r="O453" s="47">
        <f>-mouvementmp[[#This Row],[Poids]]</f>
        <v>-1.1499999999999999</v>
      </c>
      <c r="P453" s="47" t="str">
        <f>IF(
   COUNTIFS($A$2:A453,A453,
             $B$2:B453,B453,
             $C$2:C453,C453,
             $D$2:D453,D453,
             $E$2:E453,E453,
             $F$2:F453,F453,
              $J$2:J453,J453)&gt;1,
   "Doublon",
   "Correcte"
)</f>
        <v>Correcte</v>
      </c>
      <c r="Q453" s="106" t="str">
        <f>IF(mouvementmp[[#This Row],[QR Fabrication]]&lt;&gt;"",INDEX(_xlfn.TEXTSPLIT(mouvementmp[[#This Row],[QR Fabrication]],"_"),1,1),"")</f>
        <v>OF249946</v>
      </c>
      <c r="R453" s="106" t="str">
        <f>IF(mouvementmp[[#This Row],[QR Fabrication]]&lt;&gt;"",INDEX(_xlfn.TEXTSPLIT(mouvementmp[[#This Row],[QR Fabrication]],"_"),1,2),"")</f>
        <v>CL00884</v>
      </c>
      <c r="S453" s="47" t="str">
        <f>IF(mouvementmp[[#This Row],[QR Fabrication]]&lt;&gt;"",INDEX(_xlfn.TEXTSPLIT(mouvementmp[[#This Row],[QR Fabrication]],"_"),1,3),"")</f>
        <v>CM-FT0120</v>
      </c>
      <c r="T453" s="47" t="str">
        <f>IF(mouvementmp[[#This Row],[QR Fabrication]]&lt;&gt;"",INDEX(_xlfn.TEXTSPLIT(mouvementmp[[#This Row],[QR Fabrication]],"_"),1,4),"")</f>
        <v>ST1020-S14-16-17</v>
      </c>
      <c r="U453" s="47" t="str">
        <f>IF(mouvementmp[[#This Row],[QR Fabrication]]&lt;&gt;"",INDEX(_xlfn.TEXTSPLIT(mouvementmp[[#This Row],[QR Fabrication]],"_"),1,5),"")</f>
        <v>ST TROPEZ</v>
      </c>
      <c r="V453" s="47" t="str">
        <f>IF(mouvementmp[[#This Row],[QR Fabrication]]&lt;&gt;"",_xlfn.TEXTAFTER(mouvementmp[[#This Row],[QR Fabrication]],"_",5),"")</f>
        <v>1020</v>
      </c>
    </row>
    <row r="454" spans="1:22" ht="16.5" thickTop="1" thickBot="1" x14ac:dyDescent="0.3">
      <c r="A454" s="46" t="s">
        <v>2491</v>
      </c>
      <c r="B454" s="54" t="s">
        <v>3881</v>
      </c>
      <c r="C454" s="47" t="s">
        <v>668</v>
      </c>
      <c r="D454" s="47" t="s">
        <v>665</v>
      </c>
      <c r="E454" s="47" t="s">
        <v>669</v>
      </c>
      <c r="F454" s="48">
        <v>0.55000000000000004</v>
      </c>
      <c r="G454" s="47"/>
      <c r="H454" s="47"/>
      <c r="I454" s="47" t="s">
        <v>664</v>
      </c>
      <c r="J454" s="49">
        <v>45934</v>
      </c>
      <c r="K454" s="47" t="str">
        <f>INDEX(_xlfn.TEXTSPLIT(mouvementmp[[#This Row],[QR MP]],"_"),1,1)</f>
        <v>C22</v>
      </c>
      <c r="L454" s="47" t="str">
        <f>INDEX(_xlfn.TEXTSPLIT(mouvementmp[[#This Row],[QR MP]],"_"),1,2)</f>
        <v>JAUNE FLUO</v>
      </c>
      <c r="M454" s="47" t="str">
        <f>INDEX(_xlfn.TEXTSPLIT(mouvementmp[[#This Row],[QR MP]],"_"),1,3)</f>
        <v>NM15-22.00</v>
      </c>
      <c r="N454" s="47" t="str">
        <f>INDEX(_xlfn.TEXTSPLIT(mouvementmp[[#This Row],[QR MP]],"_"),1,4)</f>
        <v>61540</v>
      </c>
      <c r="O454" s="47">
        <f>-mouvementmp[[#This Row],[Poids]]</f>
        <v>-0.55000000000000004</v>
      </c>
      <c r="P454" s="47" t="str">
        <f>IF(
   COUNTIFS($A$2:A454,A454,
             $B$2:B454,B454,
             $C$2:C454,C454,
             $D$2:D454,D454,
             $E$2:E454,E454,
             $F$2:F454,F454,
              $J$2:J454,J454)&gt;1,
   "Doublon",
   "Correcte"
)</f>
        <v>Correcte</v>
      </c>
      <c r="Q454" s="106" t="str">
        <f>IF(mouvementmp[[#This Row],[QR Fabrication]]&lt;&gt;"",INDEX(_xlfn.TEXTSPLIT(mouvementmp[[#This Row],[QR Fabrication]],"_"),1,1),"")</f>
        <v>OF249946</v>
      </c>
      <c r="R454" s="106" t="str">
        <f>IF(mouvementmp[[#This Row],[QR Fabrication]]&lt;&gt;"",INDEX(_xlfn.TEXTSPLIT(mouvementmp[[#This Row],[QR Fabrication]],"_"),1,2),"")</f>
        <v>CL00884</v>
      </c>
      <c r="S454" s="47" t="str">
        <f>IF(mouvementmp[[#This Row],[QR Fabrication]]&lt;&gt;"",INDEX(_xlfn.TEXTSPLIT(mouvementmp[[#This Row],[QR Fabrication]],"_"),1,3),"")</f>
        <v>CM-FT0120</v>
      </c>
      <c r="T454" s="47" t="str">
        <f>IF(mouvementmp[[#This Row],[QR Fabrication]]&lt;&gt;"",INDEX(_xlfn.TEXTSPLIT(mouvementmp[[#This Row],[QR Fabrication]],"_"),1,4),"")</f>
        <v>ST1020-S14-16-17</v>
      </c>
      <c r="U454" s="47" t="str">
        <f>IF(mouvementmp[[#This Row],[QR Fabrication]]&lt;&gt;"",INDEX(_xlfn.TEXTSPLIT(mouvementmp[[#This Row],[QR Fabrication]],"_"),1,5),"")</f>
        <v>ST TROPEZ</v>
      </c>
      <c r="V454" s="47" t="str">
        <f>IF(mouvementmp[[#This Row],[QR Fabrication]]&lt;&gt;"",_xlfn.TEXTAFTER(mouvementmp[[#This Row],[QR Fabrication]],"_",5),"")</f>
        <v>1020</v>
      </c>
    </row>
    <row r="455" spans="1:22" ht="16.5" thickTop="1" thickBot="1" x14ac:dyDescent="0.3">
      <c r="A455" s="46" t="s">
        <v>2491</v>
      </c>
      <c r="B455" s="54" t="s">
        <v>3884</v>
      </c>
      <c r="C455" s="47" t="s">
        <v>668</v>
      </c>
      <c r="D455" s="47" t="s">
        <v>665</v>
      </c>
      <c r="E455" s="47" t="s">
        <v>669</v>
      </c>
      <c r="F455" s="48">
        <v>1.85</v>
      </c>
      <c r="G455" s="47"/>
      <c r="H455" s="47"/>
      <c r="I455" s="47" t="s">
        <v>664</v>
      </c>
      <c r="J455" s="49">
        <v>45934</v>
      </c>
      <c r="K455" s="47" t="str">
        <f>INDEX(_xlfn.TEXTSPLIT(mouvementmp[[#This Row],[QR MP]],"_"),1,1)</f>
        <v>C23</v>
      </c>
      <c r="L455" s="47" t="str">
        <f>INDEX(_xlfn.TEXTSPLIT(mouvementmp[[#This Row],[QR MP]],"_"),1,2)</f>
        <v>OR</v>
      </c>
      <c r="M455" s="47" t="str">
        <f>INDEX(_xlfn.TEXTSPLIT(mouvementmp[[#This Row],[QR MP]],"_"),1,3)</f>
        <v>NM15-23.00</v>
      </c>
      <c r="N455" s="47" t="str">
        <f>INDEX(_xlfn.TEXTSPLIT(mouvementmp[[#This Row],[QR MP]],"_"),1,4)</f>
        <v>61566</v>
      </c>
      <c r="O455" s="47">
        <f>-mouvementmp[[#This Row],[Poids]]</f>
        <v>-1.85</v>
      </c>
      <c r="P455" s="47" t="str">
        <f>IF(
   COUNTIFS($A$2:A455,A455,
             $B$2:B455,B455,
             $C$2:C455,C455,
             $D$2:D455,D455,
             $E$2:E455,E455,
             $F$2:F455,F455,
              $J$2:J455,J455)&gt;1,
   "Doublon",
   "Correcte"
)</f>
        <v>Correcte</v>
      </c>
      <c r="Q455" s="106" t="str">
        <f>IF(mouvementmp[[#This Row],[QR Fabrication]]&lt;&gt;"",INDEX(_xlfn.TEXTSPLIT(mouvementmp[[#This Row],[QR Fabrication]],"_"),1,1),"")</f>
        <v>OF249946</v>
      </c>
      <c r="R455" s="106" t="str">
        <f>IF(mouvementmp[[#This Row],[QR Fabrication]]&lt;&gt;"",INDEX(_xlfn.TEXTSPLIT(mouvementmp[[#This Row],[QR Fabrication]],"_"),1,2),"")</f>
        <v>CL00884</v>
      </c>
      <c r="S455" s="47" t="str">
        <f>IF(mouvementmp[[#This Row],[QR Fabrication]]&lt;&gt;"",INDEX(_xlfn.TEXTSPLIT(mouvementmp[[#This Row],[QR Fabrication]],"_"),1,3),"")</f>
        <v>CM-FT0120</v>
      </c>
      <c r="T455" s="47" t="str">
        <f>IF(mouvementmp[[#This Row],[QR Fabrication]]&lt;&gt;"",INDEX(_xlfn.TEXTSPLIT(mouvementmp[[#This Row],[QR Fabrication]],"_"),1,4),"")</f>
        <v>ST1020-S14-16-17</v>
      </c>
      <c r="U455" s="47" t="str">
        <f>IF(mouvementmp[[#This Row],[QR Fabrication]]&lt;&gt;"",INDEX(_xlfn.TEXTSPLIT(mouvementmp[[#This Row],[QR Fabrication]],"_"),1,5),"")</f>
        <v>ST TROPEZ</v>
      </c>
      <c r="V455" s="47" t="str">
        <f>IF(mouvementmp[[#This Row],[QR Fabrication]]&lt;&gt;"",_xlfn.TEXTAFTER(mouvementmp[[#This Row],[QR Fabrication]],"_",5),"")</f>
        <v>1020</v>
      </c>
    </row>
    <row r="456" spans="1:22" ht="16.5" thickTop="1" thickBot="1" x14ac:dyDescent="0.3">
      <c r="A456" s="46" t="s">
        <v>2491</v>
      </c>
      <c r="B456" s="54" t="s">
        <v>3898</v>
      </c>
      <c r="C456" s="47" t="s">
        <v>668</v>
      </c>
      <c r="D456" s="47" t="s">
        <v>665</v>
      </c>
      <c r="E456" s="47" t="s">
        <v>669</v>
      </c>
      <c r="F456" s="48">
        <v>0.5</v>
      </c>
      <c r="G456" s="47"/>
      <c r="H456" s="47"/>
      <c r="I456" s="47" t="s">
        <v>664</v>
      </c>
      <c r="J456" s="49">
        <v>45934</v>
      </c>
      <c r="K456" s="47" t="str">
        <f>INDEX(_xlfn.TEXTSPLIT(mouvementmp[[#This Row],[QR MP]],"_"),1,1)</f>
        <v>C29</v>
      </c>
      <c r="L456" s="47" t="str">
        <f>INDEX(_xlfn.TEXTSPLIT(mouvementmp[[#This Row],[QR MP]],"_"),1,2)</f>
        <v>FUSHIA</v>
      </c>
      <c r="M456" s="47" t="str">
        <f>INDEX(_xlfn.TEXTSPLIT(mouvementmp[[#This Row],[QR MP]],"_"),1,3)</f>
        <v>NM15-29.00</v>
      </c>
      <c r="N456" s="47" t="str">
        <f>INDEX(_xlfn.TEXTSPLIT(mouvementmp[[#This Row],[QR MP]],"_"),1,4)</f>
        <v>61549</v>
      </c>
      <c r="O456" s="47">
        <f>-mouvementmp[[#This Row],[Poids]]</f>
        <v>-0.5</v>
      </c>
      <c r="P456" s="47" t="str">
        <f>IF(
   COUNTIFS($A$2:A456,A456,
             $B$2:B456,B456,
             $C$2:C456,C456,
             $D$2:D456,D456,
             $E$2:E456,E456,
             $F$2:F456,F456,
              $J$2:J456,J456)&gt;1,
   "Doublon",
   "Correcte"
)</f>
        <v>Correcte</v>
      </c>
      <c r="Q456" s="106" t="str">
        <f>IF(mouvementmp[[#This Row],[QR Fabrication]]&lt;&gt;"",INDEX(_xlfn.TEXTSPLIT(mouvementmp[[#This Row],[QR Fabrication]],"_"),1,1),"")</f>
        <v>OF249946</v>
      </c>
      <c r="R456" s="106" t="str">
        <f>IF(mouvementmp[[#This Row],[QR Fabrication]]&lt;&gt;"",INDEX(_xlfn.TEXTSPLIT(mouvementmp[[#This Row],[QR Fabrication]],"_"),1,2),"")</f>
        <v>CL00884</v>
      </c>
      <c r="S456" s="47" t="str">
        <f>IF(mouvementmp[[#This Row],[QR Fabrication]]&lt;&gt;"",INDEX(_xlfn.TEXTSPLIT(mouvementmp[[#This Row],[QR Fabrication]],"_"),1,3),"")</f>
        <v>CM-FT0120</v>
      </c>
      <c r="T456" s="47" t="str">
        <f>IF(mouvementmp[[#This Row],[QR Fabrication]]&lt;&gt;"",INDEX(_xlfn.TEXTSPLIT(mouvementmp[[#This Row],[QR Fabrication]],"_"),1,4),"")</f>
        <v>ST1020-S14-16-17</v>
      </c>
      <c r="U456" s="47" t="str">
        <f>IF(mouvementmp[[#This Row],[QR Fabrication]]&lt;&gt;"",INDEX(_xlfn.TEXTSPLIT(mouvementmp[[#This Row],[QR Fabrication]],"_"),1,5),"")</f>
        <v>ST TROPEZ</v>
      </c>
      <c r="V456" s="47" t="str">
        <f>IF(mouvementmp[[#This Row],[QR Fabrication]]&lt;&gt;"",_xlfn.TEXTAFTER(mouvementmp[[#This Row],[QR Fabrication]],"_",5),"")</f>
        <v>1020</v>
      </c>
    </row>
    <row r="457" spans="1:22" ht="16.5" thickTop="1" thickBot="1" x14ac:dyDescent="0.3">
      <c r="A457" s="46"/>
      <c r="B457" s="54" t="s">
        <v>3910</v>
      </c>
      <c r="C457" s="47" t="s">
        <v>676</v>
      </c>
      <c r="D457" s="47" t="s">
        <v>665</v>
      </c>
      <c r="E457" s="47" t="s">
        <v>677</v>
      </c>
      <c r="F457" s="48">
        <v>115</v>
      </c>
      <c r="G457" s="47"/>
      <c r="H457" s="47"/>
      <c r="I457" s="47" t="s">
        <v>664</v>
      </c>
      <c r="J457" s="49">
        <v>45936</v>
      </c>
      <c r="K457" s="47" t="str">
        <f>INDEX(_xlfn.TEXTSPLIT(mouvementmp[[#This Row],[QR MP]],"_"),1,1)</f>
        <v>CH</v>
      </c>
      <c r="L457" s="47" t="str">
        <f>INDEX(_xlfn.TEXTSPLIT(mouvementmp[[#This Row],[QR MP]],"_"),1,2)</f>
        <v>Ecru</v>
      </c>
      <c r="M457" s="47" t="str">
        <f>INDEX(_xlfn.TEXTSPLIT(mouvementmp[[#This Row],[QR MP]],"_"),1,3)</f>
        <v>CH2/40CE</v>
      </c>
      <c r="N457" s="47" t="str">
        <f>INDEX(_xlfn.TEXTSPLIT(mouvementmp[[#This Row],[QR MP]],"_"),1,4)</f>
        <v>A220324523/2</v>
      </c>
      <c r="O457" s="47">
        <f>-mouvementmp[[#This Row],[Poids]]</f>
        <v>-115</v>
      </c>
      <c r="P457" s="47" t="str">
        <f>IF(
   COUNTIFS($A$2:A457,A457,
             $B$2:B457,B457,
             $C$2:C457,C457,
             $D$2:D457,D457,
             $E$2:E457,E457,
             $F$2:F457,F457,
              $J$2:J457,J457)&gt;1,
   "Doublon",
   "Correcte"
)</f>
        <v>Correcte</v>
      </c>
      <c r="Q457" s="106" t="str">
        <f>IF(mouvementmp[[#This Row],[QR Fabrication]]&lt;&gt;"",INDEX(_xlfn.TEXTSPLIT(mouvementmp[[#This Row],[QR Fabrication]],"_"),1,1),"")</f>
        <v/>
      </c>
      <c r="R457" s="106" t="str">
        <f>IF(mouvementmp[[#This Row],[QR Fabrication]]&lt;&gt;"",INDEX(_xlfn.TEXTSPLIT(mouvementmp[[#This Row],[QR Fabrication]],"_"),1,2),"")</f>
        <v/>
      </c>
      <c r="S457" s="47" t="str">
        <f>IF(mouvementmp[[#This Row],[QR Fabrication]]&lt;&gt;"",INDEX(_xlfn.TEXTSPLIT(mouvementmp[[#This Row],[QR Fabrication]],"_"),1,3),"")</f>
        <v/>
      </c>
      <c r="T457" s="47" t="str">
        <f>IF(mouvementmp[[#This Row],[QR Fabrication]]&lt;&gt;"",INDEX(_xlfn.TEXTSPLIT(mouvementmp[[#This Row],[QR Fabrication]],"_"),1,4),"")</f>
        <v/>
      </c>
      <c r="U457" s="47" t="str">
        <f>IF(mouvementmp[[#This Row],[QR Fabrication]]&lt;&gt;"",INDEX(_xlfn.TEXTSPLIT(mouvementmp[[#This Row],[QR Fabrication]],"_"),1,5),"")</f>
        <v/>
      </c>
      <c r="V457" s="47" t="str">
        <f>IF(mouvementmp[[#This Row],[QR Fabrication]]&lt;&gt;"",_xlfn.TEXTAFTER(mouvementmp[[#This Row],[QR Fabrication]],"_",5),"")</f>
        <v/>
      </c>
    </row>
    <row r="458" spans="1:22" ht="16.5" thickTop="1" thickBot="1" x14ac:dyDescent="0.3">
      <c r="A458" s="46"/>
      <c r="B458" s="54" t="s">
        <v>3910</v>
      </c>
      <c r="C458" s="47" t="s">
        <v>676</v>
      </c>
      <c r="D458" s="47" t="s">
        <v>665</v>
      </c>
      <c r="E458" s="47" t="s">
        <v>677</v>
      </c>
      <c r="F458" s="48">
        <v>69.400000000000006</v>
      </c>
      <c r="G458" s="47"/>
      <c r="H458" s="47"/>
      <c r="I458" s="47" t="s">
        <v>664</v>
      </c>
      <c r="J458" s="49">
        <v>45936</v>
      </c>
      <c r="K458" s="47" t="str">
        <f>INDEX(_xlfn.TEXTSPLIT(mouvementmp[[#This Row],[QR MP]],"_"),1,1)</f>
        <v>CH</v>
      </c>
      <c r="L458" s="47" t="str">
        <f>INDEX(_xlfn.TEXTSPLIT(mouvementmp[[#This Row],[QR MP]],"_"),1,2)</f>
        <v>Ecru</v>
      </c>
      <c r="M458" s="47" t="str">
        <f>INDEX(_xlfn.TEXTSPLIT(mouvementmp[[#This Row],[QR MP]],"_"),1,3)</f>
        <v>CH2/40CE</v>
      </c>
      <c r="N458" s="47" t="str">
        <f>INDEX(_xlfn.TEXTSPLIT(mouvementmp[[#This Row],[QR MP]],"_"),1,4)</f>
        <v>A220324523/2</v>
      </c>
      <c r="O458" s="47">
        <f>-mouvementmp[[#This Row],[Poids]]</f>
        <v>-69.400000000000006</v>
      </c>
      <c r="P458" s="47" t="str">
        <f>IF(
   COUNTIFS($A$2:A458,A458,
             $B$2:B458,B458,
             $C$2:C458,C458,
             $D$2:D458,D458,
             $E$2:E458,E458,
             $F$2:F458,F458,
              $J$2:J458,J458)&gt;1,
   "Doublon",
   "Correcte"
)</f>
        <v>Correcte</v>
      </c>
      <c r="Q458" s="106" t="str">
        <f>IF(mouvementmp[[#This Row],[QR Fabrication]]&lt;&gt;"",INDEX(_xlfn.TEXTSPLIT(mouvementmp[[#This Row],[QR Fabrication]],"_"),1,1),"")</f>
        <v/>
      </c>
      <c r="R458" s="106" t="str">
        <f>IF(mouvementmp[[#This Row],[QR Fabrication]]&lt;&gt;"",INDEX(_xlfn.TEXTSPLIT(mouvementmp[[#This Row],[QR Fabrication]],"_"),1,2),"")</f>
        <v/>
      </c>
      <c r="S458" s="47" t="str">
        <f>IF(mouvementmp[[#This Row],[QR Fabrication]]&lt;&gt;"",INDEX(_xlfn.TEXTSPLIT(mouvementmp[[#This Row],[QR Fabrication]],"_"),1,3),"")</f>
        <v/>
      </c>
      <c r="T458" s="47" t="str">
        <f>IF(mouvementmp[[#This Row],[QR Fabrication]]&lt;&gt;"",INDEX(_xlfn.TEXTSPLIT(mouvementmp[[#This Row],[QR Fabrication]],"_"),1,4),"")</f>
        <v/>
      </c>
      <c r="U458" s="47" t="str">
        <f>IF(mouvementmp[[#This Row],[QR Fabrication]]&lt;&gt;"",INDEX(_xlfn.TEXTSPLIT(mouvementmp[[#This Row],[QR Fabrication]],"_"),1,5),"")</f>
        <v/>
      </c>
      <c r="V458" s="47" t="str">
        <f>IF(mouvementmp[[#This Row],[QR Fabrication]]&lt;&gt;"",_xlfn.TEXTAFTER(mouvementmp[[#This Row],[QR Fabrication]],"_",5),"")</f>
        <v/>
      </c>
    </row>
    <row r="459" spans="1:22" ht="16.5" thickTop="1" thickBot="1" x14ac:dyDescent="0.3">
      <c r="A459" s="46" t="s">
        <v>2501</v>
      </c>
      <c r="B459" s="54" t="s">
        <v>3898</v>
      </c>
      <c r="C459" s="47" t="s">
        <v>672</v>
      </c>
      <c r="D459" s="47" t="s">
        <v>665</v>
      </c>
      <c r="E459" s="47" t="s">
        <v>669</v>
      </c>
      <c r="F459" s="48">
        <v>21.5</v>
      </c>
      <c r="G459" s="47"/>
      <c r="H459" s="47"/>
      <c r="I459" s="47" t="s">
        <v>664</v>
      </c>
      <c r="J459" s="49">
        <v>45937</v>
      </c>
      <c r="K459" s="47" t="str">
        <f>INDEX(_xlfn.TEXTSPLIT(mouvementmp[[#This Row],[QR MP]],"_"),1,1)</f>
        <v>C29</v>
      </c>
      <c r="L459" s="47" t="str">
        <f>INDEX(_xlfn.TEXTSPLIT(mouvementmp[[#This Row],[QR MP]],"_"),1,2)</f>
        <v>FUSHIA</v>
      </c>
      <c r="M459" s="47" t="str">
        <f>INDEX(_xlfn.TEXTSPLIT(mouvementmp[[#This Row],[QR MP]],"_"),1,3)</f>
        <v>NM15-29.00</v>
      </c>
      <c r="N459" s="47" t="str">
        <f>INDEX(_xlfn.TEXTSPLIT(mouvementmp[[#This Row],[QR MP]],"_"),1,4)</f>
        <v>61549</v>
      </c>
      <c r="O459" s="47">
        <f>-mouvementmp[[#This Row],[Poids]]</f>
        <v>-21.5</v>
      </c>
      <c r="P459" s="47" t="str">
        <f>IF(
   COUNTIFS($A$2:A459,A459,
             $B$2:B459,B459,
             $C$2:C459,C459,
             $D$2:D459,D459,
             $E$2:E459,E459,
             $F$2:F459,F459,
              $J$2:J459,J459)&gt;1,
   "Doublon",
   "Correcte"
)</f>
        <v>Correcte</v>
      </c>
      <c r="Q459" s="106" t="str">
        <f>IF(mouvementmp[[#This Row],[QR Fabrication]]&lt;&gt;"",INDEX(_xlfn.TEXTSPLIT(mouvementmp[[#This Row],[QR Fabrication]],"_"),1,1),"")</f>
        <v>OF249914</v>
      </c>
      <c r="R459" s="106" t="str">
        <f>IF(mouvementmp[[#This Row],[QR Fabrication]]&lt;&gt;"",INDEX(_xlfn.TEXTSPLIT(mouvementmp[[#This Row],[QR Fabrication]],"_"),1,2),"")</f>
        <v>CL00884</v>
      </c>
      <c r="S459" s="47" t="str">
        <f>IF(mouvementmp[[#This Row],[QR Fabrication]]&lt;&gt;"",INDEX(_xlfn.TEXTSPLIT(mouvementmp[[#This Row],[QR Fabrication]],"_"),1,3),"")</f>
        <v>CM-FT0120</v>
      </c>
      <c r="T459" s="47" t="str">
        <f>IF(mouvementmp[[#This Row],[QR Fabrication]]&lt;&gt;"",INDEX(_xlfn.TEXTSPLIT(mouvementmp[[#This Row],[QR Fabrication]],"_"),1,4),"")</f>
        <v>SO1020-Q29-11-14</v>
      </c>
      <c r="U459" s="47" t="str">
        <f>IF(mouvementmp[[#This Row],[QR Fabrication]]&lt;&gt;"",INDEX(_xlfn.TEXTSPLIT(mouvementmp[[#This Row],[QR Fabrication]],"_"),1,5),"")</f>
        <v>SOUSSE</v>
      </c>
      <c r="V459" s="47" t="str">
        <f>IF(mouvementmp[[#This Row],[QR Fabrication]]&lt;&gt;"",_xlfn.TEXTAFTER(mouvementmp[[#This Row],[QR Fabrication]],"_",5),"")</f>
        <v>1020</v>
      </c>
    </row>
    <row r="460" spans="1:22" ht="16.5" thickTop="1" thickBot="1" x14ac:dyDescent="0.3">
      <c r="A460" s="46" t="s">
        <v>2501</v>
      </c>
      <c r="B460" s="54" t="s">
        <v>3847</v>
      </c>
      <c r="C460" s="47" t="s">
        <v>672</v>
      </c>
      <c r="D460" s="47" t="s">
        <v>665</v>
      </c>
      <c r="E460" s="47" t="s">
        <v>669</v>
      </c>
      <c r="F460" s="48">
        <v>16.5</v>
      </c>
      <c r="G460" s="47"/>
      <c r="H460" s="47"/>
      <c r="I460" s="47" t="s">
        <v>664</v>
      </c>
      <c r="J460" s="49">
        <v>45937</v>
      </c>
      <c r="K460" s="47" t="str">
        <f>INDEX(_xlfn.TEXTSPLIT(mouvementmp[[#This Row],[QR MP]],"_"),1,1)</f>
        <v>C11</v>
      </c>
      <c r="L460" s="47" t="str">
        <f>INDEX(_xlfn.TEXTSPLIT(mouvementmp[[#This Row],[QR MP]],"_"),1,2)</f>
        <v>BLEU GITANE</v>
      </c>
      <c r="M460" s="47" t="str">
        <f>INDEX(_xlfn.TEXTSPLIT(mouvementmp[[#This Row],[QR MP]],"_"),1,3)</f>
        <v>NM15-11.00</v>
      </c>
      <c r="N460" s="47" t="str">
        <f>INDEX(_xlfn.TEXTSPLIT(mouvementmp[[#This Row],[QR MP]],"_"),1,4)</f>
        <v>61659</v>
      </c>
      <c r="O460" s="47">
        <f>-mouvementmp[[#This Row],[Poids]]</f>
        <v>-16.5</v>
      </c>
      <c r="P460" s="47" t="str">
        <f>IF(
   COUNTIFS($A$2:A460,A460,
             $B$2:B460,B460,
             $C$2:C460,C460,
             $D$2:D460,D460,
             $E$2:E460,E460,
             $F$2:F460,F460,
              $J$2:J460,J460)&gt;1,
   "Doublon",
   "Correcte"
)</f>
        <v>Correcte</v>
      </c>
      <c r="Q460" s="106" t="str">
        <f>IF(mouvementmp[[#This Row],[QR Fabrication]]&lt;&gt;"",INDEX(_xlfn.TEXTSPLIT(mouvementmp[[#This Row],[QR Fabrication]],"_"),1,1),"")</f>
        <v>OF249914</v>
      </c>
      <c r="R460" s="106" t="str">
        <f>IF(mouvementmp[[#This Row],[QR Fabrication]]&lt;&gt;"",INDEX(_xlfn.TEXTSPLIT(mouvementmp[[#This Row],[QR Fabrication]],"_"),1,2),"")</f>
        <v>CL00884</v>
      </c>
      <c r="S460" s="47" t="str">
        <f>IF(mouvementmp[[#This Row],[QR Fabrication]]&lt;&gt;"",INDEX(_xlfn.TEXTSPLIT(mouvementmp[[#This Row],[QR Fabrication]],"_"),1,3),"")</f>
        <v>CM-FT0120</v>
      </c>
      <c r="T460" s="47" t="str">
        <f>IF(mouvementmp[[#This Row],[QR Fabrication]]&lt;&gt;"",INDEX(_xlfn.TEXTSPLIT(mouvementmp[[#This Row],[QR Fabrication]],"_"),1,4),"")</f>
        <v>SO1020-Q29-11-14</v>
      </c>
      <c r="U460" s="47" t="str">
        <f>IF(mouvementmp[[#This Row],[QR Fabrication]]&lt;&gt;"",INDEX(_xlfn.TEXTSPLIT(mouvementmp[[#This Row],[QR Fabrication]],"_"),1,5),"")</f>
        <v>SOUSSE</v>
      </c>
      <c r="V460" s="47" t="str">
        <f>IF(mouvementmp[[#This Row],[QR Fabrication]]&lt;&gt;"",_xlfn.TEXTAFTER(mouvementmp[[#This Row],[QR Fabrication]],"_",5),"")</f>
        <v>1020</v>
      </c>
    </row>
    <row r="461" spans="1:22" ht="16.5" thickTop="1" thickBot="1" x14ac:dyDescent="0.3">
      <c r="A461" s="46" t="s">
        <v>2501</v>
      </c>
      <c r="B461" s="54" t="s">
        <v>3887</v>
      </c>
      <c r="C461" s="47" t="s">
        <v>672</v>
      </c>
      <c r="D461" s="47" t="s">
        <v>665</v>
      </c>
      <c r="E461" s="47" t="s">
        <v>669</v>
      </c>
      <c r="F461" s="48">
        <v>29.5</v>
      </c>
      <c r="G461" s="47"/>
      <c r="H461" s="47"/>
      <c r="I461" s="47" t="s">
        <v>664</v>
      </c>
      <c r="J461" s="49">
        <v>45937</v>
      </c>
      <c r="K461" s="47" t="str">
        <f>INDEX(_xlfn.TEXTSPLIT(mouvementmp[[#This Row],[QR MP]],"_"),1,1)</f>
        <v>C25</v>
      </c>
      <c r="L461" s="47" t="str">
        <f>INDEX(_xlfn.TEXTSPLIT(mouvementmp[[#This Row],[QR MP]],"_"),1,2)</f>
        <v>ORANGE</v>
      </c>
      <c r="M461" s="47" t="str">
        <f>INDEX(_xlfn.TEXTSPLIT(mouvementmp[[#This Row],[QR MP]],"_"),1,3)</f>
        <v>NM15-25.00</v>
      </c>
      <c r="N461" s="47" t="str">
        <f>INDEX(_xlfn.TEXTSPLIT(mouvementmp[[#This Row],[QR MP]],"_"),1,4)</f>
        <v>61729</v>
      </c>
      <c r="O461" s="47">
        <f>-mouvementmp[[#This Row],[Poids]]</f>
        <v>-29.5</v>
      </c>
      <c r="P461" s="47" t="str">
        <f>IF(
   COUNTIFS($A$2:A461,A461,
             $B$2:B461,B461,
             $C$2:C461,C461,
             $D$2:D461,D461,
             $E$2:E461,E461,
             $F$2:F461,F461,
              $J$2:J461,J461)&gt;1,
   "Doublon",
   "Correcte"
)</f>
        <v>Correcte</v>
      </c>
      <c r="Q461" s="106" t="str">
        <f>IF(mouvementmp[[#This Row],[QR Fabrication]]&lt;&gt;"",INDEX(_xlfn.TEXTSPLIT(mouvementmp[[#This Row],[QR Fabrication]],"_"),1,1),"")</f>
        <v>OF249914</v>
      </c>
      <c r="R461" s="106" t="str">
        <f>IF(mouvementmp[[#This Row],[QR Fabrication]]&lt;&gt;"",INDEX(_xlfn.TEXTSPLIT(mouvementmp[[#This Row],[QR Fabrication]],"_"),1,2),"")</f>
        <v>CL00884</v>
      </c>
      <c r="S461" s="47" t="str">
        <f>IF(mouvementmp[[#This Row],[QR Fabrication]]&lt;&gt;"",INDEX(_xlfn.TEXTSPLIT(mouvementmp[[#This Row],[QR Fabrication]],"_"),1,3),"")</f>
        <v>CM-FT0120</v>
      </c>
      <c r="T461" s="47" t="str">
        <f>IF(mouvementmp[[#This Row],[QR Fabrication]]&lt;&gt;"",INDEX(_xlfn.TEXTSPLIT(mouvementmp[[#This Row],[QR Fabrication]],"_"),1,4),"")</f>
        <v>SO1020-Q29-11-14</v>
      </c>
      <c r="U461" s="47" t="str">
        <f>IF(mouvementmp[[#This Row],[QR Fabrication]]&lt;&gt;"",INDEX(_xlfn.TEXTSPLIT(mouvementmp[[#This Row],[QR Fabrication]],"_"),1,5),"")</f>
        <v>SOUSSE</v>
      </c>
      <c r="V461" s="47" t="str">
        <f>IF(mouvementmp[[#This Row],[QR Fabrication]]&lt;&gt;"",_xlfn.TEXTAFTER(mouvementmp[[#This Row],[QR Fabrication]],"_",5),"")</f>
        <v>1020</v>
      </c>
    </row>
    <row r="462" spans="1:22" ht="16.5" thickTop="1" thickBot="1" x14ac:dyDescent="0.3">
      <c r="A462" s="46" t="s">
        <v>2501</v>
      </c>
      <c r="B462" s="54" t="s">
        <v>3858</v>
      </c>
      <c r="C462" s="47" t="s">
        <v>672</v>
      </c>
      <c r="D462" s="47" t="s">
        <v>665</v>
      </c>
      <c r="E462" s="47" t="s">
        <v>669</v>
      </c>
      <c r="F462" s="48">
        <v>16.5</v>
      </c>
      <c r="G462" s="47"/>
      <c r="H462" s="47"/>
      <c r="I462" s="47" t="s">
        <v>664</v>
      </c>
      <c r="J462" s="49">
        <v>45937</v>
      </c>
      <c r="K462" s="47" t="str">
        <f>INDEX(_xlfn.TEXTSPLIT(mouvementmp[[#This Row],[QR MP]],"_"),1,1)</f>
        <v>C14</v>
      </c>
      <c r="L462" s="47" t="str">
        <f>INDEX(_xlfn.TEXTSPLIT(mouvementmp[[#This Row],[QR MP]],"_"),1,2)</f>
        <v>BLEU TURQUOISE</v>
      </c>
      <c r="M462" s="47" t="str">
        <f>INDEX(_xlfn.TEXTSPLIT(mouvementmp[[#This Row],[QR MP]],"_"),1,3)</f>
        <v>NM15-14.00</v>
      </c>
      <c r="N462" s="47" t="str">
        <f>INDEX(_xlfn.TEXTSPLIT(mouvementmp[[#This Row],[QR MP]],"_"),1,4)</f>
        <v>61597</v>
      </c>
      <c r="O462" s="47">
        <f>-mouvementmp[[#This Row],[Poids]]</f>
        <v>-16.5</v>
      </c>
      <c r="P462" s="47" t="str">
        <f>IF(
   COUNTIFS($A$2:A462,A462,
             $B$2:B462,B462,
             $C$2:C462,C462,
             $D$2:D462,D462,
             $E$2:E462,E462,
             $F$2:F462,F462,
              $J$2:J462,J462)&gt;1,
   "Doublon",
   "Correcte"
)</f>
        <v>Correcte</v>
      </c>
      <c r="Q462" s="106" t="str">
        <f>IF(mouvementmp[[#This Row],[QR Fabrication]]&lt;&gt;"",INDEX(_xlfn.TEXTSPLIT(mouvementmp[[#This Row],[QR Fabrication]],"_"),1,1),"")</f>
        <v>OF249914</v>
      </c>
      <c r="R462" s="106" t="str">
        <f>IF(mouvementmp[[#This Row],[QR Fabrication]]&lt;&gt;"",INDEX(_xlfn.TEXTSPLIT(mouvementmp[[#This Row],[QR Fabrication]],"_"),1,2),"")</f>
        <v>CL00884</v>
      </c>
      <c r="S462" s="47" t="str">
        <f>IF(mouvementmp[[#This Row],[QR Fabrication]]&lt;&gt;"",INDEX(_xlfn.TEXTSPLIT(mouvementmp[[#This Row],[QR Fabrication]],"_"),1,3),"")</f>
        <v>CM-FT0120</v>
      </c>
      <c r="T462" s="47" t="str">
        <f>IF(mouvementmp[[#This Row],[QR Fabrication]]&lt;&gt;"",INDEX(_xlfn.TEXTSPLIT(mouvementmp[[#This Row],[QR Fabrication]],"_"),1,4),"")</f>
        <v>SO1020-Q29-11-14</v>
      </c>
      <c r="U462" s="47" t="str">
        <f>IF(mouvementmp[[#This Row],[QR Fabrication]]&lt;&gt;"",INDEX(_xlfn.TEXTSPLIT(mouvementmp[[#This Row],[QR Fabrication]],"_"),1,5),"")</f>
        <v>SOUSSE</v>
      </c>
      <c r="V462" s="47" t="str">
        <f>IF(mouvementmp[[#This Row],[QR Fabrication]]&lt;&gt;"",_xlfn.TEXTAFTER(mouvementmp[[#This Row],[QR Fabrication]],"_",5),"")</f>
        <v>1020</v>
      </c>
    </row>
    <row r="463" spans="1:22" ht="16.5" thickTop="1" thickBot="1" x14ac:dyDescent="0.3">
      <c r="A463" s="46" t="s">
        <v>2502</v>
      </c>
      <c r="B463" s="54" t="s">
        <v>3874</v>
      </c>
      <c r="C463" s="47" t="s">
        <v>672</v>
      </c>
      <c r="D463" s="47" t="s">
        <v>665</v>
      </c>
      <c r="E463" s="47" t="s">
        <v>669</v>
      </c>
      <c r="F463" s="48">
        <v>10.5</v>
      </c>
      <c r="G463" s="47"/>
      <c r="H463" s="47"/>
      <c r="I463" s="47" t="s">
        <v>664</v>
      </c>
      <c r="J463" s="49">
        <v>45938</v>
      </c>
      <c r="K463" s="47" t="str">
        <f>INDEX(_xlfn.TEXTSPLIT(mouvementmp[[#This Row],[QR MP]],"_"),1,1)</f>
        <v>C20</v>
      </c>
      <c r="L463" s="47" t="str">
        <f>INDEX(_xlfn.TEXTSPLIT(mouvementmp[[#This Row],[QR MP]],"_"),1,2)</f>
        <v>VERT OLIVE</v>
      </c>
      <c r="M463" s="47" t="str">
        <f>INDEX(_xlfn.TEXTSPLIT(mouvementmp[[#This Row],[QR MP]],"_"),1,3)</f>
        <v>NM15-20.00</v>
      </c>
      <c r="N463" s="47" t="str">
        <f>INDEX(_xlfn.TEXTSPLIT(mouvementmp[[#This Row],[QR MP]],"_"),1,4)</f>
        <v>S2023</v>
      </c>
      <c r="O463" s="47">
        <f>-mouvementmp[[#This Row],[Poids]]</f>
        <v>-10.5</v>
      </c>
      <c r="P463" s="47" t="str">
        <f>IF(
   COUNTIFS($A$2:A463,A463,
             $B$2:B463,B463,
             $C$2:C463,C463,
             $D$2:D463,D463,
             $E$2:E463,E463,
             $F$2:F463,F463,
              $J$2:J463,J463)&gt;1,
   "Doublon",
   "Correcte"
)</f>
        <v>Correcte</v>
      </c>
      <c r="Q463" s="106" t="str">
        <f>IF(mouvementmp[[#This Row],[QR Fabrication]]&lt;&gt;"",INDEX(_xlfn.TEXTSPLIT(mouvementmp[[#This Row],[QR Fabrication]],"_"),1,1),"")</f>
        <v>CA250757</v>
      </c>
      <c r="R463" s="106" t="str">
        <f>IF(mouvementmp[[#This Row],[QR Fabrication]]&lt;&gt;"",INDEX(_xlfn.TEXTSPLIT(mouvementmp[[#This Row],[QR Fabrication]],"_"),1,2),"")</f>
        <v>All by Fouta</v>
      </c>
      <c r="S463" s="47" t="str">
        <f>IF(mouvementmp[[#This Row],[QR Fabrication]]&lt;&gt;"",INDEX(_xlfn.TEXTSPLIT(mouvementmp[[#This Row],[QR Fabrication]],"_"),1,3),"")</f>
        <v>Stock</v>
      </c>
      <c r="T463" s="47" t="str">
        <f>IF(mouvementmp[[#This Row],[QR Fabrication]]&lt;&gt;"",INDEX(_xlfn.TEXTSPLIT(mouvementmp[[#This Row],[QR Fabrication]],"_"),1,4),"")</f>
        <v>PACKSICL0507-B20-24</v>
      </c>
      <c r="U463" s="47" t="str">
        <f>IF(mouvementmp[[#This Row],[QR Fabrication]]&lt;&gt;"",INDEX(_xlfn.TEXTSPLIT(mouvementmp[[#This Row],[QR Fabrication]],"_"),1,5),"")</f>
        <v>PACK CLASSIQUE</v>
      </c>
      <c r="V463" s="47" t="str">
        <f>IF(mouvementmp[[#This Row],[QR Fabrication]]&lt;&gt;"",_xlfn.TEXTAFTER(mouvementmp[[#This Row],[QR Fabrication]],"_",5),"")</f>
        <v>0507</v>
      </c>
    </row>
    <row r="464" spans="1:22" ht="16.5" thickTop="1" thickBot="1" x14ac:dyDescent="0.3">
      <c r="A464" s="46" t="s">
        <v>2502</v>
      </c>
      <c r="B464" s="54" t="s">
        <v>3886</v>
      </c>
      <c r="C464" s="47" t="s">
        <v>672</v>
      </c>
      <c r="D464" s="47" t="s">
        <v>665</v>
      </c>
      <c r="E464" s="47" t="s">
        <v>669</v>
      </c>
      <c r="F464" s="48">
        <v>10.75</v>
      </c>
      <c r="G464" s="47"/>
      <c r="H464" s="47"/>
      <c r="I464" s="47" t="s">
        <v>664</v>
      </c>
      <c r="J464" s="49">
        <v>45938</v>
      </c>
      <c r="K464" s="47" t="str">
        <f>INDEX(_xlfn.TEXTSPLIT(mouvementmp[[#This Row],[QR MP]],"_"),1,1)</f>
        <v>C24</v>
      </c>
      <c r="L464" s="47" t="str">
        <f>INDEX(_xlfn.TEXTSPLIT(mouvementmp[[#This Row],[QR MP]],"_"),1,2)</f>
        <v>JAUNE SAFRAN</v>
      </c>
      <c r="M464" s="47" t="str">
        <f>INDEX(_xlfn.TEXTSPLIT(mouvementmp[[#This Row],[QR MP]],"_"),1,3)</f>
        <v>NM15-24.00</v>
      </c>
      <c r="N464" s="47" t="str">
        <f>INDEX(_xlfn.TEXTSPLIT(mouvementmp[[#This Row],[QR MP]],"_"),1,4)</f>
        <v>61554</v>
      </c>
      <c r="O464" s="47">
        <f>-mouvementmp[[#This Row],[Poids]]</f>
        <v>-10.75</v>
      </c>
      <c r="P464" s="47" t="str">
        <f>IF(
   COUNTIFS($A$2:A464,A464,
             $B$2:B464,B464,
             $C$2:C464,C464,
             $D$2:D464,D464,
             $E$2:E464,E464,
             $F$2:F464,F464,
              $J$2:J464,J464)&gt;1,
   "Doublon",
   "Correcte"
)</f>
        <v>Correcte</v>
      </c>
      <c r="Q464" s="106" t="str">
        <f>IF(mouvementmp[[#This Row],[QR Fabrication]]&lt;&gt;"",INDEX(_xlfn.TEXTSPLIT(mouvementmp[[#This Row],[QR Fabrication]],"_"),1,1),"")</f>
        <v>CA250757</v>
      </c>
      <c r="R464" s="106" t="str">
        <f>IF(mouvementmp[[#This Row],[QR Fabrication]]&lt;&gt;"",INDEX(_xlfn.TEXTSPLIT(mouvementmp[[#This Row],[QR Fabrication]],"_"),1,2),"")</f>
        <v>All by Fouta</v>
      </c>
      <c r="S464" s="47" t="str">
        <f>IF(mouvementmp[[#This Row],[QR Fabrication]]&lt;&gt;"",INDEX(_xlfn.TEXTSPLIT(mouvementmp[[#This Row],[QR Fabrication]],"_"),1,3),"")</f>
        <v>Stock</v>
      </c>
      <c r="T464" s="47" t="str">
        <f>IF(mouvementmp[[#This Row],[QR Fabrication]]&lt;&gt;"",INDEX(_xlfn.TEXTSPLIT(mouvementmp[[#This Row],[QR Fabrication]],"_"),1,4),"")</f>
        <v>PACKSICL0507-B20-24</v>
      </c>
      <c r="U464" s="47" t="str">
        <f>IF(mouvementmp[[#This Row],[QR Fabrication]]&lt;&gt;"",INDEX(_xlfn.TEXTSPLIT(mouvementmp[[#This Row],[QR Fabrication]],"_"),1,5),"")</f>
        <v>PACK CLASSIQUE</v>
      </c>
      <c r="V464" s="47" t="str">
        <f>IF(mouvementmp[[#This Row],[QR Fabrication]]&lt;&gt;"",_xlfn.TEXTAFTER(mouvementmp[[#This Row],[QR Fabrication]],"_",5),"")</f>
        <v>0507</v>
      </c>
    </row>
    <row r="465" spans="1:22" ht="16.5" thickTop="1" thickBot="1" x14ac:dyDescent="0.3">
      <c r="A465" s="46" t="s">
        <v>2503</v>
      </c>
      <c r="B465" s="54" t="s">
        <v>3838</v>
      </c>
      <c r="C465" s="47" t="s">
        <v>672</v>
      </c>
      <c r="D465" s="47" t="s">
        <v>665</v>
      </c>
      <c r="E465" s="47" t="s">
        <v>669</v>
      </c>
      <c r="F465" s="48">
        <v>18.5</v>
      </c>
      <c r="G465" s="47"/>
      <c r="H465" s="47"/>
      <c r="I465" s="47" t="s">
        <v>664</v>
      </c>
      <c r="J465" s="49">
        <v>45938</v>
      </c>
      <c r="K465" s="47" t="str">
        <f>INDEX(_xlfn.TEXTSPLIT(mouvementmp[[#This Row],[QR MP]],"_"),1,1)</f>
        <v>C07</v>
      </c>
      <c r="L465" s="47" t="str">
        <f>INDEX(_xlfn.TEXTSPLIT(mouvementmp[[#This Row],[QR MP]],"_"),1,2)</f>
        <v>GRIS MOYEN</v>
      </c>
      <c r="M465" s="47" t="str">
        <f>INDEX(_xlfn.TEXTSPLIT(mouvementmp[[#This Row],[QR MP]],"_"),1,3)</f>
        <v>NM15-07.00</v>
      </c>
      <c r="N465" s="47" t="str">
        <f>INDEX(_xlfn.TEXTSPLIT(mouvementmp[[#This Row],[QR MP]],"_"),1,4)</f>
        <v>61445</v>
      </c>
      <c r="O465" s="47">
        <f>-mouvementmp[[#This Row],[Poids]]</f>
        <v>-18.5</v>
      </c>
      <c r="P465" s="47" t="str">
        <f>IF(
   COUNTIFS($A$2:A465,A465,
             $B$2:B465,B465,
             $C$2:C465,C465,
             $D$2:D465,D465,
             $E$2:E465,E465,
             $F$2:F465,F465,
              $J$2:J465,J465)&gt;1,
   "Doublon",
   "Correcte"
)</f>
        <v>Correcte</v>
      </c>
      <c r="Q465" s="106" t="str">
        <f>IF(mouvementmp[[#This Row],[QR Fabrication]]&lt;&gt;"",INDEX(_xlfn.TEXTSPLIT(mouvementmp[[#This Row],[QR Fabrication]],"_"),1,1),"")</f>
        <v>CA250157</v>
      </c>
      <c r="R465" s="106" t="str">
        <f>IF(mouvementmp[[#This Row],[QR Fabrication]]&lt;&gt;"",INDEX(_xlfn.TEXTSPLIT(mouvementmp[[#This Row],[QR Fabrication]],"_"),1,2),"")</f>
        <v>All by Fouta</v>
      </c>
      <c r="S465" s="47" t="str">
        <f>IF(mouvementmp[[#This Row],[QR Fabrication]]&lt;&gt;"",INDEX(_xlfn.TEXTSPLIT(mouvementmp[[#This Row],[QR Fabrication]],"_"),1,3),"")</f>
        <v>Stock</v>
      </c>
      <c r="T465" s="47" t="str">
        <f>IF(mouvementmp[[#This Row],[QR Fabrication]]&lt;&gt;"",INDEX(_xlfn.TEXTSPLIT(mouvementmp[[#This Row],[QR Fabrication]],"_"),1,4),"")</f>
        <v>IB1020-B07-17</v>
      </c>
      <c r="U465" s="47" t="str">
        <f>IF(mouvementmp[[#This Row],[QR Fabrication]]&lt;&gt;"",INDEX(_xlfn.TEXTSPLIT(mouvementmp[[#This Row],[QR Fabrication]],"_"),1,5),"")</f>
        <v>IBIZA</v>
      </c>
      <c r="V465" s="47" t="str">
        <f>IF(mouvementmp[[#This Row],[QR Fabrication]]&lt;&gt;"",_xlfn.TEXTAFTER(mouvementmp[[#This Row],[QR Fabrication]],"_",5),"")</f>
        <v>1020</v>
      </c>
    </row>
    <row r="466" spans="1:22" ht="16.5" thickTop="1" thickBot="1" x14ac:dyDescent="0.3">
      <c r="A466" s="46" t="s">
        <v>2503</v>
      </c>
      <c r="B466" s="54" t="s">
        <v>3865</v>
      </c>
      <c r="C466" s="47" t="s">
        <v>672</v>
      </c>
      <c r="D466" s="47" t="s">
        <v>665</v>
      </c>
      <c r="E466" s="47" t="s">
        <v>669</v>
      </c>
      <c r="F466" s="48">
        <v>4.95</v>
      </c>
      <c r="G466" s="47"/>
      <c r="H466" s="47"/>
      <c r="I466" s="47" t="s">
        <v>664</v>
      </c>
      <c r="J466" s="49">
        <v>45938</v>
      </c>
      <c r="K466" s="47" t="str">
        <f>INDEX(_xlfn.TEXTSPLIT(mouvementmp[[#This Row],[QR MP]],"_"),1,1)</f>
        <v>C17</v>
      </c>
      <c r="L466" s="47" t="str">
        <f>INDEX(_xlfn.TEXTSPLIT(mouvementmp[[#This Row],[QR MP]],"_"),1,2)</f>
        <v>EMAURAUDE</v>
      </c>
      <c r="M466" s="47" t="str">
        <f>INDEX(_xlfn.TEXTSPLIT(mouvementmp[[#This Row],[QR MP]],"_"),1,3)</f>
        <v>NM15-17.00</v>
      </c>
      <c r="N466" s="47" t="str">
        <f>INDEX(_xlfn.TEXTSPLIT(mouvementmp[[#This Row],[QR MP]],"_"),1,4)</f>
        <v>61571</v>
      </c>
      <c r="O466" s="47">
        <f>-mouvementmp[[#This Row],[Poids]]</f>
        <v>-4.95</v>
      </c>
      <c r="P466" s="47" t="str">
        <f>IF(
   COUNTIFS($A$2:A466,A466,
             $B$2:B466,B466,
             $C$2:C466,C466,
             $D$2:D466,D466,
             $E$2:E466,E466,
             $F$2:F466,F466,
              $J$2:J466,J466)&gt;1,
   "Doublon",
   "Correcte"
)</f>
        <v>Correcte</v>
      </c>
      <c r="Q466" s="106" t="str">
        <f>IF(mouvementmp[[#This Row],[QR Fabrication]]&lt;&gt;"",INDEX(_xlfn.TEXTSPLIT(mouvementmp[[#This Row],[QR Fabrication]],"_"),1,1),"")</f>
        <v>CA250157</v>
      </c>
      <c r="R466" s="106" t="str">
        <f>IF(mouvementmp[[#This Row],[QR Fabrication]]&lt;&gt;"",INDEX(_xlfn.TEXTSPLIT(mouvementmp[[#This Row],[QR Fabrication]],"_"),1,2),"")</f>
        <v>All by Fouta</v>
      </c>
      <c r="S466" s="47" t="str">
        <f>IF(mouvementmp[[#This Row],[QR Fabrication]]&lt;&gt;"",INDEX(_xlfn.TEXTSPLIT(mouvementmp[[#This Row],[QR Fabrication]],"_"),1,3),"")</f>
        <v>Stock</v>
      </c>
      <c r="T466" s="47" t="str">
        <f>IF(mouvementmp[[#This Row],[QR Fabrication]]&lt;&gt;"",INDEX(_xlfn.TEXTSPLIT(mouvementmp[[#This Row],[QR Fabrication]],"_"),1,4),"")</f>
        <v>IB1020-B07-17</v>
      </c>
      <c r="U466" s="47" t="str">
        <f>IF(mouvementmp[[#This Row],[QR Fabrication]]&lt;&gt;"",INDEX(_xlfn.TEXTSPLIT(mouvementmp[[#This Row],[QR Fabrication]],"_"),1,5),"")</f>
        <v>IBIZA</v>
      </c>
      <c r="V466" s="47" t="str">
        <f>IF(mouvementmp[[#This Row],[QR Fabrication]]&lt;&gt;"",_xlfn.TEXTAFTER(mouvementmp[[#This Row],[QR Fabrication]],"_",5),"")</f>
        <v>1020</v>
      </c>
    </row>
    <row r="467" spans="1:22" ht="16.5" thickTop="1" thickBot="1" x14ac:dyDescent="0.3">
      <c r="A467" s="46" t="s">
        <v>2504</v>
      </c>
      <c r="B467" s="54" t="s">
        <v>3806</v>
      </c>
      <c r="C467" s="47" t="s">
        <v>672</v>
      </c>
      <c r="D467" s="47" t="s">
        <v>665</v>
      </c>
      <c r="E467" s="47" t="s">
        <v>669</v>
      </c>
      <c r="F467" s="48">
        <v>18.5</v>
      </c>
      <c r="G467" s="47"/>
      <c r="H467" s="47"/>
      <c r="I467" s="47" t="s">
        <v>664</v>
      </c>
      <c r="J467" s="49">
        <v>45938</v>
      </c>
      <c r="K467" s="47" t="str">
        <f>INDEX(_xlfn.TEXTSPLIT(mouvementmp[[#This Row],[QR MP]],"_"),1,1)</f>
        <v>C02</v>
      </c>
      <c r="L467" s="47" t="str">
        <f>INDEX(_xlfn.TEXTSPLIT(mouvementmp[[#This Row],[QR MP]],"_"),1,2)</f>
        <v>ECRU</v>
      </c>
      <c r="M467" s="47" t="str">
        <f>INDEX(_xlfn.TEXTSPLIT(mouvementmp[[#This Row],[QR MP]],"_"),1,3)</f>
        <v>NM15-02.00</v>
      </c>
      <c r="N467" s="47" t="str">
        <f>INDEX(_xlfn.TEXTSPLIT(mouvementmp[[#This Row],[QR MP]],"_"),1,4)</f>
        <v>61424</v>
      </c>
      <c r="O467" s="47">
        <f>-mouvementmp[[#This Row],[Poids]]</f>
        <v>-18.5</v>
      </c>
      <c r="P467" s="47" t="str">
        <f>IF(
   COUNTIFS($A$2:A467,A467,
             $B$2:B467,B467,
             $C$2:C467,C467,
             $D$2:D467,D467,
             $E$2:E467,E467,
             $F$2:F467,F467,
              $J$2:J467,J467)&gt;1,
   "Doublon",
   "Correcte"
)</f>
        <v>Correcte</v>
      </c>
      <c r="Q467" s="106" t="str">
        <f>IF(mouvementmp[[#This Row],[QR Fabrication]]&lt;&gt;"",INDEX(_xlfn.TEXTSPLIT(mouvementmp[[#This Row],[QR Fabrication]],"_"),1,1),"")</f>
        <v>CA250155</v>
      </c>
      <c r="R467" s="106" t="str">
        <f>IF(mouvementmp[[#This Row],[QR Fabrication]]&lt;&gt;"",INDEX(_xlfn.TEXTSPLIT(mouvementmp[[#This Row],[QR Fabrication]],"_"),1,2),"")</f>
        <v>All by Fouta</v>
      </c>
      <c r="S467" s="47" t="str">
        <f>IF(mouvementmp[[#This Row],[QR Fabrication]]&lt;&gt;"",INDEX(_xlfn.TEXTSPLIT(mouvementmp[[#This Row],[QR Fabrication]],"_"),1,3),"")</f>
        <v>Stock</v>
      </c>
      <c r="T467" s="47" t="str">
        <f>IF(mouvementmp[[#This Row],[QR Fabrication]]&lt;&gt;"",INDEX(_xlfn.TEXTSPLIT(mouvementmp[[#This Row],[QR Fabrication]],"_"),1,4),"")</f>
        <v>IB1020-B02-10</v>
      </c>
      <c r="U467" s="47" t="str">
        <f>IF(mouvementmp[[#This Row],[QR Fabrication]]&lt;&gt;"",INDEX(_xlfn.TEXTSPLIT(mouvementmp[[#This Row],[QR Fabrication]],"_"),1,5),"")</f>
        <v>IBIZA</v>
      </c>
      <c r="V467" s="47" t="str">
        <f>IF(mouvementmp[[#This Row],[QR Fabrication]]&lt;&gt;"",_xlfn.TEXTAFTER(mouvementmp[[#This Row],[QR Fabrication]],"_",5),"")</f>
        <v>1020</v>
      </c>
    </row>
    <row r="468" spans="1:22" ht="16.5" thickTop="1" thickBot="1" x14ac:dyDescent="0.3">
      <c r="A468" s="46" t="s">
        <v>2504</v>
      </c>
      <c r="B468" s="54" t="s">
        <v>3846</v>
      </c>
      <c r="C468" s="47" t="s">
        <v>672</v>
      </c>
      <c r="D468" s="47" t="s">
        <v>665</v>
      </c>
      <c r="E468" s="47" t="s">
        <v>669</v>
      </c>
      <c r="F468" s="48">
        <v>5.05</v>
      </c>
      <c r="G468" s="47"/>
      <c r="H468" s="47"/>
      <c r="I468" s="47" t="s">
        <v>664</v>
      </c>
      <c r="J468" s="49">
        <v>45938</v>
      </c>
      <c r="K468" s="47" t="str">
        <f>INDEX(_xlfn.TEXTSPLIT(mouvementmp[[#This Row],[QR MP]],"_"),1,1)</f>
        <v>C10</v>
      </c>
      <c r="L468" s="47" t="str">
        <f>INDEX(_xlfn.TEXTSPLIT(mouvementmp[[#This Row],[QR MP]],"_"),1,2)</f>
        <v>BLEU MARINE</v>
      </c>
      <c r="M468" s="47" t="str">
        <f>INDEX(_xlfn.TEXTSPLIT(mouvementmp[[#This Row],[QR MP]],"_"),1,3)</f>
        <v>NM15-10.00</v>
      </c>
      <c r="N468" s="47" t="str">
        <f>INDEX(_xlfn.TEXTSPLIT(mouvementmp[[#This Row],[QR MP]],"_"),1,4)</f>
        <v>61462</v>
      </c>
      <c r="O468" s="47">
        <f>-mouvementmp[[#This Row],[Poids]]</f>
        <v>-5.05</v>
      </c>
      <c r="P468" s="47" t="str">
        <f>IF(
   COUNTIFS($A$2:A468,A468,
             $B$2:B468,B468,
             $C$2:C468,C468,
             $D$2:D468,D468,
             $E$2:E468,E468,
             $F$2:F468,F468,
              $J$2:J468,J468)&gt;1,
   "Doublon",
   "Correcte"
)</f>
        <v>Correcte</v>
      </c>
      <c r="Q468" s="106" t="str">
        <f>IF(mouvementmp[[#This Row],[QR Fabrication]]&lt;&gt;"",INDEX(_xlfn.TEXTSPLIT(mouvementmp[[#This Row],[QR Fabrication]],"_"),1,1),"")</f>
        <v>CA250155</v>
      </c>
      <c r="R468" s="106" t="str">
        <f>IF(mouvementmp[[#This Row],[QR Fabrication]]&lt;&gt;"",INDEX(_xlfn.TEXTSPLIT(mouvementmp[[#This Row],[QR Fabrication]],"_"),1,2),"")</f>
        <v>All by Fouta</v>
      </c>
      <c r="S468" s="47" t="str">
        <f>IF(mouvementmp[[#This Row],[QR Fabrication]]&lt;&gt;"",INDEX(_xlfn.TEXTSPLIT(mouvementmp[[#This Row],[QR Fabrication]],"_"),1,3),"")</f>
        <v>Stock</v>
      </c>
      <c r="T468" s="47" t="str">
        <f>IF(mouvementmp[[#This Row],[QR Fabrication]]&lt;&gt;"",INDEX(_xlfn.TEXTSPLIT(mouvementmp[[#This Row],[QR Fabrication]],"_"),1,4),"")</f>
        <v>IB1020-B02-10</v>
      </c>
      <c r="U468" s="47" t="str">
        <f>IF(mouvementmp[[#This Row],[QR Fabrication]]&lt;&gt;"",INDEX(_xlfn.TEXTSPLIT(mouvementmp[[#This Row],[QR Fabrication]],"_"),1,5),"")</f>
        <v>IBIZA</v>
      </c>
      <c r="V468" s="47" t="str">
        <f>IF(mouvementmp[[#This Row],[QR Fabrication]]&lt;&gt;"",_xlfn.TEXTAFTER(mouvementmp[[#This Row],[QR Fabrication]],"_",5),"")</f>
        <v>1020</v>
      </c>
    </row>
    <row r="469" spans="1:22" ht="16.5" thickTop="1" thickBot="1" x14ac:dyDescent="0.3">
      <c r="A469" s="46"/>
      <c r="B469" s="54" t="s">
        <v>3910</v>
      </c>
      <c r="C469" s="47" t="s">
        <v>676</v>
      </c>
      <c r="D469" s="47" t="s">
        <v>665</v>
      </c>
      <c r="E469" s="47" t="s">
        <v>677</v>
      </c>
      <c r="F469" s="48">
        <v>103.7</v>
      </c>
      <c r="G469" s="47"/>
      <c r="H469" s="47"/>
      <c r="I469" s="47" t="s">
        <v>664</v>
      </c>
      <c r="J469" s="49">
        <v>45938</v>
      </c>
      <c r="K469" s="47" t="str">
        <f>INDEX(_xlfn.TEXTSPLIT(mouvementmp[[#This Row],[QR MP]],"_"),1,1)</f>
        <v>CH</v>
      </c>
      <c r="L469" s="47" t="str">
        <f>INDEX(_xlfn.TEXTSPLIT(mouvementmp[[#This Row],[QR MP]],"_"),1,2)</f>
        <v>Ecru</v>
      </c>
      <c r="M469" s="47" t="str">
        <f>INDEX(_xlfn.TEXTSPLIT(mouvementmp[[#This Row],[QR MP]],"_"),1,3)</f>
        <v>CH2/40CE</v>
      </c>
      <c r="N469" s="47" t="str">
        <f>INDEX(_xlfn.TEXTSPLIT(mouvementmp[[#This Row],[QR MP]],"_"),1,4)</f>
        <v>A220324523/2</v>
      </c>
      <c r="O469" s="47">
        <f>-mouvementmp[[#This Row],[Poids]]</f>
        <v>-103.7</v>
      </c>
      <c r="P469" s="47" t="str">
        <f>IF(
   COUNTIFS($A$2:A469,A469,
             $B$2:B469,B469,
             $C$2:C469,C469,
             $D$2:D469,D469,
             $E$2:E469,E469,
             $F$2:F469,F469,
              $J$2:J469,J469)&gt;1,
   "Doublon",
   "Correcte"
)</f>
        <v>Correcte</v>
      </c>
      <c r="Q469" s="106" t="str">
        <f>IF(mouvementmp[[#This Row],[QR Fabrication]]&lt;&gt;"",INDEX(_xlfn.TEXTSPLIT(mouvementmp[[#This Row],[QR Fabrication]],"_"),1,1),"")</f>
        <v/>
      </c>
      <c r="R469" s="106" t="str">
        <f>IF(mouvementmp[[#This Row],[QR Fabrication]]&lt;&gt;"",INDEX(_xlfn.TEXTSPLIT(mouvementmp[[#This Row],[QR Fabrication]],"_"),1,2),"")</f>
        <v/>
      </c>
      <c r="S469" s="47" t="str">
        <f>IF(mouvementmp[[#This Row],[QR Fabrication]]&lt;&gt;"",INDEX(_xlfn.TEXTSPLIT(mouvementmp[[#This Row],[QR Fabrication]],"_"),1,3),"")</f>
        <v/>
      </c>
      <c r="T469" s="47" t="str">
        <f>IF(mouvementmp[[#This Row],[QR Fabrication]]&lt;&gt;"",INDEX(_xlfn.TEXTSPLIT(mouvementmp[[#This Row],[QR Fabrication]],"_"),1,4),"")</f>
        <v/>
      </c>
      <c r="U469" s="47" t="str">
        <f>IF(mouvementmp[[#This Row],[QR Fabrication]]&lt;&gt;"",INDEX(_xlfn.TEXTSPLIT(mouvementmp[[#This Row],[QR Fabrication]],"_"),1,5),"")</f>
        <v/>
      </c>
      <c r="V469" s="47" t="str">
        <f>IF(mouvementmp[[#This Row],[QR Fabrication]]&lt;&gt;"",_xlfn.TEXTAFTER(mouvementmp[[#This Row],[QR Fabrication]],"_",5),"")</f>
        <v/>
      </c>
    </row>
    <row r="470" spans="1:22" ht="16.5" thickTop="1" thickBot="1" x14ac:dyDescent="0.3">
      <c r="A470" s="46" t="s">
        <v>2505</v>
      </c>
      <c r="B470" s="54" t="s">
        <v>3874</v>
      </c>
      <c r="C470" s="47" t="s">
        <v>672</v>
      </c>
      <c r="D470" s="47" t="s">
        <v>665</v>
      </c>
      <c r="E470" s="47" t="s">
        <v>669</v>
      </c>
      <c r="F470" s="48">
        <v>18.5</v>
      </c>
      <c r="G470" s="47"/>
      <c r="H470" s="47"/>
      <c r="I470" s="47" t="s">
        <v>664</v>
      </c>
      <c r="J470" s="49">
        <v>45938</v>
      </c>
      <c r="K470" s="47" t="str">
        <f>INDEX(_xlfn.TEXTSPLIT(mouvementmp[[#This Row],[QR MP]],"_"),1,1)</f>
        <v>C20</v>
      </c>
      <c r="L470" s="47" t="str">
        <f>INDEX(_xlfn.TEXTSPLIT(mouvementmp[[#This Row],[QR MP]],"_"),1,2)</f>
        <v>VERT OLIVE</v>
      </c>
      <c r="M470" s="47" t="str">
        <f>INDEX(_xlfn.TEXTSPLIT(mouvementmp[[#This Row],[QR MP]],"_"),1,3)</f>
        <v>NM15-20.00</v>
      </c>
      <c r="N470" s="47" t="str">
        <f>INDEX(_xlfn.TEXTSPLIT(mouvementmp[[#This Row],[QR MP]],"_"),1,4)</f>
        <v>S2023</v>
      </c>
      <c r="O470" s="47">
        <f>-mouvementmp[[#This Row],[Poids]]</f>
        <v>-18.5</v>
      </c>
      <c r="P470" s="47" t="str">
        <f>IF(
   COUNTIFS($A$2:A470,A470,
             $B$2:B470,B470,
             $C$2:C470,C470,
             $D$2:D470,D470,
             $E$2:E470,E470,
             $F$2:F470,F470,
              $J$2:J470,J470)&gt;1,
   "Doublon",
   "Correcte"
)</f>
        <v>Correcte</v>
      </c>
      <c r="Q470" s="106" t="str">
        <f>IF(mouvementmp[[#This Row],[QR Fabrication]]&lt;&gt;"",INDEX(_xlfn.TEXTSPLIT(mouvementmp[[#This Row],[QR Fabrication]],"_"),1,1),"")</f>
        <v>CA250163</v>
      </c>
      <c r="R470" s="106" t="str">
        <f>IF(mouvementmp[[#This Row],[QR Fabrication]]&lt;&gt;"",INDEX(_xlfn.TEXTSPLIT(mouvementmp[[#This Row],[QR Fabrication]],"_"),1,2),"")</f>
        <v>All by Fouta</v>
      </c>
      <c r="S470" s="47" t="str">
        <f>IF(mouvementmp[[#This Row],[QR Fabrication]]&lt;&gt;"",INDEX(_xlfn.TEXTSPLIT(mouvementmp[[#This Row],[QR Fabrication]],"_"),1,3),"")</f>
        <v>Stock</v>
      </c>
      <c r="T470" s="47" t="str">
        <f>IF(mouvementmp[[#This Row],[QR Fabrication]]&lt;&gt;"",INDEX(_xlfn.TEXTSPLIT(mouvementmp[[#This Row],[QR Fabrication]],"_"),1,4),"")</f>
        <v>IB1020-B20-24</v>
      </c>
      <c r="U470" s="47" t="str">
        <f>IF(mouvementmp[[#This Row],[QR Fabrication]]&lt;&gt;"",INDEX(_xlfn.TEXTSPLIT(mouvementmp[[#This Row],[QR Fabrication]],"_"),1,5),"")</f>
        <v>IBIZA</v>
      </c>
      <c r="V470" s="47" t="str">
        <f>IF(mouvementmp[[#This Row],[QR Fabrication]]&lt;&gt;"",_xlfn.TEXTAFTER(mouvementmp[[#This Row],[QR Fabrication]],"_",5),"")</f>
        <v>1020</v>
      </c>
    </row>
    <row r="471" spans="1:22" ht="16.5" thickTop="1" thickBot="1" x14ac:dyDescent="0.3">
      <c r="A471" s="46" t="s">
        <v>2505</v>
      </c>
      <c r="B471" s="54" t="s">
        <v>3886</v>
      </c>
      <c r="C471" s="47" t="s">
        <v>672</v>
      </c>
      <c r="D471" s="47" t="s">
        <v>665</v>
      </c>
      <c r="E471" s="47" t="s">
        <v>669</v>
      </c>
      <c r="F471" s="48">
        <v>6.5</v>
      </c>
      <c r="G471" s="47"/>
      <c r="H471" s="47"/>
      <c r="I471" s="47" t="s">
        <v>664</v>
      </c>
      <c r="J471" s="49">
        <v>45938</v>
      </c>
      <c r="K471" s="47" t="str">
        <f>INDEX(_xlfn.TEXTSPLIT(mouvementmp[[#This Row],[QR MP]],"_"),1,1)</f>
        <v>C24</v>
      </c>
      <c r="L471" s="47" t="str">
        <f>INDEX(_xlfn.TEXTSPLIT(mouvementmp[[#This Row],[QR MP]],"_"),1,2)</f>
        <v>JAUNE SAFRAN</v>
      </c>
      <c r="M471" s="47" t="str">
        <f>INDEX(_xlfn.TEXTSPLIT(mouvementmp[[#This Row],[QR MP]],"_"),1,3)</f>
        <v>NM15-24.00</v>
      </c>
      <c r="N471" s="47" t="str">
        <f>INDEX(_xlfn.TEXTSPLIT(mouvementmp[[#This Row],[QR MP]],"_"),1,4)</f>
        <v>61554</v>
      </c>
      <c r="O471" s="47">
        <f>-mouvementmp[[#This Row],[Poids]]</f>
        <v>-6.5</v>
      </c>
      <c r="P471" s="47" t="str">
        <f>IF(
   COUNTIFS($A$2:A471,A471,
             $B$2:B471,B471,
             $C$2:C471,C471,
             $D$2:D471,D471,
             $E$2:E471,E471,
             $F$2:F471,F471,
              $J$2:J471,J471)&gt;1,
   "Doublon",
   "Correcte"
)</f>
        <v>Correcte</v>
      </c>
      <c r="Q471" s="106" t="str">
        <f>IF(mouvementmp[[#This Row],[QR Fabrication]]&lt;&gt;"",INDEX(_xlfn.TEXTSPLIT(mouvementmp[[#This Row],[QR Fabrication]],"_"),1,1),"")</f>
        <v>CA250163</v>
      </c>
      <c r="R471" s="106" t="str">
        <f>IF(mouvementmp[[#This Row],[QR Fabrication]]&lt;&gt;"",INDEX(_xlfn.TEXTSPLIT(mouvementmp[[#This Row],[QR Fabrication]],"_"),1,2),"")</f>
        <v>All by Fouta</v>
      </c>
      <c r="S471" s="47" t="str">
        <f>IF(mouvementmp[[#This Row],[QR Fabrication]]&lt;&gt;"",INDEX(_xlfn.TEXTSPLIT(mouvementmp[[#This Row],[QR Fabrication]],"_"),1,3),"")</f>
        <v>Stock</v>
      </c>
      <c r="T471" s="47" t="str">
        <f>IF(mouvementmp[[#This Row],[QR Fabrication]]&lt;&gt;"",INDEX(_xlfn.TEXTSPLIT(mouvementmp[[#This Row],[QR Fabrication]],"_"),1,4),"")</f>
        <v>IB1020-B20-24</v>
      </c>
      <c r="U471" s="47" t="str">
        <f>IF(mouvementmp[[#This Row],[QR Fabrication]]&lt;&gt;"",INDEX(_xlfn.TEXTSPLIT(mouvementmp[[#This Row],[QR Fabrication]],"_"),1,5),"")</f>
        <v>IBIZA</v>
      </c>
      <c r="V471" s="47" t="str">
        <f>IF(mouvementmp[[#This Row],[QR Fabrication]]&lt;&gt;"",_xlfn.TEXTAFTER(mouvementmp[[#This Row],[QR Fabrication]],"_",5),"")</f>
        <v>1020</v>
      </c>
    </row>
    <row r="472" spans="1:22" ht="16.5" thickTop="1" thickBot="1" x14ac:dyDescent="0.3">
      <c r="A472" s="46" t="s">
        <v>2506</v>
      </c>
      <c r="B472" s="54" t="s">
        <v>3847</v>
      </c>
      <c r="C472" s="47" t="s">
        <v>672</v>
      </c>
      <c r="D472" s="47" t="s">
        <v>665</v>
      </c>
      <c r="E472" s="47" t="s">
        <v>669</v>
      </c>
      <c r="F472" s="48">
        <v>14.5</v>
      </c>
      <c r="G472" s="47"/>
      <c r="H472" s="47"/>
      <c r="I472" s="47" t="s">
        <v>664</v>
      </c>
      <c r="J472" s="49">
        <v>45938</v>
      </c>
      <c r="K472" s="47" t="str">
        <f>INDEX(_xlfn.TEXTSPLIT(mouvementmp[[#This Row],[QR MP]],"_"),1,1)</f>
        <v>C11</v>
      </c>
      <c r="L472" s="47" t="str">
        <f>INDEX(_xlfn.TEXTSPLIT(mouvementmp[[#This Row],[QR MP]],"_"),1,2)</f>
        <v>BLEU GITANE</v>
      </c>
      <c r="M472" s="47" t="str">
        <f>INDEX(_xlfn.TEXTSPLIT(mouvementmp[[#This Row],[QR MP]],"_"),1,3)</f>
        <v>NM15-11.00</v>
      </c>
      <c r="N472" s="47" t="str">
        <f>INDEX(_xlfn.TEXTSPLIT(mouvementmp[[#This Row],[QR MP]],"_"),1,4)</f>
        <v>61659</v>
      </c>
      <c r="O472" s="47">
        <f>-mouvementmp[[#This Row],[Poids]]</f>
        <v>-14.5</v>
      </c>
      <c r="P472" s="47" t="str">
        <f>IF(
   COUNTIFS($A$2:A472,A472,
             $B$2:B472,B472,
             $C$2:C472,C472,
             $D$2:D472,D472,
             $E$2:E472,E472,
             $F$2:F472,F472,
              $J$2:J472,J472)&gt;1,
   "Doublon",
   "Correcte"
)</f>
        <v>Correcte</v>
      </c>
      <c r="Q472" s="106" t="str">
        <f>IF(mouvementmp[[#This Row],[QR Fabrication]]&lt;&gt;"",INDEX(_xlfn.TEXTSPLIT(mouvementmp[[#This Row],[QR Fabrication]],"_"),1,1),"")</f>
        <v>CA250208</v>
      </c>
      <c r="R472" s="106" t="str">
        <f>IF(mouvementmp[[#This Row],[QR Fabrication]]&lt;&gt;"",INDEX(_xlfn.TEXTSPLIT(mouvementmp[[#This Row],[QR Fabrication]],"_"),1,2),"")</f>
        <v>All by Fouta</v>
      </c>
      <c r="S472" s="47" t="str">
        <f>IF(mouvementmp[[#This Row],[QR Fabrication]]&lt;&gt;"",INDEX(_xlfn.TEXTSPLIT(mouvementmp[[#This Row],[QR Fabrication]],"_"),1,3),"")</f>
        <v>Stock</v>
      </c>
      <c r="T472" s="47" t="str">
        <f>IF(mouvementmp[[#This Row],[QR Fabrication]]&lt;&gt;"",INDEX(_xlfn.TEXTSPLIT(mouvementmp[[#This Row],[QR Fabrication]],"_"),1,4),"")</f>
        <v>AR1020-B11-25</v>
      </c>
      <c r="U472" s="47" t="str">
        <f>IF(mouvementmp[[#This Row],[QR Fabrication]]&lt;&gt;"",INDEX(_xlfn.TEXTSPLIT(mouvementmp[[#This Row],[QR Fabrication]],"_"),1,5),"")</f>
        <v>ARTHUR</v>
      </c>
      <c r="V472" s="47" t="str">
        <f>IF(mouvementmp[[#This Row],[QR Fabrication]]&lt;&gt;"",_xlfn.TEXTAFTER(mouvementmp[[#This Row],[QR Fabrication]],"_",5),"")</f>
        <v>1020</v>
      </c>
    </row>
    <row r="473" spans="1:22" ht="16.5" thickTop="1" thickBot="1" x14ac:dyDescent="0.3">
      <c r="A473" s="46" t="s">
        <v>2506</v>
      </c>
      <c r="B473" s="54" t="s">
        <v>3887</v>
      </c>
      <c r="C473" s="47" t="s">
        <v>672</v>
      </c>
      <c r="D473" s="47" t="s">
        <v>665</v>
      </c>
      <c r="E473" s="47" t="s">
        <v>669</v>
      </c>
      <c r="F473" s="48">
        <v>6.8</v>
      </c>
      <c r="G473" s="47"/>
      <c r="H473" s="47"/>
      <c r="I473" s="47" t="s">
        <v>664</v>
      </c>
      <c r="J473" s="49">
        <v>45938</v>
      </c>
      <c r="K473" s="47" t="str">
        <f>INDEX(_xlfn.TEXTSPLIT(mouvementmp[[#This Row],[QR MP]],"_"),1,1)</f>
        <v>C25</v>
      </c>
      <c r="L473" s="47" t="str">
        <f>INDEX(_xlfn.TEXTSPLIT(mouvementmp[[#This Row],[QR MP]],"_"),1,2)</f>
        <v>ORANGE</v>
      </c>
      <c r="M473" s="47" t="str">
        <f>INDEX(_xlfn.TEXTSPLIT(mouvementmp[[#This Row],[QR MP]],"_"),1,3)</f>
        <v>NM15-25.00</v>
      </c>
      <c r="N473" s="47" t="str">
        <f>INDEX(_xlfn.TEXTSPLIT(mouvementmp[[#This Row],[QR MP]],"_"),1,4)</f>
        <v>61729</v>
      </c>
      <c r="O473" s="47">
        <f>-mouvementmp[[#This Row],[Poids]]</f>
        <v>-6.8</v>
      </c>
      <c r="P473" s="47" t="str">
        <f>IF(
   COUNTIFS($A$2:A473,A473,
             $B$2:B473,B473,
             $C$2:C473,C473,
             $D$2:D473,D473,
             $E$2:E473,E473,
             $F$2:F473,F473,
              $J$2:J473,J473)&gt;1,
   "Doublon",
   "Correcte"
)</f>
        <v>Correcte</v>
      </c>
      <c r="Q473" s="106" t="str">
        <f>IF(mouvementmp[[#This Row],[QR Fabrication]]&lt;&gt;"",INDEX(_xlfn.TEXTSPLIT(mouvementmp[[#This Row],[QR Fabrication]],"_"),1,1),"")</f>
        <v>CA250208</v>
      </c>
      <c r="R473" s="106" t="str">
        <f>IF(mouvementmp[[#This Row],[QR Fabrication]]&lt;&gt;"",INDEX(_xlfn.TEXTSPLIT(mouvementmp[[#This Row],[QR Fabrication]],"_"),1,2),"")</f>
        <v>All by Fouta</v>
      </c>
      <c r="S473" s="47" t="str">
        <f>IF(mouvementmp[[#This Row],[QR Fabrication]]&lt;&gt;"",INDEX(_xlfn.TEXTSPLIT(mouvementmp[[#This Row],[QR Fabrication]],"_"),1,3),"")</f>
        <v>Stock</v>
      </c>
      <c r="T473" s="47" t="str">
        <f>IF(mouvementmp[[#This Row],[QR Fabrication]]&lt;&gt;"",INDEX(_xlfn.TEXTSPLIT(mouvementmp[[#This Row],[QR Fabrication]],"_"),1,4),"")</f>
        <v>AR1020-B11-25</v>
      </c>
      <c r="U473" s="47" t="str">
        <f>IF(mouvementmp[[#This Row],[QR Fabrication]]&lt;&gt;"",INDEX(_xlfn.TEXTSPLIT(mouvementmp[[#This Row],[QR Fabrication]],"_"),1,5),"")</f>
        <v>ARTHUR</v>
      </c>
      <c r="V473" s="47" t="str">
        <f>IF(mouvementmp[[#This Row],[QR Fabrication]]&lt;&gt;"",_xlfn.TEXTAFTER(mouvementmp[[#This Row],[QR Fabrication]],"_",5),"")</f>
        <v>1020</v>
      </c>
    </row>
    <row r="474" spans="1:22" ht="16.5" thickTop="1" thickBot="1" x14ac:dyDescent="0.3">
      <c r="A474" s="46" t="s">
        <v>2507</v>
      </c>
      <c r="B474" s="54" t="s">
        <v>3806</v>
      </c>
      <c r="C474" s="47" t="s">
        <v>672</v>
      </c>
      <c r="D474" s="47" t="s">
        <v>665</v>
      </c>
      <c r="E474" s="47" t="s">
        <v>669</v>
      </c>
      <c r="F474" s="48">
        <v>9.75</v>
      </c>
      <c r="G474" s="47"/>
      <c r="H474" s="47"/>
      <c r="I474" s="47" t="s">
        <v>664</v>
      </c>
      <c r="J474" s="49">
        <v>45938</v>
      </c>
      <c r="K474" s="47" t="str">
        <f>INDEX(_xlfn.TEXTSPLIT(mouvementmp[[#This Row],[QR MP]],"_"),1,1)</f>
        <v>C02</v>
      </c>
      <c r="L474" s="47" t="str">
        <f>INDEX(_xlfn.TEXTSPLIT(mouvementmp[[#This Row],[QR MP]],"_"),1,2)</f>
        <v>ECRU</v>
      </c>
      <c r="M474" s="47" t="str">
        <f>INDEX(_xlfn.TEXTSPLIT(mouvementmp[[#This Row],[QR MP]],"_"),1,3)</f>
        <v>NM15-02.00</v>
      </c>
      <c r="N474" s="47" t="str">
        <f>INDEX(_xlfn.TEXTSPLIT(mouvementmp[[#This Row],[QR MP]],"_"),1,4)</f>
        <v>61424</v>
      </c>
      <c r="O474" s="47">
        <f>-mouvementmp[[#This Row],[Poids]]</f>
        <v>-9.75</v>
      </c>
      <c r="P474" s="47" t="str">
        <f>IF(
   COUNTIFS($A$2:A474,A474,
             $B$2:B474,B474,
             $C$2:C474,C474,
             $D$2:D474,D474,
             $E$2:E474,E474,
             $F$2:F474,F474,
              $J$2:J474,J474)&gt;1,
   "Doublon",
   "Correcte"
)</f>
        <v>Correcte</v>
      </c>
      <c r="Q474" s="106" t="str">
        <f>IF(mouvementmp[[#This Row],[QR Fabrication]]&lt;&gt;"",INDEX(_xlfn.TEXTSPLIT(mouvementmp[[#This Row],[QR Fabrication]],"_"),1,1),"")</f>
        <v>CA250182</v>
      </c>
      <c r="R474" s="106" t="str">
        <f>IF(mouvementmp[[#This Row],[QR Fabrication]]&lt;&gt;"",INDEX(_xlfn.TEXTSPLIT(mouvementmp[[#This Row],[QR Fabrication]],"_"),1,2),"")</f>
        <v>All by Fouta</v>
      </c>
      <c r="S474" s="47" t="str">
        <f>IF(mouvementmp[[#This Row],[QR Fabrication]]&lt;&gt;"",INDEX(_xlfn.TEXTSPLIT(mouvementmp[[#This Row],[QR Fabrication]],"_"),1,3),"")</f>
        <v>Stock</v>
      </c>
      <c r="T474" s="47" t="str">
        <f>IF(mouvementmp[[#This Row],[QR Fabrication]]&lt;&gt;"",INDEX(_xlfn.TEXTSPLIT(mouvementmp[[#This Row],[QR Fabrication]],"_"),1,4),"")</f>
        <v>IB2020-B02-10</v>
      </c>
      <c r="U474" s="47" t="str">
        <f>IF(mouvementmp[[#This Row],[QR Fabrication]]&lt;&gt;"",INDEX(_xlfn.TEXTSPLIT(mouvementmp[[#This Row],[QR Fabrication]],"_"),1,5),"")</f>
        <v>IBIZA</v>
      </c>
      <c r="V474" s="47" t="str">
        <f>IF(mouvementmp[[#This Row],[QR Fabrication]]&lt;&gt;"",_xlfn.TEXTAFTER(mouvementmp[[#This Row],[QR Fabrication]],"_",5),"")</f>
        <v>2020</v>
      </c>
    </row>
    <row r="475" spans="1:22" ht="16.5" thickTop="1" thickBot="1" x14ac:dyDescent="0.3">
      <c r="A475" s="46" t="s">
        <v>2507</v>
      </c>
      <c r="B475" s="54" t="s">
        <v>3846</v>
      </c>
      <c r="C475" s="47" t="s">
        <v>672</v>
      </c>
      <c r="D475" s="47" t="s">
        <v>665</v>
      </c>
      <c r="E475" s="47" t="s">
        <v>669</v>
      </c>
      <c r="F475" s="48">
        <v>6.5</v>
      </c>
      <c r="G475" s="47"/>
      <c r="H475" s="47"/>
      <c r="I475" s="47" t="s">
        <v>664</v>
      </c>
      <c r="J475" s="49">
        <v>45938</v>
      </c>
      <c r="K475" s="47" t="str">
        <f>INDEX(_xlfn.TEXTSPLIT(mouvementmp[[#This Row],[QR MP]],"_"),1,1)</f>
        <v>C10</v>
      </c>
      <c r="L475" s="47" t="str">
        <f>INDEX(_xlfn.TEXTSPLIT(mouvementmp[[#This Row],[QR MP]],"_"),1,2)</f>
        <v>BLEU MARINE</v>
      </c>
      <c r="M475" s="47" t="str">
        <f>INDEX(_xlfn.TEXTSPLIT(mouvementmp[[#This Row],[QR MP]],"_"),1,3)</f>
        <v>NM15-10.00</v>
      </c>
      <c r="N475" s="47" t="str">
        <f>INDEX(_xlfn.TEXTSPLIT(mouvementmp[[#This Row],[QR MP]],"_"),1,4)</f>
        <v>61462</v>
      </c>
      <c r="O475" s="47">
        <f>-mouvementmp[[#This Row],[Poids]]</f>
        <v>-6.5</v>
      </c>
      <c r="P475" s="47" t="str">
        <f>IF(
   COUNTIFS($A$2:A475,A475,
             $B$2:B475,B475,
             $C$2:C475,C475,
             $D$2:D475,D475,
             $E$2:E475,E475,
             $F$2:F475,F475,
              $J$2:J475,J475)&gt;1,
   "Doublon",
   "Correcte"
)</f>
        <v>Correcte</v>
      </c>
      <c r="Q475" s="106" t="str">
        <f>IF(mouvementmp[[#This Row],[QR Fabrication]]&lt;&gt;"",INDEX(_xlfn.TEXTSPLIT(mouvementmp[[#This Row],[QR Fabrication]],"_"),1,1),"")</f>
        <v>CA250182</v>
      </c>
      <c r="R475" s="106" t="str">
        <f>IF(mouvementmp[[#This Row],[QR Fabrication]]&lt;&gt;"",INDEX(_xlfn.TEXTSPLIT(mouvementmp[[#This Row],[QR Fabrication]],"_"),1,2),"")</f>
        <v>All by Fouta</v>
      </c>
      <c r="S475" s="47" t="str">
        <f>IF(mouvementmp[[#This Row],[QR Fabrication]]&lt;&gt;"",INDEX(_xlfn.TEXTSPLIT(mouvementmp[[#This Row],[QR Fabrication]],"_"),1,3),"")</f>
        <v>Stock</v>
      </c>
      <c r="T475" s="47" t="str">
        <f>IF(mouvementmp[[#This Row],[QR Fabrication]]&lt;&gt;"",INDEX(_xlfn.TEXTSPLIT(mouvementmp[[#This Row],[QR Fabrication]],"_"),1,4),"")</f>
        <v>IB2020-B02-10</v>
      </c>
      <c r="U475" s="47" t="str">
        <f>IF(mouvementmp[[#This Row],[QR Fabrication]]&lt;&gt;"",INDEX(_xlfn.TEXTSPLIT(mouvementmp[[#This Row],[QR Fabrication]],"_"),1,5),"")</f>
        <v>IBIZA</v>
      </c>
      <c r="V475" s="47" t="str">
        <f>IF(mouvementmp[[#This Row],[QR Fabrication]]&lt;&gt;"",_xlfn.TEXTAFTER(mouvementmp[[#This Row],[QR Fabrication]],"_",5),"")</f>
        <v>2020</v>
      </c>
    </row>
    <row r="476" spans="1:22" ht="16.5" thickTop="1" thickBot="1" x14ac:dyDescent="0.3">
      <c r="A476" s="46" t="s">
        <v>2508</v>
      </c>
      <c r="B476" s="54" t="s">
        <v>3838</v>
      </c>
      <c r="C476" s="47" t="s">
        <v>672</v>
      </c>
      <c r="D476" s="47" t="s">
        <v>665</v>
      </c>
      <c r="E476" s="47" t="s">
        <v>669</v>
      </c>
      <c r="F476" s="48">
        <v>14.55</v>
      </c>
      <c r="G476" s="47"/>
      <c r="H476" s="47"/>
      <c r="I476" s="47" t="s">
        <v>664</v>
      </c>
      <c r="J476" s="49">
        <v>45938</v>
      </c>
      <c r="K476" s="47" t="str">
        <f>INDEX(_xlfn.TEXTSPLIT(mouvementmp[[#This Row],[QR MP]],"_"),1,1)</f>
        <v>C07</v>
      </c>
      <c r="L476" s="47" t="str">
        <f>INDEX(_xlfn.TEXTSPLIT(mouvementmp[[#This Row],[QR MP]],"_"),1,2)</f>
        <v>GRIS MOYEN</v>
      </c>
      <c r="M476" s="47" t="str">
        <f>INDEX(_xlfn.TEXTSPLIT(mouvementmp[[#This Row],[QR MP]],"_"),1,3)</f>
        <v>NM15-07.00</v>
      </c>
      <c r="N476" s="47" t="str">
        <f>INDEX(_xlfn.TEXTSPLIT(mouvementmp[[#This Row],[QR MP]],"_"),1,4)</f>
        <v>61445</v>
      </c>
      <c r="O476" s="47">
        <f>-mouvementmp[[#This Row],[Poids]]</f>
        <v>-14.55</v>
      </c>
      <c r="P476" s="47" t="str">
        <f>IF(
   COUNTIFS($A$2:A476,A476,
             $B$2:B476,B476,
             $C$2:C476,C476,
             $D$2:D476,D476,
             $E$2:E476,E476,
             $F$2:F476,F476,
              $J$2:J476,J476)&gt;1,
   "Doublon",
   "Correcte"
)</f>
        <v>Correcte</v>
      </c>
      <c r="Q476" s="106" t="str">
        <f>IF(mouvementmp[[#This Row],[QR Fabrication]]&lt;&gt;"",INDEX(_xlfn.TEXTSPLIT(mouvementmp[[#This Row],[QR Fabrication]],"_"),1,1),"")</f>
        <v>CA250237</v>
      </c>
      <c r="R476" s="106" t="str">
        <f>IF(mouvementmp[[#This Row],[QR Fabrication]]&lt;&gt;"",INDEX(_xlfn.TEXTSPLIT(mouvementmp[[#This Row],[QR Fabrication]],"_"),1,2),"")</f>
        <v>All by Fouta</v>
      </c>
      <c r="S476" s="47" t="str">
        <f>IF(mouvementmp[[#This Row],[QR Fabrication]]&lt;&gt;"",INDEX(_xlfn.TEXTSPLIT(mouvementmp[[#This Row],[QR Fabrication]],"_"),1,3),"")</f>
        <v>Stock</v>
      </c>
      <c r="T476" s="47" t="str">
        <f>IF(mouvementmp[[#This Row],[QR Fabrication]]&lt;&gt;"",INDEX(_xlfn.TEXTSPLIT(mouvementmp[[#This Row],[QR Fabrication]],"_"),1,4),"")</f>
        <v>AR2020-B07-17</v>
      </c>
      <c r="U476" s="47" t="str">
        <f>IF(mouvementmp[[#This Row],[QR Fabrication]]&lt;&gt;"",INDEX(_xlfn.TEXTSPLIT(mouvementmp[[#This Row],[QR Fabrication]],"_"),1,5),"")</f>
        <v>ARTHUR</v>
      </c>
      <c r="V476" s="47" t="str">
        <f>IF(mouvementmp[[#This Row],[QR Fabrication]]&lt;&gt;"",_xlfn.TEXTAFTER(mouvementmp[[#This Row],[QR Fabrication]],"_",5),"")</f>
        <v>2020</v>
      </c>
    </row>
    <row r="477" spans="1:22" ht="16.5" thickTop="1" thickBot="1" x14ac:dyDescent="0.3">
      <c r="A477" s="46" t="s">
        <v>2508</v>
      </c>
      <c r="B477" s="54" t="s">
        <v>3865</v>
      </c>
      <c r="C477" s="47" t="s">
        <v>672</v>
      </c>
      <c r="D477" s="47" t="s">
        <v>665</v>
      </c>
      <c r="E477" s="47" t="s">
        <v>669</v>
      </c>
      <c r="F477" s="48">
        <v>6.75</v>
      </c>
      <c r="G477" s="47"/>
      <c r="H477" s="47"/>
      <c r="I477" s="47" t="s">
        <v>664</v>
      </c>
      <c r="J477" s="49">
        <v>45938</v>
      </c>
      <c r="K477" s="47" t="str">
        <f>INDEX(_xlfn.TEXTSPLIT(mouvementmp[[#This Row],[QR MP]],"_"),1,1)</f>
        <v>C17</v>
      </c>
      <c r="L477" s="47" t="str">
        <f>INDEX(_xlfn.TEXTSPLIT(mouvementmp[[#This Row],[QR MP]],"_"),1,2)</f>
        <v>EMAURAUDE</v>
      </c>
      <c r="M477" s="47" t="str">
        <f>INDEX(_xlfn.TEXTSPLIT(mouvementmp[[#This Row],[QR MP]],"_"),1,3)</f>
        <v>NM15-17.00</v>
      </c>
      <c r="N477" s="47" t="str">
        <f>INDEX(_xlfn.TEXTSPLIT(mouvementmp[[#This Row],[QR MP]],"_"),1,4)</f>
        <v>61571</v>
      </c>
      <c r="O477" s="47">
        <f>-mouvementmp[[#This Row],[Poids]]</f>
        <v>-6.75</v>
      </c>
      <c r="P477" s="47" t="str">
        <f>IF(
   COUNTIFS($A$2:A477,A477,
             $B$2:B477,B477,
             $C$2:C477,C477,
             $D$2:D477,D477,
             $E$2:E477,E477,
             $F$2:F477,F477,
              $J$2:J477,J477)&gt;1,
   "Doublon",
   "Correcte"
)</f>
        <v>Correcte</v>
      </c>
      <c r="Q477" s="106" t="str">
        <f>IF(mouvementmp[[#This Row],[QR Fabrication]]&lt;&gt;"",INDEX(_xlfn.TEXTSPLIT(mouvementmp[[#This Row],[QR Fabrication]],"_"),1,1),"")</f>
        <v>CA250237</v>
      </c>
      <c r="R477" s="106" t="str">
        <f>IF(mouvementmp[[#This Row],[QR Fabrication]]&lt;&gt;"",INDEX(_xlfn.TEXTSPLIT(mouvementmp[[#This Row],[QR Fabrication]],"_"),1,2),"")</f>
        <v>All by Fouta</v>
      </c>
      <c r="S477" s="47" t="str">
        <f>IF(mouvementmp[[#This Row],[QR Fabrication]]&lt;&gt;"",INDEX(_xlfn.TEXTSPLIT(mouvementmp[[#This Row],[QR Fabrication]],"_"),1,3),"")</f>
        <v>Stock</v>
      </c>
      <c r="T477" s="47" t="str">
        <f>IF(mouvementmp[[#This Row],[QR Fabrication]]&lt;&gt;"",INDEX(_xlfn.TEXTSPLIT(mouvementmp[[#This Row],[QR Fabrication]],"_"),1,4),"")</f>
        <v>AR2020-B07-17</v>
      </c>
      <c r="U477" s="47" t="str">
        <f>IF(mouvementmp[[#This Row],[QR Fabrication]]&lt;&gt;"",INDEX(_xlfn.TEXTSPLIT(mouvementmp[[#This Row],[QR Fabrication]],"_"),1,5),"")</f>
        <v>ARTHUR</v>
      </c>
      <c r="V477" s="47" t="str">
        <f>IF(mouvementmp[[#This Row],[QR Fabrication]]&lt;&gt;"",_xlfn.TEXTAFTER(mouvementmp[[#This Row],[QR Fabrication]],"_",5),"")</f>
        <v>2020</v>
      </c>
    </row>
    <row r="478" spans="1:22" ht="16.5" thickTop="1" thickBot="1" x14ac:dyDescent="0.3">
      <c r="A478" s="46" t="s">
        <v>2509</v>
      </c>
      <c r="B478" s="54" t="s">
        <v>3921</v>
      </c>
      <c r="C478" s="47" t="s">
        <v>672</v>
      </c>
      <c r="D478" s="47" t="s">
        <v>665</v>
      </c>
      <c r="E478" s="47" t="s">
        <v>669</v>
      </c>
      <c r="F478" s="48">
        <v>19.5</v>
      </c>
      <c r="G478" s="47"/>
      <c r="H478" s="47"/>
      <c r="I478" s="47" t="s">
        <v>664</v>
      </c>
      <c r="J478" s="49">
        <v>45938</v>
      </c>
      <c r="K478" s="47" t="str">
        <f>INDEX(_xlfn.TEXTSPLIT(mouvementmp[[#This Row],[QR MP]],"_"),1,1)</f>
        <v>C06</v>
      </c>
      <c r="L478" s="47" t="str">
        <f>INDEX(_xlfn.TEXTSPLIT(mouvementmp[[#This Row],[QR MP]],"_"),1,2)</f>
        <v>GRIS CLAIR</v>
      </c>
      <c r="M478" s="47" t="str">
        <f>INDEX(_xlfn.TEXTSPLIT(mouvementmp[[#This Row],[QR MP]],"_"),1,3)</f>
        <v>NM15-06.00</v>
      </c>
      <c r="N478" s="47" t="str">
        <f>INDEX(_xlfn.TEXTSPLIT(mouvementmp[[#This Row],[QR MP]],"_"),1,4)</f>
        <v>61828</v>
      </c>
      <c r="O478" s="47">
        <f>-mouvementmp[[#This Row],[Poids]]</f>
        <v>-19.5</v>
      </c>
      <c r="P478" s="47" t="str">
        <f>IF(
   COUNTIFS($A$2:A478,A478,
             $B$2:B478,B478,
             $C$2:C478,C478,
             $D$2:D478,D478,
             $E$2:E478,E478,
             $F$2:F478,F478,
              $J$2:J478,J478)&gt;1,
   "Doublon",
   "Correcte"
)</f>
        <v>Correcte</v>
      </c>
      <c r="Q478" s="106" t="str">
        <f>IF(mouvementmp[[#This Row],[QR Fabrication]]&lt;&gt;"",INDEX(_xlfn.TEXTSPLIT(mouvementmp[[#This Row],[QR Fabrication]],"_"),1,1),"")</f>
        <v>CA250156</v>
      </c>
      <c r="R478" s="106" t="str">
        <f>IF(mouvementmp[[#This Row],[QR Fabrication]]&lt;&gt;"",INDEX(_xlfn.TEXTSPLIT(mouvementmp[[#This Row],[QR Fabrication]],"_"),1,2),"")</f>
        <v>All by Fouta</v>
      </c>
      <c r="S478" s="47" t="str">
        <f>IF(mouvementmp[[#This Row],[QR Fabrication]]&lt;&gt;"",INDEX(_xlfn.TEXTSPLIT(mouvementmp[[#This Row],[QR Fabrication]],"_"),1,3),"")</f>
        <v>Stock</v>
      </c>
      <c r="T478" s="47" t="str">
        <f>IF(mouvementmp[[#This Row],[QR Fabrication]]&lt;&gt;"",INDEX(_xlfn.TEXTSPLIT(mouvementmp[[#This Row],[QR Fabrication]],"_"),1,4),"")</f>
        <v>IB1020-B06-08</v>
      </c>
      <c r="U478" s="47" t="str">
        <f>IF(mouvementmp[[#This Row],[QR Fabrication]]&lt;&gt;"",INDEX(_xlfn.TEXTSPLIT(mouvementmp[[#This Row],[QR Fabrication]],"_"),1,5),"")</f>
        <v>IBIZA</v>
      </c>
      <c r="V478" s="47" t="str">
        <f>IF(mouvementmp[[#This Row],[QR Fabrication]]&lt;&gt;"",_xlfn.TEXTAFTER(mouvementmp[[#This Row],[QR Fabrication]],"_",5),"")</f>
        <v>1020</v>
      </c>
    </row>
    <row r="479" spans="1:22" ht="16.5" thickTop="1" thickBot="1" x14ac:dyDescent="0.3">
      <c r="A479" s="46" t="s">
        <v>2509</v>
      </c>
      <c r="B479" s="54" t="s">
        <v>3841</v>
      </c>
      <c r="C479" s="47" t="s">
        <v>672</v>
      </c>
      <c r="D479" s="47" t="s">
        <v>665</v>
      </c>
      <c r="E479" s="47" t="s">
        <v>669</v>
      </c>
      <c r="F479" s="48">
        <v>4.95</v>
      </c>
      <c r="G479" s="47"/>
      <c r="H479" s="47"/>
      <c r="I479" s="47" t="s">
        <v>664</v>
      </c>
      <c r="J479" s="49">
        <v>45938</v>
      </c>
      <c r="K479" s="47" t="str">
        <f>INDEX(_xlfn.TEXTSPLIT(mouvementmp[[#This Row],[QR MP]],"_"),1,1)</f>
        <v>C08</v>
      </c>
      <c r="L479" s="47" t="str">
        <f>INDEX(_xlfn.TEXTSPLIT(mouvementmp[[#This Row],[QR MP]],"_"),1,2)</f>
        <v>GRIS ANTHRACITE</v>
      </c>
      <c r="M479" s="47" t="str">
        <f>INDEX(_xlfn.TEXTSPLIT(mouvementmp[[#This Row],[QR MP]],"_"),1,3)</f>
        <v>NM15-08.00</v>
      </c>
      <c r="N479" s="47" t="str">
        <f>INDEX(_xlfn.TEXTSPLIT(mouvementmp[[#This Row],[QR MP]],"_"),1,4)</f>
        <v>59358</v>
      </c>
      <c r="O479" s="47">
        <f>-mouvementmp[[#This Row],[Poids]]</f>
        <v>-4.95</v>
      </c>
      <c r="P479" s="47" t="str">
        <f>IF(
   COUNTIFS($A$2:A479,A479,
             $B$2:B479,B479,
             $C$2:C479,C479,
             $D$2:D479,D479,
             $E$2:E479,E479,
             $F$2:F479,F479,
              $J$2:J479,J479)&gt;1,
   "Doublon",
   "Correcte"
)</f>
        <v>Correcte</v>
      </c>
      <c r="Q479" s="106" t="str">
        <f>IF(mouvementmp[[#This Row],[QR Fabrication]]&lt;&gt;"",INDEX(_xlfn.TEXTSPLIT(mouvementmp[[#This Row],[QR Fabrication]],"_"),1,1),"")</f>
        <v>CA250156</v>
      </c>
      <c r="R479" s="106" t="str">
        <f>IF(mouvementmp[[#This Row],[QR Fabrication]]&lt;&gt;"",INDEX(_xlfn.TEXTSPLIT(mouvementmp[[#This Row],[QR Fabrication]],"_"),1,2),"")</f>
        <v>All by Fouta</v>
      </c>
      <c r="S479" s="47" t="str">
        <f>IF(mouvementmp[[#This Row],[QR Fabrication]]&lt;&gt;"",INDEX(_xlfn.TEXTSPLIT(mouvementmp[[#This Row],[QR Fabrication]],"_"),1,3),"")</f>
        <v>Stock</v>
      </c>
      <c r="T479" s="47" t="str">
        <f>IF(mouvementmp[[#This Row],[QR Fabrication]]&lt;&gt;"",INDEX(_xlfn.TEXTSPLIT(mouvementmp[[#This Row],[QR Fabrication]],"_"),1,4),"")</f>
        <v>IB1020-B06-08</v>
      </c>
      <c r="U479" s="47" t="str">
        <f>IF(mouvementmp[[#This Row],[QR Fabrication]]&lt;&gt;"",INDEX(_xlfn.TEXTSPLIT(mouvementmp[[#This Row],[QR Fabrication]],"_"),1,5),"")</f>
        <v>IBIZA</v>
      </c>
      <c r="V479" s="47" t="str">
        <f>IF(mouvementmp[[#This Row],[QR Fabrication]]&lt;&gt;"",_xlfn.TEXTAFTER(mouvementmp[[#This Row],[QR Fabrication]],"_",5),"")</f>
        <v>1020</v>
      </c>
    </row>
    <row r="480" spans="1:22" ht="16.5" thickTop="1" thickBot="1" x14ac:dyDescent="0.3">
      <c r="A480" s="46" t="s">
        <v>2510</v>
      </c>
      <c r="B480" s="54" t="s">
        <v>3847</v>
      </c>
      <c r="C480" s="47" t="s">
        <v>672</v>
      </c>
      <c r="D480" s="47" t="s">
        <v>665</v>
      </c>
      <c r="E480" s="47" t="s">
        <v>669</v>
      </c>
      <c r="F480" s="48">
        <v>18.149999999999999</v>
      </c>
      <c r="G480" s="47"/>
      <c r="H480" s="47"/>
      <c r="I480" s="47" t="s">
        <v>664</v>
      </c>
      <c r="J480" s="49">
        <v>45938</v>
      </c>
      <c r="K480" s="47" t="str">
        <f>INDEX(_xlfn.TEXTSPLIT(mouvementmp[[#This Row],[QR MP]],"_"),1,1)</f>
        <v>C11</v>
      </c>
      <c r="L480" s="47" t="str">
        <f>INDEX(_xlfn.TEXTSPLIT(mouvementmp[[#This Row],[QR MP]],"_"),1,2)</f>
        <v>BLEU GITANE</v>
      </c>
      <c r="M480" s="47" t="str">
        <f>INDEX(_xlfn.TEXTSPLIT(mouvementmp[[#This Row],[QR MP]],"_"),1,3)</f>
        <v>NM15-11.00</v>
      </c>
      <c r="N480" s="47" t="str">
        <f>INDEX(_xlfn.TEXTSPLIT(mouvementmp[[#This Row],[QR MP]],"_"),1,4)</f>
        <v>61659</v>
      </c>
      <c r="O480" s="47">
        <f>-mouvementmp[[#This Row],[Poids]]</f>
        <v>-18.149999999999999</v>
      </c>
      <c r="P480" s="47" t="str">
        <f>IF(
   COUNTIFS($A$2:A480,A480,
             $B$2:B480,B480,
             $C$2:C480,C480,
             $D$2:D480,D480,
             $E$2:E480,E480,
             $F$2:F480,F480,
              $J$2:J480,J480)&gt;1,
   "Doublon",
   "Correcte"
)</f>
        <v>Correcte</v>
      </c>
      <c r="Q480" s="106" t="str">
        <f>IF(mouvementmp[[#This Row],[QR Fabrication]]&lt;&gt;"",INDEX(_xlfn.TEXTSPLIT(mouvementmp[[#This Row],[QR Fabrication]],"_"),1,1),"")</f>
        <v>CA250158</v>
      </c>
      <c r="R480" s="106" t="str">
        <f>IF(mouvementmp[[#This Row],[QR Fabrication]]&lt;&gt;"",INDEX(_xlfn.TEXTSPLIT(mouvementmp[[#This Row],[QR Fabrication]],"_"),1,2),"")</f>
        <v>All by Fouta</v>
      </c>
      <c r="S480" s="47" t="str">
        <f>IF(mouvementmp[[#This Row],[QR Fabrication]]&lt;&gt;"",INDEX(_xlfn.TEXTSPLIT(mouvementmp[[#This Row],[QR Fabrication]],"_"),1,3),"")</f>
        <v>Stock</v>
      </c>
      <c r="T480" s="47" t="str">
        <f>IF(mouvementmp[[#This Row],[QR Fabrication]]&lt;&gt;"",INDEX(_xlfn.TEXTSPLIT(mouvementmp[[#This Row],[QR Fabrication]],"_"),1,4),"")</f>
        <v>IB1020-B11-25</v>
      </c>
      <c r="U480" s="47" t="str">
        <f>IF(mouvementmp[[#This Row],[QR Fabrication]]&lt;&gt;"",INDEX(_xlfn.TEXTSPLIT(mouvementmp[[#This Row],[QR Fabrication]],"_"),1,5),"")</f>
        <v>IBIZA</v>
      </c>
      <c r="V480" s="47" t="str">
        <f>IF(mouvementmp[[#This Row],[QR Fabrication]]&lt;&gt;"",_xlfn.TEXTAFTER(mouvementmp[[#This Row],[QR Fabrication]],"_",5),"")</f>
        <v>1020</v>
      </c>
    </row>
    <row r="481" spans="1:22" ht="16.5" thickTop="1" thickBot="1" x14ac:dyDescent="0.3">
      <c r="A481" s="46" t="s">
        <v>2510</v>
      </c>
      <c r="B481" s="54" t="s">
        <v>3887</v>
      </c>
      <c r="C481" s="47" t="s">
        <v>672</v>
      </c>
      <c r="D481" s="47" t="s">
        <v>665</v>
      </c>
      <c r="E481" s="47" t="s">
        <v>669</v>
      </c>
      <c r="F481" s="48">
        <v>6.8</v>
      </c>
      <c r="G481" s="47"/>
      <c r="H481" s="47"/>
      <c r="I481" s="47" t="s">
        <v>664</v>
      </c>
      <c r="J481" s="49">
        <v>45938</v>
      </c>
      <c r="K481" s="47" t="str">
        <f>INDEX(_xlfn.TEXTSPLIT(mouvementmp[[#This Row],[QR MP]],"_"),1,1)</f>
        <v>C25</v>
      </c>
      <c r="L481" s="47" t="str">
        <f>INDEX(_xlfn.TEXTSPLIT(mouvementmp[[#This Row],[QR MP]],"_"),1,2)</f>
        <v>ORANGE</v>
      </c>
      <c r="M481" s="47" t="str">
        <f>INDEX(_xlfn.TEXTSPLIT(mouvementmp[[#This Row],[QR MP]],"_"),1,3)</f>
        <v>NM15-25.00</v>
      </c>
      <c r="N481" s="47" t="str">
        <f>INDEX(_xlfn.TEXTSPLIT(mouvementmp[[#This Row],[QR MP]],"_"),1,4)</f>
        <v>61729</v>
      </c>
      <c r="O481" s="47">
        <f>-mouvementmp[[#This Row],[Poids]]</f>
        <v>-6.8</v>
      </c>
      <c r="P481" s="47" t="str">
        <f>IF(
   COUNTIFS($A$2:A481,A481,
             $B$2:B481,B481,
             $C$2:C481,C481,
             $D$2:D481,D481,
             $E$2:E481,E481,
             $F$2:F481,F481,
              $J$2:J481,J481)&gt;1,
   "Doublon",
   "Correcte"
)</f>
        <v>Correcte</v>
      </c>
      <c r="Q481" s="106" t="str">
        <f>IF(mouvementmp[[#This Row],[QR Fabrication]]&lt;&gt;"",INDEX(_xlfn.TEXTSPLIT(mouvementmp[[#This Row],[QR Fabrication]],"_"),1,1),"")</f>
        <v>CA250158</v>
      </c>
      <c r="R481" s="106" t="str">
        <f>IF(mouvementmp[[#This Row],[QR Fabrication]]&lt;&gt;"",INDEX(_xlfn.TEXTSPLIT(mouvementmp[[#This Row],[QR Fabrication]],"_"),1,2),"")</f>
        <v>All by Fouta</v>
      </c>
      <c r="S481" s="47" t="str">
        <f>IF(mouvementmp[[#This Row],[QR Fabrication]]&lt;&gt;"",INDEX(_xlfn.TEXTSPLIT(mouvementmp[[#This Row],[QR Fabrication]],"_"),1,3),"")</f>
        <v>Stock</v>
      </c>
      <c r="T481" s="47" t="str">
        <f>IF(mouvementmp[[#This Row],[QR Fabrication]]&lt;&gt;"",INDEX(_xlfn.TEXTSPLIT(mouvementmp[[#This Row],[QR Fabrication]],"_"),1,4),"")</f>
        <v>IB1020-B11-25</v>
      </c>
      <c r="U481" s="47" t="str">
        <f>IF(mouvementmp[[#This Row],[QR Fabrication]]&lt;&gt;"",INDEX(_xlfn.TEXTSPLIT(mouvementmp[[#This Row],[QR Fabrication]],"_"),1,5),"")</f>
        <v>IBIZA</v>
      </c>
      <c r="V481" s="47" t="str">
        <f>IF(mouvementmp[[#This Row],[QR Fabrication]]&lt;&gt;"",_xlfn.TEXTAFTER(mouvementmp[[#This Row],[QR Fabrication]],"_",5),"")</f>
        <v>1020</v>
      </c>
    </row>
    <row r="482" spans="1:22" ht="16.5" thickTop="1" thickBot="1" x14ac:dyDescent="0.3">
      <c r="A482" s="46" t="s">
        <v>2511</v>
      </c>
      <c r="B482" s="54" t="s">
        <v>3851</v>
      </c>
      <c r="C482" s="47" t="s">
        <v>672</v>
      </c>
      <c r="D482" s="47" t="s">
        <v>665</v>
      </c>
      <c r="E482" s="47" t="s">
        <v>669</v>
      </c>
      <c r="F482" s="48">
        <v>14.5</v>
      </c>
      <c r="G482" s="47"/>
      <c r="H482" s="47"/>
      <c r="I482" s="47" t="s">
        <v>664</v>
      </c>
      <c r="J482" s="49">
        <v>45938</v>
      </c>
      <c r="K482" s="47" t="str">
        <f>INDEX(_xlfn.TEXTSPLIT(mouvementmp[[#This Row],[QR MP]],"_"),1,1)</f>
        <v>C12</v>
      </c>
      <c r="L482" s="47" t="str">
        <f>INDEX(_xlfn.TEXTSPLIT(mouvementmp[[#This Row],[QR MP]],"_"),1,2)</f>
        <v>BLEU DJEAN</v>
      </c>
      <c r="M482" s="47" t="str">
        <f>INDEX(_xlfn.TEXTSPLIT(mouvementmp[[#This Row],[QR MP]],"_"),1,3)</f>
        <v>NM15-12.00</v>
      </c>
      <c r="N482" s="47" t="str">
        <f>INDEX(_xlfn.TEXTSPLIT(mouvementmp[[#This Row],[QR MP]],"_"),1,4)</f>
        <v>S2023</v>
      </c>
      <c r="O482" s="47">
        <f>-mouvementmp[[#This Row],[Poids]]</f>
        <v>-14.5</v>
      </c>
      <c r="P482" s="47" t="str">
        <f>IF(
   COUNTIFS($A$2:A482,A482,
             $B$2:B482,B482,
             $C$2:C482,C482,
             $D$2:D482,D482,
             $E$2:E482,E482,
             $F$2:F482,F482,
              $J$2:J482,J482)&gt;1,
   "Doublon",
   "Correcte"
)</f>
        <v>Correcte</v>
      </c>
      <c r="Q482" s="106" t="str">
        <f>IF(mouvementmp[[#This Row],[QR Fabrication]]&lt;&gt;"",INDEX(_xlfn.TEXTSPLIT(mouvementmp[[#This Row],[QR Fabrication]],"_"),1,1),"")</f>
        <v>CA250209</v>
      </c>
      <c r="R482" s="106" t="str">
        <f>IF(mouvementmp[[#This Row],[QR Fabrication]]&lt;&gt;"",INDEX(_xlfn.TEXTSPLIT(mouvementmp[[#This Row],[QR Fabrication]],"_"),1,2),"")</f>
        <v>All by Fouta</v>
      </c>
      <c r="S482" s="47" t="str">
        <f>IF(mouvementmp[[#This Row],[QR Fabrication]]&lt;&gt;"",INDEX(_xlfn.TEXTSPLIT(mouvementmp[[#This Row],[QR Fabrication]],"_"),1,3),"")</f>
        <v>Stock</v>
      </c>
      <c r="T482" s="47" t="str">
        <f>IF(mouvementmp[[#This Row],[QR Fabrication]]&lt;&gt;"",INDEX(_xlfn.TEXTSPLIT(mouvementmp[[#This Row],[QR Fabrication]],"_"),1,4),"")</f>
        <v>AR1020-B12-32</v>
      </c>
      <c r="U482" s="47" t="str">
        <f>IF(mouvementmp[[#This Row],[QR Fabrication]]&lt;&gt;"",INDEX(_xlfn.TEXTSPLIT(mouvementmp[[#This Row],[QR Fabrication]],"_"),1,5),"")</f>
        <v>ARTHUR</v>
      </c>
      <c r="V482" s="47" t="str">
        <f>IF(mouvementmp[[#This Row],[QR Fabrication]]&lt;&gt;"",_xlfn.TEXTAFTER(mouvementmp[[#This Row],[QR Fabrication]],"_",5),"")</f>
        <v>1020</v>
      </c>
    </row>
    <row r="483" spans="1:22" ht="16.5" thickTop="1" thickBot="1" x14ac:dyDescent="0.3">
      <c r="A483" s="46" t="s">
        <v>2511</v>
      </c>
      <c r="B483" s="54" t="s">
        <v>3905</v>
      </c>
      <c r="C483" s="47" t="s">
        <v>672</v>
      </c>
      <c r="D483" s="47" t="s">
        <v>665</v>
      </c>
      <c r="E483" s="47" t="s">
        <v>669</v>
      </c>
      <c r="F483" s="48">
        <v>6.8</v>
      </c>
      <c r="G483" s="47"/>
      <c r="H483" s="47"/>
      <c r="I483" s="47" t="s">
        <v>664</v>
      </c>
      <c r="J483" s="49">
        <v>45938</v>
      </c>
      <c r="K483" s="47" t="str">
        <f>INDEX(_xlfn.TEXTSPLIT(mouvementmp[[#This Row],[QR MP]],"_"),1,1)</f>
        <v>C32</v>
      </c>
      <c r="L483" s="47" t="str">
        <f>INDEX(_xlfn.TEXTSPLIT(mouvementmp[[#This Row],[QR MP]],"_"),1,2)</f>
        <v>VIEUX ROSE</v>
      </c>
      <c r="M483" s="47" t="str">
        <f>INDEX(_xlfn.TEXTSPLIT(mouvementmp[[#This Row],[QR MP]],"_"),1,3)</f>
        <v>NM15-32.00</v>
      </c>
      <c r="N483" s="47" t="str">
        <f>INDEX(_xlfn.TEXTSPLIT(mouvementmp[[#This Row],[QR MP]],"_"),1,4)</f>
        <v>61455</v>
      </c>
      <c r="O483" s="47">
        <f>-mouvementmp[[#This Row],[Poids]]</f>
        <v>-6.8</v>
      </c>
      <c r="P483" s="47" t="str">
        <f>IF(
   COUNTIFS($A$2:A483,A483,
             $B$2:B483,B483,
             $C$2:C483,C483,
             $D$2:D483,D483,
             $E$2:E483,E483,
             $F$2:F483,F483,
              $J$2:J483,J483)&gt;1,
   "Doublon",
   "Correcte"
)</f>
        <v>Correcte</v>
      </c>
      <c r="Q483" s="106" t="str">
        <f>IF(mouvementmp[[#This Row],[QR Fabrication]]&lt;&gt;"",INDEX(_xlfn.TEXTSPLIT(mouvementmp[[#This Row],[QR Fabrication]],"_"),1,1),"")</f>
        <v>CA250209</v>
      </c>
      <c r="R483" s="106" t="str">
        <f>IF(mouvementmp[[#This Row],[QR Fabrication]]&lt;&gt;"",INDEX(_xlfn.TEXTSPLIT(mouvementmp[[#This Row],[QR Fabrication]],"_"),1,2),"")</f>
        <v>All by Fouta</v>
      </c>
      <c r="S483" s="47" t="str">
        <f>IF(mouvementmp[[#This Row],[QR Fabrication]]&lt;&gt;"",INDEX(_xlfn.TEXTSPLIT(mouvementmp[[#This Row],[QR Fabrication]],"_"),1,3),"")</f>
        <v>Stock</v>
      </c>
      <c r="T483" s="47" t="str">
        <f>IF(mouvementmp[[#This Row],[QR Fabrication]]&lt;&gt;"",INDEX(_xlfn.TEXTSPLIT(mouvementmp[[#This Row],[QR Fabrication]],"_"),1,4),"")</f>
        <v>AR1020-B12-32</v>
      </c>
      <c r="U483" s="47" t="str">
        <f>IF(mouvementmp[[#This Row],[QR Fabrication]]&lt;&gt;"",INDEX(_xlfn.TEXTSPLIT(mouvementmp[[#This Row],[QR Fabrication]],"_"),1,5),"")</f>
        <v>ARTHUR</v>
      </c>
      <c r="V483" s="47" t="str">
        <f>IF(mouvementmp[[#This Row],[QR Fabrication]]&lt;&gt;"",_xlfn.TEXTAFTER(mouvementmp[[#This Row],[QR Fabrication]],"_",5),"")</f>
        <v>1020</v>
      </c>
    </row>
    <row r="484" spans="1:22" ht="16.5" thickTop="1" thickBot="1" x14ac:dyDescent="0.3">
      <c r="A484" s="46" t="s">
        <v>2512</v>
      </c>
      <c r="B484" s="54" t="s">
        <v>3868</v>
      </c>
      <c r="C484" s="47" t="s">
        <v>672</v>
      </c>
      <c r="D484" s="47" t="s">
        <v>665</v>
      </c>
      <c r="E484" s="47" t="s">
        <v>669</v>
      </c>
      <c r="F484" s="48">
        <v>13.5</v>
      </c>
      <c r="G484" s="47"/>
      <c r="H484" s="47"/>
      <c r="I484" s="47" t="s">
        <v>664</v>
      </c>
      <c r="J484" s="49">
        <v>45938</v>
      </c>
      <c r="K484" s="47" t="str">
        <f>INDEX(_xlfn.TEXTSPLIT(mouvementmp[[#This Row],[QR MP]],"_"),1,1)</f>
        <v>C18</v>
      </c>
      <c r="L484" s="47" t="str">
        <f>INDEX(_xlfn.TEXTSPLIT(mouvementmp[[#This Row],[QR MP]],"_"),1,2)</f>
        <v xml:space="preserve">VERT D'EAU </v>
      </c>
      <c r="M484" s="47" t="str">
        <f>INDEX(_xlfn.TEXTSPLIT(mouvementmp[[#This Row],[QR MP]],"_"),1,3)</f>
        <v>NM15-18.00</v>
      </c>
      <c r="N484" s="47" t="str">
        <f>INDEX(_xlfn.TEXTSPLIT(mouvementmp[[#This Row],[QR MP]],"_"),1,4)</f>
        <v>61535</v>
      </c>
      <c r="O484" s="47">
        <f>-mouvementmp[[#This Row],[Poids]]</f>
        <v>-13.5</v>
      </c>
      <c r="P484" s="47" t="str">
        <f>IF(
   COUNTIFS($A$2:A484,A484,
             $B$2:B484,B484,
             $C$2:C484,C484,
             $D$2:D484,D484,
             $E$2:E484,E484,
             $F$2:F484,F484,
              $J$2:J484,J484)&gt;1,
   "Doublon",
   "Correcte"
)</f>
        <v>Correcte</v>
      </c>
      <c r="Q484" s="106" t="str">
        <f>IF(mouvementmp[[#This Row],[QR Fabrication]]&lt;&gt;"",INDEX(_xlfn.TEXTSPLIT(mouvementmp[[#This Row],[QR Fabrication]],"_"),1,1),"")</f>
        <v>CA250770</v>
      </c>
      <c r="R484" s="106" t="str">
        <f>IF(mouvementmp[[#This Row],[QR Fabrication]]&lt;&gt;"",INDEX(_xlfn.TEXTSPLIT(mouvementmp[[#This Row],[QR Fabrication]],"_"),1,2),"")</f>
        <v>All by Fouta</v>
      </c>
      <c r="S484" s="47" t="str">
        <f>IF(mouvementmp[[#This Row],[QR Fabrication]]&lt;&gt;"",INDEX(_xlfn.TEXTSPLIT(mouvementmp[[#This Row],[QR Fabrication]],"_"),1,3),"")</f>
        <v>Stock</v>
      </c>
      <c r="T484" s="47" t="str">
        <f>IF(mouvementmp[[#This Row],[QR Fabrication]]&lt;&gt;"",INDEX(_xlfn.TEXTSPLIT(mouvementmp[[#This Row],[QR Fabrication]],"_"),1,4),"")</f>
        <v>PACKSILO0507-T18-10-02</v>
      </c>
      <c r="U484" s="47" t="str">
        <f>IF(mouvementmp[[#This Row],[QR Fabrication]]&lt;&gt;"",INDEX(_xlfn.TEXTSPLIT(mouvementmp[[#This Row],[QR Fabrication]],"_"),1,5),"")</f>
        <v>PACK LONDON</v>
      </c>
      <c r="V484" s="47" t="str">
        <f>IF(mouvementmp[[#This Row],[QR Fabrication]]&lt;&gt;"",_xlfn.TEXTAFTER(mouvementmp[[#This Row],[QR Fabrication]],"_",5),"")</f>
        <v>0507</v>
      </c>
    </row>
    <row r="485" spans="1:22" ht="16.5" thickTop="1" thickBot="1" x14ac:dyDescent="0.3">
      <c r="A485" s="46" t="s">
        <v>2512</v>
      </c>
      <c r="B485" s="54" t="s">
        <v>3846</v>
      </c>
      <c r="C485" s="47" t="s">
        <v>672</v>
      </c>
      <c r="D485" s="47" t="s">
        <v>665</v>
      </c>
      <c r="E485" s="47" t="s">
        <v>669</v>
      </c>
      <c r="F485" s="48">
        <v>13.75</v>
      </c>
      <c r="G485" s="47"/>
      <c r="H485" s="47"/>
      <c r="I485" s="47" t="s">
        <v>664</v>
      </c>
      <c r="J485" s="49">
        <v>45938</v>
      </c>
      <c r="K485" s="47" t="str">
        <f>INDEX(_xlfn.TEXTSPLIT(mouvementmp[[#This Row],[QR MP]],"_"),1,1)</f>
        <v>C10</v>
      </c>
      <c r="L485" s="47" t="str">
        <f>INDEX(_xlfn.TEXTSPLIT(mouvementmp[[#This Row],[QR MP]],"_"),1,2)</f>
        <v>BLEU MARINE</v>
      </c>
      <c r="M485" s="47" t="str">
        <f>INDEX(_xlfn.TEXTSPLIT(mouvementmp[[#This Row],[QR MP]],"_"),1,3)</f>
        <v>NM15-10.00</v>
      </c>
      <c r="N485" s="47" t="str">
        <f>INDEX(_xlfn.TEXTSPLIT(mouvementmp[[#This Row],[QR MP]],"_"),1,4)</f>
        <v>61462</v>
      </c>
      <c r="O485" s="47">
        <f>-mouvementmp[[#This Row],[Poids]]</f>
        <v>-13.75</v>
      </c>
      <c r="P485" s="47" t="str">
        <f>IF(
   COUNTIFS($A$2:A485,A485,
             $B$2:B485,B485,
             $C$2:C485,C485,
             $D$2:D485,D485,
             $E$2:E485,E485,
             $F$2:F485,F485,
              $J$2:J485,J485)&gt;1,
   "Doublon",
   "Correcte"
)</f>
        <v>Correcte</v>
      </c>
      <c r="Q485" s="106" t="str">
        <f>IF(mouvementmp[[#This Row],[QR Fabrication]]&lt;&gt;"",INDEX(_xlfn.TEXTSPLIT(mouvementmp[[#This Row],[QR Fabrication]],"_"),1,1),"")</f>
        <v>CA250770</v>
      </c>
      <c r="R485" s="106" t="str">
        <f>IF(mouvementmp[[#This Row],[QR Fabrication]]&lt;&gt;"",INDEX(_xlfn.TEXTSPLIT(mouvementmp[[#This Row],[QR Fabrication]],"_"),1,2),"")</f>
        <v>All by Fouta</v>
      </c>
      <c r="S485" s="47" t="str">
        <f>IF(mouvementmp[[#This Row],[QR Fabrication]]&lt;&gt;"",INDEX(_xlfn.TEXTSPLIT(mouvementmp[[#This Row],[QR Fabrication]],"_"),1,3),"")</f>
        <v>Stock</v>
      </c>
      <c r="T485" s="47" t="str">
        <f>IF(mouvementmp[[#This Row],[QR Fabrication]]&lt;&gt;"",INDEX(_xlfn.TEXTSPLIT(mouvementmp[[#This Row],[QR Fabrication]],"_"),1,4),"")</f>
        <v>PACKSILO0507-T18-10-02</v>
      </c>
      <c r="U485" s="47" t="str">
        <f>IF(mouvementmp[[#This Row],[QR Fabrication]]&lt;&gt;"",INDEX(_xlfn.TEXTSPLIT(mouvementmp[[#This Row],[QR Fabrication]],"_"),1,5),"")</f>
        <v>PACK LONDON</v>
      </c>
      <c r="V485" s="47" t="str">
        <f>IF(mouvementmp[[#This Row],[QR Fabrication]]&lt;&gt;"",_xlfn.TEXTAFTER(mouvementmp[[#This Row],[QR Fabrication]],"_",5),"")</f>
        <v>0507</v>
      </c>
    </row>
    <row r="486" spans="1:22" ht="16.5" thickTop="1" thickBot="1" x14ac:dyDescent="0.3">
      <c r="A486" s="46" t="s">
        <v>2512</v>
      </c>
      <c r="B486" s="54" t="s">
        <v>3806</v>
      </c>
      <c r="C486" s="47" t="s">
        <v>672</v>
      </c>
      <c r="D486" s="47" t="s">
        <v>665</v>
      </c>
      <c r="E486" s="47" t="s">
        <v>669</v>
      </c>
      <c r="F486" s="48">
        <v>13</v>
      </c>
      <c r="G486" s="47"/>
      <c r="H486" s="47"/>
      <c r="I486" s="47" t="s">
        <v>664</v>
      </c>
      <c r="J486" s="49">
        <v>45938</v>
      </c>
      <c r="K486" s="47" t="str">
        <f>INDEX(_xlfn.TEXTSPLIT(mouvementmp[[#This Row],[QR MP]],"_"),1,1)</f>
        <v>C02</v>
      </c>
      <c r="L486" s="47" t="str">
        <f>INDEX(_xlfn.TEXTSPLIT(mouvementmp[[#This Row],[QR MP]],"_"),1,2)</f>
        <v>ECRU</v>
      </c>
      <c r="M486" s="47" t="str">
        <f>INDEX(_xlfn.TEXTSPLIT(mouvementmp[[#This Row],[QR MP]],"_"),1,3)</f>
        <v>NM15-02.00</v>
      </c>
      <c r="N486" s="47" t="str">
        <f>INDEX(_xlfn.TEXTSPLIT(mouvementmp[[#This Row],[QR MP]],"_"),1,4)</f>
        <v>61424</v>
      </c>
      <c r="O486" s="47">
        <f>-mouvementmp[[#This Row],[Poids]]</f>
        <v>-13</v>
      </c>
      <c r="P486" s="47" t="str">
        <f>IF(
   COUNTIFS($A$2:A486,A486,
             $B$2:B486,B486,
             $C$2:C486,C486,
             $D$2:D486,D486,
             $E$2:E486,E486,
             $F$2:F486,F486,
              $J$2:J486,J486)&gt;1,
   "Doublon",
   "Correcte"
)</f>
        <v>Correcte</v>
      </c>
      <c r="Q486" s="106" t="str">
        <f>IF(mouvementmp[[#This Row],[QR Fabrication]]&lt;&gt;"",INDEX(_xlfn.TEXTSPLIT(mouvementmp[[#This Row],[QR Fabrication]],"_"),1,1),"")</f>
        <v>CA250770</v>
      </c>
      <c r="R486" s="106" t="str">
        <f>IF(mouvementmp[[#This Row],[QR Fabrication]]&lt;&gt;"",INDEX(_xlfn.TEXTSPLIT(mouvementmp[[#This Row],[QR Fabrication]],"_"),1,2),"")</f>
        <v>All by Fouta</v>
      </c>
      <c r="S486" s="47" t="str">
        <f>IF(mouvementmp[[#This Row],[QR Fabrication]]&lt;&gt;"",INDEX(_xlfn.TEXTSPLIT(mouvementmp[[#This Row],[QR Fabrication]],"_"),1,3),"")</f>
        <v>Stock</v>
      </c>
      <c r="T486" s="47" t="str">
        <f>IF(mouvementmp[[#This Row],[QR Fabrication]]&lt;&gt;"",INDEX(_xlfn.TEXTSPLIT(mouvementmp[[#This Row],[QR Fabrication]],"_"),1,4),"")</f>
        <v>PACKSILO0507-T18-10-02</v>
      </c>
      <c r="U486" s="47" t="str">
        <f>IF(mouvementmp[[#This Row],[QR Fabrication]]&lt;&gt;"",INDEX(_xlfn.TEXTSPLIT(mouvementmp[[#This Row],[QR Fabrication]],"_"),1,5),"")</f>
        <v>PACK LONDON</v>
      </c>
      <c r="V486" s="47" t="str">
        <f>IF(mouvementmp[[#This Row],[QR Fabrication]]&lt;&gt;"",_xlfn.TEXTAFTER(mouvementmp[[#This Row],[QR Fabrication]],"_",5),"")</f>
        <v>0507</v>
      </c>
    </row>
    <row r="487" spans="1:22" ht="16.5" thickTop="1" thickBot="1" x14ac:dyDescent="0.3">
      <c r="A487" s="46" t="s">
        <v>2513</v>
      </c>
      <c r="B487" s="54" t="s">
        <v>3865</v>
      </c>
      <c r="C487" s="47" t="s">
        <v>672</v>
      </c>
      <c r="D487" s="47" t="s">
        <v>665</v>
      </c>
      <c r="E487" s="47" t="s">
        <v>669</v>
      </c>
      <c r="F487" s="48">
        <v>18.5</v>
      </c>
      <c r="G487" s="47"/>
      <c r="H487" s="47"/>
      <c r="I487" s="47" t="s">
        <v>664</v>
      </c>
      <c r="J487" s="49">
        <v>45938</v>
      </c>
      <c r="K487" s="47" t="str">
        <f>INDEX(_xlfn.TEXTSPLIT(mouvementmp[[#This Row],[QR MP]],"_"),1,1)</f>
        <v>C17</v>
      </c>
      <c r="L487" s="47" t="str">
        <f>INDEX(_xlfn.TEXTSPLIT(mouvementmp[[#This Row],[QR MP]],"_"),1,2)</f>
        <v>EMAURAUDE</v>
      </c>
      <c r="M487" s="47" t="str">
        <f>INDEX(_xlfn.TEXTSPLIT(mouvementmp[[#This Row],[QR MP]],"_"),1,3)</f>
        <v>NM15-17.00</v>
      </c>
      <c r="N487" s="47" t="str">
        <f>INDEX(_xlfn.TEXTSPLIT(mouvementmp[[#This Row],[QR MP]],"_"),1,4)</f>
        <v>61571</v>
      </c>
      <c r="O487" s="47">
        <f>-mouvementmp[[#This Row],[Poids]]</f>
        <v>-18.5</v>
      </c>
      <c r="P487" s="47" t="str">
        <f>IF(
   COUNTIFS($A$2:A487,A487,
             $B$2:B487,B487,
             $C$2:C487,C487,
             $D$2:D487,D487,
             $E$2:E487,E487,
             $F$2:F487,F487,
              $J$2:J487,J487)&gt;1,
   "Doublon",
   "Correcte"
)</f>
        <v>Correcte</v>
      </c>
      <c r="Q487" s="106" t="str">
        <f>IF(mouvementmp[[#This Row],[QR Fabrication]]&lt;&gt;"",INDEX(_xlfn.TEXTSPLIT(mouvementmp[[#This Row],[QR Fabrication]],"_"),1,1),"")</f>
        <v>CA250162</v>
      </c>
      <c r="R487" s="106" t="str">
        <f>IF(mouvementmp[[#This Row],[QR Fabrication]]&lt;&gt;"",INDEX(_xlfn.TEXTSPLIT(mouvementmp[[#This Row],[QR Fabrication]],"_"),1,2),"")</f>
        <v>All by Fouta</v>
      </c>
      <c r="S487" s="47" t="str">
        <f>IF(mouvementmp[[#This Row],[QR Fabrication]]&lt;&gt;"",INDEX(_xlfn.TEXTSPLIT(mouvementmp[[#This Row],[QR Fabrication]],"_"),1,3),"")</f>
        <v>Stock</v>
      </c>
      <c r="T487" s="47" t="str">
        <f>IF(mouvementmp[[#This Row],[QR Fabrication]]&lt;&gt;"",INDEX(_xlfn.TEXTSPLIT(mouvementmp[[#This Row],[QR Fabrication]],"_"),1,4),"")</f>
        <v>IB1020-B17-07</v>
      </c>
      <c r="U487" s="47" t="str">
        <f>IF(mouvementmp[[#This Row],[QR Fabrication]]&lt;&gt;"",INDEX(_xlfn.TEXTSPLIT(mouvementmp[[#This Row],[QR Fabrication]],"_"),1,5),"")</f>
        <v>IBIZA</v>
      </c>
      <c r="V487" s="47" t="str">
        <f>IF(mouvementmp[[#This Row],[QR Fabrication]]&lt;&gt;"",_xlfn.TEXTAFTER(mouvementmp[[#This Row],[QR Fabrication]],"_",5),"")</f>
        <v>1020</v>
      </c>
    </row>
    <row r="488" spans="1:22" ht="16.5" thickTop="1" thickBot="1" x14ac:dyDescent="0.3">
      <c r="A488" s="46" t="s">
        <v>2513</v>
      </c>
      <c r="B488" s="54" t="s">
        <v>3838</v>
      </c>
      <c r="C488" s="47" t="s">
        <v>672</v>
      </c>
      <c r="D488" s="47" t="s">
        <v>665</v>
      </c>
      <c r="E488" s="47" t="s">
        <v>669</v>
      </c>
      <c r="F488" s="48">
        <v>6.8</v>
      </c>
      <c r="G488" s="47"/>
      <c r="H488" s="47"/>
      <c r="I488" s="47" t="s">
        <v>664</v>
      </c>
      <c r="J488" s="49">
        <v>45938</v>
      </c>
      <c r="K488" s="47" t="str">
        <f>INDEX(_xlfn.TEXTSPLIT(mouvementmp[[#This Row],[QR MP]],"_"),1,1)</f>
        <v>C07</v>
      </c>
      <c r="L488" s="47" t="str">
        <f>INDEX(_xlfn.TEXTSPLIT(mouvementmp[[#This Row],[QR MP]],"_"),1,2)</f>
        <v>GRIS MOYEN</v>
      </c>
      <c r="M488" s="47" t="str">
        <f>INDEX(_xlfn.TEXTSPLIT(mouvementmp[[#This Row],[QR MP]],"_"),1,3)</f>
        <v>NM15-07.00</v>
      </c>
      <c r="N488" s="47" t="str">
        <f>INDEX(_xlfn.TEXTSPLIT(mouvementmp[[#This Row],[QR MP]],"_"),1,4)</f>
        <v>61445</v>
      </c>
      <c r="O488" s="47">
        <f>-mouvementmp[[#This Row],[Poids]]</f>
        <v>-6.8</v>
      </c>
      <c r="P488" s="47" t="str">
        <f>IF(
   COUNTIFS($A$2:A488,A488,
             $B$2:B488,B488,
             $C$2:C488,C488,
             $D$2:D488,D488,
             $E$2:E488,E488,
             $F$2:F488,F488,
              $J$2:J488,J488)&gt;1,
   "Doublon",
   "Correcte"
)</f>
        <v>Correcte</v>
      </c>
      <c r="Q488" s="106" t="str">
        <f>IF(mouvementmp[[#This Row],[QR Fabrication]]&lt;&gt;"",INDEX(_xlfn.TEXTSPLIT(mouvementmp[[#This Row],[QR Fabrication]],"_"),1,1),"")</f>
        <v>CA250162</v>
      </c>
      <c r="R488" s="106" t="str">
        <f>IF(mouvementmp[[#This Row],[QR Fabrication]]&lt;&gt;"",INDEX(_xlfn.TEXTSPLIT(mouvementmp[[#This Row],[QR Fabrication]],"_"),1,2),"")</f>
        <v>All by Fouta</v>
      </c>
      <c r="S488" s="47" t="str">
        <f>IF(mouvementmp[[#This Row],[QR Fabrication]]&lt;&gt;"",INDEX(_xlfn.TEXTSPLIT(mouvementmp[[#This Row],[QR Fabrication]],"_"),1,3),"")</f>
        <v>Stock</v>
      </c>
      <c r="T488" s="47" t="str">
        <f>IF(mouvementmp[[#This Row],[QR Fabrication]]&lt;&gt;"",INDEX(_xlfn.TEXTSPLIT(mouvementmp[[#This Row],[QR Fabrication]],"_"),1,4),"")</f>
        <v>IB1020-B17-07</v>
      </c>
      <c r="U488" s="47" t="str">
        <f>IF(mouvementmp[[#This Row],[QR Fabrication]]&lt;&gt;"",INDEX(_xlfn.TEXTSPLIT(mouvementmp[[#This Row],[QR Fabrication]],"_"),1,5),"")</f>
        <v>IBIZA</v>
      </c>
      <c r="V488" s="47" t="str">
        <f>IF(mouvementmp[[#This Row],[QR Fabrication]]&lt;&gt;"",_xlfn.TEXTAFTER(mouvementmp[[#This Row],[QR Fabrication]],"_",5),"")</f>
        <v>1020</v>
      </c>
    </row>
    <row r="489" spans="1:22" ht="16.5" thickTop="1" thickBot="1" x14ac:dyDescent="0.3">
      <c r="A489" s="46" t="s">
        <v>2514</v>
      </c>
      <c r="B489" s="54" t="s">
        <v>3811</v>
      </c>
      <c r="C489" s="47" t="s">
        <v>672</v>
      </c>
      <c r="D489" s="47" t="s">
        <v>665</v>
      </c>
      <c r="E489" s="47" t="s">
        <v>669</v>
      </c>
      <c r="F489" s="48">
        <v>16.149999999999999</v>
      </c>
      <c r="G489" s="47"/>
      <c r="H489" s="47"/>
      <c r="I489" s="47" t="s">
        <v>664</v>
      </c>
      <c r="J489" s="49">
        <v>45938</v>
      </c>
      <c r="K489" s="47" t="str">
        <f>INDEX(_xlfn.TEXTSPLIT(mouvementmp[[#This Row],[QR MP]],"_"),1,1)</f>
        <v>C03</v>
      </c>
      <c r="L489" s="47" t="str">
        <f>INDEX(_xlfn.TEXTSPLIT(mouvementmp[[#This Row],[QR MP]],"_"),1,2)</f>
        <v>BEIGE CLAIR</v>
      </c>
      <c r="M489" s="47" t="str">
        <f>INDEX(_xlfn.TEXTSPLIT(mouvementmp[[#This Row],[QR MP]],"_"),1,3)</f>
        <v>NM05-03.01</v>
      </c>
      <c r="N489" s="47" t="str">
        <f>INDEX(_xlfn.TEXTSPLIT(mouvementmp[[#This Row],[QR MP]],"_"),1,4)</f>
        <v>58783</v>
      </c>
      <c r="O489" s="47">
        <f>-mouvementmp[[#This Row],[Poids]]</f>
        <v>-16.149999999999999</v>
      </c>
      <c r="P489" s="47" t="str">
        <f>IF(
   COUNTIFS($A$2:A489,A489,
             $B$2:B489,B489,
             $C$2:C489,C489,
             $D$2:D489,D489,
             $E$2:E489,E489,
             $F$2:F489,F489,
              $J$2:J489,J489)&gt;1,
   "Doublon",
   "Correcte"
)</f>
        <v>Correcte</v>
      </c>
      <c r="Q489" s="106" t="str">
        <f>IF(mouvementmp[[#This Row],[QR Fabrication]]&lt;&gt;"",INDEX(_xlfn.TEXTSPLIT(mouvementmp[[#This Row],[QR Fabrication]],"_"),1,1),"")</f>
        <v>CA250245</v>
      </c>
      <c r="R489" s="106" t="str">
        <f>IF(mouvementmp[[#This Row],[QR Fabrication]]&lt;&gt;"",INDEX(_xlfn.TEXTSPLIT(mouvementmp[[#This Row],[QR Fabrication]],"_"),1,2),"")</f>
        <v>All by Fouta</v>
      </c>
      <c r="S489" s="47" t="str">
        <f>IF(mouvementmp[[#This Row],[QR Fabrication]]&lt;&gt;"",INDEX(_xlfn.TEXTSPLIT(mouvementmp[[#This Row],[QR Fabrication]],"_"),1,3),"")</f>
        <v>Stock</v>
      </c>
      <c r="T489" s="47" t="str">
        <f>IF(mouvementmp[[#This Row],[QR Fabrication]]&lt;&gt;"",INDEX(_xlfn.TEXTSPLIT(mouvementmp[[#This Row],[QR Fabrication]],"_"),1,4),"")</f>
        <v>AR2020-T03-04-17</v>
      </c>
      <c r="U489" s="47" t="str">
        <f>IF(mouvementmp[[#This Row],[QR Fabrication]]&lt;&gt;"",INDEX(_xlfn.TEXTSPLIT(mouvementmp[[#This Row],[QR Fabrication]],"_"),1,5),"")</f>
        <v>ARTHUR</v>
      </c>
      <c r="V489" s="47" t="str">
        <f>IF(mouvementmp[[#This Row],[QR Fabrication]]&lt;&gt;"",_xlfn.TEXTAFTER(mouvementmp[[#This Row],[QR Fabrication]],"_",5),"")</f>
        <v>2020</v>
      </c>
    </row>
    <row r="490" spans="1:22" ht="16.5" thickTop="1" thickBot="1" x14ac:dyDescent="0.3">
      <c r="A490" s="46" t="s">
        <v>2514</v>
      </c>
      <c r="B490" s="54" t="s">
        <v>3816</v>
      </c>
      <c r="C490" s="47" t="s">
        <v>672</v>
      </c>
      <c r="D490" s="47" t="s">
        <v>665</v>
      </c>
      <c r="E490" s="47" t="s">
        <v>669</v>
      </c>
      <c r="F490" s="48">
        <v>5.25</v>
      </c>
      <c r="G490" s="47"/>
      <c r="H490" s="47"/>
      <c r="I490" s="47" t="s">
        <v>664</v>
      </c>
      <c r="J490" s="49">
        <v>45938</v>
      </c>
      <c r="K490" s="47" t="str">
        <f>INDEX(_xlfn.TEXTSPLIT(mouvementmp[[#This Row],[QR MP]],"_"),1,1)</f>
        <v>C04</v>
      </c>
      <c r="L490" s="47" t="str">
        <f>INDEX(_xlfn.TEXTSPLIT(mouvementmp[[#This Row],[QR MP]],"_"),1,2)</f>
        <v>TAUPE</v>
      </c>
      <c r="M490" s="47" t="str">
        <f>INDEX(_xlfn.TEXTSPLIT(mouvementmp[[#This Row],[QR MP]],"_"),1,3)</f>
        <v>NM05-04.00</v>
      </c>
      <c r="N490" s="47" t="str">
        <f>INDEX(_xlfn.TEXTSPLIT(mouvementmp[[#This Row],[QR MP]],"_"),1,4)</f>
        <v>S2023</v>
      </c>
      <c r="O490" s="47">
        <f>-mouvementmp[[#This Row],[Poids]]</f>
        <v>-5.25</v>
      </c>
      <c r="P490" s="47" t="str">
        <f>IF(
   COUNTIFS($A$2:A490,A490,
             $B$2:B490,B490,
             $C$2:C490,C490,
             $D$2:D490,D490,
             $E$2:E490,E490,
             $F$2:F490,F490,
              $J$2:J490,J490)&gt;1,
   "Doublon",
   "Correcte"
)</f>
        <v>Correcte</v>
      </c>
      <c r="Q490" s="106" t="str">
        <f>IF(mouvementmp[[#This Row],[QR Fabrication]]&lt;&gt;"",INDEX(_xlfn.TEXTSPLIT(mouvementmp[[#This Row],[QR Fabrication]],"_"),1,1),"")</f>
        <v>CA250245</v>
      </c>
      <c r="R490" s="106" t="str">
        <f>IF(mouvementmp[[#This Row],[QR Fabrication]]&lt;&gt;"",INDEX(_xlfn.TEXTSPLIT(mouvementmp[[#This Row],[QR Fabrication]],"_"),1,2),"")</f>
        <v>All by Fouta</v>
      </c>
      <c r="S490" s="47" t="str">
        <f>IF(mouvementmp[[#This Row],[QR Fabrication]]&lt;&gt;"",INDEX(_xlfn.TEXTSPLIT(mouvementmp[[#This Row],[QR Fabrication]],"_"),1,3),"")</f>
        <v>Stock</v>
      </c>
      <c r="T490" s="47" t="str">
        <f>IF(mouvementmp[[#This Row],[QR Fabrication]]&lt;&gt;"",INDEX(_xlfn.TEXTSPLIT(mouvementmp[[#This Row],[QR Fabrication]],"_"),1,4),"")</f>
        <v>AR2020-T03-04-17</v>
      </c>
      <c r="U490" s="47" t="str">
        <f>IF(mouvementmp[[#This Row],[QR Fabrication]]&lt;&gt;"",INDEX(_xlfn.TEXTSPLIT(mouvementmp[[#This Row],[QR Fabrication]],"_"),1,5),"")</f>
        <v>ARTHUR</v>
      </c>
      <c r="V490" s="47" t="str">
        <f>IF(mouvementmp[[#This Row],[QR Fabrication]]&lt;&gt;"",_xlfn.TEXTAFTER(mouvementmp[[#This Row],[QR Fabrication]],"_",5),"")</f>
        <v>2020</v>
      </c>
    </row>
    <row r="491" spans="1:22" ht="16.5" thickTop="1" thickBot="1" x14ac:dyDescent="0.3">
      <c r="A491" s="46" t="s">
        <v>2514</v>
      </c>
      <c r="B491" s="54" t="s">
        <v>3865</v>
      </c>
      <c r="C491" s="47" t="s">
        <v>672</v>
      </c>
      <c r="D491" s="47" t="s">
        <v>665</v>
      </c>
      <c r="E491" s="47" t="s">
        <v>669</v>
      </c>
      <c r="F491" s="48">
        <v>3.95</v>
      </c>
      <c r="G491" s="47"/>
      <c r="H491" s="47"/>
      <c r="I491" s="47" t="s">
        <v>664</v>
      </c>
      <c r="J491" s="49">
        <v>45938</v>
      </c>
      <c r="K491" s="47" t="str">
        <f>INDEX(_xlfn.TEXTSPLIT(mouvementmp[[#This Row],[QR MP]],"_"),1,1)</f>
        <v>C17</v>
      </c>
      <c r="L491" s="47" t="str">
        <f>INDEX(_xlfn.TEXTSPLIT(mouvementmp[[#This Row],[QR MP]],"_"),1,2)</f>
        <v>EMAURAUDE</v>
      </c>
      <c r="M491" s="47" t="str">
        <f>INDEX(_xlfn.TEXTSPLIT(mouvementmp[[#This Row],[QR MP]],"_"),1,3)</f>
        <v>NM15-17.00</v>
      </c>
      <c r="N491" s="47" t="str">
        <f>INDEX(_xlfn.TEXTSPLIT(mouvementmp[[#This Row],[QR MP]],"_"),1,4)</f>
        <v>61571</v>
      </c>
      <c r="O491" s="47">
        <f>-mouvementmp[[#This Row],[Poids]]</f>
        <v>-3.95</v>
      </c>
      <c r="P491" s="47" t="str">
        <f>IF(
   COUNTIFS($A$2:A491,A491,
             $B$2:B491,B491,
             $C$2:C491,C491,
             $D$2:D491,D491,
             $E$2:E491,E491,
             $F$2:F491,F491,
              $J$2:J491,J491)&gt;1,
   "Doublon",
   "Correcte"
)</f>
        <v>Correcte</v>
      </c>
      <c r="Q491" s="106" t="str">
        <f>IF(mouvementmp[[#This Row],[QR Fabrication]]&lt;&gt;"",INDEX(_xlfn.TEXTSPLIT(mouvementmp[[#This Row],[QR Fabrication]],"_"),1,1),"")</f>
        <v>CA250245</v>
      </c>
      <c r="R491" s="106" t="str">
        <f>IF(mouvementmp[[#This Row],[QR Fabrication]]&lt;&gt;"",INDEX(_xlfn.TEXTSPLIT(mouvementmp[[#This Row],[QR Fabrication]],"_"),1,2),"")</f>
        <v>All by Fouta</v>
      </c>
      <c r="S491" s="47" t="str">
        <f>IF(mouvementmp[[#This Row],[QR Fabrication]]&lt;&gt;"",INDEX(_xlfn.TEXTSPLIT(mouvementmp[[#This Row],[QR Fabrication]],"_"),1,3),"")</f>
        <v>Stock</v>
      </c>
      <c r="T491" s="47" t="str">
        <f>IF(mouvementmp[[#This Row],[QR Fabrication]]&lt;&gt;"",INDEX(_xlfn.TEXTSPLIT(mouvementmp[[#This Row],[QR Fabrication]],"_"),1,4),"")</f>
        <v>AR2020-T03-04-17</v>
      </c>
      <c r="U491" s="47" t="str">
        <f>IF(mouvementmp[[#This Row],[QR Fabrication]]&lt;&gt;"",INDEX(_xlfn.TEXTSPLIT(mouvementmp[[#This Row],[QR Fabrication]],"_"),1,5),"")</f>
        <v>ARTHUR</v>
      </c>
      <c r="V491" s="47" t="str">
        <f>IF(mouvementmp[[#This Row],[QR Fabrication]]&lt;&gt;"",_xlfn.TEXTAFTER(mouvementmp[[#This Row],[QR Fabrication]],"_",5),"")</f>
        <v>2020</v>
      </c>
    </row>
    <row r="492" spans="1:22" ht="16.5" thickTop="1" thickBot="1" x14ac:dyDescent="0.3">
      <c r="A492" s="46" t="s">
        <v>2515</v>
      </c>
      <c r="B492" s="54" t="s">
        <v>3921</v>
      </c>
      <c r="C492" s="47" t="s">
        <v>672</v>
      </c>
      <c r="D492" s="47" t="s">
        <v>665</v>
      </c>
      <c r="E492" s="47" t="s">
        <v>669</v>
      </c>
      <c r="F492" s="48">
        <v>10.5</v>
      </c>
      <c r="G492" s="47"/>
      <c r="H492" s="47"/>
      <c r="I492" s="47" t="s">
        <v>664</v>
      </c>
      <c r="J492" s="49">
        <v>45938</v>
      </c>
      <c r="K492" s="47" t="str">
        <f>INDEX(_xlfn.TEXTSPLIT(mouvementmp[[#This Row],[QR MP]],"_"),1,1)</f>
        <v>C06</v>
      </c>
      <c r="L492" s="47" t="str">
        <f>INDEX(_xlfn.TEXTSPLIT(mouvementmp[[#This Row],[QR MP]],"_"),1,2)</f>
        <v>GRIS CLAIR</v>
      </c>
      <c r="M492" s="47" t="str">
        <f>INDEX(_xlfn.TEXTSPLIT(mouvementmp[[#This Row],[QR MP]],"_"),1,3)</f>
        <v>NM15-06.00</v>
      </c>
      <c r="N492" s="47" t="str">
        <f>INDEX(_xlfn.TEXTSPLIT(mouvementmp[[#This Row],[QR MP]],"_"),1,4)</f>
        <v>61828</v>
      </c>
      <c r="O492" s="47">
        <f>-mouvementmp[[#This Row],[Poids]]</f>
        <v>-10.5</v>
      </c>
      <c r="P492" s="47" t="str">
        <f>IF(
   COUNTIFS($A$2:A492,A492,
             $B$2:B492,B492,
             $C$2:C492,C492,
             $D$2:D492,D492,
             $E$2:E492,E492,
             $F$2:F492,F492,
              $J$2:J492,J492)&gt;1,
   "Doublon",
   "Correcte"
)</f>
        <v>Correcte</v>
      </c>
      <c r="Q492" s="106" t="str">
        <f>IF(mouvementmp[[#This Row],[QR Fabrication]]&lt;&gt;"",INDEX(_xlfn.TEXTSPLIT(mouvementmp[[#This Row],[QR Fabrication]],"_"),1,1),"")</f>
        <v>CA250183</v>
      </c>
      <c r="R492" s="106" t="str">
        <f>IF(mouvementmp[[#This Row],[QR Fabrication]]&lt;&gt;"",INDEX(_xlfn.TEXTSPLIT(mouvementmp[[#This Row],[QR Fabrication]],"_"),1,2),"")</f>
        <v>All by Fouta</v>
      </c>
      <c r="S492" s="47" t="str">
        <f>IF(mouvementmp[[#This Row],[QR Fabrication]]&lt;&gt;"",INDEX(_xlfn.TEXTSPLIT(mouvementmp[[#This Row],[QR Fabrication]],"_"),1,3),"")</f>
        <v>Stock</v>
      </c>
      <c r="T492" s="47" t="str">
        <f>IF(mouvementmp[[#This Row],[QR Fabrication]]&lt;&gt;"",INDEX(_xlfn.TEXTSPLIT(mouvementmp[[#This Row],[QR Fabrication]],"_"),1,4),"")</f>
        <v>IB2020-B06-08</v>
      </c>
      <c r="U492" s="47" t="str">
        <f>IF(mouvementmp[[#This Row],[QR Fabrication]]&lt;&gt;"",INDEX(_xlfn.TEXTSPLIT(mouvementmp[[#This Row],[QR Fabrication]],"_"),1,5),"")</f>
        <v>IBIZA</v>
      </c>
      <c r="V492" s="47" t="str">
        <f>IF(mouvementmp[[#This Row],[QR Fabrication]]&lt;&gt;"",_xlfn.TEXTAFTER(mouvementmp[[#This Row],[QR Fabrication]],"_",5),"")</f>
        <v>2020</v>
      </c>
    </row>
    <row r="493" spans="1:22" ht="16.5" thickTop="1" thickBot="1" x14ac:dyDescent="0.3">
      <c r="A493" s="46" t="s">
        <v>2515</v>
      </c>
      <c r="B493" s="54" t="s">
        <v>3841</v>
      </c>
      <c r="C493" s="47" t="s">
        <v>672</v>
      </c>
      <c r="D493" s="47" t="s">
        <v>665</v>
      </c>
      <c r="E493" s="47" t="s">
        <v>669</v>
      </c>
      <c r="F493" s="48">
        <v>2.95</v>
      </c>
      <c r="G493" s="47"/>
      <c r="H493" s="47"/>
      <c r="I493" s="47" t="s">
        <v>664</v>
      </c>
      <c r="J493" s="49">
        <v>45938</v>
      </c>
      <c r="K493" s="47" t="str">
        <f>INDEX(_xlfn.TEXTSPLIT(mouvementmp[[#This Row],[QR MP]],"_"),1,1)</f>
        <v>C08</v>
      </c>
      <c r="L493" s="47" t="str">
        <f>INDEX(_xlfn.TEXTSPLIT(mouvementmp[[#This Row],[QR MP]],"_"),1,2)</f>
        <v>GRIS ANTHRACITE</v>
      </c>
      <c r="M493" s="47" t="str">
        <f>INDEX(_xlfn.TEXTSPLIT(mouvementmp[[#This Row],[QR MP]],"_"),1,3)</f>
        <v>NM15-08.00</v>
      </c>
      <c r="N493" s="47" t="str">
        <f>INDEX(_xlfn.TEXTSPLIT(mouvementmp[[#This Row],[QR MP]],"_"),1,4)</f>
        <v>59358</v>
      </c>
      <c r="O493" s="47">
        <f>-mouvementmp[[#This Row],[Poids]]</f>
        <v>-2.95</v>
      </c>
      <c r="P493" s="47" t="str">
        <f>IF(
   COUNTIFS($A$2:A493,A493,
             $B$2:B493,B493,
             $C$2:C493,C493,
             $D$2:D493,D493,
             $E$2:E493,E493,
             $F$2:F493,F493,
              $J$2:J493,J493)&gt;1,
   "Doublon",
   "Correcte"
)</f>
        <v>Correcte</v>
      </c>
      <c r="Q493" s="106" t="str">
        <f>IF(mouvementmp[[#This Row],[QR Fabrication]]&lt;&gt;"",INDEX(_xlfn.TEXTSPLIT(mouvementmp[[#This Row],[QR Fabrication]],"_"),1,1),"")</f>
        <v>CA250183</v>
      </c>
      <c r="R493" s="106" t="str">
        <f>IF(mouvementmp[[#This Row],[QR Fabrication]]&lt;&gt;"",INDEX(_xlfn.TEXTSPLIT(mouvementmp[[#This Row],[QR Fabrication]],"_"),1,2),"")</f>
        <v>All by Fouta</v>
      </c>
      <c r="S493" s="47" t="str">
        <f>IF(mouvementmp[[#This Row],[QR Fabrication]]&lt;&gt;"",INDEX(_xlfn.TEXTSPLIT(mouvementmp[[#This Row],[QR Fabrication]],"_"),1,3),"")</f>
        <v>Stock</v>
      </c>
      <c r="T493" s="47" t="str">
        <f>IF(mouvementmp[[#This Row],[QR Fabrication]]&lt;&gt;"",INDEX(_xlfn.TEXTSPLIT(mouvementmp[[#This Row],[QR Fabrication]],"_"),1,4),"")</f>
        <v>IB2020-B06-08</v>
      </c>
      <c r="U493" s="47" t="str">
        <f>IF(mouvementmp[[#This Row],[QR Fabrication]]&lt;&gt;"",INDEX(_xlfn.TEXTSPLIT(mouvementmp[[#This Row],[QR Fabrication]],"_"),1,5),"")</f>
        <v>IBIZA</v>
      </c>
      <c r="V493" s="47" t="str">
        <f>IF(mouvementmp[[#This Row],[QR Fabrication]]&lt;&gt;"",_xlfn.TEXTAFTER(mouvementmp[[#This Row],[QR Fabrication]],"_",5),"")</f>
        <v>2020</v>
      </c>
    </row>
    <row r="494" spans="1:22" ht="16.5" thickTop="1" thickBot="1" x14ac:dyDescent="0.3">
      <c r="A494" s="46" t="s">
        <v>2496</v>
      </c>
      <c r="B494" s="54" t="s">
        <v>3886</v>
      </c>
      <c r="C494" s="47" t="s">
        <v>668</v>
      </c>
      <c r="D494" s="47" t="s">
        <v>665</v>
      </c>
      <c r="E494" s="47" t="s">
        <v>669</v>
      </c>
      <c r="F494" s="48">
        <v>1.25</v>
      </c>
      <c r="G494" s="47"/>
      <c r="H494" s="47"/>
      <c r="I494" s="47" t="s">
        <v>664</v>
      </c>
      <c r="J494" s="49">
        <v>45938</v>
      </c>
      <c r="K494" s="47" t="str">
        <f>INDEX(_xlfn.TEXTSPLIT(mouvementmp[[#This Row],[QR MP]],"_"),1,1)</f>
        <v>C24</v>
      </c>
      <c r="L494" s="47" t="str">
        <f>INDEX(_xlfn.TEXTSPLIT(mouvementmp[[#This Row],[QR MP]],"_"),1,2)</f>
        <v>JAUNE SAFRAN</v>
      </c>
      <c r="M494" s="47" t="str">
        <f>INDEX(_xlfn.TEXTSPLIT(mouvementmp[[#This Row],[QR MP]],"_"),1,3)</f>
        <v>NM15-24.00</v>
      </c>
      <c r="N494" s="47" t="str">
        <f>INDEX(_xlfn.TEXTSPLIT(mouvementmp[[#This Row],[QR MP]],"_"),1,4)</f>
        <v>61554</v>
      </c>
      <c r="O494" s="47">
        <f>-mouvementmp[[#This Row],[Poids]]</f>
        <v>-1.25</v>
      </c>
      <c r="P494" s="47" t="str">
        <f>IF(
   COUNTIFS($A$2:A494,A494,
             $B$2:B494,B494,
             $C$2:C494,C494,
             $D$2:D494,D494,
             $E$2:E494,E494,
             $F$2:F494,F494,
              $J$2:J494,J494)&gt;1,
   "Doublon",
   "Correcte"
)</f>
        <v>Correcte</v>
      </c>
      <c r="Q494" s="106" t="str">
        <f>IF(mouvementmp[[#This Row],[QR Fabrication]]&lt;&gt;"",INDEX(_xlfn.TEXTSPLIT(mouvementmp[[#This Row],[QR Fabrication]],"_"),1,1),"")</f>
        <v>CA250761</v>
      </c>
      <c r="R494" s="106" t="str">
        <f>IF(mouvementmp[[#This Row],[QR Fabrication]]&lt;&gt;"",INDEX(_xlfn.TEXTSPLIT(mouvementmp[[#This Row],[QR Fabrication]],"_"),1,2),"")</f>
        <v>All by Fouta</v>
      </c>
      <c r="S494" s="47" t="str">
        <f>IF(mouvementmp[[#This Row],[QR Fabrication]]&lt;&gt;"",INDEX(_xlfn.TEXTSPLIT(mouvementmp[[#This Row],[QR Fabrication]],"_"),1,3),"")</f>
        <v>Stock</v>
      </c>
      <c r="T494" s="47" t="str">
        <f>IF(mouvementmp[[#This Row],[QR Fabrication]]&lt;&gt;"",INDEX(_xlfn.TEXTSPLIT(mouvementmp[[#This Row],[QR Fabrication]],"_"),1,4),"")</f>
        <v>PACKSICL0507-B24-10</v>
      </c>
      <c r="U494" s="47" t="str">
        <f>IF(mouvementmp[[#This Row],[QR Fabrication]]&lt;&gt;"",INDEX(_xlfn.TEXTSPLIT(mouvementmp[[#This Row],[QR Fabrication]],"_"),1,5),"")</f>
        <v>PACK CLASSIQUE</v>
      </c>
      <c r="V494" s="47" t="str">
        <f>IF(mouvementmp[[#This Row],[QR Fabrication]]&lt;&gt;"",_xlfn.TEXTAFTER(mouvementmp[[#This Row],[QR Fabrication]],"_",5),"")</f>
        <v>0507</v>
      </c>
    </row>
    <row r="495" spans="1:22" ht="16.5" thickTop="1" thickBot="1" x14ac:dyDescent="0.3">
      <c r="A495" s="46" t="s">
        <v>2496</v>
      </c>
      <c r="B495" s="54" t="s">
        <v>3847</v>
      </c>
      <c r="C495" s="47" t="s">
        <v>668</v>
      </c>
      <c r="D495" s="47" t="s">
        <v>665</v>
      </c>
      <c r="E495" s="47" t="s">
        <v>669</v>
      </c>
      <c r="F495" s="48">
        <v>1.65</v>
      </c>
      <c r="G495" s="47"/>
      <c r="H495" s="47"/>
      <c r="I495" s="47" t="s">
        <v>664</v>
      </c>
      <c r="J495" s="49">
        <v>45938</v>
      </c>
      <c r="K495" s="47" t="str">
        <f>INDEX(_xlfn.TEXTSPLIT(mouvementmp[[#This Row],[QR MP]],"_"),1,1)</f>
        <v>C11</v>
      </c>
      <c r="L495" s="47" t="str">
        <f>INDEX(_xlfn.TEXTSPLIT(mouvementmp[[#This Row],[QR MP]],"_"),1,2)</f>
        <v>BLEU GITANE</v>
      </c>
      <c r="M495" s="47" t="str">
        <f>INDEX(_xlfn.TEXTSPLIT(mouvementmp[[#This Row],[QR MP]],"_"),1,3)</f>
        <v>NM15-11.00</v>
      </c>
      <c r="N495" s="47" t="str">
        <f>INDEX(_xlfn.TEXTSPLIT(mouvementmp[[#This Row],[QR MP]],"_"),1,4)</f>
        <v>61659</v>
      </c>
      <c r="O495" s="47">
        <f>-mouvementmp[[#This Row],[Poids]]</f>
        <v>-1.65</v>
      </c>
      <c r="P495" s="47" t="str">
        <f>IF(
   COUNTIFS($A$2:A495,A495,
             $B$2:B495,B495,
             $C$2:C495,C495,
             $D$2:D495,D495,
             $E$2:E495,E495,
             $F$2:F495,F495,
              $J$2:J495,J495)&gt;1,
   "Doublon",
   "Correcte"
)</f>
        <v>Correcte</v>
      </c>
      <c r="Q495" s="106" t="str">
        <f>IF(mouvementmp[[#This Row],[QR Fabrication]]&lt;&gt;"",INDEX(_xlfn.TEXTSPLIT(mouvementmp[[#This Row],[QR Fabrication]],"_"),1,1),"")</f>
        <v>CA250761</v>
      </c>
      <c r="R495" s="106" t="str">
        <f>IF(mouvementmp[[#This Row],[QR Fabrication]]&lt;&gt;"",INDEX(_xlfn.TEXTSPLIT(mouvementmp[[#This Row],[QR Fabrication]],"_"),1,2),"")</f>
        <v>All by Fouta</v>
      </c>
      <c r="S495" s="47" t="str">
        <f>IF(mouvementmp[[#This Row],[QR Fabrication]]&lt;&gt;"",INDEX(_xlfn.TEXTSPLIT(mouvementmp[[#This Row],[QR Fabrication]],"_"),1,3),"")</f>
        <v>Stock</v>
      </c>
      <c r="T495" s="47" t="str">
        <f>IF(mouvementmp[[#This Row],[QR Fabrication]]&lt;&gt;"",INDEX(_xlfn.TEXTSPLIT(mouvementmp[[#This Row],[QR Fabrication]],"_"),1,4),"")</f>
        <v>PACKSICL0507-B24-10</v>
      </c>
      <c r="U495" s="47" t="str">
        <f>IF(mouvementmp[[#This Row],[QR Fabrication]]&lt;&gt;"",INDEX(_xlfn.TEXTSPLIT(mouvementmp[[#This Row],[QR Fabrication]],"_"),1,5),"")</f>
        <v>PACK CLASSIQUE</v>
      </c>
      <c r="V495" s="47" t="str">
        <f>IF(mouvementmp[[#This Row],[QR Fabrication]]&lt;&gt;"",_xlfn.TEXTAFTER(mouvementmp[[#This Row],[QR Fabrication]],"_",5),"")</f>
        <v>0507</v>
      </c>
    </row>
    <row r="496" spans="1:22" ht="16.5" thickTop="1" thickBot="1" x14ac:dyDescent="0.3">
      <c r="A496" s="46" t="s">
        <v>2516</v>
      </c>
      <c r="B496" s="54" t="s">
        <v>3851</v>
      </c>
      <c r="C496" s="47" t="s">
        <v>672</v>
      </c>
      <c r="D496" s="47" t="s">
        <v>665</v>
      </c>
      <c r="E496" s="47" t="s">
        <v>669</v>
      </c>
      <c r="F496" s="48">
        <v>13.5</v>
      </c>
      <c r="G496" s="47"/>
      <c r="H496" s="47"/>
      <c r="I496" s="47" t="s">
        <v>664</v>
      </c>
      <c r="J496" s="49">
        <v>45939</v>
      </c>
      <c r="K496" s="47" t="str">
        <f>INDEX(_xlfn.TEXTSPLIT(mouvementmp[[#This Row],[QR MP]],"_"),1,1)</f>
        <v>C12</v>
      </c>
      <c r="L496" s="47" t="str">
        <f>INDEX(_xlfn.TEXTSPLIT(mouvementmp[[#This Row],[QR MP]],"_"),1,2)</f>
        <v>BLEU DJEAN</v>
      </c>
      <c r="M496" s="47" t="str">
        <f>INDEX(_xlfn.TEXTSPLIT(mouvementmp[[#This Row],[QR MP]],"_"),1,3)</f>
        <v>NM15-12.00</v>
      </c>
      <c r="N496" s="47" t="str">
        <f>INDEX(_xlfn.TEXTSPLIT(mouvementmp[[#This Row],[QR MP]],"_"),1,4)</f>
        <v>S2023</v>
      </c>
      <c r="O496" s="47">
        <f>-mouvementmp[[#This Row],[Poids]]</f>
        <v>-13.5</v>
      </c>
      <c r="P496" s="47" t="str">
        <f>IF(
   COUNTIFS($A$2:A496,A496,
             $B$2:B496,B496,
             $C$2:C496,C496,
             $D$2:D496,D496,
             $E$2:E496,E496,
             $F$2:F496,F496,
              $J$2:J496,J496)&gt;1,
   "Doublon",
   "Correcte"
)</f>
        <v>Correcte</v>
      </c>
      <c r="Q496" s="106" t="str">
        <f>IF(mouvementmp[[#This Row],[QR Fabrication]]&lt;&gt;"",INDEX(_xlfn.TEXTSPLIT(mouvementmp[[#This Row],[QR Fabrication]],"_"),1,1),"")</f>
        <v>CA250766</v>
      </c>
      <c r="R496" s="106" t="str">
        <f>IF(mouvementmp[[#This Row],[QR Fabrication]]&lt;&gt;"",INDEX(_xlfn.TEXTSPLIT(mouvementmp[[#This Row],[QR Fabrication]],"_"),1,2),"")</f>
        <v>All by Fouta</v>
      </c>
      <c r="S496" s="47" t="str">
        <f>IF(mouvementmp[[#This Row],[QR Fabrication]]&lt;&gt;"",INDEX(_xlfn.TEXTSPLIT(mouvementmp[[#This Row],[QR Fabrication]],"_"),1,3),"")</f>
        <v>Stock</v>
      </c>
      <c r="T496" s="47" t="str">
        <f>IF(mouvementmp[[#This Row],[QR Fabrication]]&lt;&gt;"",INDEX(_xlfn.TEXTSPLIT(mouvementmp[[#This Row],[QR Fabrication]],"_"),1,4),"")</f>
        <v>PACKSILO0507-T12-06-32</v>
      </c>
      <c r="U496" s="47" t="str">
        <f>IF(mouvementmp[[#This Row],[QR Fabrication]]&lt;&gt;"",INDEX(_xlfn.TEXTSPLIT(mouvementmp[[#This Row],[QR Fabrication]],"_"),1,5),"")</f>
        <v>PACK LONDON</v>
      </c>
      <c r="V496" s="47" t="str">
        <f>IF(mouvementmp[[#This Row],[QR Fabrication]]&lt;&gt;"",_xlfn.TEXTAFTER(mouvementmp[[#This Row],[QR Fabrication]],"_",5),"")</f>
        <v>0507</v>
      </c>
    </row>
    <row r="497" spans="1:22" ht="16.5" thickTop="1" thickBot="1" x14ac:dyDescent="0.3">
      <c r="A497" s="46" t="s">
        <v>2516</v>
      </c>
      <c r="B497" s="54" t="s">
        <v>3921</v>
      </c>
      <c r="C497" s="47" t="s">
        <v>672</v>
      </c>
      <c r="D497" s="47" t="s">
        <v>665</v>
      </c>
      <c r="E497" s="47" t="s">
        <v>669</v>
      </c>
      <c r="F497" s="48">
        <v>13</v>
      </c>
      <c r="G497" s="47"/>
      <c r="H497" s="47"/>
      <c r="I497" s="47" t="s">
        <v>664</v>
      </c>
      <c r="J497" s="49">
        <v>45939</v>
      </c>
      <c r="K497" s="47" t="str">
        <f>INDEX(_xlfn.TEXTSPLIT(mouvementmp[[#This Row],[QR MP]],"_"),1,1)</f>
        <v>C06</v>
      </c>
      <c r="L497" s="47" t="str">
        <f>INDEX(_xlfn.TEXTSPLIT(mouvementmp[[#This Row],[QR MP]],"_"),1,2)</f>
        <v>GRIS CLAIR</v>
      </c>
      <c r="M497" s="47" t="str">
        <f>INDEX(_xlfn.TEXTSPLIT(mouvementmp[[#This Row],[QR MP]],"_"),1,3)</f>
        <v>NM15-06.00</v>
      </c>
      <c r="N497" s="47" t="str">
        <f>INDEX(_xlfn.TEXTSPLIT(mouvementmp[[#This Row],[QR MP]],"_"),1,4)</f>
        <v>61828</v>
      </c>
      <c r="O497" s="47">
        <f>-mouvementmp[[#This Row],[Poids]]</f>
        <v>-13</v>
      </c>
      <c r="P497" s="47" t="str">
        <f>IF(
   COUNTIFS($A$2:A497,A497,
             $B$2:B497,B497,
             $C$2:C497,C497,
             $D$2:D497,D497,
             $E$2:E497,E497,
             $F$2:F497,F497,
              $J$2:J497,J497)&gt;1,
   "Doublon",
   "Correcte"
)</f>
        <v>Correcte</v>
      </c>
      <c r="Q497" s="106" t="str">
        <f>IF(mouvementmp[[#This Row],[QR Fabrication]]&lt;&gt;"",INDEX(_xlfn.TEXTSPLIT(mouvementmp[[#This Row],[QR Fabrication]],"_"),1,1),"")</f>
        <v>CA250766</v>
      </c>
      <c r="R497" s="106" t="str">
        <f>IF(mouvementmp[[#This Row],[QR Fabrication]]&lt;&gt;"",INDEX(_xlfn.TEXTSPLIT(mouvementmp[[#This Row],[QR Fabrication]],"_"),1,2),"")</f>
        <v>All by Fouta</v>
      </c>
      <c r="S497" s="47" t="str">
        <f>IF(mouvementmp[[#This Row],[QR Fabrication]]&lt;&gt;"",INDEX(_xlfn.TEXTSPLIT(mouvementmp[[#This Row],[QR Fabrication]],"_"),1,3),"")</f>
        <v>Stock</v>
      </c>
      <c r="T497" s="47" t="str">
        <f>IF(mouvementmp[[#This Row],[QR Fabrication]]&lt;&gt;"",INDEX(_xlfn.TEXTSPLIT(mouvementmp[[#This Row],[QR Fabrication]],"_"),1,4),"")</f>
        <v>PACKSILO0507-T12-06-32</v>
      </c>
      <c r="U497" s="47" t="str">
        <f>IF(mouvementmp[[#This Row],[QR Fabrication]]&lt;&gt;"",INDEX(_xlfn.TEXTSPLIT(mouvementmp[[#This Row],[QR Fabrication]],"_"),1,5),"")</f>
        <v>PACK LONDON</v>
      </c>
      <c r="V497" s="47" t="str">
        <f>IF(mouvementmp[[#This Row],[QR Fabrication]]&lt;&gt;"",_xlfn.TEXTAFTER(mouvementmp[[#This Row],[QR Fabrication]],"_",5),"")</f>
        <v>0507</v>
      </c>
    </row>
    <row r="498" spans="1:22" ht="16.5" thickTop="1" thickBot="1" x14ac:dyDescent="0.3">
      <c r="A498" s="46" t="s">
        <v>2516</v>
      </c>
      <c r="B498" s="54" t="s">
        <v>3905</v>
      </c>
      <c r="C498" s="47" t="s">
        <v>672</v>
      </c>
      <c r="D498" s="47" t="s">
        <v>665</v>
      </c>
      <c r="E498" s="47" t="s">
        <v>669</v>
      </c>
      <c r="F498" s="48">
        <v>13.55</v>
      </c>
      <c r="G498" s="47"/>
      <c r="H498" s="47"/>
      <c r="I498" s="47" t="s">
        <v>664</v>
      </c>
      <c r="J498" s="49">
        <v>45939</v>
      </c>
      <c r="K498" s="47" t="str">
        <f>INDEX(_xlfn.TEXTSPLIT(mouvementmp[[#This Row],[QR MP]],"_"),1,1)</f>
        <v>C32</v>
      </c>
      <c r="L498" s="47" t="str">
        <f>INDEX(_xlfn.TEXTSPLIT(mouvementmp[[#This Row],[QR MP]],"_"),1,2)</f>
        <v>VIEUX ROSE</v>
      </c>
      <c r="M498" s="47" t="str">
        <f>INDEX(_xlfn.TEXTSPLIT(mouvementmp[[#This Row],[QR MP]],"_"),1,3)</f>
        <v>NM15-32.00</v>
      </c>
      <c r="N498" s="47" t="str">
        <f>INDEX(_xlfn.TEXTSPLIT(mouvementmp[[#This Row],[QR MP]],"_"),1,4)</f>
        <v>61455</v>
      </c>
      <c r="O498" s="47">
        <f>-mouvementmp[[#This Row],[Poids]]</f>
        <v>-13.55</v>
      </c>
      <c r="P498" s="47" t="str">
        <f>IF(
   COUNTIFS($A$2:A498,A498,
             $B$2:B498,B498,
             $C$2:C498,C498,
             $D$2:D498,D498,
             $E$2:E498,E498,
             $F$2:F498,F498,
              $J$2:J498,J498)&gt;1,
   "Doublon",
   "Correcte"
)</f>
        <v>Correcte</v>
      </c>
      <c r="Q498" s="106" t="str">
        <f>IF(mouvementmp[[#This Row],[QR Fabrication]]&lt;&gt;"",INDEX(_xlfn.TEXTSPLIT(mouvementmp[[#This Row],[QR Fabrication]],"_"),1,1),"")</f>
        <v>CA250766</v>
      </c>
      <c r="R498" s="106" t="str">
        <f>IF(mouvementmp[[#This Row],[QR Fabrication]]&lt;&gt;"",INDEX(_xlfn.TEXTSPLIT(mouvementmp[[#This Row],[QR Fabrication]],"_"),1,2),"")</f>
        <v>All by Fouta</v>
      </c>
      <c r="S498" s="47" t="str">
        <f>IF(mouvementmp[[#This Row],[QR Fabrication]]&lt;&gt;"",INDEX(_xlfn.TEXTSPLIT(mouvementmp[[#This Row],[QR Fabrication]],"_"),1,3),"")</f>
        <v>Stock</v>
      </c>
      <c r="T498" s="47" t="str">
        <f>IF(mouvementmp[[#This Row],[QR Fabrication]]&lt;&gt;"",INDEX(_xlfn.TEXTSPLIT(mouvementmp[[#This Row],[QR Fabrication]],"_"),1,4),"")</f>
        <v>PACKSILO0507-T12-06-32</v>
      </c>
      <c r="U498" s="47" t="str">
        <f>IF(mouvementmp[[#This Row],[QR Fabrication]]&lt;&gt;"",INDEX(_xlfn.TEXTSPLIT(mouvementmp[[#This Row],[QR Fabrication]],"_"),1,5),"")</f>
        <v>PACK LONDON</v>
      </c>
      <c r="V498" s="47" t="str">
        <f>IF(mouvementmp[[#This Row],[QR Fabrication]]&lt;&gt;"",_xlfn.TEXTAFTER(mouvementmp[[#This Row],[QR Fabrication]],"_",5),"")</f>
        <v>0507</v>
      </c>
    </row>
    <row r="499" spans="1:22" ht="16.5" thickTop="1" thickBot="1" x14ac:dyDescent="0.3">
      <c r="A499" s="46" t="s">
        <v>2517</v>
      </c>
      <c r="B499" s="54" t="s">
        <v>3838</v>
      </c>
      <c r="C499" s="47" t="s">
        <v>672</v>
      </c>
      <c r="D499" s="47" t="s">
        <v>665</v>
      </c>
      <c r="E499" s="47" t="s">
        <v>669</v>
      </c>
      <c r="F499" s="48">
        <v>14.5</v>
      </c>
      <c r="G499" s="47"/>
      <c r="H499" s="47"/>
      <c r="I499" s="47" t="s">
        <v>664</v>
      </c>
      <c r="J499" s="49">
        <v>45939</v>
      </c>
      <c r="K499" s="47" t="str">
        <f>INDEX(_xlfn.TEXTSPLIT(mouvementmp[[#This Row],[QR MP]],"_"),1,1)</f>
        <v>C07</v>
      </c>
      <c r="L499" s="47" t="str">
        <f>INDEX(_xlfn.TEXTSPLIT(mouvementmp[[#This Row],[QR MP]],"_"),1,2)</f>
        <v>GRIS MOYEN</v>
      </c>
      <c r="M499" s="47" t="str">
        <f>INDEX(_xlfn.TEXTSPLIT(mouvementmp[[#This Row],[QR MP]],"_"),1,3)</f>
        <v>NM15-07.00</v>
      </c>
      <c r="N499" s="47" t="str">
        <f>INDEX(_xlfn.TEXTSPLIT(mouvementmp[[#This Row],[QR MP]],"_"),1,4)</f>
        <v>61445</v>
      </c>
      <c r="O499" s="47">
        <f>-mouvementmp[[#This Row],[Poids]]</f>
        <v>-14.5</v>
      </c>
      <c r="P499" s="47" t="str">
        <f>IF(
   COUNTIFS($A$2:A499,A499,
             $B$2:B499,B499,
             $C$2:C499,C499,
             $D$2:D499,D499,
             $E$2:E499,E499,
             $F$2:F499,F499,
              $J$2:J499,J499)&gt;1,
   "Doublon",
   "Correcte"
)</f>
        <v>Correcte</v>
      </c>
      <c r="Q499" s="106" t="str">
        <f>IF(mouvementmp[[#This Row],[QR Fabrication]]&lt;&gt;"",INDEX(_xlfn.TEXTSPLIT(mouvementmp[[#This Row],[QR Fabrication]],"_"),1,1),"")</f>
        <v>CA250207</v>
      </c>
      <c r="R499" s="106" t="str">
        <f>IF(mouvementmp[[#This Row],[QR Fabrication]]&lt;&gt;"",INDEX(_xlfn.TEXTSPLIT(mouvementmp[[#This Row],[QR Fabrication]],"_"),1,2),"")</f>
        <v>All by Fouta</v>
      </c>
      <c r="S499" s="47" t="str">
        <f>IF(mouvementmp[[#This Row],[QR Fabrication]]&lt;&gt;"",INDEX(_xlfn.TEXTSPLIT(mouvementmp[[#This Row],[QR Fabrication]],"_"),1,3),"")</f>
        <v>Stock</v>
      </c>
      <c r="T499" s="47" t="str">
        <f>IF(mouvementmp[[#This Row],[QR Fabrication]]&lt;&gt;"",INDEX(_xlfn.TEXTSPLIT(mouvementmp[[#This Row],[QR Fabrication]],"_"),1,4),"")</f>
        <v>AR1020-B07-17</v>
      </c>
      <c r="U499" s="47" t="str">
        <f>IF(mouvementmp[[#This Row],[QR Fabrication]]&lt;&gt;"",INDEX(_xlfn.TEXTSPLIT(mouvementmp[[#This Row],[QR Fabrication]],"_"),1,5),"")</f>
        <v>ARTHUR</v>
      </c>
      <c r="V499" s="47" t="str">
        <f>IF(mouvementmp[[#This Row],[QR Fabrication]]&lt;&gt;"",_xlfn.TEXTAFTER(mouvementmp[[#This Row],[QR Fabrication]],"_",5),"")</f>
        <v>1020</v>
      </c>
    </row>
    <row r="500" spans="1:22" ht="16.5" thickTop="1" thickBot="1" x14ac:dyDescent="0.3">
      <c r="A500" s="46" t="s">
        <v>2517</v>
      </c>
      <c r="B500" s="54" t="s">
        <v>3865</v>
      </c>
      <c r="C500" s="47" t="s">
        <v>672</v>
      </c>
      <c r="D500" s="47" t="s">
        <v>665</v>
      </c>
      <c r="E500" s="47" t="s">
        <v>669</v>
      </c>
      <c r="F500" s="48">
        <v>6.8</v>
      </c>
      <c r="G500" s="47"/>
      <c r="H500" s="47"/>
      <c r="I500" s="47" t="s">
        <v>664</v>
      </c>
      <c r="J500" s="49">
        <v>45939</v>
      </c>
      <c r="K500" s="47" t="str">
        <f>INDEX(_xlfn.TEXTSPLIT(mouvementmp[[#This Row],[QR MP]],"_"),1,1)</f>
        <v>C17</v>
      </c>
      <c r="L500" s="47" t="str">
        <f>INDEX(_xlfn.TEXTSPLIT(mouvementmp[[#This Row],[QR MP]],"_"),1,2)</f>
        <v>EMAURAUDE</v>
      </c>
      <c r="M500" s="47" t="str">
        <f>INDEX(_xlfn.TEXTSPLIT(mouvementmp[[#This Row],[QR MP]],"_"),1,3)</f>
        <v>NM15-17.00</v>
      </c>
      <c r="N500" s="47" t="str">
        <f>INDEX(_xlfn.TEXTSPLIT(mouvementmp[[#This Row],[QR MP]],"_"),1,4)</f>
        <v>61571</v>
      </c>
      <c r="O500" s="47">
        <f>-mouvementmp[[#This Row],[Poids]]</f>
        <v>-6.8</v>
      </c>
      <c r="P500" s="47" t="str">
        <f>IF(
   COUNTIFS($A$2:A500,A500,
             $B$2:B500,B500,
             $C$2:C500,C500,
             $D$2:D500,D500,
             $E$2:E500,E500,
             $F$2:F500,F500,
              $J$2:J500,J500)&gt;1,
   "Doublon",
   "Correcte"
)</f>
        <v>Correcte</v>
      </c>
      <c r="Q500" s="106" t="str">
        <f>IF(mouvementmp[[#This Row],[QR Fabrication]]&lt;&gt;"",INDEX(_xlfn.TEXTSPLIT(mouvementmp[[#This Row],[QR Fabrication]],"_"),1,1),"")</f>
        <v>CA250207</v>
      </c>
      <c r="R500" s="106" t="str">
        <f>IF(mouvementmp[[#This Row],[QR Fabrication]]&lt;&gt;"",INDEX(_xlfn.TEXTSPLIT(mouvementmp[[#This Row],[QR Fabrication]],"_"),1,2),"")</f>
        <v>All by Fouta</v>
      </c>
      <c r="S500" s="47" t="str">
        <f>IF(mouvementmp[[#This Row],[QR Fabrication]]&lt;&gt;"",INDEX(_xlfn.TEXTSPLIT(mouvementmp[[#This Row],[QR Fabrication]],"_"),1,3),"")</f>
        <v>Stock</v>
      </c>
      <c r="T500" s="47" t="str">
        <f>IF(mouvementmp[[#This Row],[QR Fabrication]]&lt;&gt;"",INDEX(_xlfn.TEXTSPLIT(mouvementmp[[#This Row],[QR Fabrication]],"_"),1,4),"")</f>
        <v>AR1020-B07-17</v>
      </c>
      <c r="U500" s="47" t="str">
        <f>IF(mouvementmp[[#This Row],[QR Fabrication]]&lt;&gt;"",INDEX(_xlfn.TEXTSPLIT(mouvementmp[[#This Row],[QR Fabrication]],"_"),1,5),"")</f>
        <v>ARTHUR</v>
      </c>
      <c r="V500" s="47" t="str">
        <f>IF(mouvementmp[[#This Row],[QR Fabrication]]&lt;&gt;"",_xlfn.TEXTAFTER(mouvementmp[[#This Row],[QR Fabrication]],"_",5),"")</f>
        <v>1020</v>
      </c>
    </row>
    <row r="501" spans="1:22" ht="16.5" thickTop="1" thickBot="1" x14ac:dyDescent="0.3">
      <c r="A501" s="46" t="s">
        <v>2518</v>
      </c>
      <c r="B501" s="54" t="s">
        <v>3847</v>
      </c>
      <c r="C501" s="47" t="s">
        <v>672</v>
      </c>
      <c r="D501" s="47" t="s">
        <v>665</v>
      </c>
      <c r="E501" s="47" t="s">
        <v>669</v>
      </c>
      <c r="F501" s="48">
        <v>18</v>
      </c>
      <c r="G501" s="47"/>
      <c r="H501" s="47"/>
      <c r="I501" s="47" t="s">
        <v>664</v>
      </c>
      <c r="J501" s="49">
        <v>45939</v>
      </c>
      <c r="K501" s="47" t="str">
        <f>INDEX(_xlfn.TEXTSPLIT(mouvementmp[[#This Row],[QR MP]],"_"),1,1)</f>
        <v>C11</v>
      </c>
      <c r="L501" s="47" t="str">
        <f>INDEX(_xlfn.TEXTSPLIT(mouvementmp[[#This Row],[QR MP]],"_"),1,2)</f>
        <v>BLEU GITANE</v>
      </c>
      <c r="M501" s="47" t="str">
        <f>INDEX(_xlfn.TEXTSPLIT(mouvementmp[[#This Row],[QR MP]],"_"),1,3)</f>
        <v>NM15-11.00</v>
      </c>
      <c r="N501" s="47" t="str">
        <f>INDEX(_xlfn.TEXTSPLIT(mouvementmp[[#This Row],[QR MP]],"_"),1,4)</f>
        <v>61659</v>
      </c>
      <c r="O501" s="47">
        <f>-mouvementmp[[#This Row],[Poids]]</f>
        <v>-18</v>
      </c>
      <c r="P501" s="47" t="str">
        <f>IF(
   COUNTIFS($A$2:A501,A501,
             $B$2:B501,B501,
             $C$2:C501,C501,
             $D$2:D501,D501,
             $E$2:E501,E501,
             $F$2:F501,F501,
              $J$2:J501,J501)&gt;1,
   "Doublon",
   "Correcte"
)</f>
        <v>Correcte</v>
      </c>
      <c r="Q501" s="106" t="str">
        <f>IF(mouvementmp[[#This Row],[QR Fabrication]]&lt;&gt;"",INDEX(_xlfn.TEXTSPLIT(mouvementmp[[#This Row],[QR Fabrication]],"_"),1,1),"")</f>
        <v>CA250159</v>
      </c>
      <c r="R501" s="106" t="str">
        <f>IF(mouvementmp[[#This Row],[QR Fabrication]]&lt;&gt;"",INDEX(_xlfn.TEXTSPLIT(mouvementmp[[#This Row],[QR Fabrication]],"_"),1,2),"")</f>
        <v>All by Fouta</v>
      </c>
      <c r="S501" s="47" t="str">
        <f>IF(mouvementmp[[#This Row],[QR Fabrication]]&lt;&gt;"",INDEX(_xlfn.TEXTSPLIT(mouvementmp[[#This Row],[QR Fabrication]],"_"),1,3),"")</f>
        <v>Stock</v>
      </c>
      <c r="T501" s="47" t="str">
        <f>IF(mouvementmp[[#This Row],[QR Fabrication]]&lt;&gt;"",INDEX(_xlfn.TEXTSPLIT(mouvementmp[[#This Row],[QR Fabrication]],"_"),1,4),"")</f>
        <v>IB1020-B11-14</v>
      </c>
      <c r="U501" s="47" t="str">
        <f>IF(mouvementmp[[#This Row],[QR Fabrication]]&lt;&gt;"",INDEX(_xlfn.TEXTSPLIT(mouvementmp[[#This Row],[QR Fabrication]],"_"),1,5),"")</f>
        <v>IBIZA</v>
      </c>
      <c r="V501" s="47" t="str">
        <f>IF(mouvementmp[[#This Row],[QR Fabrication]]&lt;&gt;"",_xlfn.TEXTAFTER(mouvementmp[[#This Row],[QR Fabrication]],"_",5),"")</f>
        <v>1020</v>
      </c>
    </row>
    <row r="502" spans="1:22" ht="16.5" thickTop="1" thickBot="1" x14ac:dyDescent="0.3">
      <c r="A502" s="46" t="s">
        <v>2518</v>
      </c>
      <c r="B502" s="54" t="s">
        <v>3858</v>
      </c>
      <c r="C502" s="47" t="s">
        <v>672</v>
      </c>
      <c r="D502" s="47" t="s">
        <v>665</v>
      </c>
      <c r="E502" s="47" t="s">
        <v>669</v>
      </c>
      <c r="F502" s="48">
        <v>6.6</v>
      </c>
      <c r="G502" s="47"/>
      <c r="H502" s="47"/>
      <c r="I502" s="47" t="s">
        <v>664</v>
      </c>
      <c r="J502" s="49">
        <v>45939</v>
      </c>
      <c r="K502" s="47" t="str">
        <f>INDEX(_xlfn.TEXTSPLIT(mouvementmp[[#This Row],[QR MP]],"_"),1,1)</f>
        <v>C14</v>
      </c>
      <c r="L502" s="47" t="str">
        <f>INDEX(_xlfn.TEXTSPLIT(mouvementmp[[#This Row],[QR MP]],"_"),1,2)</f>
        <v>BLEU TURQUOISE</v>
      </c>
      <c r="M502" s="47" t="str">
        <f>INDEX(_xlfn.TEXTSPLIT(mouvementmp[[#This Row],[QR MP]],"_"),1,3)</f>
        <v>NM15-14.00</v>
      </c>
      <c r="N502" s="47" t="str">
        <f>INDEX(_xlfn.TEXTSPLIT(mouvementmp[[#This Row],[QR MP]],"_"),1,4)</f>
        <v>61597</v>
      </c>
      <c r="O502" s="47">
        <f>-mouvementmp[[#This Row],[Poids]]</f>
        <v>-6.6</v>
      </c>
      <c r="P502" s="47" t="str">
        <f>IF(
   COUNTIFS($A$2:A502,A502,
             $B$2:B502,B502,
             $C$2:C502,C502,
             $D$2:D502,D502,
             $E$2:E502,E502,
             $F$2:F502,F502,
              $J$2:J502,J502)&gt;1,
   "Doublon",
   "Correcte"
)</f>
        <v>Correcte</v>
      </c>
      <c r="Q502" s="106" t="str">
        <f>IF(mouvementmp[[#This Row],[QR Fabrication]]&lt;&gt;"",INDEX(_xlfn.TEXTSPLIT(mouvementmp[[#This Row],[QR Fabrication]],"_"),1,1),"")</f>
        <v>CA250159</v>
      </c>
      <c r="R502" s="106" t="str">
        <f>IF(mouvementmp[[#This Row],[QR Fabrication]]&lt;&gt;"",INDEX(_xlfn.TEXTSPLIT(mouvementmp[[#This Row],[QR Fabrication]],"_"),1,2),"")</f>
        <v>All by Fouta</v>
      </c>
      <c r="S502" s="47" t="str">
        <f>IF(mouvementmp[[#This Row],[QR Fabrication]]&lt;&gt;"",INDEX(_xlfn.TEXTSPLIT(mouvementmp[[#This Row],[QR Fabrication]],"_"),1,3),"")</f>
        <v>Stock</v>
      </c>
      <c r="T502" s="47" t="str">
        <f>IF(mouvementmp[[#This Row],[QR Fabrication]]&lt;&gt;"",INDEX(_xlfn.TEXTSPLIT(mouvementmp[[#This Row],[QR Fabrication]],"_"),1,4),"")</f>
        <v>IB1020-B11-14</v>
      </c>
      <c r="U502" s="47" t="str">
        <f>IF(mouvementmp[[#This Row],[QR Fabrication]]&lt;&gt;"",INDEX(_xlfn.TEXTSPLIT(mouvementmp[[#This Row],[QR Fabrication]],"_"),1,5),"")</f>
        <v>IBIZA</v>
      </c>
      <c r="V502" s="47" t="str">
        <f>IF(mouvementmp[[#This Row],[QR Fabrication]]&lt;&gt;"",_xlfn.TEXTAFTER(mouvementmp[[#This Row],[QR Fabrication]],"_",5),"")</f>
        <v>1020</v>
      </c>
    </row>
    <row r="503" spans="1:22" ht="16.5" thickTop="1" thickBot="1" x14ac:dyDescent="0.3">
      <c r="A503" s="46" t="s">
        <v>2519</v>
      </c>
      <c r="B503" s="54" t="s">
        <v>3874</v>
      </c>
      <c r="C503" s="47" t="s">
        <v>672</v>
      </c>
      <c r="D503" s="47" t="s">
        <v>665</v>
      </c>
      <c r="E503" s="47" t="s">
        <v>669</v>
      </c>
      <c r="F503" s="48">
        <v>14.5</v>
      </c>
      <c r="G503" s="47"/>
      <c r="H503" s="47"/>
      <c r="I503" s="47" t="s">
        <v>664</v>
      </c>
      <c r="J503" s="49">
        <v>45939</v>
      </c>
      <c r="K503" s="47" t="str">
        <f>INDEX(_xlfn.TEXTSPLIT(mouvementmp[[#This Row],[QR MP]],"_"),1,1)</f>
        <v>C20</v>
      </c>
      <c r="L503" s="47" t="str">
        <f>INDEX(_xlfn.TEXTSPLIT(mouvementmp[[#This Row],[QR MP]],"_"),1,2)</f>
        <v>VERT OLIVE</v>
      </c>
      <c r="M503" s="47" t="str">
        <f>INDEX(_xlfn.TEXTSPLIT(mouvementmp[[#This Row],[QR MP]],"_"),1,3)</f>
        <v>NM15-20.00</v>
      </c>
      <c r="N503" s="47" t="str">
        <f>INDEX(_xlfn.TEXTSPLIT(mouvementmp[[#This Row],[QR MP]],"_"),1,4)</f>
        <v>S2023</v>
      </c>
      <c r="O503" s="47">
        <f>-mouvementmp[[#This Row],[Poids]]</f>
        <v>-14.5</v>
      </c>
      <c r="P503" s="47" t="str">
        <f>IF(
   COUNTIFS($A$2:A503,A503,
             $B$2:B503,B503,
             $C$2:C503,C503,
             $D$2:D503,D503,
             $E$2:E503,E503,
             $F$2:F503,F503,
              $J$2:J503,J503)&gt;1,
   "Doublon",
   "Correcte"
)</f>
        <v>Correcte</v>
      </c>
      <c r="Q503" s="106" t="str">
        <f>IF(mouvementmp[[#This Row],[QR Fabrication]]&lt;&gt;"",INDEX(_xlfn.TEXTSPLIT(mouvementmp[[#This Row],[QR Fabrication]],"_"),1,1),"")</f>
        <v>CA250242</v>
      </c>
      <c r="R503" s="106" t="str">
        <f>IF(mouvementmp[[#This Row],[QR Fabrication]]&lt;&gt;"",INDEX(_xlfn.TEXTSPLIT(mouvementmp[[#This Row],[QR Fabrication]],"_"),1,2),"")</f>
        <v>All by Fouta</v>
      </c>
      <c r="S503" s="47" t="str">
        <f>IF(mouvementmp[[#This Row],[QR Fabrication]]&lt;&gt;"",INDEX(_xlfn.TEXTSPLIT(mouvementmp[[#This Row],[QR Fabrication]],"_"),1,3),"")</f>
        <v>Stock</v>
      </c>
      <c r="T503" s="47" t="str">
        <f>IF(mouvementmp[[#This Row],[QR Fabrication]]&lt;&gt;"",INDEX(_xlfn.TEXTSPLIT(mouvementmp[[#This Row],[QR Fabrication]],"_"),1,4),"")</f>
        <v>AR2020-B20-24</v>
      </c>
      <c r="U503" s="47" t="str">
        <f>IF(mouvementmp[[#This Row],[QR Fabrication]]&lt;&gt;"",INDEX(_xlfn.TEXTSPLIT(mouvementmp[[#This Row],[QR Fabrication]],"_"),1,5),"")</f>
        <v>ARTHUR</v>
      </c>
      <c r="V503" s="47" t="str">
        <f>IF(mouvementmp[[#This Row],[QR Fabrication]]&lt;&gt;"",_xlfn.TEXTAFTER(mouvementmp[[#This Row],[QR Fabrication]],"_",5),"")</f>
        <v>2020</v>
      </c>
    </row>
    <row r="504" spans="1:22" ht="16.5" thickTop="1" thickBot="1" x14ac:dyDescent="0.3">
      <c r="A504" s="46" t="s">
        <v>2519</v>
      </c>
      <c r="B504" s="54" t="s">
        <v>3886</v>
      </c>
      <c r="C504" s="47" t="s">
        <v>672</v>
      </c>
      <c r="D504" s="47" t="s">
        <v>665</v>
      </c>
      <c r="E504" s="47" t="s">
        <v>669</v>
      </c>
      <c r="F504" s="48">
        <v>6.8</v>
      </c>
      <c r="G504" s="47"/>
      <c r="H504" s="47"/>
      <c r="I504" s="47" t="s">
        <v>664</v>
      </c>
      <c r="J504" s="49">
        <v>45939</v>
      </c>
      <c r="K504" s="47" t="str">
        <f>INDEX(_xlfn.TEXTSPLIT(mouvementmp[[#This Row],[QR MP]],"_"),1,1)</f>
        <v>C24</v>
      </c>
      <c r="L504" s="47" t="str">
        <f>INDEX(_xlfn.TEXTSPLIT(mouvementmp[[#This Row],[QR MP]],"_"),1,2)</f>
        <v>JAUNE SAFRAN</v>
      </c>
      <c r="M504" s="47" t="str">
        <f>INDEX(_xlfn.TEXTSPLIT(mouvementmp[[#This Row],[QR MP]],"_"),1,3)</f>
        <v>NM15-24.00</v>
      </c>
      <c r="N504" s="47" t="str">
        <f>INDEX(_xlfn.TEXTSPLIT(mouvementmp[[#This Row],[QR MP]],"_"),1,4)</f>
        <v>61554</v>
      </c>
      <c r="O504" s="47">
        <f>-mouvementmp[[#This Row],[Poids]]</f>
        <v>-6.8</v>
      </c>
      <c r="P504" s="47" t="str">
        <f>IF(
   COUNTIFS($A$2:A504,A504,
             $B$2:B504,B504,
             $C$2:C504,C504,
             $D$2:D504,D504,
             $E$2:E504,E504,
             $F$2:F504,F504,
              $J$2:J504,J504)&gt;1,
   "Doublon",
   "Correcte"
)</f>
        <v>Correcte</v>
      </c>
      <c r="Q504" s="106" t="str">
        <f>IF(mouvementmp[[#This Row],[QR Fabrication]]&lt;&gt;"",INDEX(_xlfn.TEXTSPLIT(mouvementmp[[#This Row],[QR Fabrication]],"_"),1,1),"")</f>
        <v>CA250242</v>
      </c>
      <c r="R504" s="106" t="str">
        <f>IF(mouvementmp[[#This Row],[QR Fabrication]]&lt;&gt;"",INDEX(_xlfn.TEXTSPLIT(mouvementmp[[#This Row],[QR Fabrication]],"_"),1,2),"")</f>
        <v>All by Fouta</v>
      </c>
      <c r="S504" s="47" t="str">
        <f>IF(mouvementmp[[#This Row],[QR Fabrication]]&lt;&gt;"",INDEX(_xlfn.TEXTSPLIT(mouvementmp[[#This Row],[QR Fabrication]],"_"),1,3),"")</f>
        <v>Stock</v>
      </c>
      <c r="T504" s="47" t="str">
        <f>IF(mouvementmp[[#This Row],[QR Fabrication]]&lt;&gt;"",INDEX(_xlfn.TEXTSPLIT(mouvementmp[[#This Row],[QR Fabrication]],"_"),1,4),"")</f>
        <v>AR2020-B20-24</v>
      </c>
      <c r="U504" s="47" t="str">
        <f>IF(mouvementmp[[#This Row],[QR Fabrication]]&lt;&gt;"",INDEX(_xlfn.TEXTSPLIT(mouvementmp[[#This Row],[QR Fabrication]],"_"),1,5),"")</f>
        <v>ARTHUR</v>
      </c>
      <c r="V504" s="47" t="str">
        <f>IF(mouvementmp[[#This Row],[QR Fabrication]]&lt;&gt;"",_xlfn.TEXTAFTER(mouvementmp[[#This Row],[QR Fabrication]],"_",5),"")</f>
        <v>2020</v>
      </c>
    </row>
    <row r="505" spans="1:22" ht="16.5" thickTop="1" thickBot="1" x14ac:dyDescent="0.3">
      <c r="A505" s="46" t="s">
        <v>2520</v>
      </c>
      <c r="B505" s="54" t="s">
        <v>3847</v>
      </c>
      <c r="C505" s="47" t="s">
        <v>672</v>
      </c>
      <c r="D505" s="47" t="s">
        <v>665</v>
      </c>
      <c r="E505" s="47" t="s">
        <v>669</v>
      </c>
      <c r="F505" s="48">
        <v>10.15</v>
      </c>
      <c r="G505" s="47"/>
      <c r="H505" s="47"/>
      <c r="I505" s="47" t="s">
        <v>664</v>
      </c>
      <c r="J505" s="49">
        <v>45939</v>
      </c>
      <c r="K505" s="47" t="str">
        <f>INDEX(_xlfn.TEXTSPLIT(mouvementmp[[#This Row],[QR MP]],"_"),1,1)</f>
        <v>C11</v>
      </c>
      <c r="L505" s="47" t="str">
        <f>INDEX(_xlfn.TEXTSPLIT(mouvementmp[[#This Row],[QR MP]],"_"),1,2)</f>
        <v>BLEU GITANE</v>
      </c>
      <c r="M505" s="47" t="str">
        <f>INDEX(_xlfn.TEXTSPLIT(mouvementmp[[#This Row],[QR MP]],"_"),1,3)</f>
        <v>NM15-11.00</v>
      </c>
      <c r="N505" s="47" t="str">
        <f>INDEX(_xlfn.TEXTSPLIT(mouvementmp[[#This Row],[QR MP]],"_"),1,4)</f>
        <v>61659</v>
      </c>
      <c r="O505" s="47">
        <f>-mouvementmp[[#This Row],[Poids]]</f>
        <v>-10.15</v>
      </c>
      <c r="P505" s="47" t="str">
        <f>IF(
   COUNTIFS($A$2:A505,A505,
             $B$2:B505,B505,
             $C$2:C505,C505,
             $D$2:D505,D505,
             $E$2:E505,E505,
             $F$2:F505,F505,
              $J$2:J505,J505)&gt;1,
   "Doublon",
   "Correcte"
)</f>
        <v>Correcte</v>
      </c>
      <c r="Q505" s="106" t="str">
        <f>IF(mouvementmp[[#This Row],[QR Fabrication]]&lt;&gt;"",INDEX(_xlfn.TEXTSPLIT(mouvementmp[[#This Row],[QR Fabrication]],"_"),1,1),"")</f>
        <v>CA250186</v>
      </c>
      <c r="R505" s="106" t="str">
        <f>IF(mouvementmp[[#This Row],[QR Fabrication]]&lt;&gt;"",INDEX(_xlfn.TEXTSPLIT(mouvementmp[[#This Row],[QR Fabrication]],"_"),1,2),"")</f>
        <v>All by Fouta</v>
      </c>
      <c r="S505" s="47" t="str">
        <f>IF(mouvementmp[[#This Row],[QR Fabrication]]&lt;&gt;"",INDEX(_xlfn.TEXTSPLIT(mouvementmp[[#This Row],[QR Fabrication]],"_"),1,3),"")</f>
        <v>Stock</v>
      </c>
      <c r="T505" s="47" t="str">
        <f>IF(mouvementmp[[#This Row],[QR Fabrication]]&lt;&gt;"",INDEX(_xlfn.TEXTSPLIT(mouvementmp[[#This Row],[QR Fabrication]],"_"),1,4),"")</f>
        <v>IB2020-B11-14</v>
      </c>
      <c r="U505" s="47" t="str">
        <f>IF(mouvementmp[[#This Row],[QR Fabrication]]&lt;&gt;"",INDEX(_xlfn.TEXTSPLIT(mouvementmp[[#This Row],[QR Fabrication]],"_"),1,5),"")</f>
        <v>IBIZA</v>
      </c>
      <c r="V505" s="47" t="str">
        <f>IF(mouvementmp[[#This Row],[QR Fabrication]]&lt;&gt;"",_xlfn.TEXTAFTER(mouvementmp[[#This Row],[QR Fabrication]],"_",5),"")</f>
        <v>2020</v>
      </c>
    </row>
    <row r="506" spans="1:22" ht="16.5" thickTop="1" thickBot="1" x14ac:dyDescent="0.3">
      <c r="A506" s="46" t="s">
        <v>2520</v>
      </c>
      <c r="B506" s="54" t="s">
        <v>3858</v>
      </c>
      <c r="C506" s="47" t="s">
        <v>672</v>
      </c>
      <c r="D506" s="47" t="s">
        <v>665</v>
      </c>
      <c r="E506" s="47" t="s">
        <v>669</v>
      </c>
      <c r="F506" s="48">
        <v>2.75</v>
      </c>
      <c r="G506" s="47"/>
      <c r="H506" s="47"/>
      <c r="I506" s="47" t="s">
        <v>664</v>
      </c>
      <c r="J506" s="49">
        <v>45939</v>
      </c>
      <c r="K506" s="47" t="str">
        <f>INDEX(_xlfn.TEXTSPLIT(mouvementmp[[#This Row],[QR MP]],"_"),1,1)</f>
        <v>C14</v>
      </c>
      <c r="L506" s="47" t="str">
        <f>INDEX(_xlfn.TEXTSPLIT(mouvementmp[[#This Row],[QR MP]],"_"),1,2)</f>
        <v>BLEU TURQUOISE</v>
      </c>
      <c r="M506" s="47" t="str">
        <f>INDEX(_xlfn.TEXTSPLIT(mouvementmp[[#This Row],[QR MP]],"_"),1,3)</f>
        <v>NM15-14.00</v>
      </c>
      <c r="N506" s="47" t="str">
        <f>INDEX(_xlfn.TEXTSPLIT(mouvementmp[[#This Row],[QR MP]],"_"),1,4)</f>
        <v>61597</v>
      </c>
      <c r="O506" s="47">
        <f>-mouvementmp[[#This Row],[Poids]]</f>
        <v>-2.75</v>
      </c>
      <c r="P506" s="47" t="str">
        <f>IF(
   COUNTIFS($A$2:A506,A506,
             $B$2:B506,B506,
             $C$2:C506,C506,
             $D$2:D506,D506,
             $E$2:E506,E506,
             $F$2:F506,F506,
              $J$2:J506,J506)&gt;1,
   "Doublon",
   "Correcte"
)</f>
        <v>Correcte</v>
      </c>
      <c r="Q506" s="106" t="str">
        <f>IF(mouvementmp[[#This Row],[QR Fabrication]]&lt;&gt;"",INDEX(_xlfn.TEXTSPLIT(mouvementmp[[#This Row],[QR Fabrication]],"_"),1,1),"")</f>
        <v>CA250186</v>
      </c>
      <c r="R506" s="106" t="str">
        <f>IF(mouvementmp[[#This Row],[QR Fabrication]]&lt;&gt;"",INDEX(_xlfn.TEXTSPLIT(mouvementmp[[#This Row],[QR Fabrication]],"_"),1,2),"")</f>
        <v>All by Fouta</v>
      </c>
      <c r="S506" s="47" t="str">
        <f>IF(mouvementmp[[#This Row],[QR Fabrication]]&lt;&gt;"",INDEX(_xlfn.TEXTSPLIT(mouvementmp[[#This Row],[QR Fabrication]],"_"),1,3),"")</f>
        <v>Stock</v>
      </c>
      <c r="T506" s="47" t="str">
        <f>IF(mouvementmp[[#This Row],[QR Fabrication]]&lt;&gt;"",INDEX(_xlfn.TEXTSPLIT(mouvementmp[[#This Row],[QR Fabrication]],"_"),1,4),"")</f>
        <v>IB2020-B11-14</v>
      </c>
      <c r="U506" s="47" t="str">
        <f>IF(mouvementmp[[#This Row],[QR Fabrication]]&lt;&gt;"",INDEX(_xlfn.TEXTSPLIT(mouvementmp[[#This Row],[QR Fabrication]],"_"),1,5),"")</f>
        <v>IBIZA</v>
      </c>
      <c r="V506" s="47" t="str">
        <f>IF(mouvementmp[[#This Row],[QR Fabrication]]&lt;&gt;"",_xlfn.TEXTAFTER(mouvementmp[[#This Row],[QR Fabrication]],"_",5),"")</f>
        <v>2020</v>
      </c>
    </row>
    <row r="507" spans="1:22" ht="16.5" thickTop="1" thickBot="1" x14ac:dyDescent="0.3">
      <c r="A507" s="46" t="s">
        <v>2521</v>
      </c>
      <c r="B507" s="54" t="s">
        <v>3847</v>
      </c>
      <c r="C507" s="47" t="s">
        <v>672</v>
      </c>
      <c r="D507" s="47" t="s">
        <v>665</v>
      </c>
      <c r="E507" s="47" t="s">
        <v>669</v>
      </c>
      <c r="F507" s="48">
        <v>10.5</v>
      </c>
      <c r="G507" s="47"/>
      <c r="H507" s="47"/>
      <c r="I507" s="47" t="s">
        <v>664</v>
      </c>
      <c r="J507" s="49">
        <v>45939</v>
      </c>
      <c r="K507" s="47" t="str">
        <f>INDEX(_xlfn.TEXTSPLIT(mouvementmp[[#This Row],[QR MP]],"_"),1,1)</f>
        <v>C11</v>
      </c>
      <c r="L507" s="47" t="str">
        <f>INDEX(_xlfn.TEXTSPLIT(mouvementmp[[#This Row],[QR MP]],"_"),1,2)</f>
        <v>BLEU GITANE</v>
      </c>
      <c r="M507" s="47" t="str">
        <f>INDEX(_xlfn.TEXTSPLIT(mouvementmp[[#This Row],[QR MP]],"_"),1,3)</f>
        <v>NM15-11.00</v>
      </c>
      <c r="N507" s="47" t="str">
        <f>INDEX(_xlfn.TEXTSPLIT(mouvementmp[[#This Row],[QR MP]],"_"),1,4)</f>
        <v>61659</v>
      </c>
      <c r="O507" s="47">
        <f>-mouvementmp[[#This Row],[Poids]]</f>
        <v>-10.5</v>
      </c>
      <c r="P507" s="47" t="str">
        <f>IF(
   COUNTIFS($A$2:A507,A507,
             $B$2:B507,B507,
             $C$2:C507,C507,
             $D$2:D507,D507,
             $E$2:E507,E507,
             $F$2:F507,F507,
              $J$2:J507,J507)&gt;1,
   "Doublon",
   "Correcte"
)</f>
        <v>Correcte</v>
      </c>
      <c r="Q507" s="106" t="str">
        <f>IF(mouvementmp[[#This Row],[QR Fabrication]]&lt;&gt;"",INDEX(_xlfn.TEXTSPLIT(mouvementmp[[#This Row],[QR Fabrication]],"_"),1,1),"")</f>
        <v>CA250185</v>
      </c>
      <c r="R507" s="106" t="str">
        <f>IF(mouvementmp[[#This Row],[QR Fabrication]]&lt;&gt;"",INDEX(_xlfn.TEXTSPLIT(mouvementmp[[#This Row],[QR Fabrication]],"_"),1,2),"")</f>
        <v>All by Fouta</v>
      </c>
      <c r="S507" s="47" t="str">
        <f>IF(mouvementmp[[#This Row],[QR Fabrication]]&lt;&gt;"",INDEX(_xlfn.TEXTSPLIT(mouvementmp[[#This Row],[QR Fabrication]],"_"),1,3),"")</f>
        <v>Stock</v>
      </c>
      <c r="T507" s="47" t="str">
        <f>IF(mouvementmp[[#This Row],[QR Fabrication]]&lt;&gt;"",INDEX(_xlfn.TEXTSPLIT(mouvementmp[[#This Row],[QR Fabrication]],"_"),1,4),"")</f>
        <v>IB2020-B11-25</v>
      </c>
      <c r="U507" s="47" t="str">
        <f>IF(mouvementmp[[#This Row],[QR Fabrication]]&lt;&gt;"",INDEX(_xlfn.TEXTSPLIT(mouvementmp[[#This Row],[QR Fabrication]],"_"),1,5),"")</f>
        <v>IBIZA</v>
      </c>
      <c r="V507" s="47" t="str">
        <f>IF(mouvementmp[[#This Row],[QR Fabrication]]&lt;&gt;"",_xlfn.TEXTAFTER(mouvementmp[[#This Row],[QR Fabrication]],"_",5),"")</f>
        <v>2020</v>
      </c>
    </row>
    <row r="508" spans="1:22" ht="16.5" thickTop="1" thickBot="1" x14ac:dyDescent="0.3">
      <c r="A508" s="46" t="s">
        <v>2521</v>
      </c>
      <c r="B508" s="54" t="s">
        <v>3887</v>
      </c>
      <c r="C508" s="47" t="s">
        <v>672</v>
      </c>
      <c r="D508" s="47" t="s">
        <v>665</v>
      </c>
      <c r="E508" s="47" t="s">
        <v>669</v>
      </c>
      <c r="F508" s="48">
        <v>2.5499999999999998</v>
      </c>
      <c r="G508" s="47"/>
      <c r="H508" s="47"/>
      <c r="I508" s="47" t="s">
        <v>664</v>
      </c>
      <c r="J508" s="49">
        <v>45939</v>
      </c>
      <c r="K508" s="47" t="str">
        <f>INDEX(_xlfn.TEXTSPLIT(mouvementmp[[#This Row],[QR MP]],"_"),1,1)</f>
        <v>C25</v>
      </c>
      <c r="L508" s="47" t="str">
        <f>INDEX(_xlfn.TEXTSPLIT(mouvementmp[[#This Row],[QR MP]],"_"),1,2)</f>
        <v>ORANGE</v>
      </c>
      <c r="M508" s="47" t="str">
        <f>INDEX(_xlfn.TEXTSPLIT(mouvementmp[[#This Row],[QR MP]],"_"),1,3)</f>
        <v>NM15-25.00</v>
      </c>
      <c r="N508" s="47" t="str">
        <f>INDEX(_xlfn.TEXTSPLIT(mouvementmp[[#This Row],[QR MP]],"_"),1,4)</f>
        <v>61729</v>
      </c>
      <c r="O508" s="47">
        <f>-mouvementmp[[#This Row],[Poids]]</f>
        <v>-2.5499999999999998</v>
      </c>
      <c r="P508" s="47" t="str">
        <f>IF(
   COUNTIFS($A$2:A508,A508,
             $B$2:B508,B508,
             $C$2:C508,C508,
             $D$2:D508,D508,
             $E$2:E508,E508,
             $F$2:F508,F508,
              $J$2:J508,J508)&gt;1,
   "Doublon",
   "Correcte"
)</f>
        <v>Correcte</v>
      </c>
      <c r="Q508" s="106" t="str">
        <f>IF(mouvementmp[[#This Row],[QR Fabrication]]&lt;&gt;"",INDEX(_xlfn.TEXTSPLIT(mouvementmp[[#This Row],[QR Fabrication]],"_"),1,1),"")</f>
        <v>CA250185</v>
      </c>
      <c r="R508" s="106" t="str">
        <f>IF(mouvementmp[[#This Row],[QR Fabrication]]&lt;&gt;"",INDEX(_xlfn.TEXTSPLIT(mouvementmp[[#This Row],[QR Fabrication]],"_"),1,2),"")</f>
        <v>All by Fouta</v>
      </c>
      <c r="S508" s="47" t="str">
        <f>IF(mouvementmp[[#This Row],[QR Fabrication]]&lt;&gt;"",INDEX(_xlfn.TEXTSPLIT(mouvementmp[[#This Row],[QR Fabrication]],"_"),1,3),"")</f>
        <v>Stock</v>
      </c>
      <c r="T508" s="47" t="str">
        <f>IF(mouvementmp[[#This Row],[QR Fabrication]]&lt;&gt;"",INDEX(_xlfn.TEXTSPLIT(mouvementmp[[#This Row],[QR Fabrication]],"_"),1,4),"")</f>
        <v>IB2020-B11-25</v>
      </c>
      <c r="U508" s="47" t="str">
        <f>IF(mouvementmp[[#This Row],[QR Fabrication]]&lt;&gt;"",INDEX(_xlfn.TEXTSPLIT(mouvementmp[[#This Row],[QR Fabrication]],"_"),1,5),"")</f>
        <v>IBIZA</v>
      </c>
      <c r="V508" s="47" t="str">
        <f>IF(mouvementmp[[#This Row],[QR Fabrication]]&lt;&gt;"",_xlfn.TEXTAFTER(mouvementmp[[#This Row],[QR Fabrication]],"_",5),"")</f>
        <v>2020</v>
      </c>
    </row>
    <row r="509" spans="1:22" ht="16.5" thickTop="1" thickBot="1" x14ac:dyDescent="0.3">
      <c r="A509" s="46" t="s">
        <v>2522</v>
      </c>
      <c r="B509" s="54" t="s">
        <v>3847</v>
      </c>
      <c r="C509" s="47" t="s">
        <v>672</v>
      </c>
      <c r="D509" s="47" t="s">
        <v>665</v>
      </c>
      <c r="E509" s="47" t="s">
        <v>669</v>
      </c>
      <c r="F509" s="48">
        <v>14.5</v>
      </c>
      <c r="G509" s="47"/>
      <c r="H509" s="47"/>
      <c r="I509" s="47" t="s">
        <v>664</v>
      </c>
      <c r="J509" s="49">
        <v>45939</v>
      </c>
      <c r="K509" s="47" t="str">
        <f>INDEX(_xlfn.TEXTSPLIT(mouvementmp[[#This Row],[QR MP]],"_"),1,1)</f>
        <v>C11</v>
      </c>
      <c r="L509" s="47" t="str">
        <f>INDEX(_xlfn.TEXTSPLIT(mouvementmp[[#This Row],[QR MP]],"_"),1,2)</f>
        <v>BLEU GITANE</v>
      </c>
      <c r="M509" s="47" t="str">
        <f>INDEX(_xlfn.TEXTSPLIT(mouvementmp[[#This Row],[QR MP]],"_"),1,3)</f>
        <v>NM15-11.00</v>
      </c>
      <c r="N509" s="47" t="str">
        <f>INDEX(_xlfn.TEXTSPLIT(mouvementmp[[#This Row],[QR MP]],"_"),1,4)</f>
        <v>61659</v>
      </c>
      <c r="O509" s="47">
        <f>-mouvementmp[[#This Row],[Poids]]</f>
        <v>-14.5</v>
      </c>
      <c r="P509" s="47" t="str">
        <f>IF(
   COUNTIFS($A$2:A509,A509,
             $B$2:B509,B509,
             $C$2:C509,C509,
             $D$2:D509,D509,
             $E$2:E509,E509,
             $F$2:F509,F509,
              $J$2:J509,J509)&gt;1,
   "Doublon",
   "Correcte"
)</f>
        <v>Correcte</v>
      </c>
      <c r="Q509" s="106" t="str">
        <f>IF(mouvementmp[[#This Row],[QR Fabrication]]&lt;&gt;"",INDEX(_xlfn.TEXTSPLIT(mouvementmp[[#This Row],[QR Fabrication]],"_"),1,1),"")</f>
        <v>CA250238</v>
      </c>
      <c r="R509" s="106" t="str">
        <f>IF(mouvementmp[[#This Row],[QR Fabrication]]&lt;&gt;"",INDEX(_xlfn.TEXTSPLIT(mouvementmp[[#This Row],[QR Fabrication]],"_"),1,2),"")</f>
        <v>All by Fouta</v>
      </c>
      <c r="S509" s="47" t="str">
        <f>IF(mouvementmp[[#This Row],[QR Fabrication]]&lt;&gt;"",INDEX(_xlfn.TEXTSPLIT(mouvementmp[[#This Row],[QR Fabrication]],"_"),1,3),"")</f>
        <v>Stock</v>
      </c>
      <c r="T509" s="47" t="str">
        <f>IF(mouvementmp[[#This Row],[QR Fabrication]]&lt;&gt;"",INDEX(_xlfn.TEXTSPLIT(mouvementmp[[#This Row],[QR Fabrication]],"_"),1,4),"")</f>
        <v>AR2020-B11-25</v>
      </c>
      <c r="U509" s="47" t="str">
        <f>IF(mouvementmp[[#This Row],[QR Fabrication]]&lt;&gt;"",INDEX(_xlfn.TEXTSPLIT(mouvementmp[[#This Row],[QR Fabrication]],"_"),1,5),"")</f>
        <v>ARTHUR</v>
      </c>
      <c r="V509" s="47" t="str">
        <f>IF(mouvementmp[[#This Row],[QR Fabrication]]&lt;&gt;"",_xlfn.TEXTAFTER(mouvementmp[[#This Row],[QR Fabrication]],"_",5),"")</f>
        <v>2020</v>
      </c>
    </row>
    <row r="510" spans="1:22" ht="16.5" thickTop="1" thickBot="1" x14ac:dyDescent="0.3">
      <c r="A510" s="46" t="s">
        <v>2522</v>
      </c>
      <c r="B510" s="54" t="s">
        <v>3887</v>
      </c>
      <c r="C510" s="47" t="s">
        <v>672</v>
      </c>
      <c r="D510" s="47" t="s">
        <v>665</v>
      </c>
      <c r="E510" s="47" t="s">
        <v>669</v>
      </c>
      <c r="F510" s="48">
        <v>6.8</v>
      </c>
      <c r="G510" s="47"/>
      <c r="H510" s="47"/>
      <c r="I510" s="47" t="s">
        <v>664</v>
      </c>
      <c r="J510" s="49">
        <v>45939</v>
      </c>
      <c r="K510" s="47" t="str">
        <f>INDEX(_xlfn.TEXTSPLIT(mouvementmp[[#This Row],[QR MP]],"_"),1,1)</f>
        <v>C25</v>
      </c>
      <c r="L510" s="47" t="str">
        <f>INDEX(_xlfn.TEXTSPLIT(mouvementmp[[#This Row],[QR MP]],"_"),1,2)</f>
        <v>ORANGE</v>
      </c>
      <c r="M510" s="47" t="str">
        <f>INDEX(_xlfn.TEXTSPLIT(mouvementmp[[#This Row],[QR MP]],"_"),1,3)</f>
        <v>NM15-25.00</v>
      </c>
      <c r="N510" s="47" t="str">
        <f>INDEX(_xlfn.TEXTSPLIT(mouvementmp[[#This Row],[QR MP]],"_"),1,4)</f>
        <v>61729</v>
      </c>
      <c r="O510" s="47">
        <f>-mouvementmp[[#This Row],[Poids]]</f>
        <v>-6.8</v>
      </c>
      <c r="P510" s="47" t="str">
        <f>IF(
   COUNTIFS($A$2:A510,A510,
             $B$2:B510,B510,
             $C$2:C510,C510,
             $D$2:D510,D510,
             $E$2:E510,E510,
             $F$2:F510,F510,
              $J$2:J510,J510)&gt;1,
   "Doublon",
   "Correcte"
)</f>
        <v>Correcte</v>
      </c>
      <c r="Q510" s="106" t="str">
        <f>IF(mouvementmp[[#This Row],[QR Fabrication]]&lt;&gt;"",INDEX(_xlfn.TEXTSPLIT(mouvementmp[[#This Row],[QR Fabrication]],"_"),1,1),"")</f>
        <v>CA250238</v>
      </c>
      <c r="R510" s="106" t="str">
        <f>IF(mouvementmp[[#This Row],[QR Fabrication]]&lt;&gt;"",INDEX(_xlfn.TEXTSPLIT(mouvementmp[[#This Row],[QR Fabrication]],"_"),1,2),"")</f>
        <v>All by Fouta</v>
      </c>
      <c r="S510" s="47" t="str">
        <f>IF(mouvementmp[[#This Row],[QR Fabrication]]&lt;&gt;"",INDEX(_xlfn.TEXTSPLIT(mouvementmp[[#This Row],[QR Fabrication]],"_"),1,3),"")</f>
        <v>Stock</v>
      </c>
      <c r="T510" s="47" t="str">
        <f>IF(mouvementmp[[#This Row],[QR Fabrication]]&lt;&gt;"",INDEX(_xlfn.TEXTSPLIT(mouvementmp[[#This Row],[QR Fabrication]],"_"),1,4),"")</f>
        <v>AR2020-B11-25</v>
      </c>
      <c r="U510" s="47" t="str">
        <f>IF(mouvementmp[[#This Row],[QR Fabrication]]&lt;&gt;"",INDEX(_xlfn.TEXTSPLIT(mouvementmp[[#This Row],[QR Fabrication]],"_"),1,5),"")</f>
        <v>ARTHUR</v>
      </c>
      <c r="V510" s="47" t="str">
        <f>IF(mouvementmp[[#This Row],[QR Fabrication]]&lt;&gt;"",_xlfn.TEXTAFTER(mouvementmp[[#This Row],[QR Fabrication]],"_",5),"")</f>
        <v>2020</v>
      </c>
    </row>
    <row r="511" spans="1:22" ht="16.5" thickTop="1" thickBot="1" x14ac:dyDescent="0.3">
      <c r="A511" s="46" t="s">
        <v>2523</v>
      </c>
      <c r="B511" s="54" t="s">
        <v>3851</v>
      </c>
      <c r="C511" s="47" t="s">
        <v>672</v>
      </c>
      <c r="D511" s="47" t="s">
        <v>665</v>
      </c>
      <c r="E511" s="47" t="s">
        <v>669</v>
      </c>
      <c r="F511" s="48">
        <v>18.5</v>
      </c>
      <c r="G511" s="47"/>
      <c r="H511" s="47"/>
      <c r="I511" s="47" t="s">
        <v>664</v>
      </c>
      <c r="J511" s="49">
        <v>45939</v>
      </c>
      <c r="K511" s="47" t="str">
        <f>INDEX(_xlfn.TEXTSPLIT(mouvementmp[[#This Row],[QR MP]],"_"),1,1)</f>
        <v>C12</v>
      </c>
      <c r="L511" s="47" t="str">
        <f>INDEX(_xlfn.TEXTSPLIT(mouvementmp[[#This Row],[QR MP]],"_"),1,2)</f>
        <v>BLEU DJEAN</v>
      </c>
      <c r="M511" s="47" t="str">
        <f>INDEX(_xlfn.TEXTSPLIT(mouvementmp[[#This Row],[QR MP]],"_"),1,3)</f>
        <v>NM15-12.00</v>
      </c>
      <c r="N511" s="47" t="str">
        <f>INDEX(_xlfn.TEXTSPLIT(mouvementmp[[#This Row],[QR MP]],"_"),1,4)</f>
        <v>S2023</v>
      </c>
      <c r="O511" s="47">
        <f>-mouvementmp[[#This Row],[Poids]]</f>
        <v>-18.5</v>
      </c>
      <c r="P511" s="47" t="str">
        <f>IF(
   COUNTIFS($A$2:A511,A511,
             $B$2:B511,B511,
             $C$2:C511,C511,
             $D$2:D511,D511,
             $E$2:E511,E511,
             $F$2:F511,F511,
              $J$2:J511,J511)&gt;1,
   "Doublon",
   "Correcte"
)</f>
        <v>Correcte</v>
      </c>
      <c r="Q511" s="106" t="str">
        <f>IF(mouvementmp[[#This Row],[QR Fabrication]]&lt;&gt;"",INDEX(_xlfn.TEXTSPLIT(mouvementmp[[#This Row],[QR Fabrication]],"_"),1,1),"")</f>
        <v>CA250160</v>
      </c>
      <c r="R511" s="106" t="str">
        <f>IF(mouvementmp[[#This Row],[QR Fabrication]]&lt;&gt;"",INDEX(_xlfn.TEXTSPLIT(mouvementmp[[#This Row],[QR Fabrication]],"_"),1,2),"")</f>
        <v>All by Fouta</v>
      </c>
      <c r="S511" s="47" t="str">
        <f>IF(mouvementmp[[#This Row],[QR Fabrication]]&lt;&gt;"",INDEX(_xlfn.TEXTSPLIT(mouvementmp[[#This Row],[QR Fabrication]],"_"),1,3),"")</f>
        <v>Stock</v>
      </c>
      <c r="T511" s="47" t="str">
        <f>IF(mouvementmp[[#This Row],[QR Fabrication]]&lt;&gt;"",INDEX(_xlfn.TEXTSPLIT(mouvementmp[[#This Row],[QR Fabrication]],"_"),1,4),"")</f>
        <v>IB1020-B12-32</v>
      </c>
      <c r="U511" s="47" t="str">
        <f>IF(mouvementmp[[#This Row],[QR Fabrication]]&lt;&gt;"",INDEX(_xlfn.TEXTSPLIT(mouvementmp[[#This Row],[QR Fabrication]],"_"),1,5),"")</f>
        <v>IBIZA</v>
      </c>
      <c r="V511" s="47" t="str">
        <f>IF(mouvementmp[[#This Row],[QR Fabrication]]&lt;&gt;"",_xlfn.TEXTAFTER(mouvementmp[[#This Row],[QR Fabrication]],"_",5),"")</f>
        <v>1020</v>
      </c>
    </row>
    <row r="512" spans="1:22" ht="16.5" thickTop="1" thickBot="1" x14ac:dyDescent="0.3">
      <c r="A512" s="46" t="s">
        <v>2523</v>
      </c>
      <c r="B512" s="54" t="s">
        <v>3905</v>
      </c>
      <c r="C512" s="47" t="s">
        <v>672</v>
      </c>
      <c r="D512" s="47" t="s">
        <v>665</v>
      </c>
      <c r="E512" s="47" t="s">
        <v>669</v>
      </c>
      <c r="F512" s="48">
        <v>6.85</v>
      </c>
      <c r="G512" s="47"/>
      <c r="H512" s="47"/>
      <c r="I512" s="47" t="s">
        <v>664</v>
      </c>
      <c r="J512" s="49">
        <v>45939</v>
      </c>
      <c r="K512" s="47" t="str">
        <f>INDEX(_xlfn.TEXTSPLIT(mouvementmp[[#This Row],[QR MP]],"_"),1,1)</f>
        <v>C32</v>
      </c>
      <c r="L512" s="47" t="str">
        <f>INDEX(_xlfn.TEXTSPLIT(mouvementmp[[#This Row],[QR MP]],"_"),1,2)</f>
        <v>VIEUX ROSE</v>
      </c>
      <c r="M512" s="47" t="str">
        <f>INDEX(_xlfn.TEXTSPLIT(mouvementmp[[#This Row],[QR MP]],"_"),1,3)</f>
        <v>NM15-32.00</v>
      </c>
      <c r="N512" s="47" t="str">
        <f>INDEX(_xlfn.TEXTSPLIT(mouvementmp[[#This Row],[QR MP]],"_"),1,4)</f>
        <v>61455</v>
      </c>
      <c r="O512" s="47">
        <f>-mouvementmp[[#This Row],[Poids]]</f>
        <v>-6.85</v>
      </c>
      <c r="P512" s="47" t="str">
        <f>IF(
   COUNTIFS($A$2:A512,A512,
             $B$2:B512,B512,
             $C$2:C512,C512,
             $D$2:D512,D512,
             $E$2:E512,E512,
             $F$2:F512,F512,
              $J$2:J512,J512)&gt;1,
   "Doublon",
   "Correcte"
)</f>
        <v>Correcte</v>
      </c>
      <c r="Q512" s="106" t="str">
        <f>IF(mouvementmp[[#This Row],[QR Fabrication]]&lt;&gt;"",INDEX(_xlfn.TEXTSPLIT(mouvementmp[[#This Row],[QR Fabrication]],"_"),1,1),"")</f>
        <v>CA250160</v>
      </c>
      <c r="R512" s="106" t="str">
        <f>IF(mouvementmp[[#This Row],[QR Fabrication]]&lt;&gt;"",INDEX(_xlfn.TEXTSPLIT(mouvementmp[[#This Row],[QR Fabrication]],"_"),1,2),"")</f>
        <v>All by Fouta</v>
      </c>
      <c r="S512" s="47" t="str">
        <f>IF(mouvementmp[[#This Row],[QR Fabrication]]&lt;&gt;"",INDEX(_xlfn.TEXTSPLIT(mouvementmp[[#This Row],[QR Fabrication]],"_"),1,3),"")</f>
        <v>Stock</v>
      </c>
      <c r="T512" s="47" t="str">
        <f>IF(mouvementmp[[#This Row],[QR Fabrication]]&lt;&gt;"",INDEX(_xlfn.TEXTSPLIT(mouvementmp[[#This Row],[QR Fabrication]],"_"),1,4),"")</f>
        <v>IB1020-B12-32</v>
      </c>
      <c r="U512" s="47" t="str">
        <f>IF(mouvementmp[[#This Row],[QR Fabrication]]&lt;&gt;"",INDEX(_xlfn.TEXTSPLIT(mouvementmp[[#This Row],[QR Fabrication]],"_"),1,5),"")</f>
        <v>IBIZA</v>
      </c>
      <c r="V512" s="47" t="str">
        <f>IF(mouvementmp[[#This Row],[QR Fabrication]]&lt;&gt;"",_xlfn.TEXTAFTER(mouvementmp[[#This Row],[QR Fabrication]],"_",5),"")</f>
        <v>1020</v>
      </c>
    </row>
    <row r="513" spans="1:22" ht="16.5" thickTop="1" thickBot="1" x14ac:dyDescent="0.3">
      <c r="A513" s="46" t="s">
        <v>2524</v>
      </c>
      <c r="B513" s="54" t="s">
        <v>3856</v>
      </c>
      <c r="C513" s="47" t="s">
        <v>672</v>
      </c>
      <c r="D513" s="47" t="s">
        <v>665</v>
      </c>
      <c r="E513" s="47" t="s">
        <v>669</v>
      </c>
      <c r="F513" s="48">
        <v>14.5</v>
      </c>
      <c r="G513" s="47"/>
      <c r="H513" s="47"/>
      <c r="I513" s="47" t="s">
        <v>664</v>
      </c>
      <c r="J513" s="49">
        <v>45939</v>
      </c>
      <c r="K513" s="47" t="str">
        <f>INDEX(_xlfn.TEXTSPLIT(mouvementmp[[#This Row],[QR MP]],"_"),1,1)</f>
        <v>C13</v>
      </c>
      <c r="L513" s="47" t="str">
        <f>INDEX(_xlfn.TEXTSPLIT(mouvementmp[[#This Row],[QR MP]],"_"),1,2)</f>
        <v>BLEU ROI</v>
      </c>
      <c r="M513" s="47" t="str">
        <f>INDEX(_xlfn.TEXTSPLIT(mouvementmp[[#This Row],[QR MP]],"_"),1,3)</f>
        <v>NM20-13.00</v>
      </c>
      <c r="N513" s="47" t="str">
        <f>INDEX(_xlfn.TEXTSPLIT(mouvementmp[[#This Row],[QR MP]],"_"),1,4)</f>
        <v>S2023</v>
      </c>
      <c r="O513" s="47">
        <f>-mouvementmp[[#This Row],[Poids]]</f>
        <v>-14.5</v>
      </c>
      <c r="P513" s="47" t="str">
        <f>IF(
   COUNTIFS($A$2:A513,A513,
             $B$2:B513,B513,
             $C$2:C513,C513,
             $D$2:D513,D513,
             $E$2:E513,E513,
             $F$2:F513,F513,
              $J$2:J513,J513)&gt;1,
   "Doublon",
   "Correcte"
)</f>
        <v>Correcte</v>
      </c>
      <c r="Q513" s="106" t="str">
        <f>IF(mouvementmp[[#This Row],[QR Fabrication]]&lt;&gt;"",INDEX(_xlfn.TEXTSPLIT(mouvementmp[[#This Row],[QR Fabrication]],"_"),1,1),"")</f>
        <v>CA250210</v>
      </c>
      <c r="R513" s="106" t="str">
        <f>IF(mouvementmp[[#This Row],[QR Fabrication]]&lt;&gt;"",INDEX(_xlfn.TEXTSPLIT(mouvementmp[[#This Row],[QR Fabrication]],"_"),1,2),"")</f>
        <v>All by Fouta</v>
      </c>
      <c r="S513" s="47" t="str">
        <f>IF(mouvementmp[[#This Row],[QR Fabrication]]&lt;&gt;"",INDEX(_xlfn.TEXTSPLIT(mouvementmp[[#This Row],[QR Fabrication]],"_"),1,3),"")</f>
        <v>Stock</v>
      </c>
      <c r="T513" s="47" t="str">
        <f>IF(mouvementmp[[#This Row],[QR Fabrication]]&lt;&gt;"",INDEX(_xlfn.TEXTSPLIT(mouvementmp[[#This Row],[QR Fabrication]],"_"),1,4),"")</f>
        <v>AR1020-B13-14</v>
      </c>
      <c r="U513" s="47" t="str">
        <f>IF(mouvementmp[[#This Row],[QR Fabrication]]&lt;&gt;"",INDEX(_xlfn.TEXTSPLIT(mouvementmp[[#This Row],[QR Fabrication]],"_"),1,5),"")</f>
        <v>ARTHUR</v>
      </c>
      <c r="V513" s="47" t="str">
        <f>IF(mouvementmp[[#This Row],[QR Fabrication]]&lt;&gt;"",_xlfn.TEXTAFTER(mouvementmp[[#This Row],[QR Fabrication]],"_",5),"")</f>
        <v>1020</v>
      </c>
    </row>
    <row r="514" spans="1:22" ht="16.5" thickTop="1" thickBot="1" x14ac:dyDescent="0.3">
      <c r="A514" s="46" t="s">
        <v>2524</v>
      </c>
      <c r="B514" s="54" t="s">
        <v>3858</v>
      </c>
      <c r="C514" s="47" t="s">
        <v>672</v>
      </c>
      <c r="D514" s="47" t="s">
        <v>665</v>
      </c>
      <c r="E514" s="47" t="s">
        <v>669</v>
      </c>
      <c r="F514" s="48">
        <v>6.8</v>
      </c>
      <c r="G514" s="47"/>
      <c r="H514" s="47"/>
      <c r="I514" s="47" t="s">
        <v>664</v>
      </c>
      <c r="J514" s="49">
        <v>45939</v>
      </c>
      <c r="K514" s="47" t="str">
        <f>INDEX(_xlfn.TEXTSPLIT(mouvementmp[[#This Row],[QR MP]],"_"),1,1)</f>
        <v>C14</v>
      </c>
      <c r="L514" s="47" t="str">
        <f>INDEX(_xlfn.TEXTSPLIT(mouvementmp[[#This Row],[QR MP]],"_"),1,2)</f>
        <v>BLEU TURQUOISE</v>
      </c>
      <c r="M514" s="47" t="str">
        <f>INDEX(_xlfn.TEXTSPLIT(mouvementmp[[#This Row],[QR MP]],"_"),1,3)</f>
        <v>NM15-14.00</v>
      </c>
      <c r="N514" s="47" t="str">
        <f>INDEX(_xlfn.TEXTSPLIT(mouvementmp[[#This Row],[QR MP]],"_"),1,4)</f>
        <v>61597</v>
      </c>
      <c r="O514" s="47">
        <f>-mouvementmp[[#This Row],[Poids]]</f>
        <v>-6.8</v>
      </c>
      <c r="P514" s="47" t="str">
        <f>IF(
   COUNTIFS($A$2:A514,A514,
             $B$2:B514,B514,
             $C$2:C514,C514,
             $D$2:D514,D514,
             $E$2:E514,E514,
             $F$2:F514,F514,
              $J$2:J514,J514)&gt;1,
   "Doublon",
   "Correcte"
)</f>
        <v>Correcte</v>
      </c>
      <c r="Q514" s="106" t="str">
        <f>IF(mouvementmp[[#This Row],[QR Fabrication]]&lt;&gt;"",INDEX(_xlfn.TEXTSPLIT(mouvementmp[[#This Row],[QR Fabrication]],"_"),1,1),"")</f>
        <v>CA250210</v>
      </c>
      <c r="R514" s="106" t="str">
        <f>IF(mouvementmp[[#This Row],[QR Fabrication]]&lt;&gt;"",INDEX(_xlfn.TEXTSPLIT(mouvementmp[[#This Row],[QR Fabrication]],"_"),1,2),"")</f>
        <v>All by Fouta</v>
      </c>
      <c r="S514" s="47" t="str">
        <f>IF(mouvementmp[[#This Row],[QR Fabrication]]&lt;&gt;"",INDEX(_xlfn.TEXTSPLIT(mouvementmp[[#This Row],[QR Fabrication]],"_"),1,3),"")</f>
        <v>Stock</v>
      </c>
      <c r="T514" s="47" t="str">
        <f>IF(mouvementmp[[#This Row],[QR Fabrication]]&lt;&gt;"",INDEX(_xlfn.TEXTSPLIT(mouvementmp[[#This Row],[QR Fabrication]],"_"),1,4),"")</f>
        <v>AR1020-B13-14</v>
      </c>
      <c r="U514" s="47" t="str">
        <f>IF(mouvementmp[[#This Row],[QR Fabrication]]&lt;&gt;"",INDEX(_xlfn.TEXTSPLIT(mouvementmp[[#This Row],[QR Fabrication]],"_"),1,5),"")</f>
        <v>ARTHUR</v>
      </c>
      <c r="V514" s="47" t="str">
        <f>IF(mouvementmp[[#This Row],[QR Fabrication]]&lt;&gt;"",_xlfn.TEXTAFTER(mouvementmp[[#This Row],[QR Fabrication]],"_",5),"")</f>
        <v>1020</v>
      </c>
    </row>
    <row r="515" spans="1:22" ht="16.5" thickTop="1" thickBot="1" x14ac:dyDescent="0.3">
      <c r="A515" s="46" t="s">
        <v>2525</v>
      </c>
      <c r="B515" s="54" t="s">
        <v>3856</v>
      </c>
      <c r="C515" s="47" t="s">
        <v>672</v>
      </c>
      <c r="D515" s="47" t="s">
        <v>665</v>
      </c>
      <c r="E515" s="47" t="s">
        <v>669</v>
      </c>
      <c r="F515" s="48">
        <v>18.55</v>
      </c>
      <c r="G515" s="47"/>
      <c r="H515" s="47"/>
      <c r="I515" s="47" t="s">
        <v>664</v>
      </c>
      <c r="J515" s="49">
        <v>45939</v>
      </c>
      <c r="K515" s="47" t="str">
        <f>INDEX(_xlfn.TEXTSPLIT(mouvementmp[[#This Row],[QR MP]],"_"),1,1)</f>
        <v>C13</v>
      </c>
      <c r="L515" s="47" t="str">
        <f>INDEX(_xlfn.TEXTSPLIT(mouvementmp[[#This Row],[QR MP]],"_"),1,2)</f>
        <v>BLEU ROI</v>
      </c>
      <c r="M515" s="47" t="str">
        <f>INDEX(_xlfn.TEXTSPLIT(mouvementmp[[#This Row],[QR MP]],"_"),1,3)</f>
        <v>NM20-13.00</v>
      </c>
      <c r="N515" s="47" t="str">
        <f>INDEX(_xlfn.TEXTSPLIT(mouvementmp[[#This Row],[QR MP]],"_"),1,4)</f>
        <v>S2023</v>
      </c>
      <c r="O515" s="47">
        <f>-mouvementmp[[#This Row],[Poids]]</f>
        <v>-18.55</v>
      </c>
      <c r="P515" s="47" t="str">
        <f>IF(
   COUNTIFS($A$2:A515,A515,
             $B$2:B515,B515,
             $C$2:C515,C515,
             $D$2:D515,D515,
             $E$2:E515,E515,
             $F$2:F515,F515,
              $J$2:J515,J515)&gt;1,
   "Doublon",
   "Correcte"
)</f>
        <v>Correcte</v>
      </c>
      <c r="Q515" s="106" t="str">
        <f>IF(mouvementmp[[#This Row],[QR Fabrication]]&lt;&gt;"",INDEX(_xlfn.TEXTSPLIT(mouvementmp[[#This Row],[QR Fabrication]],"_"),1,1),"")</f>
        <v>CA250161</v>
      </c>
      <c r="R515" s="106" t="str">
        <f>IF(mouvementmp[[#This Row],[QR Fabrication]]&lt;&gt;"",INDEX(_xlfn.TEXTSPLIT(mouvementmp[[#This Row],[QR Fabrication]],"_"),1,2),"")</f>
        <v>All by Fouta</v>
      </c>
      <c r="S515" s="47" t="str">
        <f>IF(mouvementmp[[#This Row],[QR Fabrication]]&lt;&gt;"",INDEX(_xlfn.TEXTSPLIT(mouvementmp[[#This Row],[QR Fabrication]],"_"),1,3),"")</f>
        <v>Stock</v>
      </c>
      <c r="T515" s="47" t="str">
        <f>IF(mouvementmp[[#This Row],[QR Fabrication]]&lt;&gt;"",INDEX(_xlfn.TEXTSPLIT(mouvementmp[[#This Row],[QR Fabrication]],"_"),1,4),"")</f>
        <v>IB1020-B13-14</v>
      </c>
      <c r="U515" s="47" t="str">
        <f>IF(mouvementmp[[#This Row],[QR Fabrication]]&lt;&gt;"",INDEX(_xlfn.TEXTSPLIT(mouvementmp[[#This Row],[QR Fabrication]],"_"),1,5),"")</f>
        <v>IBIZA</v>
      </c>
      <c r="V515" s="47" t="str">
        <f>IF(mouvementmp[[#This Row],[QR Fabrication]]&lt;&gt;"",_xlfn.TEXTAFTER(mouvementmp[[#This Row],[QR Fabrication]],"_",5),"")</f>
        <v>1020</v>
      </c>
    </row>
    <row r="516" spans="1:22" ht="16.5" thickTop="1" thickBot="1" x14ac:dyDescent="0.3">
      <c r="A516" s="46" t="s">
        <v>2525</v>
      </c>
      <c r="B516" s="54" t="s">
        <v>3858</v>
      </c>
      <c r="C516" s="47" t="s">
        <v>672</v>
      </c>
      <c r="D516" s="47" t="s">
        <v>665</v>
      </c>
      <c r="E516" s="47" t="s">
        <v>669</v>
      </c>
      <c r="F516" s="48">
        <v>5.15</v>
      </c>
      <c r="G516" s="47"/>
      <c r="H516" s="47"/>
      <c r="I516" s="47" t="s">
        <v>664</v>
      </c>
      <c r="J516" s="49">
        <v>45939</v>
      </c>
      <c r="K516" s="47" t="str">
        <f>INDEX(_xlfn.TEXTSPLIT(mouvementmp[[#This Row],[QR MP]],"_"),1,1)</f>
        <v>C14</v>
      </c>
      <c r="L516" s="47" t="str">
        <f>INDEX(_xlfn.TEXTSPLIT(mouvementmp[[#This Row],[QR MP]],"_"),1,2)</f>
        <v>BLEU TURQUOISE</v>
      </c>
      <c r="M516" s="47" t="str">
        <f>INDEX(_xlfn.TEXTSPLIT(mouvementmp[[#This Row],[QR MP]],"_"),1,3)</f>
        <v>NM15-14.00</v>
      </c>
      <c r="N516" s="47" t="str">
        <f>INDEX(_xlfn.TEXTSPLIT(mouvementmp[[#This Row],[QR MP]],"_"),1,4)</f>
        <v>61597</v>
      </c>
      <c r="O516" s="47">
        <f>-mouvementmp[[#This Row],[Poids]]</f>
        <v>-5.15</v>
      </c>
      <c r="P516" s="47" t="str">
        <f>IF(
   COUNTIFS($A$2:A516,A516,
             $B$2:B516,B516,
             $C$2:C516,C516,
             $D$2:D516,D516,
             $E$2:E516,E516,
             $F$2:F516,F516,
              $J$2:J516,J516)&gt;1,
   "Doublon",
   "Correcte"
)</f>
        <v>Correcte</v>
      </c>
      <c r="Q516" s="106" t="str">
        <f>IF(mouvementmp[[#This Row],[QR Fabrication]]&lt;&gt;"",INDEX(_xlfn.TEXTSPLIT(mouvementmp[[#This Row],[QR Fabrication]],"_"),1,1),"")</f>
        <v>CA250161</v>
      </c>
      <c r="R516" s="106" t="str">
        <f>IF(mouvementmp[[#This Row],[QR Fabrication]]&lt;&gt;"",INDEX(_xlfn.TEXTSPLIT(mouvementmp[[#This Row],[QR Fabrication]],"_"),1,2),"")</f>
        <v>All by Fouta</v>
      </c>
      <c r="S516" s="47" t="str">
        <f>IF(mouvementmp[[#This Row],[QR Fabrication]]&lt;&gt;"",INDEX(_xlfn.TEXTSPLIT(mouvementmp[[#This Row],[QR Fabrication]],"_"),1,3),"")</f>
        <v>Stock</v>
      </c>
      <c r="T516" s="47" t="str">
        <f>IF(mouvementmp[[#This Row],[QR Fabrication]]&lt;&gt;"",INDEX(_xlfn.TEXTSPLIT(mouvementmp[[#This Row],[QR Fabrication]],"_"),1,4),"")</f>
        <v>IB1020-B13-14</v>
      </c>
      <c r="U516" s="47" t="str">
        <f>IF(mouvementmp[[#This Row],[QR Fabrication]]&lt;&gt;"",INDEX(_xlfn.TEXTSPLIT(mouvementmp[[#This Row],[QR Fabrication]],"_"),1,5),"")</f>
        <v>IBIZA</v>
      </c>
      <c r="V516" s="47" t="str">
        <f>IF(mouvementmp[[#This Row],[QR Fabrication]]&lt;&gt;"",_xlfn.TEXTAFTER(mouvementmp[[#This Row],[QR Fabrication]],"_",5),"")</f>
        <v>1020</v>
      </c>
    </row>
    <row r="517" spans="1:22" ht="16.5" thickTop="1" thickBot="1" x14ac:dyDescent="0.3">
      <c r="A517" s="46"/>
      <c r="B517" s="54" t="s">
        <v>3910</v>
      </c>
      <c r="C517" s="47" t="s">
        <v>676</v>
      </c>
      <c r="D517" s="47" t="s">
        <v>665</v>
      </c>
      <c r="E517" s="47" t="s">
        <v>677</v>
      </c>
      <c r="F517" s="48">
        <v>70</v>
      </c>
      <c r="G517" s="47"/>
      <c r="H517" s="47"/>
      <c r="I517" s="47" t="s">
        <v>664</v>
      </c>
      <c r="J517" s="49">
        <v>45939</v>
      </c>
      <c r="K517" s="47" t="str">
        <f>INDEX(_xlfn.TEXTSPLIT(mouvementmp[[#This Row],[QR MP]],"_"),1,1)</f>
        <v>CH</v>
      </c>
      <c r="L517" s="47" t="str">
        <f>INDEX(_xlfn.TEXTSPLIT(mouvementmp[[#This Row],[QR MP]],"_"),1,2)</f>
        <v>Ecru</v>
      </c>
      <c r="M517" s="47" t="str">
        <f>INDEX(_xlfn.TEXTSPLIT(mouvementmp[[#This Row],[QR MP]],"_"),1,3)</f>
        <v>CH2/40CE</v>
      </c>
      <c r="N517" s="47" t="str">
        <f>INDEX(_xlfn.TEXTSPLIT(mouvementmp[[#This Row],[QR MP]],"_"),1,4)</f>
        <v>A220324523/2</v>
      </c>
      <c r="O517" s="47">
        <f>-mouvementmp[[#This Row],[Poids]]</f>
        <v>-70</v>
      </c>
      <c r="P517" s="47" t="str">
        <f>IF(
   COUNTIFS($A$2:A517,A517,
             $B$2:B517,B517,
             $C$2:C517,C517,
             $D$2:D517,D517,
             $E$2:E517,E517,
             $F$2:F517,F517,
              $J$2:J517,J517)&gt;1,
   "Doublon",
   "Correcte"
)</f>
        <v>Correcte</v>
      </c>
      <c r="Q517" s="106" t="str">
        <f>IF(mouvementmp[[#This Row],[QR Fabrication]]&lt;&gt;"",INDEX(_xlfn.TEXTSPLIT(mouvementmp[[#This Row],[QR Fabrication]],"_"),1,1),"")</f>
        <v/>
      </c>
      <c r="R517" s="106" t="str">
        <f>IF(mouvementmp[[#This Row],[QR Fabrication]]&lt;&gt;"",INDEX(_xlfn.TEXTSPLIT(mouvementmp[[#This Row],[QR Fabrication]],"_"),1,2),"")</f>
        <v/>
      </c>
      <c r="S517" s="47" t="str">
        <f>IF(mouvementmp[[#This Row],[QR Fabrication]]&lt;&gt;"",INDEX(_xlfn.TEXTSPLIT(mouvementmp[[#This Row],[QR Fabrication]],"_"),1,3),"")</f>
        <v/>
      </c>
      <c r="T517" s="47" t="str">
        <f>IF(mouvementmp[[#This Row],[QR Fabrication]]&lt;&gt;"",INDEX(_xlfn.TEXTSPLIT(mouvementmp[[#This Row],[QR Fabrication]],"_"),1,4),"")</f>
        <v/>
      </c>
      <c r="U517" s="47" t="str">
        <f>IF(mouvementmp[[#This Row],[QR Fabrication]]&lt;&gt;"",INDEX(_xlfn.TEXTSPLIT(mouvementmp[[#This Row],[QR Fabrication]],"_"),1,5),"")</f>
        <v/>
      </c>
      <c r="V517" s="47" t="str">
        <f>IF(mouvementmp[[#This Row],[QR Fabrication]]&lt;&gt;"",_xlfn.TEXTAFTER(mouvementmp[[#This Row],[QR Fabrication]],"_",5),"")</f>
        <v/>
      </c>
    </row>
    <row r="518" spans="1:22" ht="16.5" thickTop="1" thickBot="1" x14ac:dyDescent="0.3">
      <c r="A518" s="46" t="s">
        <v>2526</v>
      </c>
      <c r="B518" s="54" t="s">
        <v>3847</v>
      </c>
      <c r="C518" s="47" t="s">
        <v>672</v>
      </c>
      <c r="D518" s="47" t="s">
        <v>665</v>
      </c>
      <c r="E518" s="47" t="s">
        <v>669</v>
      </c>
      <c r="F518" s="48">
        <v>14.5</v>
      </c>
      <c r="G518" s="47"/>
      <c r="H518" s="47"/>
      <c r="I518" s="47" t="s">
        <v>664</v>
      </c>
      <c r="J518" s="49">
        <v>45940</v>
      </c>
      <c r="K518" s="47" t="str">
        <f>INDEX(_xlfn.TEXTSPLIT(mouvementmp[[#This Row],[QR MP]],"_"),1,1)</f>
        <v>C11</v>
      </c>
      <c r="L518" s="47" t="str">
        <f>INDEX(_xlfn.TEXTSPLIT(mouvementmp[[#This Row],[QR MP]],"_"),1,2)</f>
        <v>BLEU GITANE</v>
      </c>
      <c r="M518" s="47" t="str">
        <f>INDEX(_xlfn.TEXTSPLIT(mouvementmp[[#This Row],[QR MP]],"_"),1,3)</f>
        <v>NM15-11.00</v>
      </c>
      <c r="N518" s="47" t="str">
        <f>INDEX(_xlfn.TEXTSPLIT(mouvementmp[[#This Row],[QR MP]],"_"),1,4)</f>
        <v>61659</v>
      </c>
      <c r="O518" s="47">
        <f>-mouvementmp[[#This Row],[Poids]]</f>
        <v>-14.5</v>
      </c>
      <c r="P518" s="47" t="str">
        <f>IF(
   COUNTIFS($A$2:A518,A518,
             $B$2:B518,B518,
             $C$2:C518,C518,
             $D$2:D518,D518,
             $E$2:E518,E518,
             $F$2:F518,F518,
              $J$2:J518,J518)&gt;1,
   "Doublon",
   "Correcte"
)</f>
        <v>Correcte</v>
      </c>
      <c r="Q518" s="106" t="str">
        <f>IF(mouvementmp[[#This Row],[QR Fabrication]]&lt;&gt;"",INDEX(_xlfn.TEXTSPLIT(mouvementmp[[#This Row],[QR Fabrication]],"_"),1,1),"")</f>
        <v>CA250247</v>
      </c>
      <c r="R518" s="106" t="str">
        <f>IF(mouvementmp[[#This Row],[QR Fabrication]]&lt;&gt;"",INDEX(_xlfn.TEXTSPLIT(mouvementmp[[#This Row],[QR Fabrication]],"_"),1,2),"")</f>
        <v>All by Fouta</v>
      </c>
      <c r="S518" s="47" t="str">
        <f>IF(mouvementmp[[#This Row],[QR Fabrication]]&lt;&gt;"",INDEX(_xlfn.TEXTSPLIT(mouvementmp[[#This Row],[QR Fabrication]],"_"),1,3),"")</f>
        <v>Stock</v>
      </c>
      <c r="T518" s="47" t="str">
        <f>IF(mouvementmp[[#This Row],[QR Fabrication]]&lt;&gt;"",INDEX(_xlfn.TEXTSPLIT(mouvementmp[[#This Row],[QR Fabrication]],"_"),1,4),"")</f>
        <v>AR2020-T10-14-25</v>
      </c>
      <c r="U518" s="47" t="str">
        <f>IF(mouvementmp[[#This Row],[QR Fabrication]]&lt;&gt;"",INDEX(_xlfn.TEXTSPLIT(mouvementmp[[#This Row],[QR Fabrication]],"_"),1,5),"")</f>
        <v>ARTHUR</v>
      </c>
      <c r="V518" s="47" t="str">
        <f>IF(mouvementmp[[#This Row],[QR Fabrication]]&lt;&gt;"",_xlfn.TEXTAFTER(mouvementmp[[#This Row],[QR Fabrication]],"_",5),"")</f>
        <v>2020</v>
      </c>
    </row>
    <row r="519" spans="1:22" ht="16.5" thickTop="1" thickBot="1" x14ac:dyDescent="0.3">
      <c r="A519" s="46" t="s">
        <v>2526</v>
      </c>
      <c r="B519" s="54" t="s">
        <v>3858</v>
      </c>
      <c r="C519" s="47" t="s">
        <v>672</v>
      </c>
      <c r="D519" s="47" t="s">
        <v>665</v>
      </c>
      <c r="E519" s="47" t="s">
        <v>669</v>
      </c>
      <c r="F519" s="48">
        <v>4.95</v>
      </c>
      <c r="G519" s="47"/>
      <c r="H519" s="47"/>
      <c r="I519" s="47" t="s">
        <v>664</v>
      </c>
      <c r="J519" s="49">
        <v>45940</v>
      </c>
      <c r="K519" s="47" t="str">
        <f>INDEX(_xlfn.TEXTSPLIT(mouvementmp[[#This Row],[QR MP]],"_"),1,1)</f>
        <v>C14</v>
      </c>
      <c r="L519" s="47" t="str">
        <f>INDEX(_xlfn.TEXTSPLIT(mouvementmp[[#This Row],[QR MP]],"_"),1,2)</f>
        <v>BLEU TURQUOISE</v>
      </c>
      <c r="M519" s="47" t="str">
        <f>INDEX(_xlfn.TEXTSPLIT(mouvementmp[[#This Row],[QR MP]],"_"),1,3)</f>
        <v>NM15-14.00</v>
      </c>
      <c r="N519" s="47" t="str">
        <f>INDEX(_xlfn.TEXTSPLIT(mouvementmp[[#This Row],[QR MP]],"_"),1,4)</f>
        <v>61597</v>
      </c>
      <c r="O519" s="47">
        <f>-mouvementmp[[#This Row],[Poids]]</f>
        <v>-4.95</v>
      </c>
      <c r="P519" s="47" t="str">
        <f>IF(
   COUNTIFS($A$2:A519,A519,
             $B$2:B519,B519,
             $C$2:C519,C519,
             $D$2:D519,D519,
             $E$2:E519,E519,
             $F$2:F519,F519,
              $J$2:J519,J519)&gt;1,
   "Doublon",
   "Correcte"
)</f>
        <v>Correcte</v>
      </c>
      <c r="Q519" s="106" t="str">
        <f>IF(mouvementmp[[#This Row],[QR Fabrication]]&lt;&gt;"",INDEX(_xlfn.TEXTSPLIT(mouvementmp[[#This Row],[QR Fabrication]],"_"),1,1),"")</f>
        <v>CA250247</v>
      </c>
      <c r="R519" s="106" t="str">
        <f>IF(mouvementmp[[#This Row],[QR Fabrication]]&lt;&gt;"",INDEX(_xlfn.TEXTSPLIT(mouvementmp[[#This Row],[QR Fabrication]],"_"),1,2),"")</f>
        <v>All by Fouta</v>
      </c>
      <c r="S519" s="47" t="str">
        <f>IF(mouvementmp[[#This Row],[QR Fabrication]]&lt;&gt;"",INDEX(_xlfn.TEXTSPLIT(mouvementmp[[#This Row],[QR Fabrication]],"_"),1,3),"")</f>
        <v>Stock</v>
      </c>
      <c r="T519" s="47" t="str">
        <f>IF(mouvementmp[[#This Row],[QR Fabrication]]&lt;&gt;"",INDEX(_xlfn.TEXTSPLIT(mouvementmp[[#This Row],[QR Fabrication]],"_"),1,4),"")</f>
        <v>AR2020-T10-14-25</v>
      </c>
      <c r="U519" s="47" t="str">
        <f>IF(mouvementmp[[#This Row],[QR Fabrication]]&lt;&gt;"",INDEX(_xlfn.TEXTSPLIT(mouvementmp[[#This Row],[QR Fabrication]],"_"),1,5),"")</f>
        <v>ARTHUR</v>
      </c>
      <c r="V519" s="47" t="str">
        <f>IF(mouvementmp[[#This Row],[QR Fabrication]]&lt;&gt;"",_xlfn.TEXTAFTER(mouvementmp[[#This Row],[QR Fabrication]],"_",5),"")</f>
        <v>2020</v>
      </c>
    </row>
    <row r="520" spans="1:22" ht="16.5" thickTop="1" thickBot="1" x14ac:dyDescent="0.3">
      <c r="A520" s="46" t="s">
        <v>2526</v>
      </c>
      <c r="B520" s="54" t="s">
        <v>3887</v>
      </c>
      <c r="C520" s="47" t="s">
        <v>672</v>
      </c>
      <c r="D520" s="47" t="s">
        <v>665</v>
      </c>
      <c r="E520" s="47" t="s">
        <v>669</v>
      </c>
      <c r="F520" s="48">
        <v>4.25</v>
      </c>
      <c r="G520" s="47"/>
      <c r="H520" s="47"/>
      <c r="I520" s="47" t="s">
        <v>664</v>
      </c>
      <c r="J520" s="49">
        <v>45940</v>
      </c>
      <c r="K520" s="47" t="str">
        <f>INDEX(_xlfn.TEXTSPLIT(mouvementmp[[#This Row],[QR MP]],"_"),1,1)</f>
        <v>C25</v>
      </c>
      <c r="L520" s="47" t="str">
        <f>INDEX(_xlfn.TEXTSPLIT(mouvementmp[[#This Row],[QR MP]],"_"),1,2)</f>
        <v>ORANGE</v>
      </c>
      <c r="M520" s="47" t="str">
        <f>INDEX(_xlfn.TEXTSPLIT(mouvementmp[[#This Row],[QR MP]],"_"),1,3)</f>
        <v>NM15-25.00</v>
      </c>
      <c r="N520" s="47" t="str">
        <f>INDEX(_xlfn.TEXTSPLIT(mouvementmp[[#This Row],[QR MP]],"_"),1,4)</f>
        <v>61729</v>
      </c>
      <c r="O520" s="47">
        <f>-mouvementmp[[#This Row],[Poids]]</f>
        <v>-4.25</v>
      </c>
      <c r="P520" s="47" t="str">
        <f>IF(
   COUNTIFS($A$2:A520,A520,
             $B$2:B520,B520,
             $C$2:C520,C520,
             $D$2:D520,D520,
             $E$2:E520,E520,
             $F$2:F520,F520,
              $J$2:J520,J520)&gt;1,
   "Doublon",
   "Correcte"
)</f>
        <v>Correcte</v>
      </c>
      <c r="Q520" s="106" t="str">
        <f>IF(mouvementmp[[#This Row],[QR Fabrication]]&lt;&gt;"",INDEX(_xlfn.TEXTSPLIT(mouvementmp[[#This Row],[QR Fabrication]],"_"),1,1),"")</f>
        <v>CA250247</v>
      </c>
      <c r="R520" s="106" t="str">
        <f>IF(mouvementmp[[#This Row],[QR Fabrication]]&lt;&gt;"",INDEX(_xlfn.TEXTSPLIT(mouvementmp[[#This Row],[QR Fabrication]],"_"),1,2),"")</f>
        <v>All by Fouta</v>
      </c>
      <c r="S520" s="47" t="str">
        <f>IF(mouvementmp[[#This Row],[QR Fabrication]]&lt;&gt;"",INDEX(_xlfn.TEXTSPLIT(mouvementmp[[#This Row],[QR Fabrication]],"_"),1,3),"")</f>
        <v>Stock</v>
      </c>
      <c r="T520" s="47" t="str">
        <f>IF(mouvementmp[[#This Row],[QR Fabrication]]&lt;&gt;"",INDEX(_xlfn.TEXTSPLIT(mouvementmp[[#This Row],[QR Fabrication]],"_"),1,4),"")</f>
        <v>AR2020-T10-14-25</v>
      </c>
      <c r="U520" s="47" t="str">
        <f>IF(mouvementmp[[#This Row],[QR Fabrication]]&lt;&gt;"",INDEX(_xlfn.TEXTSPLIT(mouvementmp[[#This Row],[QR Fabrication]],"_"),1,5),"")</f>
        <v>ARTHUR</v>
      </c>
      <c r="V520" s="47" t="str">
        <f>IF(mouvementmp[[#This Row],[QR Fabrication]]&lt;&gt;"",_xlfn.TEXTAFTER(mouvementmp[[#This Row],[QR Fabrication]],"_",5),"")</f>
        <v>2020</v>
      </c>
    </row>
    <row r="521" spans="1:22" ht="16.5" thickTop="1" thickBot="1" x14ac:dyDescent="0.3">
      <c r="A521" s="46" t="s">
        <v>2527</v>
      </c>
      <c r="B521" s="54" t="s">
        <v>3851</v>
      </c>
      <c r="C521" s="47" t="s">
        <v>672</v>
      </c>
      <c r="D521" s="47" t="s">
        <v>665</v>
      </c>
      <c r="E521" s="47" t="s">
        <v>669</v>
      </c>
      <c r="F521" s="48">
        <v>14.75</v>
      </c>
      <c r="G521" s="47"/>
      <c r="H521" s="47"/>
      <c r="I521" s="47" t="s">
        <v>664</v>
      </c>
      <c r="J521" s="49">
        <v>45940</v>
      </c>
      <c r="K521" s="47" t="str">
        <f>INDEX(_xlfn.TEXTSPLIT(mouvementmp[[#This Row],[QR MP]],"_"),1,1)</f>
        <v>C12</v>
      </c>
      <c r="L521" s="47" t="str">
        <f>INDEX(_xlfn.TEXTSPLIT(mouvementmp[[#This Row],[QR MP]],"_"),1,2)</f>
        <v>BLEU DJEAN</v>
      </c>
      <c r="M521" s="47" t="str">
        <f>INDEX(_xlfn.TEXTSPLIT(mouvementmp[[#This Row],[QR MP]],"_"),1,3)</f>
        <v>NM15-12.00</v>
      </c>
      <c r="N521" s="47" t="str">
        <f>INDEX(_xlfn.TEXTSPLIT(mouvementmp[[#This Row],[QR MP]],"_"),1,4)</f>
        <v>S2023</v>
      </c>
      <c r="O521" s="47">
        <f>-mouvementmp[[#This Row],[Poids]]</f>
        <v>-14.75</v>
      </c>
      <c r="P521" s="47" t="str">
        <f>IF(
   COUNTIFS($A$2:A521,A521,
             $B$2:B521,B521,
             $C$2:C521,C521,
             $D$2:D521,D521,
             $E$2:E521,E521,
             $F$2:F521,F521,
              $J$2:J521,J521)&gt;1,
   "Doublon",
   "Correcte"
)</f>
        <v>Correcte</v>
      </c>
      <c r="Q521" s="106" t="str">
        <f>IF(mouvementmp[[#This Row],[QR Fabrication]]&lt;&gt;"",INDEX(_xlfn.TEXTSPLIT(mouvementmp[[#This Row],[QR Fabrication]],"_"),1,1),"")</f>
        <v>CA250239</v>
      </c>
      <c r="R521" s="106" t="str">
        <f>IF(mouvementmp[[#This Row],[QR Fabrication]]&lt;&gt;"",INDEX(_xlfn.TEXTSPLIT(mouvementmp[[#This Row],[QR Fabrication]],"_"),1,2),"")</f>
        <v>All by Fouta</v>
      </c>
      <c r="S521" s="47" t="str">
        <f>IF(mouvementmp[[#This Row],[QR Fabrication]]&lt;&gt;"",INDEX(_xlfn.TEXTSPLIT(mouvementmp[[#This Row],[QR Fabrication]],"_"),1,3),"")</f>
        <v>Stock</v>
      </c>
      <c r="T521" s="47" t="str">
        <f>IF(mouvementmp[[#This Row],[QR Fabrication]]&lt;&gt;"",INDEX(_xlfn.TEXTSPLIT(mouvementmp[[#This Row],[QR Fabrication]],"_"),1,4),"")</f>
        <v>AR2020-B12-32</v>
      </c>
      <c r="U521" s="47" t="str">
        <f>IF(mouvementmp[[#This Row],[QR Fabrication]]&lt;&gt;"",INDEX(_xlfn.TEXTSPLIT(mouvementmp[[#This Row],[QR Fabrication]],"_"),1,5),"")</f>
        <v>ARTHUR</v>
      </c>
      <c r="V521" s="47" t="str">
        <f>IF(mouvementmp[[#This Row],[QR Fabrication]]&lt;&gt;"",_xlfn.TEXTAFTER(mouvementmp[[#This Row],[QR Fabrication]],"_",5),"")</f>
        <v>2020</v>
      </c>
    </row>
    <row r="522" spans="1:22" ht="16.5" thickTop="1" thickBot="1" x14ac:dyDescent="0.3">
      <c r="A522" s="46" t="s">
        <v>2527</v>
      </c>
      <c r="B522" s="54" t="s">
        <v>3905</v>
      </c>
      <c r="C522" s="47" t="s">
        <v>672</v>
      </c>
      <c r="D522" s="47" t="s">
        <v>665</v>
      </c>
      <c r="E522" s="47" t="s">
        <v>669</v>
      </c>
      <c r="F522" s="48">
        <v>6.95</v>
      </c>
      <c r="G522" s="47"/>
      <c r="H522" s="47"/>
      <c r="I522" s="47" t="s">
        <v>664</v>
      </c>
      <c r="J522" s="49">
        <v>45940</v>
      </c>
      <c r="K522" s="47" t="str">
        <f>INDEX(_xlfn.TEXTSPLIT(mouvementmp[[#This Row],[QR MP]],"_"),1,1)</f>
        <v>C32</v>
      </c>
      <c r="L522" s="47" t="str">
        <f>INDEX(_xlfn.TEXTSPLIT(mouvementmp[[#This Row],[QR MP]],"_"),1,2)</f>
        <v>VIEUX ROSE</v>
      </c>
      <c r="M522" s="47" t="str">
        <f>INDEX(_xlfn.TEXTSPLIT(mouvementmp[[#This Row],[QR MP]],"_"),1,3)</f>
        <v>NM15-32.00</v>
      </c>
      <c r="N522" s="47" t="str">
        <f>INDEX(_xlfn.TEXTSPLIT(mouvementmp[[#This Row],[QR MP]],"_"),1,4)</f>
        <v>61455</v>
      </c>
      <c r="O522" s="47">
        <f>-mouvementmp[[#This Row],[Poids]]</f>
        <v>-6.95</v>
      </c>
      <c r="P522" s="47" t="str">
        <f>IF(
   COUNTIFS($A$2:A522,A522,
             $B$2:B522,B522,
             $C$2:C522,C522,
             $D$2:D522,D522,
             $E$2:E522,E522,
             $F$2:F522,F522,
              $J$2:J522,J522)&gt;1,
   "Doublon",
   "Correcte"
)</f>
        <v>Correcte</v>
      </c>
      <c r="Q522" s="106" t="str">
        <f>IF(mouvementmp[[#This Row],[QR Fabrication]]&lt;&gt;"",INDEX(_xlfn.TEXTSPLIT(mouvementmp[[#This Row],[QR Fabrication]],"_"),1,1),"")</f>
        <v>CA250239</v>
      </c>
      <c r="R522" s="106" t="str">
        <f>IF(mouvementmp[[#This Row],[QR Fabrication]]&lt;&gt;"",INDEX(_xlfn.TEXTSPLIT(mouvementmp[[#This Row],[QR Fabrication]],"_"),1,2),"")</f>
        <v>All by Fouta</v>
      </c>
      <c r="S522" s="47" t="str">
        <f>IF(mouvementmp[[#This Row],[QR Fabrication]]&lt;&gt;"",INDEX(_xlfn.TEXTSPLIT(mouvementmp[[#This Row],[QR Fabrication]],"_"),1,3),"")</f>
        <v>Stock</v>
      </c>
      <c r="T522" s="47" t="str">
        <f>IF(mouvementmp[[#This Row],[QR Fabrication]]&lt;&gt;"",INDEX(_xlfn.TEXTSPLIT(mouvementmp[[#This Row],[QR Fabrication]],"_"),1,4),"")</f>
        <v>AR2020-B12-32</v>
      </c>
      <c r="U522" s="47" t="str">
        <f>IF(mouvementmp[[#This Row],[QR Fabrication]]&lt;&gt;"",INDEX(_xlfn.TEXTSPLIT(mouvementmp[[#This Row],[QR Fabrication]],"_"),1,5),"")</f>
        <v>ARTHUR</v>
      </c>
      <c r="V522" s="47" t="str">
        <f>IF(mouvementmp[[#This Row],[QR Fabrication]]&lt;&gt;"",_xlfn.TEXTAFTER(mouvementmp[[#This Row],[QR Fabrication]],"_",5),"")</f>
        <v>2020</v>
      </c>
    </row>
    <row r="523" spans="1:22" ht="16.5" thickTop="1" thickBot="1" x14ac:dyDescent="0.3">
      <c r="A523" s="46" t="s">
        <v>2528</v>
      </c>
      <c r="B523" s="54" t="s">
        <v>3851</v>
      </c>
      <c r="C523" s="47" t="s">
        <v>672</v>
      </c>
      <c r="D523" s="47" t="s">
        <v>665</v>
      </c>
      <c r="E523" s="47" t="s">
        <v>669</v>
      </c>
      <c r="F523" s="48">
        <v>10</v>
      </c>
      <c r="G523" s="47"/>
      <c r="H523" s="47"/>
      <c r="I523" s="47" t="s">
        <v>664</v>
      </c>
      <c r="J523" s="49">
        <v>45940</v>
      </c>
      <c r="K523" s="47" t="str">
        <f>INDEX(_xlfn.TEXTSPLIT(mouvementmp[[#This Row],[QR MP]],"_"),1,1)</f>
        <v>C12</v>
      </c>
      <c r="L523" s="47" t="str">
        <f>INDEX(_xlfn.TEXTSPLIT(mouvementmp[[#This Row],[QR MP]],"_"),1,2)</f>
        <v>BLEU DJEAN</v>
      </c>
      <c r="M523" s="47" t="str">
        <f>INDEX(_xlfn.TEXTSPLIT(mouvementmp[[#This Row],[QR MP]],"_"),1,3)</f>
        <v>NM15-12.00</v>
      </c>
      <c r="N523" s="47" t="str">
        <f>INDEX(_xlfn.TEXTSPLIT(mouvementmp[[#This Row],[QR MP]],"_"),1,4)</f>
        <v>S2023</v>
      </c>
      <c r="O523" s="47">
        <f>-mouvementmp[[#This Row],[Poids]]</f>
        <v>-10</v>
      </c>
      <c r="P523" s="47" t="str">
        <f>IF(
   COUNTIFS($A$2:A523,A523,
             $B$2:B523,B523,
             $C$2:C523,C523,
             $D$2:D523,D523,
             $E$2:E523,E523,
             $F$2:F523,F523,
              $J$2:J523,J523)&gt;1,
   "Doublon",
   "Correcte"
)</f>
        <v>Correcte</v>
      </c>
      <c r="Q523" s="106" t="str">
        <f>IF(mouvementmp[[#This Row],[QR Fabrication]]&lt;&gt;"",INDEX(_xlfn.TEXTSPLIT(mouvementmp[[#This Row],[QR Fabrication]],"_"),1,1),"")</f>
        <v>CA250187</v>
      </c>
      <c r="R523" s="106" t="str">
        <f>IF(mouvementmp[[#This Row],[QR Fabrication]]&lt;&gt;"",INDEX(_xlfn.TEXTSPLIT(mouvementmp[[#This Row],[QR Fabrication]],"_"),1,2),"")</f>
        <v>All by Fouta</v>
      </c>
      <c r="S523" s="47" t="str">
        <f>IF(mouvementmp[[#This Row],[QR Fabrication]]&lt;&gt;"",INDEX(_xlfn.TEXTSPLIT(mouvementmp[[#This Row],[QR Fabrication]],"_"),1,3),"")</f>
        <v>Stock</v>
      </c>
      <c r="T523" s="47" t="str">
        <f>IF(mouvementmp[[#This Row],[QR Fabrication]]&lt;&gt;"",INDEX(_xlfn.TEXTSPLIT(mouvementmp[[#This Row],[QR Fabrication]],"_"),1,4),"")</f>
        <v>IB2020-B12-32</v>
      </c>
      <c r="U523" s="47" t="str">
        <f>IF(mouvementmp[[#This Row],[QR Fabrication]]&lt;&gt;"",INDEX(_xlfn.TEXTSPLIT(mouvementmp[[#This Row],[QR Fabrication]],"_"),1,5),"")</f>
        <v>IBIZA</v>
      </c>
      <c r="V523" s="47" t="str">
        <f>IF(mouvementmp[[#This Row],[QR Fabrication]]&lt;&gt;"",_xlfn.TEXTAFTER(mouvementmp[[#This Row],[QR Fabrication]],"_",5),"")</f>
        <v>2020</v>
      </c>
    </row>
    <row r="524" spans="1:22" ht="16.5" thickTop="1" thickBot="1" x14ac:dyDescent="0.3">
      <c r="A524" s="46" t="s">
        <v>2528</v>
      </c>
      <c r="B524" s="54" t="s">
        <v>3905</v>
      </c>
      <c r="C524" s="47" t="s">
        <v>672</v>
      </c>
      <c r="D524" s="47" t="s">
        <v>665</v>
      </c>
      <c r="E524" s="47" t="s">
        <v>669</v>
      </c>
      <c r="F524" s="48">
        <v>6.75</v>
      </c>
      <c r="G524" s="47"/>
      <c r="H524" s="47"/>
      <c r="I524" s="47" t="s">
        <v>664</v>
      </c>
      <c r="J524" s="49">
        <v>45940</v>
      </c>
      <c r="K524" s="47" t="str">
        <f>INDEX(_xlfn.TEXTSPLIT(mouvementmp[[#This Row],[QR MP]],"_"),1,1)</f>
        <v>C32</v>
      </c>
      <c r="L524" s="47" t="str">
        <f>INDEX(_xlfn.TEXTSPLIT(mouvementmp[[#This Row],[QR MP]],"_"),1,2)</f>
        <v>VIEUX ROSE</v>
      </c>
      <c r="M524" s="47" t="str">
        <f>INDEX(_xlfn.TEXTSPLIT(mouvementmp[[#This Row],[QR MP]],"_"),1,3)</f>
        <v>NM15-32.00</v>
      </c>
      <c r="N524" s="47" t="str">
        <f>INDEX(_xlfn.TEXTSPLIT(mouvementmp[[#This Row],[QR MP]],"_"),1,4)</f>
        <v>61455</v>
      </c>
      <c r="O524" s="47">
        <f>-mouvementmp[[#This Row],[Poids]]</f>
        <v>-6.75</v>
      </c>
      <c r="P524" s="47" t="str">
        <f>IF(
   COUNTIFS($A$2:A524,A524,
             $B$2:B524,B524,
             $C$2:C524,C524,
             $D$2:D524,D524,
             $E$2:E524,E524,
             $F$2:F524,F524,
              $J$2:J524,J524)&gt;1,
   "Doublon",
   "Correcte"
)</f>
        <v>Correcte</v>
      </c>
      <c r="Q524" s="106" t="str">
        <f>IF(mouvementmp[[#This Row],[QR Fabrication]]&lt;&gt;"",INDEX(_xlfn.TEXTSPLIT(mouvementmp[[#This Row],[QR Fabrication]],"_"),1,1),"")</f>
        <v>CA250187</v>
      </c>
      <c r="R524" s="106" t="str">
        <f>IF(mouvementmp[[#This Row],[QR Fabrication]]&lt;&gt;"",INDEX(_xlfn.TEXTSPLIT(mouvementmp[[#This Row],[QR Fabrication]],"_"),1,2),"")</f>
        <v>All by Fouta</v>
      </c>
      <c r="S524" s="47" t="str">
        <f>IF(mouvementmp[[#This Row],[QR Fabrication]]&lt;&gt;"",INDEX(_xlfn.TEXTSPLIT(mouvementmp[[#This Row],[QR Fabrication]],"_"),1,3),"")</f>
        <v>Stock</v>
      </c>
      <c r="T524" s="47" t="str">
        <f>IF(mouvementmp[[#This Row],[QR Fabrication]]&lt;&gt;"",INDEX(_xlfn.TEXTSPLIT(mouvementmp[[#This Row],[QR Fabrication]],"_"),1,4),"")</f>
        <v>IB2020-B12-32</v>
      </c>
      <c r="U524" s="47" t="str">
        <f>IF(mouvementmp[[#This Row],[QR Fabrication]]&lt;&gt;"",INDEX(_xlfn.TEXTSPLIT(mouvementmp[[#This Row],[QR Fabrication]],"_"),1,5),"")</f>
        <v>IBIZA</v>
      </c>
      <c r="V524" s="47" t="str">
        <f>IF(mouvementmp[[#This Row],[QR Fabrication]]&lt;&gt;"",_xlfn.TEXTAFTER(mouvementmp[[#This Row],[QR Fabrication]],"_",5),"")</f>
        <v>2020</v>
      </c>
    </row>
    <row r="525" spans="1:22" ht="16.5" thickTop="1" thickBot="1" x14ac:dyDescent="0.3">
      <c r="A525" s="46" t="s">
        <v>2529</v>
      </c>
      <c r="B525" s="54" t="s">
        <v>3838</v>
      </c>
      <c r="C525" s="47" t="s">
        <v>672</v>
      </c>
      <c r="D525" s="47" t="s">
        <v>665</v>
      </c>
      <c r="E525" s="47" t="s">
        <v>669</v>
      </c>
      <c r="F525" s="48">
        <v>10.5</v>
      </c>
      <c r="G525" s="47"/>
      <c r="H525" s="47"/>
      <c r="I525" s="47" t="s">
        <v>664</v>
      </c>
      <c r="J525" s="49">
        <v>45940</v>
      </c>
      <c r="K525" s="47" t="str">
        <f>INDEX(_xlfn.TEXTSPLIT(mouvementmp[[#This Row],[QR MP]],"_"),1,1)</f>
        <v>C07</v>
      </c>
      <c r="L525" s="47" t="str">
        <f>INDEX(_xlfn.TEXTSPLIT(mouvementmp[[#This Row],[QR MP]],"_"),1,2)</f>
        <v>GRIS MOYEN</v>
      </c>
      <c r="M525" s="47" t="str">
        <f>INDEX(_xlfn.TEXTSPLIT(mouvementmp[[#This Row],[QR MP]],"_"),1,3)</f>
        <v>NM15-07.00</v>
      </c>
      <c r="N525" s="47" t="str">
        <f>INDEX(_xlfn.TEXTSPLIT(mouvementmp[[#This Row],[QR MP]],"_"),1,4)</f>
        <v>61445</v>
      </c>
      <c r="O525" s="47">
        <f>-mouvementmp[[#This Row],[Poids]]</f>
        <v>-10.5</v>
      </c>
      <c r="P525" s="47" t="str">
        <f>IF(
   COUNTIFS($A$2:A525,A525,
             $B$2:B525,B525,
             $C$2:C525,C525,
             $D$2:D525,D525,
             $E$2:E525,E525,
             $F$2:F525,F525,
              $J$2:J525,J525)&gt;1,
   "Doublon",
   "Correcte"
)</f>
        <v>Correcte</v>
      </c>
      <c r="Q525" s="106" t="str">
        <f>IF(mouvementmp[[#This Row],[QR Fabrication]]&lt;&gt;"",INDEX(_xlfn.TEXTSPLIT(mouvementmp[[#This Row],[QR Fabrication]],"_"),1,1),"")</f>
        <v>CA250184</v>
      </c>
      <c r="R525" s="106" t="str">
        <f>IF(mouvementmp[[#This Row],[QR Fabrication]]&lt;&gt;"",INDEX(_xlfn.TEXTSPLIT(mouvementmp[[#This Row],[QR Fabrication]],"_"),1,2),"")</f>
        <v>All by Fouta</v>
      </c>
      <c r="S525" s="47" t="str">
        <f>IF(mouvementmp[[#This Row],[QR Fabrication]]&lt;&gt;"",INDEX(_xlfn.TEXTSPLIT(mouvementmp[[#This Row],[QR Fabrication]],"_"),1,3),"")</f>
        <v>Stock</v>
      </c>
      <c r="T525" s="47" t="str">
        <f>IF(mouvementmp[[#This Row],[QR Fabrication]]&lt;&gt;"",INDEX(_xlfn.TEXTSPLIT(mouvementmp[[#This Row],[QR Fabrication]],"_"),1,4),"")</f>
        <v>IB2020-B07-17</v>
      </c>
      <c r="U525" s="47" t="str">
        <f>IF(mouvementmp[[#This Row],[QR Fabrication]]&lt;&gt;"",INDEX(_xlfn.TEXTSPLIT(mouvementmp[[#This Row],[QR Fabrication]],"_"),1,5),"")</f>
        <v>IBIZA</v>
      </c>
      <c r="V525" s="47" t="str">
        <f>IF(mouvementmp[[#This Row],[QR Fabrication]]&lt;&gt;"",_xlfn.TEXTAFTER(mouvementmp[[#This Row],[QR Fabrication]],"_",5),"")</f>
        <v>2020</v>
      </c>
    </row>
    <row r="526" spans="1:22" ht="16.5" thickTop="1" thickBot="1" x14ac:dyDescent="0.3">
      <c r="A526" s="46" t="s">
        <v>2529</v>
      </c>
      <c r="B526" s="54" t="s">
        <v>3865</v>
      </c>
      <c r="C526" s="47" t="s">
        <v>672</v>
      </c>
      <c r="D526" s="47" t="s">
        <v>665</v>
      </c>
      <c r="E526" s="47" t="s">
        <v>669</v>
      </c>
      <c r="F526" s="48">
        <v>2.5499999999999998</v>
      </c>
      <c r="G526" s="47"/>
      <c r="H526" s="47"/>
      <c r="I526" s="47" t="s">
        <v>664</v>
      </c>
      <c r="J526" s="49">
        <v>45940</v>
      </c>
      <c r="K526" s="47" t="str">
        <f>INDEX(_xlfn.TEXTSPLIT(mouvementmp[[#This Row],[QR MP]],"_"),1,1)</f>
        <v>C17</v>
      </c>
      <c r="L526" s="47" t="str">
        <f>INDEX(_xlfn.TEXTSPLIT(mouvementmp[[#This Row],[QR MP]],"_"),1,2)</f>
        <v>EMAURAUDE</v>
      </c>
      <c r="M526" s="47" t="str">
        <f>INDEX(_xlfn.TEXTSPLIT(mouvementmp[[#This Row],[QR MP]],"_"),1,3)</f>
        <v>NM15-17.00</v>
      </c>
      <c r="N526" s="47" t="str">
        <f>INDEX(_xlfn.TEXTSPLIT(mouvementmp[[#This Row],[QR MP]],"_"),1,4)</f>
        <v>61571</v>
      </c>
      <c r="O526" s="47">
        <f>-mouvementmp[[#This Row],[Poids]]</f>
        <v>-2.5499999999999998</v>
      </c>
      <c r="P526" s="47" t="str">
        <f>IF(
   COUNTIFS($A$2:A526,A526,
             $B$2:B526,B526,
             $C$2:C526,C526,
             $D$2:D526,D526,
             $E$2:E526,E526,
             $F$2:F526,F526,
              $J$2:J526,J526)&gt;1,
   "Doublon",
   "Correcte"
)</f>
        <v>Correcte</v>
      </c>
      <c r="Q526" s="106" t="str">
        <f>IF(mouvementmp[[#This Row],[QR Fabrication]]&lt;&gt;"",INDEX(_xlfn.TEXTSPLIT(mouvementmp[[#This Row],[QR Fabrication]],"_"),1,1),"")</f>
        <v>CA250184</v>
      </c>
      <c r="R526" s="106" t="str">
        <f>IF(mouvementmp[[#This Row],[QR Fabrication]]&lt;&gt;"",INDEX(_xlfn.TEXTSPLIT(mouvementmp[[#This Row],[QR Fabrication]],"_"),1,2),"")</f>
        <v>All by Fouta</v>
      </c>
      <c r="S526" s="47" t="str">
        <f>IF(mouvementmp[[#This Row],[QR Fabrication]]&lt;&gt;"",INDEX(_xlfn.TEXTSPLIT(mouvementmp[[#This Row],[QR Fabrication]],"_"),1,3),"")</f>
        <v>Stock</v>
      </c>
      <c r="T526" s="47" t="str">
        <f>IF(mouvementmp[[#This Row],[QR Fabrication]]&lt;&gt;"",INDEX(_xlfn.TEXTSPLIT(mouvementmp[[#This Row],[QR Fabrication]],"_"),1,4),"")</f>
        <v>IB2020-B07-17</v>
      </c>
      <c r="U526" s="47" t="str">
        <f>IF(mouvementmp[[#This Row],[QR Fabrication]]&lt;&gt;"",INDEX(_xlfn.TEXTSPLIT(mouvementmp[[#This Row],[QR Fabrication]],"_"),1,5),"")</f>
        <v>IBIZA</v>
      </c>
      <c r="V526" s="47" t="str">
        <f>IF(mouvementmp[[#This Row],[QR Fabrication]]&lt;&gt;"",_xlfn.TEXTAFTER(mouvementmp[[#This Row],[QR Fabrication]],"_",5),"")</f>
        <v>2020</v>
      </c>
    </row>
    <row r="527" spans="1:22" ht="16.5" thickTop="1" thickBot="1" x14ac:dyDescent="0.3">
      <c r="A527" s="46" t="s">
        <v>2530</v>
      </c>
      <c r="B527" s="54" t="s">
        <v>3847</v>
      </c>
      <c r="C527" s="47" t="s">
        <v>672</v>
      </c>
      <c r="D527" s="47" t="s">
        <v>665</v>
      </c>
      <c r="E527" s="47" t="s">
        <v>669</v>
      </c>
      <c r="F527" s="48">
        <v>14.75</v>
      </c>
      <c r="G527" s="47"/>
      <c r="H527" s="47"/>
      <c r="I527" s="47" t="s">
        <v>664</v>
      </c>
      <c r="J527" s="49">
        <v>45940</v>
      </c>
      <c r="K527" s="47" t="str">
        <f>INDEX(_xlfn.TEXTSPLIT(mouvementmp[[#This Row],[QR MP]],"_"),1,1)</f>
        <v>C11</v>
      </c>
      <c r="L527" s="47" t="str">
        <f>INDEX(_xlfn.TEXTSPLIT(mouvementmp[[#This Row],[QR MP]],"_"),1,2)</f>
        <v>BLEU GITANE</v>
      </c>
      <c r="M527" s="47" t="str">
        <f>INDEX(_xlfn.TEXTSPLIT(mouvementmp[[#This Row],[QR MP]],"_"),1,3)</f>
        <v>NM15-11.00</v>
      </c>
      <c r="N527" s="47" t="str">
        <f>INDEX(_xlfn.TEXTSPLIT(mouvementmp[[#This Row],[QR MP]],"_"),1,4)</f>
        <v>61659</v>
      </c>
      <c r="O527" s="47">
        <f>-mouvementmp[[#This Row],[Poids]]</f>
        <v>-14.75</v>
      </c>
      <c r="P527" s="47" t="str">
        <f>IF(
   COUNTIFS($A$2:A527,A527,
             $B$2:B527,B527,
             $C$2:C527,C527,
             $D$2:D527,D527,
             $E$2:E527,E527,
             $F$2:F527,F527,
              $J$2:J527,J527)&gt;1,
   "Doublon",
   "Correcte"
)</f>
        <v>Correcte</v>
      </c>
      <c r="Q527" s="106" t="str">
        <f>IF(mouvementmp[[#This Row],[QR Fabrication]]&lt;&gt;"",INDEX(_xlfn.TEXTSPLIT(mouvementmp[[#This Row],[QR Fabrication]],"_"),1,1),"")</f>
        <v>CA250217</v>
      </c>
      <c r="R527" s="106" t="str">
        <f>IF(mouvementmp[[#This Row],[QR Fabrication]]&lt;&gt;"",INDEX(_xlfn.TEXTSPLIT(mouvementmp[[#This Row],[QR Fabrication]],"_"),1,2),"")</f>
        <v>All by Fouta</v>
      </c>
      <c r="S527" s="47" t="str">
        <f>IF(mouvementmp[[#This Row],[QR Fabrication]]&lt;&gt;"",INDEX(_xlfn.TEXTSPLIT(mouvementmp[[#This Row],[QR Fabrication]],"_"),1,3),"")</f>
        <v>Stock</v>
      </c>
      <c r="T527" s="47" t="str">
        <f>IF(mouvementmp[[#This Row],[QR Fabrication]]&lt;&gt;"",INDEX(_xlfn.TEXTSPLIT(mouvementmp[[#This Row],[QR Fabrication]],"_"),1,4),"")</f>
        <v>AR1020-T10-14-25</v>
      </c>
      <c r="U527" s="47" t="str">
        <f>IF(mouvementmp[[#This Row],[QR Fabrication]]&lt;&gt;"",INDEX(_xlfn.TEXTSPLIT(mouvementmp[[#This Row],[QR Fabrication]],"_"),1,5),"")</f>
        <v>ARTHUR</v>
      </c>
      <c r="V527" s="47" t="str">
        <f>IF(mouvementmp[[#This Row],[QR Fabrication]]&lt;&gt;"",_xlfn.TEXTAFTER(mouvementmp[[#This Row],[QR Fabrication]],"_",5),"")</f>
        <v>1020</v>
      </c>
    </row>
    <row r="528" spans="1:22" ht="16.5" thickTop="1" thickBot="1" x14ac:dyDescent="0.3">
      <c r="A528" s="46" t="s">
        <v>2530</v>
      </c>
      <c r="B528" s="54" t="s">
        <v>3858</v>
      </c>
      <c r="C528" s="47" t="s">
        <v>672</v>
      </c>
      <c r="D528" s="47" t="s">
        <v>665</v>
      </c>
      <c r="E528" s="47" t="s">
        <v>669</v>
      </c>
      <c r="F528" s="48">
        <v>5.25</v>
      </c>
      <c r="G528" s="47"/>
      <c r="H528" s="47"/>
      <c r="I528" s="47" t="s">
        <v>664</v>
      </c>
      <c r="J528" s="49">
        <v>45940</v>
      </c>
      <c r="K528" s="47" t="str">
        <f>INDEX(_xlfn.TEXTSPLIT(mouvementmp[[#This Row],[QR MP]],"_"),1,1)</f>
        <v>C14</v>
      </c>
      <c r="L528" s="47" t="str">
        <f>INDEX(_xlfn.TEXTSPLIT(mouvementmp[[#This Row],[QR MP]],"_"),1,2)</f>
        <v>BLEU TURQUOISE</v>
      </c>
      <c r="M528" s="47" t="str">
        <f>INDEX(_xlfn.TEXTSPLIT(mouvementmp[[#This Row],[QR MP]],"_"),1,3)</f>
        <v>NM15-14.00</v>
      </c>
      <c r="N528" s="47" t="str">
        <f>INDEX(_xlfn.TEXTSPLIT(mouvementmp[[#This Row],[QR MP]],"_"),1,4)</f>
        <v>61597</v>
      </c>
      <c r="O528" s="47">
        <f>-mouvementmp[[#This Row],[Poids]]</f>
        <v>-5.25</v>
      </c>
      <c r="P528" s="47" t="str">
        <f>IF(
   COUNTIFS($A$2:A528,A528,
             $B$2:B528,B528,
             $C$2:C528,C528,
             $D$2:D528,D528,
             $E$2:E528,E528,
             $F$2:F528,F528,
              $J$2:J528,J528)&gt;1,
   "Doublon",
   "Correcte"
)</f>
        <v>Correcte</v>
      </c>
      <c r="Q528" s="106" t="str">
        <f>IF(mouvementmp[[#This Row],[QR Fabrication]]&lt;&gt;"",INDEX(_xlfn.TEXTSPLIT(mouvementmp[[#This Row],[QR Fabrication]],"_"),1,1),"")</f>
        <v>CA250217</v>
      </c>
      <c r="R528" s="106" t="str">
        <f>IF(mouvementmp[[#This Row],[QR Fabrication]]&lt;&gt;"",INDEX(_xlfn.TEXTSPLIT(mouvementmp[[#This Row],[QR Fabrication]],"_"),1,2),"")</f>
        <v>All by Fouta</v>
      </c>
      <c r="S528" s="47" t="str">
        <f>IF(mouvementmp[[#This Row],[QR Fabrication]]&lt;&gt;"",INDEX(_xlfn.TEXTSPLIT(mouvementmp[[#This Row],[QR Fabrication]],"_"),1,3),"")</f>
        <v>Stock</v>
      </c>
      <c r="T528" s="47" t="str">
        <f>IF(mouvementmp[[#This Row],[QR Fabrication]]&lt;&gt;"",INDEX(_xlfn.TEXTSPLIT(mouvementmp[[#This Row],[QR Fabrication]],"_"),1,4),"")</f>
        <v>AR1020-T10-14-25</v>
      </c>
      <c r="U528" s="47" t="str">
        <f>IF(mouvementmp[[#This Row],[QR Fabrication]]&lt;&gt;"",INDEX(_xlfn.TEXTSPLIT(mouvementmp[[#This Row],[QR Fabrication]],"_"),1,5),"")</f>
        <v>ARTHUR</v>
      </c>
      <c r="V528" s="47" t="str">
        <f>IF(mouvementmp[[#This Row],[QR Fabrication]]&lt;&gt;"",_xlfn.TEXTAFTER(mouvementmp[[#This Row],[QR Fabrication]],"_",5),"")</f>
        <v>1020</v>
      </c>
    </row>
    <row r="529" spans="1:22" ht="16.5" thickTop="1" thickBot="1" x14ac:dyDescent="0.3">
      <c r="A529" s="46" t="s">
        <v>2531</v>
      </c>
      <c r="B529" s="54" t="s">
        <v>3811</v>
      </c>
      <c r="C529" s="47" t="s">
        <v>672</v>
      </c>
      <c r="D529" s="47" t="s">
        <v>665</v>
      </c>
      <c r="E529" s="47" t="s">
        <v>669</v>
      </c>
      <c r="F529" s="48">
        <v>14.5</v>
      </c>
      <c r="G529" s="47"/>
      <c r="H529" s="47"/>
      <c r="I529" s="47" t="s">
        <v>664</v>
      </c>
      <c r="J529" s="49">
        <v>45940</v>
      </c>
      <c r="K529" s="47" t="str">
        <f>INDEX(_xlfn.TEXTSPLIT(mouvementmp[[#This Row],[QR MP]],"_"),1,1)</f>
        <v>C03</v>
      </c>
      <c r="L529" s="47" t="str">
        <f>INDEX(_xlfn.TEXTSPLIT(mouvementmp[[#This Row],[QR MP]],"_"),1,2)</f>
        <v>BEIGE CLAIR</v>
      </c>
      <c r="M529" s="47" t="str">
        <f>INDEX(_xlfn.TEXTSPLIT(mouvementmp[[#This Row],[QR MP]],"_"),1,3)</f>
        <v>NM05-03.01</v>
      </c>
      <c r="N529" s="47" t="str">
        <f>INDEX(_xlfn.TEXTSPLIT(mouvementmp[[#This Row],[QR MP]],"_"),1,4)</f>
        <v>58783</v>
      </c>
      <c r="O529" s="47">
        <f>-mouvementmp[[#This Row],[Poids]]</f>
        <v>-14.5</v>
      </c>
      <c r="P529" s="47" t="str">
        <f>IF(
   COUNTIFS($A$2:A529,A529,
             $B$2:B529,B529,
             $C$2:C529,C529,
             $D$2:D529,D529,
             $E$2:E529,E529,
             $F$2:F529,F529,
              $J$2:J529,J529)&gt;1,
   "Doublon",
   "Correcte"
)</f>
        <v>Correcte</v>
      </c>
      <c r="Q529" s="106" t="str">
        <f>IF(mouvementmp[[#This Row],[QR Fabrication]]&lt;&gt;"",INDEX(_xlfn.TEXTSPLIT(mouvementmp[[#This Row],[QR Fabrication]],"_"),1,1),"")</f>
        <v>CA250215</v>
      </c>
      <c r="R529" s="106" t="str">
        <f>IF(mouvementmp[[#This Row],[QR Fabrication]]&lt;&gt;"",INDEX(_xlfn.TEXTSPLIT(mouvementmp[[#This Row],[QR Fabrication]],"_"),1,2),"")</f>
        <v>All by Fouta</v>
      </c>
      <c r="S529" s="47" t="str">
        <f>IF(mouvementmp[[#This Row],[QR Fabrication]]&lt;&gt;"",INDEX(_xlfn.TEXTSPLIT(mouvementmp[[#This Row],[QR Fabrication]],"_"),1,3),"")</f>
        <v>Stock</v>
      </c>
      <c r="T529" s="47" t="str">
        <f>IF(mouvementmp[[#This Row],[QR Fabrication]]&lt;&gt;"",INDEX(_xlfn.TEXTSPLIT(mouvementmp[[#This Row],[QR Fabrication]],"_"),1,4),"")</f>
        <v>AR1020-T03-04-17</v>
      </c>
      <c r="U529" s="47" t="str">
        <f>IF(mouvementmp[[#This Row],[QR Fabrication]]&lt;&gt;"",INDEX(_xlfn.TEXTSPLIT(mouvementmp[[#This Row],[QR Fabrication]],"_"),1,5),"")</f>
        <v>ARTHUR</v>
      </c>
      <c r="V529" s="47" t="str">
        <f>IF(mouvementmp[[#This Row],[QR Fabrication]]&lt;&gt;"",_xlfn.TEXTAFTER(mouvementmp[[#This Row],[QR Fabrication]],"_",5),"")</f>
        <v>1020</v>
      </c>
    </row>
    <row r="530" spans="1:22" ht="16.5" thickTop="1" thickBot="1" x14ac:dyDescent="0.3">
      <c r="A530" s="46" t="s">
        <v>2531</v>
      </c>
      <c r="B530" s="54" t="s">
        <v>3816</v>
      </c>
      <c r="C530" s="47" t="s">
        <v>672</v>
      </c>
      <c r="D530" s="47" t="s">
        <v>665</v>
      </c>
      <c r="E530" s="47" t="s">
        <v>669</v>
      </c>
      <c r="F530" s="48">
        <v>4.95</v>
      </c>
      <c r="G530" s="47"/>
      <c r="H530" s="47"/>
      <c r="I530" s="47" t="s">
        <v>664</v>
      </c>
      <c r="J530" s="49">
        <v>45940</v>
      </c>
      <c r="K530" s="47" t="str">
        <f>INDEX(_xlfn.TEXTSPLIT(mouvementmp[[#This Row],[QR MP]],"_"),1,1)</f>
        <v>C04</v>
      </c>
      <c r="L530" s="47" t="str">
        <f>INDEX(_xlfn.TEXTSPLIT(mouvementmp[[#This Row],[QR MP]],"_"),1,2)</f>
        <v>TAUPE</v>
      </c>
      <c r="M530" s="47" t="str">
        <f>INDEX(_xlfn.TEXTSPLIT(mouvementmp[[#This Row],[QR MP]],"_"),1,3)</f>
        <v>NM05-04.00</v>
      </c>
      <c r="N530" s="47" t="str">
        <f>INDEX(_xlfn.TEXTSPLIT(mouvementmp[[#This Row],[QR MP]],"_"),1,4)</f>
        <v>S2023</v>
      </c>
      <c r="O530" s="47">
        <f>-mouvementmp[[#This Row],[Poids]]</f>
        <v>-4.95</v>
      </c>
      <c r="P530" s="47" t="str">
        <f>IF(
   COUNTIFS($A$2:A530,A530,
             $B$2:B530,B530,
             $C$2:C530,C530,
             $D$2:D530,D530,
             $E$2:E530,E530,
             $F$2:F530,F530,
              $J$2:J530,J530)&gt;1,
   "Doublon",
   "Correcte"
)</f>
        <v>Correcte</v>
      </c>
      <c r="Q530" s="106" t="str">
        <f>IF(mouvementmp[[#This Row],[QR Fabrication]]&lt;&gt;"",INDEX(_xlfn.TEXTSPLIT(mouvementmp[[#This Row],[QR Fabrication]],"_"),1,1),"")</f>
        <v>CA250215</v>
      </c>
      <c r="R530" s="106" t="str">
        <f>IF(mouvementmp[[#This Row],[QR Fabrication]]&lt;&gt;"",INDEX(_xlfn.TEXTSPLIT(mouvementmp[[#This Row],[QR Fabrication]],"_"),1,2),"")</f>
        <v>All by Fouta</v>
      </c>
      <c r="S530" s="47" t="str">
        <f>IF(mouvementmp[[#This Row],[QR Fabrication]]&lt;&gt;"",INDEX(_xlfn.TEXTSPLIT(mouvementmp[[#This Row],[QR Fabrication]],"_"),1,3),"")</f>
        <v>Stock</v>
      </c>
      <c r="T530" s="47" t="str">
        <f>IF(mouvementmp[[#This Row],[QR Fabrication]]&lt;&gt;"",INDEX(_xlfn.TEXTSPLIT(mouvementmp[[#This Row],[QR Fabrication]],"_"),1,4),"")</f>
        <v>AR1020-T03-04-17</v>
      </c>
      <c r="U530" s="47" t="str">
        <f>IF(mouvementmp[[#This Row],[QR Fabrication]]&lt;&gt;"",INDEX(_xlfn.TEXTSPLIT(mouvementmp[[#This Row],[QR Fabrication]],"_"),1,5),"")</f>
        <v>ARTHUR</v>
      </c>
      <c r="V530" s="47" t="str">
        <f>IF(mouvementmp[[#This Row],[QR Fabrication]]&lt;&gt;"",_xlfn.TEXTAFTER(mouvementmp[[#This Row],[QR Fabrication]],"_",5),"")</f>
        <v>1020</v>
      </c>
    </row>
    <row r="531" spans="1:22" ht="16.5" thickTop="1" thickBot="1" x14ac:dyDescent="0.3">
      <c r="A531" s="46" t="s">
        <v>2531</v>
      </c>
      <c r="B531" s="54" t="s">
        <v>3865</v>
      </c>
      <c r="C531" s="47" t="s">
        <v>672</v>
      </c>
      <c r="D531" s="47" t="s">
        <v>665</v>
      </c>
      <c r="E531" s="47" t="s">
        <v>669</v>
      </c>
      <c r="F531" s="48">
        <v>3.75</v>
      </c>
      <c r="G531" s="47"/>
      <c r="H531" s="47"/>
      <c r="I531" s="47" t="s">
        <v>664</v>
      </c>
      <c r="J531" s="49">
        <v>45940</v>
      </c>
      <c r="K531" s="47" t="str">
        <f>INDEX(_xlfn.TEXTSPLIT(mouvementmp[[#This Row],[QR MP]],"_"),1,1)</f>
        <v>C17</v>
      </c>
      <c r="L531" s="47" t="str">
        <f>INDEX(_xlfn.TEXTSPLIT(mouvementmp[[#This Row],[QR MP]],"_"),1,2)</f>
        <v>EMAURAUDE</v>
      </c>
      <c r="M531" s="47" t="str">
        <f>INDEX(_xlfn.TEXTSPLIT(mouvementmp[[#This Row],[QR MP]],"_"),1,3)</f>
        <v>NM15-17.00</v>
      </c>
      <c r="N531" s="47" t="str">
        <f>INDEX(_xlfn.TEXTSPLIT(mouvementmp[[#This Row],[QR MP]],"_"),1,4)</f>
        <v>61571</v>
      </c>
      <c r="O531" s="47">
        <f>-mouvementmp[[#This Row],[Poids]]</f>
        <v>-3.75</v>
      </c>
      <c r="P531" s="47" t="str">
        <f>IF(
   COUNTIFS($A$2:A531,A531,
             $B$2:B531,B531,
             $C$2:C531,C531,
             $D$2:D531,D531,
             $E$2:E531,E531,
             $F$2:F531,F531,
              $J$2:J531,J531)&gt;1,
   "Doublon",
   "Correcte"
)</f>
        <v>Correcte</v>
      </c>
      <c r="Q531" s="106" t="str">
        <f>IF(mouvementmp[[#This Row],[QR Fabrication]]&lt;&gt;"",INDEX(_xlfn.TEXTSPLIT(mouvementmp[[#This Row],[QR Fabrication]],"_"),1,1),"")</f>
        <v>CA250215</v>
      </c>
      <c r="R531" s="106" t="str">
        <f>IF(mouvementmp[[#This Row],[QR Fabrication]]&lt;&gt;"",INDEX(_xlfn.TEXTSPLIT(mouvementmp[[#This Row],[QR Fabrication]],"_"),1,2),"")</f>
        <v>All by Fouta</v>
      </c>
      <c r="S531" s="47" t="str">
        <f>IF(mouvementmp[[#This Row],[QR Fabrication]]&lt;&gt;"",INDEX(_xlfn.TEXTSPLIT(mouvementmp[[#This Row],[QR Fabrication]],"_"),1,3),"")</f>
        <v>Stock</v>
      </c>
      <c r="T531" s="47" t="str">
        <f>IF(mouvementmp[[#This Row],[QR Fabrication]]&lt;&gt;"",INDEX(_xlfn.TEXTSPLIT(mouvementmp[[#This Row],[QR Fabrication]],"_"),1,4),"")</f>
        <v>AR1020-T03-04-17</v>
      </c>
      <c r="U531" s="47" t="str">
        <f>IF(mouvementmp[[#This Row],[QR Fabrication]]&lt;&gt;"",INDEX(_xlfn.TEXTSPLIT(mouvementmp[[#This Row],[QR Fabrication]],"_"),1,5),"")</f>
        <v>ARTHUR</v>
      </c>
      <c r="V531" s="47" t="str">
        <f>IF(mouvementmp[[#This Row],[QR Fabrication]]&lt;&gt;"",_xlfn.TEXTAFTER(mouvementmp[[#This Row],[QR Fabrication]],"_",5),"")</f>
        <v>1020</v>
      </c>
    </row>
    <row r="532" spans="1:22" ht="16.5" thickTop="1" thickBot="1" x14ac:dyDescent="0.3">
      <c r="A532" s="46" t="s">
        <v>2532</v>
      </c>
      <c r="B532" s="54" t="s">
        <v>3838</v>
      </c>
      <c r="C532" s="47" t="s">
        <v>672</v>
      </c>
      <c r="D532" s="47" t="s">
        <v>665</v>
      </c>
      <c r="E532" s="47" t="s">
        <v>669</v>
      </c>
      <c r="F532" s="48">
        <v>13.85</v>
      </c>
      <c r="G532" s="47"/>
      <c r="H532" s="47"/>
      <c r="I532" s="47" t="s">
        <v>664</v>
      </c>
      <c r="J532" s="49">
        <v>45940</v>
      </c>
      <c r="K532" s="47" t="str">
        <f>INDEX(_xlfn.TEXTSPLIT(mouvementmp[[#This Row],[QR MP]],"_"),1,1)</f>
        <v>C07</v>
      </c>
      <c r="L532" s="47" t="str">
        <f>INDEX(_xlfn.TEXTSPLIT(mouvementmp[[#This Row],[QR MP]],"_"),1,2)</f>
        <v>GRIS MOYEN</v>
      </c>
      <c r="M532" s="47" t="str">
        <f>INDEX(_xlfn.TEXTSPLIT(mouvementmp[[#This Row],[QR MP]],"_"),1,3)</f>
        <v>NM15-07.00</v>
      </c>
      <c r="N532" s="47" t="str">
        <f>INDEX(_xlfn.TEXTSPLIT(mouvementmp[[#This Row],[QR MP]],"_"),1,4)</f>
        <v>61445</v>
      </c>
      <c r="O532" s="47">
        <f>-mouvementmp[[#This Row],[Poids]]</f>
        <v>-13.85</v>
      </c>
      <c r="P532" s="47" t="str">
        <f>IF(
   COUNTIFS($A$2:A532,A532,
             $B$2:B532,B532,
             $C$2:C532,C532,
             $D$2:D532,D532,
             $E$2:E532,E532,
             $F$2:F532,F532,
              $J$2:J532,J532)&gt;1,
   "Doublon",
   "Correcte"
)</f>
        <v>Correcte</v>
      </c>
      <c r="Q532" s="106" t="str">
        <f>IF(mouvementmp[[#This Row],[QR Fabrication]]&lt;&gt;"",INDEX(_xlfn.TEXTSPLIT(mouvementmp[[#This Row],[QR Fabrication]],"_"),1,1),"")</f>
        <v>OF249844</v>
      </c>
      <c r="R532" s="106" t="str">
        <f>IF(mouvementmp[[#This Row],[QR Fabrication]]&lt;&gt;"",INDEX(_xlfn.TEXTSPLIT(mouvementmp[[#This Row],[QR Fabrication]],"_"),1,2),"")</f>
        <v>CL00884</v>
      </c>
      <c r="S532" s="47" t="str">
        <f>IF(mouvementmp[[#This Row],[QR Fabrication]]&lt;&gt;"",INDEX(_xlfn.TEXTSPLIT(mouvementmp[[#This Row],[QR Fabrication]],"_"),1,3),"")</f>
        <v>CM-FT0119</v>
      </c>
      <c r="T532" s="47" t="str">
        <f>IF(mouvementmp[[#This Row],[QR Fabrication]]&lt;&gt;"",INDEX(_xlfn.TEXTSPLIT(mouvementmp[[#This Row],[QR Fabrication]],"_"),1,4),"")</f>
        <v>FI1020-C07-17-06</v>
      </c>
      <c r="U532" s="47" t="str">
        <f>IF(mouvementmp[[#This Row],[QR Fabrication]]&lt;&gt;"",INDEX(_xlfn.TEXTSPLIT(mouvementmp[[#This Row],[QR Fabrication]],"_"),1,5),"")</f>
        <v>FIVE</v>
      </c>
      <c r="V532" s="47" t="str">
        <f>IF(mouvementmp[[#This Row],[QR Fabrication]]&lt;&gt;"",_xlfn.TEXTAFTER(mouvementmp[[#This Row],[QR Fabrication]],"_",5),"")</f>
        <v>1020</v>
      </c>
    </row>
    <row r="533" spans="1:22" ht="16.5" thickTop="1" thickBot="1" x14ac:dyDescent="0.3">
      <c r="A533" s="46" t="s">
        <v>2532</v>
      </c>
      <c r="B533" s="54" t="s">
        <v>3865</v>
      </c>
      <c r="C533" s="47" t="s">
        <v>672</v>
      </c>
      <c r="D533" s="47" t="s">
        <v>665</v>
      </c>
      <c r="E533" s="47" t="s">
        <v>669</v>
      </c>
      <c r="F533" s="48">
        <v>38.75</v>
      </c>
      <c r="G533" s="47"/>
      <c r="H533" s="47"/>
      <c r="I533" s="47" t="s">
        <v>664</v>
      </c>
      <c r="J533" s="49">
        <v>45940</v>
      </c>
      <c r="K533" s="47" t="str">
        <f>INDEX(_xlfn.TEXTSPLIT(mouvementmp[[#This Row],[QR MP]],"_"),1,1)</f>
        <v>C17</v>
      </c>
      <c r="L533" s="47" t="str">
        <f>INDEX(_xlfn.TEXTSPLIT(mouvementmp[[#This Row],[QR MP]],"_"),1,2)</f>
        <v>EMAURAUDE</v>
      </c>
      <c r="M533" s="47" t="str">
        <f>INDEX(_xlfn.TEXTSPLIT(mouvementmp[[#This Row],[QR MP]],"_"),1,3)</f>
        <v>NM15-17.00</v>
      </c>
      <c r="N533" s="47" t="str">
        <f>INDEX(_xlfn.TEXTSPLIT(mouvementmp[[#This Row],[QR MP]],"_"),1,4)</f>
        <v>61571</v>
      </c>
      <c r="O533" s="47">
        <f>-mouvementmp[[#This Row],[Poids]]</f>
        <v>-38.75</v>
      </c>
      <c r="P533" s="47" t="str">
        <f>IF(
   COUNTIFS($A$2:A533,A533,
             $B$2:B533,B533,
             $C$2:C533,C533,
             $D$2:D533,D533,
             $E$2:E533,E533,
             $F$2:F533,F533,
              $J$2:J533,J533)&gt;1,
   "Doublon",
   "Correcte"
)</f>
        <v>Correcte</v>
      </c>
      <c r="Q533" s="106" t="str">
        <f>IF(mouvementmp[[#This Row],[QR Fabrication]]&lt;&gt;"",INDEX(_xlfn.TEXTSPLIT(mouvementmp[[#This Row],[QR Fabrication]],"_"),1,1),"")</f>
        <v>OF249844</v>
      </c>
      <c r="R533" s="106" t="str">
        <f>IF(mouvementmp[[#This Row],[QR Fabrication]]&lt;&gt;"",INDEX(_xlfn.TEXTSPLIT(mouvementmp[[#This Row],[QR Fabrication]],"_"),1,2),"")</f>
        <v>CL00884</v>
      </c>
      <c r="S533" s="47" t="str">
        <f>IF(mouvementmp[[#This Row],[QR Fabrication]]&lt;&gt;"",INDEX(_xlfn.TEXTSPLIT(mouvementmp[[#This Row],[QR Fabrication]],"_"),1,3),"")</f>
        <v>CM-FT0119</v>
      </c>
      <c r="T533" s="47" t="str">
        <f>IF(mouvementmp[[#This Row],[QR Fabrication]]&lt;&gt;"",INDEX(_xlfn.TEXTSPLIT(mouvementmp[[#This Row],[QR Fabrication]],"_"),1,4),"")</f>
        <v>FI1020-C07-17-06</v>
      </c>
      <c r="U533" s="47" t="str">
        <f>IF(mouvementmp[[#This Row],[QR Fabrication]]&lt;&gt;"",INDEX(_xlfn.TEXTSPLIT(mouvementmp[[#This Row],[QR Fabrication]],"_"),1,5),"")</f>
        <v>FIVE</v>
      </c>
      <c r="V533" s="47" t="str">
        <f>IF(mouvementmp[[#This Row],[QR Fabrication]]&lt;&gt;"",_xlfn.TEXTAFTER(mouvementmp[[#This Row],[QR Fabrication]],"_",5),"")</f>
        <v>1020</v>
      </c>
    </row>
    <row r="534" spans="1:22" ht="16.5" thickTop="1" thickBot="1" x14ac:dyDescent="0.3">
      <c r="A534" s="46" t="s">
        <v>2532</v>
      </c>
      <c r="B534" s="54" t="s">
        <v>3921</v>
      </c>
      <c r="C534" s="47" t="s">
        <v>672</v>
      </c>
      <c r="D534" s="47" t="s">
        <v>665</v>
      </c>
      <c r="E534" s="47" t="s">
        <v>669</v>
      </c>
      <c r="F534" s="48">
        <v>38.75</v>
      </c>
      <c r="G534" s="47"/>
      <c r="H534" s="47"/>
      <c r="I534" s="47" t="s">
        <v>664</v>
      </c>
      <c r="J534" s="49">
        <v>45940</v>
      </c>
      <c r="K534" s="47" t="str">
        <f>INDEX(_xlfn.TEXTSPLIT(mouvementmp[[#This Row],[QR MP]],"_"),1,1)</f>
        <v>C06</v>
      </c>
      <c r="L534" s="47" t="str">
        <f>INDEX(_xlfn.TEXTSPLIT(mouvementmp[[#This Row],[QR MP]],"_"),1,2)</f>
        <v>GRIS CLAIR</v>
      </c>
      <c r="M534" s="47" t="str">
        <f>INDEX(_xlfn.TEXTSPLIT(mouvementmp[[#This Row],[QR MP]],"_"),1,3)</f>
        <v>NM15-06.00</v>
      </c>
      <c r="N534" s="47" t="str">
        <f>INDEX(_xlfn.TEXTSPLIT(mouvementmp[[#This Row],[QR MP]],"_"),1,4)</f>
        <v>61828</v>
      </c>
      <c r="O534" s="47">
        <f>-mouvementmp[[#This Row],[Poids]]</f>
        <v>-38.75</v>
      </c>
      <c r="P534" s="47" t="str">
        <f>IF(
   COUNTIFS($A$2:A534,A534,
             $B$2:B534,B534,
             $C$2:C534,C534,
             $D$2:D534,D534,
             $E$2:E534,E534,
             $F$2:F534,F534,
              $J$2:J534,J534)&gt;1,
   "Doublon",
   "Correcte"
)</f>
        <v>Correcte</v>
      </c>
      <c r="Q534" s="106" t="str">
        <f>IF(mouvementmp[[#This Row],[QR Fabrication]]&lt;&gt;"",INDEX(_xlfn.TEXTSPLIT(mouvementmp[[#This Row],[QR Fabrication]],"_"),1,1),"")</f>
        <v>OF249844</v>
      </c>
      <c r="R534" s="106" t="str">
        <f>IF(mouvementmp[[#This Row],[QR Fabrication]]&lt;&gt;"",INDEX(_xlfn.TEXTSPLIT(mouvementmp[[#This Row],[QR Fabrication]],"_"),1,2),"")</f>
        <v>CL00884</v>
      </c>
      <c r="S534" s="47" t="str">
        <f>IF(mouvementmp[[#This Row],[QR Fabrication]]&lt;&gt;"",INDEX(_xlfn.TEXTSPLIT(mouvementmp[[#This Row],[QR Fabrication]],"_"),1,3),"")</f>
        <v>CM-FT0119</v>
      </c>
      <c r="T534" s="47" t="str">
        <f>IF(mouvementmp[[#This Row],[QR Fabrication]]&lt;&gt;"",INDEX(_xlfn.TEXTSPLIT(mouvementmp[[#This Row],[QR Fabrication]],"_"),1,4),"")</f>
        <v>FI1020-C07-17-06</v>
      </c>
      <c r="U534" s="47" t="str">
        <f>IF(mouvementmp[[#This Row],[QR Fabrication]]&lt;&gt;"",INDEX(_xlfn.TEXTSPLIT(mouvementmp[[#This Row],[QR Fabrication]],"_"),1,5),"")</f>
        <v>FIVE</v>
      </c>
      <c r="V534" s="47" t="str">
        <f>IF(mouvementmp[[#This Row],[QR Fabrication]]&lt;&gt;"",_xlfn.TEXTAFTER(mouvementmp[[#This Row],[QR Fabrication]],"_",5),"")</f>
        <v>1020</v>
      </c>
    </row>
    <row r="535" spans="1:22" ht="16.5" thickTop="1" thickBot="1" x14ac:dyDescent="0.3">
      <c r="A535" s="46" t="s">
        <v>2532</v>
      </c>
      <c r="B535" s="54" t="s">
        <v>3868</v>
      </c>
      <c r="C535" s="47" t="s">
        <v>672</v>
      </c>
      <c r="D535" s="47" t="s">
        <v>665</v>
      </c>
      <c r="E535" s="47" t="s">
        <v>669</v>
      </c>
      <c r="F535" s="48">
        <v>32.5</v>
      </c>
      <c r="G535" s="47"/>
      <c r="H535" s="47"/>
      <c r="I535" s="47" t="s">
        <v>664</v>
      </c>
      <c r="J535" s="49">
        <v>45940</v>
      </c>
      <c r="K535" s="47" t="str">
        <f>INDEX(_xlfn.TEXTSPLIT(mouvementmp[[#This Row],[QR MP]],"_"),1,1)</f>
        <v>C18</v>
      </c>
      <c r="L535" s="47" t="str">
        <f>INDEX(_xlfn.TEXTSPLIT(mouvementmp[[#This Row],[QR MP]],"_"),1,2)</f>
        <v xml:space="preserve">VERT D'EAU </v>
      </c>
      <c r="M535" s="47" t="str">
        <f>INDEX(_xlfn.TEXTSPLIT(mouvementmp[[#This Row],[QR MP]],"_"),1,3)</f>
        <v>NM15-18.00</v>
      </c>
      <c r="N535" s="47" t="str">
        <f>INDEX(_xlfn.TEXTSPLIT(mouvementmp[[#This Row],[QR MP]],"_"),1,4)</f>
        <v>61535</v>
      </c>
      <c r="O535" s="47">
        <f>-mouvementmp[[#This Row],[Poids]]</f>
        <v>-32.5</v>
      </c>
      <c r="P535" s="47" t="str">
        <f>IF(
   COUNTIFS($A$2:A535,A535,
             $B$2:B535,B535,
             $C$2:C535,C535,
             $D$2:D535,D535,
             $E$2:E535,E535,
             $F$2:F535,F535,
              $J$2:J535,J535)&gt;1,
   "Doublon",
   "Correcte"
)</f>
        <v>Correcte</v>
      </c>
      <c r="Q535" s="106" t="str">
        <f>IF(mouvementmp[[#This Row],[QR Fabrication]]&lt;&gt;"",INDEX(_xlfn.TEXTSPLIT(mouvementmp[[#This Row],[QR Fabrication]],"_"),1,1),"")</f>
        <v>OF249844</v>
      </c>
      <c r="R535" s="106" t="str">
        <f>IF(mouvementmp[[#This Row],[QR Fabrication]]&lt;&gt;"",INDEX(_xlfn.TEXTSPLIT(mouvementmp[[#This Row],[QR Fabrication]],"_"),1,2),"")</f>
        <v>CL00884</v>
      </c>
      <c r="S535" s="47" t="str">
        <f>IF(mouvementmp[[#This Row],[QR Fabrication]]&lt;&gt;"",INDEX(_xlfn.TEXTSPLIT(mouvementmp[[#This Row],[QR Fabrication]],"_"),1,3),"")</f>
        <v>CM-FT0119</v>
      </c>
      <c r="T535" s="47" t="str">
        <f>IF(mouvementmp[[#This Row],[QR Fabrication]]&lt;&gt;"",INDEX(_xlfn.TEXTSPLIT(mouvementmp[[#This Row],[QR Fabrication]],"_"),1,4),"")</f>
        <v>FI1020-C07-17-06</v>
      </c>
      <c r="U535" s="47" t="str">
        <f>IF(mouvementmp[[#This Row],[QR Fabrication]]&lt;&gt;"",INDEX(_xlfn.TEXTSPLIT(mouvementmp[[#This Row],[QR Fabrication]],"_"),1,5),"")</f>
        <v>FIVE</v>
      </c>
      <c r="V535" s="47" t="str">
        <f>IF(mouvementmp[[#This Row],[QR Fabrication]]&lt;&gt;"",_xlfn.TEXTAFTER(mouvementmp[[#This Row],[QR Fabrication]],"_",5),"")</f>
        <v>1020</v>
      </c>
    </row>
    <row r="536" spans="1:22" ht="16.5" thickTop="1" thickBot="1" x14ac:dyDescent="0.3">
      <c r="A536" s="46" t="s">
        <v>2532</v>
      </c>
      <c r="B536" s="54" t="s">
        <v>3813</v>
      </c>
      <c r="C536" s="47" t="s">
        <v>672</v>
      </c>
      <c r="D536" s="47" t="s">
        <v>665</v>
      </c>
      <c r="E536" s="47" t="s">
        <v>669</v>
      </c>
      <c r="F536" s="48">
        <v>20.5</v>
      </c>
      <c r="G536" s="47"/>
      <c r="H536" s="47"/>
      <c r="I536" s="47" t="s">
        <v>664</v>
      </c>
      <c r="J536" s="49">
        <v>45940</v>
      </c>
      <c r="K536" s="47" t="str">
        <f>INDEX(_xlfn.TEXTSPLIT(mouvementmp[[#This Row],[QR MP]],"_"),1,1)</f>
        <v>C03</v>
      </c>
      <c r="L536" s="47" t="str">
        <f>INDEX(_xlfn.TEXTSPLIT(mouvementmp[[#This Row],[QR MP]],"_"),1,2)</f>
        <v>BEIGE CLAIRE</v>
      </c>
      <c r="M536" s="47" t="str">
        <f>INDEX(_xlfn.TEXTSPLIT(mouvementmp[[#This Row],[QR MP]],"_"),1,3)</f>
        <v>NM15-03.00</v>
      </c>
      <c r="N536" s="47" t="str">
        <f>INDEX(_xlfn.TEXTSPLIT(mouvementmp[[#This Row],[QR MP]],"_"),1,4)</f>
        <v>61559</v>
      </c>
      <c r="O536" s="47">
        <f>-mouvementmp[[#This Row],[Poids]]</f>
        <v>-20.5</v>
      </c>
      <c r="P536" s="47" t="str">
        <f>IF(
   COUNTIFS($A$2:A536,A536,
             $B$2:B536,B536,
             $C$2:C536,C536,
             $D$2:D536,D536,
             $E$2:E536,E536,
             $F$2:F536,F536,
              $J$2:J536,J536)&gt;1,
   "Doublon",
   "Correcte"
)</f>
        <v>Correcte</v>
      </c>
      <c r="Q536" s="106" t="str">
        <f>IF(mouvementmp[[#This Row],[QR Fabrication]]&lt;&gt;"",INDEX(_xlfn.TEXTSPLIT(mouvementmp[[#This Row],[QR Fabrication]],"_"),1,1),"")</f>
        <v>OF249844</v>
      </c>
      <c r="R536" s="106" t="str">
        <f>IF(mouvementmp[[#This Row],[QR Fabrication]]&lt;&gt;"",INDEX(_xlfn.TEXTSPLIT(mouvementmp[[#This Row],[QR Fabrication]],"_"),1,2),"")</f>
        <v>CL00884</v>
      </c>
      <c r="S536" s="47" t="str">
        <f>IF(mouvementmp[[#This Row],[QR Fabrication]]&lt;&gt;"",INDEX(_xlfn.TEXTSPLIT(mouvementmp[[#This Row],[QR Fabrication]],"_"),1,3),"")</f>
        <v>CM-FT0119</v>
      </c>
      <c r="T536" s="47" t="str">
        <f>IF(mouvementmp[[#This Row],[QR Fabrication]]&lt;&gt;"",INDEX(_xlfn.TEXTSPLIT(mouvementmp[[#This Row],[QR Fabrication]],"_"),1,4),"")</f>
        <v>FI1020-C07-17-06</v>
      </c>
      <c r="U536" s="47" t="str">
        <f>IF(mouvementmp[[#This Row],[QR Fabrication]]&lt;&gt;"",INDEX(_xlfn.TEXTSPLIT(mouvementmp[[#This Row],[QR Fabrication]],"_"),1,5),"")</f>
        <v>FIVE</v>
      </c>
      <c r="V536" s="47" t="str">
        <f>IF(mouvementmp[[#This Row],[QR Fabrication]]&lt;&gt;"",_xlfn.TEXTAFTER(mouvementmp[[#This Row],[QR Fabrication]],"_",5),"")</f>
        <v>1020</v>
      </c>
    </row>
    <row r="537" spans="1:22" ht="16.5" thickTop="1" thickBot="1" x14ac:dyDescent="0.3">
      <c r="A537" s="46" t="s">
        <v>2533</v>
      </c>
      <c r="B537" s="54" t="s">
        <v>3865</v>
      </c>
      <c r="C537" s="47" t="s">
        <v>672</v>
      </c>
      <c r="D537" s="47" t="s">
        <v>665</v>
      </c>
      <c r="E537" s="47" t="s">
        <v>669</v>
      </c>
      <c r="F537" s="48">
        <v>9.5</v>
      </c>
      <c r="G537" s="47"/>
      <c r="H537" s="47"/>
      <c r="I537" s="47" t="s">
        <v>664</v>
      </c>
      <c r="J537" s="49">
        <v>45941</v>
      </c>
      <c r="K537" s="47" t="str">
        <f>INDEX(_xlfn.TEXTSPLIT(mouvementmp[[#This Row],[QR MP]],"_"),1,1)</f>
        <v>C17</v>
      </c>
      <c r="L537" s="47" t="str">
        <f>INDEX(_xlfn.TEXTSPLIT(mouvementmp[[#This Row],[QR MP]],"_"),1,2)</f>
        <v>EMAURAUDE</v>
      </c>
      <c r="M537" s="47" t="str">
        <f>INDEX(_xlfn.TEXTSPLIT(mouvementmp[[#This Row],[QR MP]],"_"),1,3)</f>
        <v>NM15-17.00</v>
      </c>
      <c r="N537" s="47" t="str">
        <f>INDEX(_xlfn.TEXTSPLIT(mouvementmp[[#This Row],[QR MP]],"_"),1,4)</f>
        <v>61571</v>
      </c>
      <c r="O537" s="47">
        <f>-mouvementmp[[#This Row],[Poids]]</f>
        <v>-9.5</v>
      </c>
      <c r="P537" s="47" t="str">
        <f>IF(
   COUNTIFS($A$2:A537,A537,
             $B$2:B537,B537,
             $C$2:C537,C537,
             $D$2:D537,D537,
             $E$2:E537,E537,
             $F$2:F537,F537,
              $J$2:J537,J537)&gt;1,
   "Doublon",
   "Correcte"
)</f>
        <v>Correcte</v>
      </c>
      <c r="Q537" s="106" t="str">
        <f>IF(mouvementmp[[#This Row],[QR Fabrication]]&lt;&gt;"",INDEX(_xlfn.TEXTSPLIT(mouvementmp[[#This Row],[QR Fabrication]],"_"),1,1),"")</f>
        <v>CA250189</v>
      </c>
      <c r="R537" s="106" t="str">
        <f>IF(mouvementmp[[#This Row],[QR Fabrication]]&lt;&gt;"",INDEX(_xlfn.TEXTSPLIT(mouvementmp[[#This Row],[QR Fabrication]],"_"),1,2),"")</f>
        <v>All by Fouta</v>
      </c>
      <c r="S537" s="47" t="str">
        <f>IF(mouvementmp[[#This Row],[QR Fabrication]]&lt;&gt;"",INDEX(_xlfn.TEXTSPLIT(mouvementmp[[#This Row],[QR Fabrication]],"_"),1,3),"")</f>
        <v>Stock</v>
      </c>
      <c r="T537" s="47" t="str">
        <f>IF(mouvementmp[[#This Row],[QR Fabrication]]&lt;&gt;"",INDEX(_xlfn.TEXTSPLIT(mouvementmp[[#This Row],[QR Fabrication]],"_"),1,4),"")</f>
        <v>IB2020-B17-07</v>
      </c>
      <c r="U537" s="47" t="str">
        <f>IF(mouvementmp[[#This Row],[QR Fabrication]]&lt;&gt;"",INDEX(_xlfn.TEXTSPLIT(mouvementmp[[#This Row],[QR Fabrication]],"_"),1,5),"")</f>
        <v>IBIZA</v>
      </c>
      <c r="V537" s="47" t="str">
        <f>IF(mouvementmp[[#This Row],[QR Fabrication]]&lt;&gt;"",_xlfn.TEXTAFTER(mouvementmp[[#This Row],[QR Fabrication]],"_",5),"")</f>
        <v>2020</v>
      </c>
    </row>
    <row r="538" spans="1:22" ht="16.5" thickTop="1" thickBot="1" x14ac:dyDescent="0.3">
      <c r="A538" s="46" t="s">
        <v>2533</v>
      </c>
      <c r="B538" s="54" t="s">
        <v>3838</v>
      </c>
      <c r="C538" s="47" t="s">
        <v>672</v>
      </c>
      <c r="D538" s="47" t="s">
        <v>665</v>
      </c>
      <c r="E538" s="47" t="s">
        <v>669</v>
      </c>
      <c r="F538" s="48">
        <v>3.55</v>
      </c>
      <c r="G538" s="47"/>
      <c r="H538" s="47"/>
      <c r="I538" s="47" t="s">
        <v>664</v>
      </c>
      <c r="J538" s="49">
        <v>45941</v>
      </c>
      <c r="K538" s="47" t="str">
        <f>INDEX(_xlfn.TEXTSPLIT(mouvementmp[[#This Row],[QR MP]],"_"),1,1)</f>
        <v>C07</v>
      </c>
      <c r="L538" s="47" t="str">
        <f>INDEX(_xlfn.TEXTSPLIT(mouvementmp[[#This Row],[QR MP]],"_"),1,2)</f>
        <v>GRIS MOYEN</v>
      </c>
      <c r="M538" s="47" t="str">
        <f>INDEX(_xlfn.TEXTSPLIT(mouvementmp[[#This Row],[QR MP]],"_"),1,3)</f>
        <v>NM15-07.00</v>
      </c>
      <c r="N538" s="47" t="str">
        <f>INDEX(_xlfn.TEXTSPLIT(mouvementmp[[#This Row],[QR MP]],"_"),1,4)</f>
        <v>61445</v>
      </c>
      <c r="O538" s="47">
        <f>-mouvementmp[[#This Row],[Poids]]</f>
        <v>-3.55</v>
      </c>
      <c r="P538" s="47" t="str">
        <f>IF(
   COUNTIFS($A$2:A538,A538,
             $B$2:B538,B538,
             $C$2:C538,C538,
             $D$2:D538,D538,
             $E$2:E538,E538,
             $F$2:F538,F538,
              $J$2:J538,J538)&gt;1,
   "Doublon",
   "Correcte"
)</f>
        <v>Correcte</v>
      </c>
      <c r="Q538" s="106" t="str">
        <f>IF(mouvementmp[[#This Row],[QR Fabrication]]&lt;&gt;"",INDEX(_xlfn.TEXTSPLIT(mouvementmp[[#This Row],[QR Fabrication]],"_"),1,1),"")</f>
        <v>CA250189</v>
      </c>
      <c r="R538" s="106" t="str">
        <f>IF(mouvementmp[[#This Row],[QR Fabrication]]&lt;&gt;"",INDEX(_xlfn.TEXTSPLIT(mouvementmp[[#This Row],[QR Fabrication]],"_"),1,2),"")</f>
        <v>All by Fouta</v>
      </c>
      <c r="S538" s="47" t="str">
        <f>IF(mouvementmp[[#This Row],[QR Fabrication]]&lt;&gt;"",INDEX(_xlfn.TEXTSPLIT(mouvementmp[[#This Row],[QR Fabrication]],"_"),1,3),"")</f>
        <v>Stock</v>
      </c>
      <c r="T538" s="47" t="str">
        <f>IF(mouvementmp[[#This Row],[QR Fabrication]]&lt;&gt;"",INDEX(_xlfn.TEXTSPLIT(mouvementmp[[#This Row],[QR Fabrication]],"_"),1,4),"")</f>
        <v>IB2020-B17-07</v>
      </c>
      <c r="U538" s="47" t="str">
        <f>IF(mouvementmp[[#This Row],[QR Fabrication]]&lt;&gt;"",INDEX(_xlfn.TEXTSPLIT(mouvementmp[[#This Row],[QR Fabrication]],"_"),1,5),"")</f>
        <v>IBIZA</v>
      </c>
      <c r="V538" s="47" t="str">
        <f>IF(mouvementmp[[#This Row],[QR Fabrication]]&lt;&gt;"",_xlfn.TEXTAFTER(mouvementmp[[#This Row],[QR Fabrication]],"_",5),"")</f>
        <v>2020</v>
      </c>
    </row>
    <row r="539" spans="1:22" ht="16.5" thickTop="1" thickBot="1" x14ac:dyDescent="0.3">
      <c r="A539" s="46" t="s">
        <v>2534</v>
      </c>
      <c r="B539" s="54" t="s">
        <v>3819</v>
      </c>
      <c r="C539" s="47" t="s">
        <v>672</v>
      </c>
      <c r="D539" s="47" t="s">
        <v>665</v>
      </c>
      <c r="E539" s="47" t="s">
        <v>669</v>
      </c>
      <c r="F539" s="48">
        <v>13.85</v>
      </c>
      <c r="G539" s="47"/>
      <c r="H539" s="47"/>
      <c r="I539" s="47" t="s">
        <v>664</v>
      </c>
      <c r="J539" s="49">
        <v>45941</v>
      </c>
      <c r="K539" s="47" t="str">
        <f>INDEX(_xlfn.TEXTSPLIT(mouvementmp[[#This Row],[QR MP]],"_"),1,1)</f>
        <v>C04</v>
      </c>
      <c r="L539" s="47" t="str">
        <f>INDEX(_xlfn.TEXTSPLIT(mouvementmp[[#This Row],[QR MP]],"_"),1,2)</f>
        <v>TAUPE</v>
      </c>
      <c r="M539" s="47" t="str">
        <f>INDEX(_xlfn.TEXTSPLIT(mouvementmp[[#This Row],[QR MP]],"_"),1,3)</f>
        <v>NM15-04.00</v>
      </c>
      <c r="N539" s="47" t="str">
        <f>INDEX(_xlfn.TEXTSPLIT(mouvementmp[[#This Row],[QR MP]],"_"),1,4)</f>
        <v>S2023</v>
      </c>
      <c r="O539" s="47">
        <f>-mouvementmp[[#This Row],[Poids]]</f>
        <v>-13.85</v>
      </c>
      <c r="P539" s="47" t="str">
        <f>IF(
   COUNTIFS($A$2:A539,A539,
             $B$2:B539,B539,
             $C$2:C539,C539,
             $D$2:D539,D539,
             $E$2:E539,E539,
             $F$2:F539,F539,
              $J$2:J539,J539)&gt;1,
   "Doublon",
   "Correcte"
)</f>
        <v>Correcte</v>
      </c>
      <c r="Q539" s="106" t="str">
        <f>IF(mouvementmp[[#This Row],[QR Fabrication]]&lt;&gt;"",INDEX(_xlfn.TEXTSPLIT(mouvementmp[[#This Row],[QR Fabrication]],"_"),1,1),"")</f>
        <v>CA250542</v>
      </c>
      <c r="R539" s="106" t="str">
        <f>IF(mouvementmp[[#This Row],[QR Fabrication]]&lt;&gt;"",INDEX(_xlfn.TEXTSPLIT(mouvementmp[[#This Row],[QR Fabrication]],"_"),1,2),"")</f>
        <v>All by Fouta</v>
      </c>
      <c r="S539" s="47" t="str">
        <f>IF(mouvementmp[[#This Row],[QR Fabrication]]&lt;&gt;"",INDEX(_xlfn.TEXTSPLIT(mouvementmp[[#This Row],[QR Fabrication]],"_"),1,3),"")</f>
        <v>Stock</v>
      </c>
      <c r="T539" s="47" t="str">
        <f>IF(mouvementmp[[#This Row],[QR Fabrication]]&lt;&gt;"",INDEX(_xlfn.TEXTSPLIT(mouvementmp[[#This Row],[QR Fabrication]],"_"),1,4),"")</f>
        <v>NDFL1020-B04-02</v>
      </c>
      <c r="U539" s="47" t="str">
        <f>IF(mouvementmp[[#This Row],[QR Fabrication]]&lt;&gt;"",INDEX(_xlfn.TEXTSPLIT(mouvementmp[[#This Row],[QR Fabrication]],"_"),1,5),"")</f>
        <v>ND FLY</v>
      </c>
      <c r="V539" s="47" t="str">
        <f>IF(mouvementmp[[#This Row],[QR Fabrication]]&lt;&gt;"",_xlfn.TEXTAFTER(mouvementmp[[#This Row],[QR Fabrication]],"_",5),"")</f>
        <v>1020</v>
      </c>
    </row>
    <row r="540" spans="1:22" ht="16.5" thickTop="1" thickBot="1" x14ac:dyDescent="0.3">
      <c r="A540" s="46" t="s">
        <v>2534</v>
      </c>
      <c r="B540" s="54" t="s">
        <v>3807</v>
      </c>
      <c r="C540" s="47" t="s">
        <v>672</v>
      </c>
      <c r="D540" s="47" t="s">
        <v>665</v>
      </c>
      <c r="E540" s="47" t="s">
        <v>669</v>
      </c>
      <c r="F540" s="48">
        <v>4.5</v>
      </c>
      <c r="G540" s="47"/>
      <c r="H540" s="47"/>
      <c r="I540" s="47" t="s">
        <v>664</v>
      </c>
      <c r="J540" s="49">
        <v>45941</v>
      </c>
      <c r="K540" s="47" t="str">
        <f>INDEX(_xlfn.TEXTSPLIT(mouvementmp[[#This Row],[QR MP]],"_"),1,1)</f>
        <v>C02</v>
      </c>
      <c r="L540" s="47" t="str">
        <f>INDEX(_xlfn.TEXTSPLIT(mouvementmp[[#This Row],[QR MP]],"_"),1,2)</f>
        <v>ECRU</v>
      </c>
      <c r="M540" s="47" t="str">
        <f>INDEX(_xlfn.TEXTSPLIT(mouvementmp[[#This Row],[QR MP]],"_"),1,3)</f>
        <v>NM20-02.00</v>
      </c>
      <c r="N540" s="47" t="str">
        <f>INDEX(_xlfn.TEXTSPLIT(mouvementmp[[#This Row],[QR MP]],"_"),1,4)</f>
        <v>S2023</v>
      </c>
      <c r="O540" s="47">
        <f>-mouvementmp[[#This Row],[Poids]]</f>
        <v>-4.5</v>
      </c>
      <c r="P540" s="47" t="str">
        <f>IF(
   COUNTIFS($A$2:A540,A540,
             $B$2:B540,B540,
             $C$2:C540,C540,
             $D$2:D540,D540,
             $E$2:E540,E540,
             $F$2:F540,F540,
              $J$2:J540,J540)&gt;1,
   "Doublon",
   "Correcte"
)</f>
        <v>Correcte</v>
      </c>
      <c r="Q540" s="106" t="str">
        <f>IF(mouvementmp[[#This Row],[QR Fabrication]]&lt;&gt;"",INDEX(_xlfn.TEXTSPLIT(mouvementmp[[#This Row],[QR Fabrication]],"_"),1,1),"")</f>
        <v>CA250542</v>
      </c>
      <c r="R540" s="106" t="str">
        <f>IF(mouvementmp[[#This Row],[QR Fabrication]]&lt;&gt;"",INDEX(_xlfn.TEXTSPLIT(mouvementmp[[#This Row],[QR Fabrication]],"_"),1,2),"")</f>
        <v>All by Fouta</v>
      </c>
      <c r="S540" s="47" t="str">
        <f>IF(mouvementmp[[#This Row],[QR Fabrication]]&lt;&gt;"",INDEX(_xlfn.TEXTSPLIT(mouvementmp[[#This Row],[QR Fabrication]],"_"),1,3),"")</f>
        <v>Stock</v>
      </c>
      <c r="T540" s="47" t="str">
        <f>IF(mouvementmp[[#This Row],[QR Fabrication]]&lt;&gt;"",INDEX(_xlfn.TEXTSPLIT(mouvementmp[[#This Row],[QR Fabrication]],"_"),1,4),"")</f>
        <v>NDFL1020-B04-02</v>
      </c>
      <c r="U540" s="47" t="str">
        <f>IF(mouvementmp[[#This Row],[QR Fabrication]]&lt;&gt;"",INDEX(_xlfn.TEXTSPLIT(mouvementmp[[#This Row],[QR Fabrication]],"_"),1,5),"")</f>
        <v>ND FLY</v>
      </c>
      <c r="V540" s="47" t="str">
        <f>IF(mouvementmp[[#This Row],[QR Fabrication]]&lt;&gt;"",_xlfn.TEXTAFTER(mouvementmp[[#This Row],[QR Fabrication]],"_",5),"")</f>
        <v>1020</v>
      </c>
    </row>
    <row r="541" spans="1:22" ht="16.5" thickTop="1" thickBot="1" x14ac:dyDescent="0.3">
      <c r="A541" s="46" t="s">
        <v>2535</v>
      </c>
      <c r="B541" s="54" t="s">
        <v>3921</v>
      </c>
      <c r="C541" s="47" t="s">
        <v>672</v>
      </c>
      <c r="D541" s="47" t="s">
        <v>665</v>
      </c>
      <c r="E541" s="47" t="s">
        <v>669</v>
      </c>
      <c r="F541" s="48">
        <v>13.75</v>
      </c>
      <c r="G541" s="47"/>
      <c r="H541" s="47"/>
      <c r="I541" s="47" t="s">
        <v>664</v>
      </c>
      <c r="J541" s="49">
        <v>45941</v>
      </c>
      <c r="K541" s="47" t="str">
        <f>INDEX(_xlfn.TEXTSPLIT(mouvementmp[[#This Row],[QR MP]],"_"),1,1)</f>
        <v>C06</v>
      </c>
      <c r="L541" s="47" t="str">
        <f>INDEX(_xlfn.TEXTSPLIT(mouvementmp[[#This Row],[QR MP]],"_"),1,2)</f>
        <v>GRIS CLAIR</v>
      </c>
      <c r="M541" s="47" t="str">
        <f>INDEX(_xlfn.TEXTSPLIT(mouvementmp[[#This Row],[QR MP]],"_"),1,3)</f>
        <v>NM15-06.00</v>
      </c>
      <c r="N541" s="47" t="str">
        <f>INDEX(_xlfn.TEXTSPLIT(mouvementmp[[#This Row],[QR MP]],"_"),1,4)</f>
        <v>61828</v>
      </c>
      <c r="O541" s="47">
        <f>-mouvementmp[[#This Row],[Poids]]</f>
        <v>-13.75</v>
      </c>
      <c r="P541" s="47" t="str">
        <f>IF(
   COUNTIFS($A$2:A541,A541,
             $B$2:B541,B541,
             $C$2:C541,C541,
             $D$2:D541,D541,
             $E$2:E541,E541,
             $F$2:F541,F541,
              $J$2:J541,J541)&gt;1,
   "Doublon",
   "Correcte"
)</f>
        <v>Correcte</v>
      </c>
      <c r="Q541" s="106" t="str">
        <f>IF(mouvementmp[[#This Row],[QR Fabrication]]&lt;&gt;"",INDEX(_xlfn.TEXTSPLIT(mouvementmp[[#This Row],[QR Fabrication]],"_"),1,1),"")</f>
        <v>CA250543</v>
      </c>
      <c r="R541" s="106" t="str">
        <f>IF(mouvementmp[[#This Row],[QR Fabrication]]&lt;&gt;"",INDEX(_xlfn.TEXTSPLIT(mouvementmp[[#This Row],[QR Fabrication]],"_"),1,2),"")</f>
        <v>All by Fouta</v>
      </c>
      <c r="S541" s="47" t="str">
        <f>IF(mouvementmp[[#This Row],[QR Fabrication]]&lt;&gt;"",INDEX(_xlfn.TEXTSPLIT(mouvementmp[[#This Row],[QR Fabrication]],"_"),1,3),"")</f>
        <v>Stock</v>
      </c>
      <c r="T541" s="47" t="str">
        <f>IF(mouvementmp[[#This Row],[QR Fabrication]]&lt;&gt;"",INDEX(_xlfn.TEXTSPLIT(mouvementmp[[#This Row],[QR Fabrication]],"_"),1,4),"")</f>
        <v>NDFL1020-B06-02</v>
      </c>
      <c r="U541" s="47" t="str">
        <f>IF(mouvementmp[[#This Row],[QR Fabrication]]&lt;&gt;"",INDEX(_xlfn.TEXTSPLIT(mouvementmp[[#This Row],[QR Fabrication]],"_"),1,5),"")</f>
        <v>ND FLY</v>
      </c>
      <c r="V541" s="47" t="str">
        <f>IF(mouvementmp[[#This Row],[QR Fabrication]]&lt;&gt;"",_xlfn.TEXTAFTER(mouvementmp[[#This Row],[QR Fabrication]],"_",5),"")</f>
        <v>1020</v>
      </c>
    </row>
    <row r="542" spans="1:22" ht="16.5" thickTop="1" thickBot="1" x14ac:dyDescent="0.3">
      <c r="A542" s="46" t="s">
        <v>2535</v>
      </c>
      <c r="B542" s="54" t="s">
        <v>3807</v>
      </c>
      <c r="C542" s="47" t="s">
        <v>672</v>
      </c>
      <c r="D542" s="47" t="s">
        <v>665</v>
      </c>
      <c r="E542" s="47" t="s">
        <v>669</v>
      </c>
      <c r="F542" s="48">
        <v>4.5</v>
      </c>
      <c r="G542" s="47"/>
      <c r="H542" s="47"/>
      <c r="I542" s="47" t="s">
        <v>664</v>
      </c>
      <c r="J542" s="49">
        <v>45941</v>
      </c>
      <c r="K542" s="47" t="str">
        <f>INDEX(_xlfn.TEXTSPLIT(mouvementmp[[#This Row],[QR MP]],"_"),1,1)</f>
        <v>C02</v>
      </c>
      <c r="L542" s="47" t="str">
        <f>INDEX(_xlfn.TEXTSPLIT(mouvementmp[[#This Row],[QR MP]],"_"),1,2)</f>
        <v>ECRU</v>
      </c>
      <c r="M542" s="47" t="str">
        <f>INDEX(_xlfn.TEXTSPLIT(mouvementmp[[#This Row],[QR MP]],"_"),1,3)</f>
        <v>NM20-02.00</v>
      </c>
      <c r="N542" s="47" t="str">
        <f>INDEX(_xlfn.TEXTSPLIT(mouvementmp[[#This Row],[QR MP]],"_"),1,4)</f>
        <v>S2023</v>
      </c>
      <c r="O542" s="47">
        <f>-mouvementmp[[#This Row],[Poids]]</f>
        <v>-4.5</v>
      </c>
      <c r="P542" s="47" t="str">
        <f>IF(
   COUNTIFS($A$2:A542,A542,
             $B$2:B542,B542,
             $C$2:C542,C542,
             $D$2:D542,D542,
             $E$2:E542,E542,
             $F$2:F542,F542,
              $J$2:J542,J542)&gt;1,
   "Doublon",
   "Correcte"
)</f>
        <v>Correcte</v>
      </c>
      <c r="Q542" s="106" t="str">
        <f>IF(mouvementmp[[#This Row],[QR Fabrication]]&lt;&gt;"",INDEX(_xlfn.TEXTSPLIT(mouvementmp[[#This Row],[QR Fabrication]],"_"),1,1),"")</f>
        <v>CA250543</v>
      </c>
      <c r="R542" s="106" t="str">
        <f>IF(mouvementmp[[#This Row],[QR Fabrication]]&lt;&gt;"",INDEX(_xlfn.TEXTSPLIT(mouvementmp[[#This Row],[QR Fabrication]],"_"),1,2),"")</f>
        <v>All by Fouta</v>
      </c>
      <c r="S542" s="47" t="str">
        <f>IF(mouvementmp[[#This Row],[QR Fabrication]]&lt;&gt;"",INDEX(_xlfn.TEXTSPLIT(mouvementmp[[#This Row],[QR Fabrication]],"_"),1,3),"")</f>
        <v>Stock</v>
      </c>
      <c r="T542" s="47" t="str">
        <f>IF(mouvementmp[[#This Row],[QR Fabrication]]&lt;&gt;"",INDEX(_xlfn.TEXTSPLIT(mouvementmp[[#This Row],[QR Fabrication]],"_"),1,4),"")</f>
        <v>NDFL1020-B06-02</v>
      </c>
      <c r="U542" s="47" t="str">
        <f>IF(mouvementmp[[#This Row],[QR Fabrication]]&lt;&gt;"",INDEX(_xlfn.TEXTSPLIT(mouvementmp[[#This Row],[QR Fabrication]],"_"),1,5),"")</f>
        <v>ND FLY</v>
      </c>
      <c r="V542" s="47" t="str">
        <f>IF(mouvementmp[[#This Row],[QR Fabrication]]&lt;&gt;"",_xlfn.TEXTAFTER(mouvementmp[[#This Row],[QR Fabrication]],"_",5),"")</f>
        <v>1020</v>
      </c>
    </row>
    <row r="543" spans="1:22" ht="16.5" thickTop="1" thickBot="1" x14ac:dyDescent="0.3">
      <c r="A543" s="46" t="s">
        <v>2536</v>
      </c>
      <c r="B543" s="54" t="s">
        <v>3905</v>
      </c>
      <c r="C543" s="47" t="s">
        <v>672</v>
      </c>
      <c r="D543" s="47" t="s">
        <v>665</v>
      </c>
      <c r="E543" s="47" t="s">
        <v>669</v>
      </c>
      <c r="F543" s="48">
        <v>14.5</v>
      </c>
      <c r="G543" s="47"/>
      <c r="H543" s="47"/>
      <c r="I543" s="47" t="s">
        <v>664</v>
      </c>
      <c r="J543" s="49">
        <v>45941</v>
      </c>
      <c r="K543" s="47" t="str">
        <f>INDEX(_xlfn.TEXTSPLIT(mouvementmp[[#This Row],[QR MP]],"_"),1,1)</f>
        <v>C32</v>
      </c>
      <c r="L543" s="47" t="str">
        <f>INDEX(_xlfn.TEXTSPLIT(mouvementmp[[#This Row],[QR MP]],"_"),1,2)</f>
        <v>VIEUX ROSE</v>
      </c>
      <c r="M543" s="47" t="str">
        <f>INDEX(_xlfn.TEXTSPLIT(mouvementmp[[#This Row],[QR MP]],"_"),1,3)</f>
        <v>NM15-32.00</v>
      </c>
      <c r="N543" s="47" t="str">
        <f>INDEX(_xlfn.TEXTSPLIT(mouvementmp[[#This Row],[QR MP]],"_"),1,4)</f>
        <v>61455</v>
      </c>
      <c r="O543" s="47">
        <f>-mouvementmp[[#This Row],[Poids]]</f>
        <v>-14.5</v>
      </c>
      <c r="P543" s="47" t="str">
        <f>IF(
   COUNTIFS($A$2:A543,A543,
             $B$2:B543,B543,
             $C$2:C543,C543,
             $D$2:D543,D543,
             $E$2:E543,E543,
             $F$2:F543,F543,
              $J$2:J543,J543)&gt;1,
   "Doublon",
   "Correcte"
)</f>
        <v>Correcte</v>
      </c>
      <c r="Q543" s="106" t="str">
        <f>IF(mouvementmp[[#This Row],[QR Fabrication]]&lt;&gt;"",INDEX(_xlfn.TEXTSPLIT(mouvementmp[[#This Row],[QR Fabrication]],"_"),1,1),"")</f>
        <v>CA250250</v>
      </c>
      <c r="R543" s="106" t="str">
        <f>IF(mouvementmp[[#This Row],[QR Fabrication]]&lt;&gt;"",INDEX(_xlfn.TEXTSPLIT(mouvementmp[[#This Row],[QR Fabrication]],"_"),1,2),"")</f>
        <v>All by Fouta</v>
      </c>
      <c r="S543" s="47" t="str">
        <f>IF(mouvementmp[[#This Row],[QR Fabrication]]&lt;&gt;"",INDEX(_xlfn.TEXTSPLIT(mouvementmp[[#This Row],[QR Fabrication]],"_"),1,3),"")</f>
        <v>Stock</v>
      </c>
      <c r="T543" s="47" t="str">
        <f>IF(mouvementmp[[#This Row],[QR Fabrication]]&lt;&gt;"",INDEX(_xlfn.TEXTSPLIT(mouvementmp[[#This Row],[QR Fabrication]],"_"),1,4),"")</f>
        <v>AR2020-T32-06-12</v>
      </c>
      <c r="U543" s="47" t="str">
        <f>IF(mouvementmp[[#This Row],[QR Fabrication]]&lt;&gt;"",INDEX(_xlfn.TEXTSPLIT(mouvementmp[[#This Row],[QR Fabrication]],"_"),1,5),"")</f>
        <v>ARTHUR</v>
      </c>
      <c r="V543" s="47" t="str">
        <f>IF(mouvementmp[[#This Row],[QR Fabrication]]&lt;&gt;"",_xlfn.TEXTAFTER(mouvementmp[[#This Row],[QR Fabrication]],"_",5),"")</f>
        <v>2020</v>
      </c>
    </row>
    <row r="544" spans="1:22" ht="16.5" thickTop="1" thickBot="1" x14ac:dyDescent="0.3">
      <c r="A544" s="46" t="s">
        <v>2536</v>
      </c>
      <c r="B544" s="54" t="s">
        <v>3921</v>
      </c>
      <c r="C544" s="47" t="s">
        <v>672</v>
      </c>
      <c r="D544" s="47" t="s">
        <v>665</v>
      </c>
      <c r="E544" s="47" t="s">
        <v>669</v>
      </c>
      <c r="F544" s="48">
        <v>6.8</v>
      </c>
      <c r="G544" s="47"/>
      <c r="H544" s="47"/>
      <c r="I544" s="47" t="s">
        <v>664</v>
      </c>
      <c r="J544" s="49">
        <v>45941</v>
      </c>
      <c r="K544" s="47" t="str">
        <f>INDEX(_xlfn.TEXTSPLIT(mouvementmp[[#This Row],[QR MP]],"_"),1,1)</f>
        <v>C06</v>
      </c>
      <c r="L544" s="47" t="str">
        <f>INDEX(_xlfn.TEXTSPLIT(mouvementmp[[#This Row],[QR MP]],"_"),1,2)</f>
        <v>GRIS CLAIR</v>
      </c>
      <c r="M544" s="47" t="str">
        <f>INDEX(_xlfn.TEXTSPLIT(mouvementmp[[#This Row],[QR MP]],"_"),1,3)</f>
        <v>NM15-06.00</v>
      </c>
      <c r="N544" s="47" t="str">
        <f>INDEX(_xlfn.TEXTSPLIT(mouvementmp[[#This Row],[QR MP]],"_"),1,4)</f>
        <v>61828</v>
      </c>
      <c r="O544" s="47">
        <f>-mouvementmp[[#This Row],[Poids]]</f>
        <v>-6.8</v>
      </c>
      <c r="P544" s="47" t="str">
        <f>IF(
   COUNTIFS($A$2:A544,A544,
             $B$2:B544,B544,
             $C$2:C544,C544,
             $D$2:D544,D544,
             $E$2:E544,E544,
             $F$2:F544,F544,
              $J$2:J544,J544)&gt;1,
   "Doublon",
   "Correcte"
)</f>
        <v>Correcte</v>
      </c>
      <c r="Q544" s="106" t="str">
        <f>IF(mouvementmp[[#This Row],[QR Fabrication]]&lt;&gt;"",INDEX(_xlfn.TEXTSPLIT(mouvementmp[[#This Row],[QR Fabrication]],"_"),1,1),"")</f>
        <v>CA250250</v>
      </c>
      <c r="R544" s="106" t="str">
        <f>IF(mouvementmp[[#This Row],[QR Fabrication]]&lt;&gt;"",INDEX(_xlfn.TEXTSPLIT(mouvementmp[[#This Row],[QR Fabrication]],"_"),1,2),"")</f>
        <v>All by Fouta</v>
      </c>
      <c r="S544" s="47" t="str">
        <f>IF(mouvementmp[[#This Row],[QR Fabrication]]&lt;&gt;"",INDEX(_xlfn.TEXTSPLIT(mouvementmp[[#This Row],[QR Fabrication]],"_"),1,3),"")</f>
        <v>Stock</v>
      </c>
      <c r="T544" s="47" t="str">
        <f>IF(mouvementmp[[#This Row],[QR Fabrication]]&lt;&gt;"",INDEX(_xlfn.TEXTSPLIT(mouvementmp[[#This Row],[QR Fabrication]],"_"),1,4),"")</f>
        <v>AR2020-T32-06-12</v>
      </c>
      <c r="U544" s="47" t="str">
        <f>IF(mouvementmp[[#This Row],[QR Fabrication]]&lt;&gt;"",INDEX(_xlfn.TEXTSPLIT(mouvementmp[[#This Row],[QR Fabrication]],"_"),1,5),"")</f>
        <v>ARTHUR</v>
      </c>
      <c r="V544" s="47" t="str">
        <f>IF(mouvementmp[[#This Row],[QR Fabrication]]&lt;&gt;"",_xlfn.TEXTAFTER(mouvementmp[[#This Row],[QR Fabrication]],"_",5),"")</f>
        <v>2020</v>
      </c>
    </row>
    <row r="545" spans="1:22" ht="16.5" thickTop="1" thickBot="1" x14ac:dyDescent="0.3">
      <c r="A545" s="46" t="s">
        <v>2536</v>
      </c>
      <c r="B545" s="54" t="s">
        <v>3851</v>
      </c>
      <c r="C545" s="47" t="s">
        <v>672</v>
      </c>
      <c r="D545" s="47" t="s">
        <v>665</v>
      </c>
      <c r="E545" s="47" t="s">
        <v>669</v>
      </c>
      <c r="F545" s="48">
        <v>4.75</v>
      </c>
      <c r="G545" s="47"/>
      <c r="H545" s="47"/>
      <c r="I545" s="47" t="s">
        <v>664</v>
      </c>
      <c r="J545" s="49">
        <v>45941</v>
      </c>
      <c r="K545" s="47" t="str">
        <f>INDEX(_xlfn.TEXTSPLIT(mouvementmp[[#This Row],[QR MP]],"_"),1,1)</f>
        <v>C12</v>
      </c>
      <c r="L545" s="47" t="str">
        <f>INDEX(_xlfn.TEXTSPLIT(mouvementmp[[#This Row],[QR MP]],"_"),1,2)</f>
        <v>BLEU DJEAN</v>
      </c>
      <c r="M545" s="47" t="str">
        <f>INDEX(_xlfn.TEXTSPLIT(mouvementmp[[#This Row],[QR MP]],"_"),1,3)</f>
        <v>NM15-12.00</v>
      </c>
      <c r="N545" s="47" t="str">
        <f>INDEX(_xlfn.TEXTSPLIT(mouvementmp[[#This Row],[QR MP]],"_"),1,4)</f>
        <v>S2023</v>
      </c>
      <c r="O545" s="47">
        <f>-mouvementmp[[#This Row],[Poids]]</f>
        <v>-4.75</v>
      </c>
      <c r="P545" s="47" t="str">
        <f>IF(
   COUNTIFS($A$2:A545,A545,
             $B$2:B545,B545,
             $C$2:C545,C545,
             $D$2:D545,D545,
             $E$2:E545,E545,
             $F$2:F545,F545,
              $J$2:J545,J545)&gt;1,
   "Doublon",
   "Correcte"
)</f>
        <v>Correcte</v>
      </c>
      <c r="Q545" s="106" t="str">
        <f>IF(mouvementmp[[#This Row],[QR Fabrication]]&lt;&gt;"",INDEX(_xlfn.TEXTSPLIT(mouvementmp[[#This Row],[QR Fabrication]],"_"),1,1),"")</f>
        <v>CA250250</v>
      </c>
      <c r="R545" s="106" t="str">
        <f>IF(mouvementmp[[#This Row],[QR Fabrication]]&lt;&gt;"",INDEX(_xlfn.TEXTSPLIT(mouvementmp[[#This Row],[QR Fabrication]],"_"),1,2),"")</f>
        <v>All by Fouta</v>
      </c>
      <c r="S545" s="47" t="str">
        <f>IF(mouvementmp[[#This Row],[QR Fabrication]]&lt;&gt;"",INDEX(_xlfn.TEXTSPLIT(mouvementmp[[#This Row],[QR Fabrication]],"_"),1,3),"")</f>
        <v>Stock</v>
      </c>
      <c r="T545" s="47" t="str">
        <f>IF(mouvementmp[[#This Row],[QR Fabrication]]&lt;&gt;"",INDEX(_xlfn.TEXTSPLIT(mouvementmp[[#This Row],[QR Fabrication]],"_"),1,4),"")</f>
        <v>AR2020-T32-06-12</v>
      </c>
      <c r="U545" s="47" t="str">
        <f>IF(mouvementmp[[#This Row],[QR Fabrication]]&lt;&gt;"",INDEX(_xlfn.TEXTSPLIT(mouvementmp[[#This Row],[QR Fabrication]],"_"),1,5),"")</f>
        <v>ARTHUR</v>
      </c>
      <c r="V545" s="47" t="str">
        <f>IF(mouvementmp[[#This Row],[QR Fabrication]]&lt;&gt;"",_xlfn.TEXTAFTER(mouvementmp[[#This Row],[QR Fabrication]],"_",5),"")</f>
        <v>2020</v>
      </c>
    </row>
    <row r="546" spans="1:22" ht="16.5" thickTop="1" thickBot="1" x14ac:dyDescent="0.3">
      <c r="A546" s="46" t="s">
        <v>2537</v>
      </c>
      <c r="B546" s="54" t="s">
        <v>3905</v>
      </c>
      <c r="C546" s="47" t="s">
        <v>672</v>
      </c>
      <c r="D546" s="47" t="s">
        <v>665</v>
      </c>
      <c r="E546" s="47" t="s">
        <v>669</v>
      </c>
      <c r="F546" s="48">
        <v>14.5</v>
      </c>
      <c r="G546" s="47"/>
      <c r="H546" s="47"/>
      <c r="I546" s="47" t="s">
        <v>664</v>
      </c>
      <c r="J546" s="49">
        <v>45941</v>
      </c>
      <c r="K546" s="47" t="str">
        <f>INDEX(_xlfn.TEXTSPLIT(mouvementmp[[#This Row],[QR MP]],"_"),1,1)</f>
        <v>C32</v>
      </c>
      <c r="L546" s="47" t="str">
        <f>INDEX(_xlfn.TEXTSPLIT(mouvementmp[[#This Row],[QR MP]],"_"),1,2)</f>
        <v>VIEUX ROSE</v>
      </c>
      <c r="M546" s="47" t="str">
        <f>INDEX(_xlfn.TEXTSPLIT(mouvementmp[[#This Row],[QR MP]],"_"),1,3)</f>
        <v>NM15-32.00</v>
      </c>
      <c r="N546" s="47" t="str">
        <f>INDEX(_xlfn.TEXTSPLIT(mouvementmp[[#This Row],[QR MP]],"_"),1,4)</f>
        <v>61455</v>
      </c>
      <c r="O546" s="47">
        <f>-mouvementmp[[#This Row],[Poids]]</f>
        <v>-14.5</v>
      </c>
      <c r="P546" s="47" t="str">
        <f>IF(
   COUNTIFS($A$2:A546,A546,
             $B$2:B546,B546,
             $C$2:C546,C546,
             $D$2:D546,D546,
             $E$2:E546,E546,
             $F$2:F546,F546,
              $J$2:J546,J546)&gt;1,
   "Doublon",
   "Correcte"
)</f>
        <v>Correcte</v>
      </c>
      <c r="Q546" s="106" t="str">
        <f>IF(mouvementmp[[#This Row],[QR Fabrication]]&lt;&gt;"",INDEX(_xlfn.TEXTSPLIT(mouvementmp[[#This Row],[QR Fabrication]],"_"),1,1),"")</f>
        <v>CA250220</v>
      </c>
      <c r="R546" s="106" t="str">
        <f>IF(mouvementmp[[#This Row],[QR Fabrication]]&lt;&gt;"",INDEX(_xlfn.TEXTSPLIT(mouvementmp[[#This Row],[QR Fabrication]],"_"),1,2),"")</f>
        <v>All by Fouta</v>
      </c>
      <c r="S546" s="47" t="str">
        <f>IF(mouvementmp[[#This Row],[QR Fabrication]]&lt;&gt;"",INDEX(_xlfn.TEXTSPLIT(mouvementmp[[#This Row],[QR Fabrication]],"_"),1,3),"")</f>
        <v>Stock</v>
      </c>
      <c r="T546" s="47" t="str">
        <f>IF(mouvementmp[[#This Row],[QR Fabrication]]&lt;&gt;"",INDEX(_xlfn.TEXTSPLIT(mouvementmp[[#This Row],[QR Fabrication]],"_"),1,4),"")</f>
        <v>AR1020-T32-06-12</v>
      </c>
      <c r="U546" s="47" t="str">
        <f>IF(mouvementmp[[#This Row],[QR Fabrication]]&lt;&gt;"",INDEX(_xlfn.TEXTSPLIT(mouvementmp[[#This Row],[QR Fabrication]],"_"),1,5),"")</f>
        <v>ARTHUR</v>
      </c>
      <c r="V546" s="47" t="str">
        <f>IF(mouvementmp[[#This Row],[QR Fabrication]]&lt;&gt;"",_xlfn.TEXTAFTER(mouvementmp[[#This Row],[QR Fabrication]],"_",5),"")</f>
        <v>1020</v>
      </c>
    </row>
    <row r="547" spans="1:22" ht="16.5" thickTop="1" thickBot="1" x14ac:dyDescent="0.3">
      <c r="A547" s="46" t="s">
        <v>2537</v>
      </c>
      <c r="B547" s="54" t="s">
        <v>3921</v>
      </c>
      <c r="C547" s="47" t="s">
        <v>672</v>
      </c>
      <c r="D547" s="47" t="s">
        <v>665</v>
      </c>
      <c r="E547" s="47" t="s">
        <v>669</v>
      </c>
      <c r="F547" s="48">
        <v>5.35</v>
      </c>
      <c r="G547" s="47"/>
      <c r="H547" s="47"/>
      <c r="I547" s="47" t="s">
        <v>664</v>
      </c>
      <c r="J547" s="49">
        <v>45941</v>
      </c>
      <c r="K547" s="47" t="str">
        <f>INDEX(_xlfn.TEXTSPLIT(mouvementmp[[#This Row],[QR MP]],"_"),1,1)</f>
        <v>C06</v>
      </c>
      <c r="L547" s="47" t="str">
        <f>INDEX(_xlfn.TEXTSPLIT(mouvementmp[[#This Row],[QR MP]],"_"),1,2)</f>
        <v>GRIS CLAIR</v>
      </c>
      <c r="M547" s="47" t="str">
        <f>INDEX(_xlfn.TEXTSPLIT(mouvementmp[[#This Row],[QR MP]],"_"),1,3)</f>
        <v>NM15-06.00</v>
      </c>
      <c r="N547" s="47" t="str">
        <f>INDEX(_xlfn.TEXTSPLIT(mouvementmp[[#This Row],[QR MP]],"_"),1,4)</f>
        <v>61828</v>
      </c>
      <c r="O547" s="47">
        <f>-mouvementmp[[#This Row],[Poids]]</f>
        <v>-5.35</v>
      </c>
      <c r="P547" s="47" t="str">
        <f>IF(
   COUNTIFS($A$2:A547,A547,
             $B$2:B547,B547,
             $C$2:C547,C547,
             $D$2:D547,D547,
             $E$2:E547,E547,
             $F$2:F547,F547,
              $J$2:J547,J547)&gt;1,
   "Doublon",
   "Correcte"
)</f>
        <v>Correcte</v>
      </c>
      <c r="Q547" s="106" t="str">
        <f>IF(mouvementmp[[#This Row],[QR Fabrication]]&lt;&gt;"",INDEX(_xlfn.TEXTSPLIT(mouvementmp[[#This Row],[QR Fabrication]],"_"),1,1),"")</f>
        <v>CA250220</v>
      </c>
      <c r="R547" s="106" t="str">
        <f>IF(mouvementmp[[#This Row],[QR Fabrication]]&lt;&gt;"",INDEX(_xlfn.TEXTSPLIT(mouvementmp[[#This Row],[QR Fabrication]],"_"),1,2),"")</f>
        <v>All by Fouta</v>
      </c>
      <c r="S547" s="47" t="str">
        <f>IF(mouvementmp[[#This Row],[QR Fabrication]]&lt;&gt;"",INDEX(_xlfn.TEXTSPLIT(mouvementmp[[#This Row],[QR Fabrication]],"_"),1,3),"")</f>
        <v>Stock</v>
      </c>
      <c r="T547" s="47" t="str">
        <f>IF(mouvementmp[[#This Row],[QR Fabrication]]&lt;&gt;"",INDEX(_xlfn.TEXTSPLIT(mouvementmp[[#This Row],[QR Fabrication]],"_"),1,4),"")</f>
        <v>AR1020-T32-06-12</v>
      </c>
      <c r="U547" s="47" t="str">
        <f>IF(mouvementmp[[#This Row],[QR Fabrication]]&lt;&gt;"",INDEX(_xlfn.TEXTSPLIT(mouvementmp[[#This Row],[QR Fabrication]],"_"),1,5),"")</f>
        <v>ARTHUR</v>
      </c>
      <c r="V547" s="47" t="str">
        <f>IF(mouvementmp[[#This Row],[QR Fabrication]]&lt;&gt;"",_xlfn.TEXTAFTER(mouvementmp[[#This Row],[QR Fabrication]],"_",5),"")</f>
        <v>1020</v>
      </c>
    </row>
    <row r="548" spans="1:22" ht="16.5" thickTop="1" thickBot="1" x14ac:dyDescent="0.3">
      <c r="A548" s="46" t="s">
        <v>2537</v>
      </c>
      <c r="B548" s="54" t="s">
        <v>3851</v>
      </c>
      <c r="C548" s="47" t="s">
        <v>672</v>
      </c>
      <c r="D548" s="47" t="s">
        <v>665</v>
      </c>
      <c r="E548" s="47" t="s">
        <v>669</v>
      </c>
      <c r="F548" s="48">
        <v>3.55</v>
      </c>
      <c r="G548" s="47"/>
      <c r="H548" s="47"/>
      <c r="I548" s="47" t="s">
        <v>664</v>
      </c>
      <c r="J548" s="49">
        <v>45941</v>
      </c>
      <c r="K548" s="47" t="str">
        <f>INDEX(_xlfn.TEXTSPLIT(mouvementmp[[#This Row],[QR MP]],"_"),1,1)</f>
        <v>C12</v>
      </c>
      <c r="L548" s="47" t="str">
        <f>INDEX(_xlfn.TEXTSPLIT(mouvementmp[[#This Row],[QR MP]],"_"),1,2)</f>
        <v>BLEU DJEAN</v>
      </c>
      <c r="M548" s="47" t="str">
        <f>INDEX(_xlfn.TEXTSPLIT(mouvementmp[[#This Row],[QR MP]],"_"),1,3)</f>
        <v>NM15-12.00</v>
      </c>
      <c r="N548" s="47" t="str">
        <f>INDEX(_xlfn.TEXTSPLIT(mouvementmp[[#This Row],[QR MP]],"_"),1,4)</f>
        <v>S2023</v>
      </c>
      <c r="O548" s="47">
        <f>-mouvementmp[[#This Row],[Poids]]</f>
        <v>-3.55</v>
      </c>
      <c r="P548" s="47" t="str">
        <f>IF(
   COUNTIFS($A$2:A548,A548,
             $B$2:B548,B548,
             $C$2:C548,C548,
             $D$2:D548,D548,
             $E$2:E548,E548,
             $F$2:F548,F548,
              $J$2:J548,J548)&gt;1,
   "Doublon",
   "Correcte"
)</f>
        <v>Correcte</v>
      </c>
      <c r="Q548" s="106" t="str">
        <f>IF(mouvementmp[[#This Row],[QR Fabrication]]&lt;&gt;"",INDEX(_xlfn.TEXTSPLIT(mouvementmp[[#This Row],[QR Fabrication]],"_"),1,1),"")</f>
        <v>CA250220</v>
      </c>
      <c r="R548" s="106" t="str">
        <f>IF(mouvementmp[[#This Row],[QR Fabrication]]&lt;&gt;"",INDEX(_xlfn.TEXTSPLIT(mouvementmp[[#This Row],[QR Fabrication]],"_"),1,2),"")</f>
        <v>All by Fouta</v>
      </c>
      <c r="S548" s="47" t="str">
        <f>IF(mouvementmp[[#This Row],[QR Fabrication]]&lt;&gt;"",INDEX(_xlfn.TEXTSPLIT(mouvementmp[[#This Row],[QR Fabrication]],"_"),1,3),"")</f>
        <v>Stock</v>
      </c>
      <c r="T548" s="47" t="str">
        <f>IF(mouvementmp[[#This Row],[QR Fabrication]]&lt;&gt;"",INDEX(_xlfn.TEXTSPLIT(mouvementmp[[#This Row],[QR Fabrication]],"_"),1,4),"")</f>
        <v>AR1020-T32-06-12</v>
      </c>
      <c r="U548" s="47" t="str">
        <f>IF(mouvementmp[[#This Row],[QR Fabrication]]&lt;&gt;"",INDEX(_xlfn.TEXTSPLIT(mouvementmp[[#This Row],[QR Fabrication]],"_"),1,5),"")</f>
        <v>ARTHUR</v>
      </c>
      <c r="V548" s="47" t="str">
        <f>IF(mouvementmp[[#This Row],[QR Fabrication]]&lt;&gt;"",_xlfn.TEXTAFTER(mouvementmp[[#This Row],[QR Fabrication]],"_",5),"")</f>
        <v>1020</v>
      </c>
    </row>
    <row r="549" spans="1:22" ht="16.5" thickTop="1" thickBot="1" x14ac:dyDescent="0.3">
      <c r="A549" s="46"/>
      <c r="B549" s="54" t="s">
        <v>3910</v>
      </c>
      <c r="C549" s="47" t="s">
        <v>676</v>
      </c>
      <c r="D549" s="47" t="s">
        <v>665</v>
      </c>
      <c r="E549" s="47" t="s">
        <v>677</v>
      </c>
      <c r="F549" s="48">
        <v>36.5</v>
      </c>
      <c r="G549" s="47"/>
      <c r="H549" s="47"/>
      <c r="I549" s="47" t="s">
        <v>664</v>
      </c>
      <c r="J549" s="49">
        <v>45941</v>
      </c>
      <c r="K549" s="47" t="str">
        <f>INDEX(_xlfn.TEXTSPLIT(mouvementmp[[#This Row],[QR MP]],"_"),1,1)</f>
        <v>CH</v>
      </c>
      <c r="L549" s="47" t="str">
        <f>INDEX(_xlfn.TEXTSPLIT(mouvementmp[[#This Row],[QR MP]],"_"),1,2)</f>
        <v>Ecru</v>
      </c>
      <c r="M549" s="47" t="str">
        <f>INDEX(_xlfn.TEXTSPLIT(mouvementmp[[#This Row],[QR MP]],"_"),1,3)</f>
        <v>CH2/40CE</v>
      </c>
      <c r="N549" s="47" t="str">
        <f>INDEX(_xlfn.TEXTSPLIT(mouvementmp[[#This Row],[QR MP]],"_"),1,4)</f>
        <v>A220324523/2</v>
      </c>
      <c r="O549" s="47">
        <f>-mouvementmp[[#This Row],[Poids]]</f>
        <v>-36.5</v>
      </c>
      <c r="P549" s="47" t="str">
        <f>IF(
   COUNTIFS($A$2:A549,A549,
             $B$2:B549,B549,
             $C$2:C549,C549,
             $D$2:D549,D549,
             $E$2:E549,E549,
             $F$2:F549,F549,
              $J$2:J549,J549)&gt;1,
   "Doublon",
   "Correcte"
)</f>
        <v>Correcte</v>
      </c>
      <c r="Q549" s="106" t="str">
        <f>IF(mouvementmp[[#This Row],[QR Fabrication]]&lt;&gt;"",INDEX(_xlfn.TEXTSPLIT(mouvementmp[[#This Row],[QR Fabrication]],"_"),1,1),"")</f>
        <v/>
      </c>
      <c r="R549" s="106" t="str">
        <f>IF(mouvementmp[[#This Row],[QR Fabrication]]&lt;&gt;"",INDEX(_xlfn.TEXTSPLIT(mouvementmp[[#This Row],[QR Fabrication]],"_"),1,2),"")</f>
        <v/>
      </c>
      <c r="S549" s="47" t="str">
        <f>IF(mouvementmp[[#This Row],[QR Fabrication]]&lt;&gt;"",INDEX(_xlfn.TEXTSPLIT(mouvementmp[[#This Row],[QR Fabrication]],"_"),1,3),"")</f>
        <v/>
      </c>
      <c r="T549" s="47" t="str">
        <f>IF(mouvementmp[[#This Row],[QR Fabrication]]&lt;&gt;"",INDEX(_xlfn.TEXTSPLIT(mouvementmp[[#This Row],[QR Fabrication]],"_"),1,4),"")</f>
        <v/>
      </c>
      <c r="U549" s="47" t="str">
        <f>IF(mouvementmp[[#This Row],[QR Fabrication]]&lt;&gt;"",INDEX(_xlfn.TEXTSPLIT(mouvementmp[[#This Row],[QR Fabrication]],"_"),1,5),"")</f>
        <v/>
      </c>
      <c r="V549" s="47" t="str">
        <f>IF(mouvementmp[[#This Row],[QR Fabrication]]&lt;&gt;"",_xlfn.TEXTAFTER(mouvementmp[[#This Row],[QR Fabrication]],"_",5),"")</f>
        <v/>
      </c>
    </row>
    <row r="550" spans="1:22" ht="16.5" thickTop="1" thickBot="1" x14ac:dyDescent="0.3">
      <c r="A550" s="46"/>
      <c r="B550" s="54" t="s">
        <v>3865</v>
      </c>
      <c r="C550" s="47" t="s">
        <v>676</v>
      </c>
      <c r="D550" s="47" t="s">
        <v>665</v>
      </c>
      <c r="E550" s="47" t="s">
        <v>677</v>
      </c>
      <c r="F550" s="48">
        <v>12</v>
      </c>
      <c r="G550" s="47"/>
      <c r="H550" s="47"/>
      <c r="I550" s="47" t="s">
        <v>664</v>
      </c>
      <c r="J550" s="49">
        <v>45941</v>
      </c>
      <c r="K550" s="47" t="str">
        <f>INDEX(_xlfn.TEXTSPLIT(mouvementmp[[#This Row],[QR MP]],"_"),1,1)</f>
        <v>C17</v>
      </c>
      <c r="L550" s="47" t="str">
        <f>INDEX(_xlfn.TEXTSPLIT(mouvementmp[[#This Row],[QR MP]],"_"),1,2)</f>
        <v>EMAURAUDE</v>
      </c>
      <c r="M550" s="47" t="str">
        <f>INDEX(_xlfn.TEXTSPLIT(mouvementmp[[#This Row],[QR MP]],"_"),1,3)</f>
        <v>NM15-17.00</v>
      </c>
      <c r="N550" s="47" t="str">
        <f>INDEX(_xlfn.TEXTSPLIT(mouvementmp[[#This Row],[QR MP]],"_"),1,4)</f>
        <v>61571</v>
      </c>
      <c r="O550" s="47">
        <f>-mouvementmp[[#This Row],[Poids]]</f>
        <v>-12</v>
      </c>
      <c r="P550" s="47" t="str">
        <f>IF(
   COUNTIFS($A$2:A550,A550,
             $B$2:B550,B550,
             $C$2:C550,C550,
             $D$2:D550,D550,
             $E$2:E550,E550,
             $F$2:F550,F550,
              $J$2:J550,J550)&gt;1,
   "Doublon",
   "Correcte"
)</f>
        <v>Correcte</v>
      </c>
      <c r="Q550" s="106" t="str">
        <f>IF(mouvementmp[[#This Row],[QR Fabrication]]&lt;&gt;"",INDEX(_xlfn.TEXTSPLIT(mouvementmp[[#This Row],[QR Fabrication]],"_"),1,1),"")</f>
        <v/>
      </c>
      <c r="R550" s="106" t="str">
        <f>IF(mouvementmp[[#This Row],[QR Fabrication]]&lt;&gt;"",INDEX(_xlfn.TEXTSPLIT(mouvementmp[[#This Row],[QR Fabrication]],"_"),1,2),"")</f>
        <v/>
      </c>
      <c r="S550" s="47" t="str">
        <f>IF(mouvementmp[[#This Row],[QR Fabrication]]&lt;&gt;"",INDEX(_xlfn.TEXTSPLIT(mouvementmp[[#This Row],[QR Fabrication]],"_"),1,3),"")</f>
        <v/>
      </c>
      <c r="T550" s="47" t="str">
        <f>IF(mouvementmp[[#This Row],[QR Fabrication]]&lt;&gt;"",INDEX(_xlfn.TEXTSPLIT(mouvementmp[[#This Row],[QR Fabrication]],"_"),1,4),"")</f>
        <v/>
      </c>
      <c r="U550" s="47" t="str">
        <f>IF(mouvementmp[[#This Row],[QR Fabrication]]&lt;&gt;"",INDEX(_xlfn.TEXTSPLIT(mouvementmp[[#This Row],[QR Fabrication]],"_"),1,5),"")</f>
        <v/>
      </c>
      <c r="V550" s="47" t="str">
        <f>IF(mouvementmp[[#This Row],[QR Fabrication]]&lt;&gt;"",_xlfn.TEXTAFTER(mouvementmp[[#This Row],[QR Fabrication]],"_",5),"")</f>
        <v/>
      </c>
    </row>
    <row r="551" spans="1:22" ht="16.5" thickTop="1" thickBot="1" x14ac:dyDescent="0.3">
      <c r="A551" s="46"/>
      <c r="B551" s="54" t="s">
        <v>3858</v>
      </c>
      <c r="C551" s="47" t="s">
        <v>676</v>
      </c>
      <c r="D551" s="47" t="s">
        <v>665</v>
      </c>
      <c r="E551" s="47" t="s">
        <v>677</v>
      </c>
      <c r="F551" s="48">
        <v>29</v>
      </c>
      <c r="G551" s="47"/>
      <c r="H551" s="47"/>
      <c r="I551" s="47" t="s">
        <v>664</v>
      </c>
      <c r="J551" s="49">
        <v>45941</v>
      </c>
      <c r="K551" s="47" t="str">
        <f>INDEX(_xlfn.TEXTSPLIT(mouvementmp[[#This Row],[QR MP]],"_"),1,1)</f>
        <v>C14</v>
      </c>
      <c r="L551" s="47" t="str">
        <f>INDEX(_xlfn.TEXTSPLIT(mouvementmp[[#This Row],[QR MP]],"_"),1,2)</f>
        <v>BLEU TURQUOISE</v>
      </c>
      <c r="M551" s="47" t="str">
        <f>INDEX(_xlfn.TEXTSPLIT(mouvementmp[[#This Row],[QR MP]],"_"),1,3)</f>
        <v>NM15-14.00</v>
      </c>
      <c r="N551" s="47" t="str">
        <f>INDEX(_xlfn.TEXTSPLIT(mouvementmp[[#This Row],[QR MP]],"_"),1,4)</f>
        <v>61597</v>
      </c>
      <c r="O551" s="47">
        <f>-mouvementmp[[#This Row],[Poids]]</f>
        <v>-29</v>
      </c>
      <c r="P551" s="47" t="str">
        <f>IF(
   COUNTIFS($A$2:A551,A551,
             $B$2:B551,B551,
             $C$2:C551,C551,
             $D$2:D551,D551,
             $E$2:E551,E551,
             $F$2:F551,F551,
              $J$2:J551,J551)&gt;1,
   "Doublon",
   "Correcte"
)</f>
        <v>Correcte</v>
      </c>
      <c r="Q551" s="106" t="str">
        <f>IF(mouvementmp[[#This Row],[QR Fabrication]]&lt;&gt;"",INDEX(_xlfn.TEXTSPLIT(mouvementmp[[#This Row],[QR Fabrication]],"_"),1,1),"")</f>
        <v/>
      </c>
      <c r="R551" s="106" t="str">
        <f>IF(mouvementmp[[#This Row],[QR Fabrication]]&lt;&gt;"",INDEX(_xlfn.TEXTSPLIT(mouvementmp[[#This Row],[QR Fabrication]],"_"),1,2),"")</f>
        <v/>
      </c>
      <c r="S551" s="47" t="str">
        <f>IF(mouvementmp[[#This Row],[QR Fabrication]]&lt;&gt;"",INDEX(_xlfn.TEXTSPLIT(mouvementmp[[#This Row],[QR Fabrication]],"_"),1,3),"")</f>
        <v/>
      </c>
      <c r="T551" s="47" t="str">
        <f>IF(mouvementmp[[#This Row],[QR Fabrication]]&lt;&gt;"",INDEX(_xlfn.TEXTSPLIT(mouvementmp[[#This Row],[QR Fabrication]],"_"),1,4),"")</f>
        <v/>
      </c>
      <c r="U551" s="47" t="str">
        <f>IF(mouvementmp[[#This Row],[QR Fabrication]]&lt;&gt;"",INDEX(_xlfn.TEXTSPLIT(mouvementmp[[#This Row],[QR Fabrication]],"_"),1,5),"")</f>
        <v/>
      </c>
      <c r="V551" s="47" t="str">
        <f>IF(mouvementmp[[#This Row],[QR Fabrication]]&lt;&gt;"",_xlfn.TEXTAFTER(mouvementmp[[#This Row],[QR Fabrication]],"_",5),"")</f>
        <v/>
      </c>
    </row>
    <row r="552" spans="1:22" ht="16.5" thickTop="1" thickBot="1" x14ac:dyDescent="0.3">
      <c r="A552" s="46" t="s">
        <v>2538</v>
      </c>
      <c r="B552" s="54" t="s">
        <v>3865</v>
      </c>
      <c r="C552" s="47" t="s">
        <v>672</v>
      </c>
      <c r="D552" s="47" t="s">
        <v>665</v>
      </c>
      <c r="E552" s="47" t="s">
        <v>669</v>
      </c>
      <c r="F552" s="48">
        <v>13.15</v>
      </c>
      <c r="G552" s="47"/>
      <c r="H552" s="47"/>
      <c r="I552" s="47" t="s">
        <v>664</v>
      </c>
      <c r="J552" s="49">
        <v>45941</v>
      </c>
      <c r="K552" s="47" t="str">
        <f>INDEX(_xlfn.TEXTSPLIT(mouvementmp[[#This Row],[QR MP]],"_"),1,1)</f>
        <v>C17</v>
      </c>
      <c r="L552" s="47" t="str">
        <f>INDEX(_xlfn.TEXTSPLIT(mouvementmp[[#This Row],[QR MP]],"_"),1,2)</f>
        <v>EMAURAUDE</v>
      </c>
      <c r="M552" s="47" t="str">
        <f>INDEX(_xlfn.TEXTSPLIT(mouvementmp[[#This Row],[QR MP]],"_"),1,3)</f>
        <v>NM15-17.00</v>
      </c>
      <c r="N552" s="47" t="str">
        <f>INDEX(_xlfn.TEXTSPLIT(mouvementmp[[#This Row],[QR MP]],"_"),1,4)</f>
        <v>61571</v>
      </c>
      <c r="O552" s="47">
        <f>-mouvementmp[[#This Row],[Poids]]</f>
        <v>-13.15</v>
      </c>
      <c r="P552" s="47" t="str">
        <f>IF(
   COUNTIFS($A$2:A552,A552,
             $B$2:B552,B552,
             $C$2:C552,C552,
             $D$2:D552,D552,
             $E$2:E552,E552,
             $F$2:F552,F552,
              $J$2:J552,J552)&gt;1,
   "Doublon",
   "Correcte"
)</f>
        <v>Correcte</v>
      </c>
      <c r="Q552" s="106" t="str">
        <f>IF(mouvementmp[[#This Row],[QR Fabrication]]&lt;&gt;"",INDEX(_xlfn.TEXTSPLIT(mouvementmp[[#This Row],[QR Fabrication]],"_"),1,1),"")</f>
        <v>CA250769</v>
      </c>
      <c r="R552" s="106" t="str">
        <f>IF(mouvementmp[[#This Row],[QR Fabrication]]&lt;&gt;"",INDEX(_xlfn.TEXTSPLIT(mouvementmp[[#This Row],[QR Fabrication]],"_"),1,2),"")</f>
        <v>All by Fouta</v>
      </c>
      <c r="S552" s="47" t="str">
        <f>IF(mouvementmp[[#This Row],[QR Fabrication]]&lt;&gt;"",INDEX(_xlfn.TEXTSPLIT(mouvementmp[[#This Row],[QR Fabrication]],"_"),1,3),"")</f>
        <v>Stock</v>
      </c>
      <c r="T552" s="47" t="str">
        <f>IF(mouvementmp[[#This Row],[QR Fabrication]]&lt;&gt;"",INDEX(_xlfn.TEXTSPLIT(mouvementmp[[#This Row],[QR Fabrication]],"_"),1,4),"")</f>
        <v>PACKSILO0507-T17-02-10</v>
      </c>
      <c r="U552" s="47" t="str">
        <f>IF(mouvementmp[[#This Row],[QR Fabrication]]&lt;&gt;"",INDEX(_xlfn.TEXTSPLIT(mouvementmp[[#This Row],[QR Fabrication]],"_"),1,5),"")</f>
        <v>PACK LONDON</v>
      </c>
      <c r="V552" s="47" t="str">
        <f>IF(mouvementmp[[#This Row],[QR Fabrication]]&lt;&gt;"",_xlfn.TEXTAFTER(mouvementmp[[#This Row],[QR Fabrication]],"_",5),"")</f>
        <v>0507</v>
      </c>
    </row>
    <row r="553" spans="1:22" ht="16.5" thickTop="1" thickBot="1" x14ac:dyDescent="0.3">
      <c r="A553" s="46" t="s">
        <v>2538</v>
      </c>
      <c r="B553" s="54" t="s">
        <v>3806</v>
      </c>
      <c r="C553" s="47" t="s">
        <v>672</v>
      </c>
      <c r="D553" s="47" t="s">
        <v>665</v>
      </c>
      <c r="E553" s="47" t="s">
        <v>669</v>
      </c>
      <c r="F553" s="48">
        <v>13</v>
      </c>
      <c r="G553" s="47"/>
      <c r="H553" s="47"/>
      <c r="I553" s="47" t="s">
        <v>664</v>
      </c>
      <c r="J553" s="49">
        <v>45941</v>
      </c>
      <c r="K553" s="47" t="str">
        <f>INDEX(_xlfn.TEXTSPLIT(mouvementmp[[#This Row],[QR MP]],"_"),1,1)</f>
        <v>C02</v>
      </c>
      <c r="L553" s="47" t="str">
        <f>INDEX(_xlfn.TEXTSPLIT(mouvementmp[[#This Row],[QR MP]],"_"),1,2)</f>
        <v>ECRU</v>
      </c>
      <c r="M553" s="47" t="str">
        <f>INDEX(_xlfn.TEXTSPLIT(mouvementmp[[#This Row],[QR MP]],"_"),1,3)</f>
        <v>NM15-02.00</v>
      </c>
      <c r="N553" s="47" t="str">
        <f>INDEX(_xlfn.TEXTSPLIT(mouvementmp[[#This Row],[QR MP]],"_"),1,4)</f>
        <v>61424</v>
      </c>
      <c r="O553" s="47">
        <f>-mouvementmp[[#This Row],[Poids]]</f>
        <v>-13</v>
      </c>
      <c r="P553" s="47" t="str">
        <f>IF(
   COUNTIFS($A$2:A553,A553,
             $B$2:B553,B553,
             $C$2:C553,C553,
             $D$2:D553,D553,
             $E$2:E553,E553,
             $F$2:F553,F553,
              $J$2:J553,J553)&gt;1,
   "Doublon",
   "Correcte"
)</f>
        <v>Correcte</v>
      </c>
      <c r="Q553" s="106" t="str">
        <f>IF(mouvementmp[[#This Row],[QR Fabrication]]&lt;&gt;"",INDEX(_xlfn.TEXTSPLIT(mouvementmp[[#This Row],[QR Fabrication]],"_"),1,1),"")</f>
        <v>CA250769</v>
      </c>
      <c r="R553" s="106" t="str">
        <f>IF(mouvementmp[[#This Row],[QR Fabrication]]&lt;&gt;"",INDEX(_xlfn.TEXTSPLIT(mouvementmp[[#This Row],[QR Fabrication]],"_"),1,2),"")</f>
        <v>All by Fouta</v>
      </c>
      <c r="S553" s="47" t="str">
        <f>IF(mouvementmp[[#This Row],[QR Fabrication]]&lt;&gt;"",INDEX(_xlfn.TEXTSPLIT(mouvementmp[[#This Row],[QR Fabrication]],"_"),1,3),"")</f>
        <v>Stock</v>
      </c>
      <c r="T553" s="47" t="str">
        <f>IF(mouvementmp[[#This Row],[QR Fabrication]]&lt;&gt;"",INDEX(_xlfn.TEXTSPLIT(mouvementmp[[#This Row],[QR Fabrication]],"_"),1,4),"")</f>
        <v>PACKSILO0507-T17-02-10</v>
      </c>
      <c r="U553" s="47" t="str">
        <f>IF(mouvementmp[[#This Row],[QR Fabrication]]&lt;&gt;"",INDEX(_xlfn.TEXTSPLIT(mouvementmp[[#This Row],[QR Fabrication]],"_"),1,5),"")</f>
        <v>PACK LONDON</v>
      </c>
      <c r="V553" s="47" t="str">
        <f>IF(mouvementmp[[#This Row],[QR Fabrication]]&lt;&gt;"",_xlfn.TEXTAFTER(mouvementmp[[#This Row],[QR Fabrication]],"_",5),"")</f>
        <v>0507</v>
      </c>
    </row>
    <row r="554" spans="1:22" ht="16.5" thickTop="1" thickBot="1" x14ac:dyDescent="0.3">
      <c r="A554" s="46" t="s">
        <v>2538</v>
      </c>
      <c r="B554" s="54" t="s">
        <v>3846</v>
      </c>
      <c r="C554" s="47" t="s">
        <v>672</v>
      </c>
      <c r="D554" s="47" t="s">
        <v>665</v>
      </c>
      <c r="E554" s="47" t="s">
        <v>669</v>
      </c>
      <c r="F554" s="48">
        <v>13.5</v>
      </c>
      <c r="G554" s="47"/>
      <c r="H554" s="47"/>
      <c r="I554" s="47" t="s">
        <v>664</v>
      </c>
      <c r="J554" s="49">
        <v>45941</v>
      </c>
      <c r="K554" s="47" t="str">
        <f>INDEX(_xlfn.TEXTSPLIT(mouvementmp[[#This Row],[QR MP]],"_"),1,1)</f>
        <v>C10</v>
      </c>
      <c r="L554" s="47" t="str">
        <f>INDEX(_xlfn.TEXTSPLIT(mouvementmp[[#This Row],[QR MP]],"_"),1,2)</f>
        <v>BLEU MARINE</v>
      </c>
      <c r="M554" s="47" t="str">
        <f>INDEX(_xlfn.TEXTSPLIT(mouvementmp[[#This Row],[QR MP]],"_"),1,3)</f>
        <v>NM15-10.00</v>
      </c>
      <c r="N554" s="47" t="str">
        <f>INDEX(_xlfn.TEXTSPLIT(mouvementmp[[#This Row],[QR MP]],"_"),1,4)</f>
        <v>61462</v>
      </c>
      <c r="O554" s="47">
        <f>-mouvementmp[[#This Row],[Poids]]</f>
        <v>-13.5</v>
      </c>
      <c r="P554" s="47" t="str">
        <f>IF(
   COUNTIFS($A$2:A554,A554,
             $B$2:B554,B554,
             $C$2:C554,C554,
             $D$2:D554,D554,
             $E$2:E554,E554,
             $F$2:F554,F554,
              $J$2:J554,J554)&gt;1,
   "Doublon",
   "Correcte"
)</f>
        <v>Correcte</v>
      </c>
      <c r="Q554" s="106" t="str">
        <f>IF(mouvementmp[[#This Row],[QR Fabrication]]&lt;&gt;"",INDEX(_xlfn.TEXTSPLIT(mouvementmp[[#This Row],[QR Fabrication]],"_"),1,1),"")</f>
        <v>CA250769</v>
      </c>
      <c r="R554" s="106" t="str">
        <f>IF(mouvementmp[[#This Row],[QR Fabrication]]&lt;&gt;"",INDEX(_xlfn.TEXTSPLIT(mouvementmp[[#This Row],[QR Fabrication]],"_"),1,2),"")</f>
        <v>All by Fouta</v>
      </c>
      <c r="S554" s="47" t="str">
        <f>IF(mouvementmp[[#This Row],[QR Fabrication]]&lt;&gt;"",INDEX(_xlfn.TEXTSPLIT(mouvementmp[[#This Row],[QR Fabrication]],"_"),1,3),"")</f>
        <v>Stock</v>
      </c>
      <c r="T554" s="47" t="str">
        <f>IF(mouvementmp[[#This Row],[QR Fabrication]]&lt;&gt;"",INDEX(_xlfn.TEXTSPLIT(mouvementmp[[#This Row],[QR Fabrication]],"_"),1,4),"")</f>
        <v>PACKSILO0507-T17-02-10</v>
      </c>
      <c r="U554" s="47" t="str">
        <f>IF(mouvementmp[[#This Row],[QR Fabrication]]&lt;&gt;"",INDEX(_xlfn.TEXTSPLIT(mouvementmp[[#This Row],[QR Fabrication]],"_"),1,5),"")</f>
        <v>PACK LONDON</v>
      </c>
      <c r="V554" s="47" t="str">
        <f>IF(mouvementmp[[#This Row],[QR Fabrication]]&lt;&gt;"",_xlfn.TEXTAFTER(mouvementmp[[#This Row],[QR Fabrication]],"_",5),"")</f>
        <v>0507</v>
      </c>
    </row>
    <row r="555" spans="1:22" ht="16.5" thickTop="1" thickBot="1" x14ac:dyDescent="0.3">
      <c r="A555" s="46" t="s">
        <v>2474</v>
      </c>
      <c r="B555" s="54" t="s">
        <v>3838</v>
      </c>
      <c r="C555" s="47" t="s">
        <v>668</v>
      </c>
      <c r="D555" s="47" t="s">
        <v>665</v>
      </c>
      <c r="E555" s="47" t="s">
        <v>669</v>
      </c>
      <c r="F555" s="48">
        <v>0.5</v>
      </c>
      <c r="G555" s="47"/>
      <c r="H555" s="47"/>
      <c r="I555" s="47" t="s">
        <v>664</v>
      </c>
      <c r="J555" s="49">
        <v>45944</v>
      </c>
      <c r="K555" s="47" t="str">
        <f>INDEX(_xlfn.TEXTSPLIT(mouvementmp[[#This Row],[QR MP]],"_"),1,1)</f>
        <v>C07</v>
      </c>
      <c r="L555" s="47" t="str">
        <f>INDEX(_xlfn.TEXTSPLIT(mouvementmp[[#This Row],[QR MP]],"_"),1,2)</f>
        <v>GRIS MOYEN</v>
      </c>
      <c r="M555" s="47" t="str">
        <f>INDEX(_xlfn.TEXTSPLIT(mouvementmp[[#This Row],[QR MP]],"_"),1,3)</f>
        <v>NM15-07.00</v>
      </c>
      <c r="N555" s="47" t="str">
        <f>INDEX(_xlfn.TEXTSPLIT(mouvementmp[[#This Row],[QR MP]],"_"),1,4)</f>
        <v>61445</v>
      </c>
      <c r="O555" s="47">
        <f>-mouvementmp[[#This Row],[Poids]]</f>
        <v>-0.5</v>
      </c>
      <c r="P555" s="47" t="str">
        <f>IF(
   COUNTIFS($A$2:A555,A555,
             $B$2:B555,B555,
             $C$2:C555,C555,
             $D$2:D555,D555,
             $E$2:E555,E555,
             $F$2:F555,F555,
              $J$2:J555,J555)&gt;1,
   "Doublon",
   "Correcte"
)</f>
        <v>Correcte</v>
      </c>
      <c r="Q555" s="106" t="str">
        <f>IF(mouvementmp[[#This Row],[QR Fabrication]]&lt;&gt;"",INDEX(_xlfn.TEXTSPLIT(mouvementmp[[#This Row],[QR Fabrication]],"_"),1,1),"")</f>
        <v>CA250755</v>
      </c>
      <c r="R555" s="106" t="str">
        <f>IF(mouvementmp[[#This Row],[QR Fabrication]]&lt;&gt;"",INDEX(_xlfn.TEXTSPLIT(mouvementmp[[#This Row],[QR Fabrication]],"_"),1,2),"")</f>
        <v>All by Fouta</v>
      </c>
      <c r="S555" s="47" t="str">
        <f>IF(mouvementmp[[#This Row],[QR Fabrication]]&lt;&gt;"",INDEX(_xlfn.TEXTSPLIT(mouvementmp[[#This Row],[QR Fabrication]],"_"),1,3),"")</f>
        <v>Stock</v>
      </c>
      <c r="T555" s="47" t="str">
        <f>IF(mouvementmp[[#This Row],[QR Fabrication]]&lt;&gt;"",INDEX(_xlfn.TEXTSPLIT(mouvementmp[[#This Row],[QR Fabrication]],"_"),1,4),"")</f>
        <v>PACKSICL0507-B07-17</v>
      </c>
      <c r="U555" s="47" t="str">
        <f>IF(mouvementmp[[#This Row],[QR Fabrication]]&lt;&gt;"",INDEX(_xlfn.TEXTSPLIT(mouvementmp[[#This Row],[QR Fabrication]],"_"),1,5),"")</f>
        <v>PACK CLASSIQUE</v>
      </c>
      <c r="V555" s="47" t="str">
        <f>IF(mouvementmp[[#This Row],[QR Fabrication]]&lt;&gt;"",_xlfn.TEXTAFTER(mouvementmp[[#This Row],[QR Fabrication]],"_",5),"")</f>
        <v>0507</v>
      </c>
    </row>
    <row r="556" spans="1:22" ht="16.5" thickTop="1" thickBot="1" x14ac:dyDescent="0.3">
      <c r="A556" s="46" t="s">
        <v>2474</v>
      </c>
      <c r="B556" s="54" t="s">
        <v>3865</v>
      </c>
      <c r="C556" s="47" t="s">
        <v>668</v>
      </c>
      <c r="D556" s="47" t="s">
        <v>665</v>
      </c>
      <c r="E556" s="47" t="s">
        <v>669</v>
      </c>
      <c r="F556" s="48">
        <v>0.95</v>
      </c>
      <c r="G556" s="47"/>
      <c r="H556" s="47"/>
      <c r="I556" s="47" t="s">
        <v>664</v>
      </c>
      <c r="J556" s="49">
        <v>45944</v>
      </c>
      <c r="K556" s="47" t="str">
        <f>INDEX(_xlfn.TEXTSPLIT(mouvementmp[[#This Row],[QR MP]],"_"),1,1)</f>
        <v>C17</v>
      </c>
      <c r="L556" s="47" t="str">
        <f>INDEX(_xlfn.TEXTSPLIT(mouvementmp[[#This Row],[QR MP]],"_"),1,2)</f>
        <v>EMAURAUDE</v>
      </c>
      <c r="M556" s="47" t="str">
        <f>INDEX(_xlfn.TEXTSPLIT(mouvementmp[[#This Row],[QR MP]],"_"),1,3)</f>
        <v>NM15-17.00</v>
      </c>
      <c r="N556" s="47" t="str">
        <f>INDEX(_xlfn.TEXTSPLIT(mouvementmp[[#This Row],[QR MP]],"_"),1,4)</f>
        <v>61571</v>
      </c>
      <c r="O556" s="47">
        <f>-mouvementmp[[#This Row],[Poids]]</f>
        <v>-0.95</v>
      </c>
      <c r="P556" s="47" t="str">
        <f>IF(
   COUNTIFS($A$2:A556,A556,
             $B$2:B556,B556,
             $C$2:C556,C556,
             $D$2:D556,D556,
             $E$2:E556,E556,
             $F$2:F556,F556,
              $J$2:J556,J556)&gt;1,
   "Doublon",
   "Correcte"
)</f>
        <v>Correcte</v>
      </c>
      <c r="Q556" s="106" t="str">
        <f>IF(mouvementmp[[#This Row],[QR Fabrication]]&lt;&gt;"",INDEX(_xlfn.TEXTSPLIT(mouvementmp[[#This Row],[QR Fabrication]],"_"),1,1),"")</f>
        <v>CA250755</v>
      </c>
      <c r="R556" s="106" t="str">
        <f>IF(mouvementmp[[#This Row],[QR Fabrication]]&lt;&gt;"",INDEX(_xlfn.TEXTSPLIT(mouvementmp[[#This Row],[QR Fabrication]],"_"),1,2),"")</f>
        <v>All by Fouta</v>
      </c>
      <c r="S556" s="47" t="str">
        <f>IF(mouvementmp[[#This Row],[QR Fabrication]]&lt;&gt;"",INDEX(_xlfn.TEXTSPLIT(mouvementmp[[#This Row],[QR Fabrication]],"_"),1,3),"")</f>
        <v>Stock</v>
      </c>
      <c r="T556" s="47" t="str">
        <f>IF(mouvementmp[[#This Row],[QR Fabrication]]&lt;&gt;"",INDEX(_xlfn.TEXTSPLIT(mouvementmp[[#This Row],[QR Fabrication]],"_"),1,4),"")</f>
        <v>PACKSICL0507-B07-17</v>
      </c>
      <c r="U556" s="47" t="str">
        <f>IF(mouvementmp[[#This Row],[QR Fabrication]]&lt;&gt;"",INDEX(_xlfn.TEXTSPLIT(mouvementmp[[#This Row],[QR Fabrication]],"_"),1,5),"")</f>
        <v>PACK CLASSIQUE</v>
      </c>
      <c r="V556" s="47" t="str">
        <f>IF(mouvementmp[[#This Row],[QR Fabrication]]&lt;&gt;"",_xlfn.TEXTAFTER(mouvementmp[[#This Row],[QR Fabrication]],"_",5),"")</f>
        <v>0507</v>
      </c>
    </row>
    <row r="557" spans="1:22" ht="16.5" thickTop="1" thickBot="1" x14ac:dyDescent="0.3">
      <c r="A557" s="46" t="s">
        <v>2471</v>
      </c>
      <c r="B557" s="54" t="s">
        <v>3897</v>
      </c>
      <c r="C557" s="47" t="s">
        <v>672</v>
      </c>
      <c r="D557" s="47" t="s">
        <v>665</v>
      </c>
      <c r="E557" s="47" t="s">
        <v>669</v>
      </c>
      <c r="F557" s="48">
        <v>90.5</v>
      </c>
      <c r="G557" s="47"/>
      <c r="H557" s="47"/>
      <c r="I557" s="47" t="s">
        <v>664</v>
      </c>
      <c r="J557" s="49">
        <v>45920</v>
      </c>
      <c r="K557" s="47" t="str">
        <f>INDEX(_xlfn.TEXTSPLIT(mouvementmp[[#This Row],[QR MP]],"_"),1,1)</f>
        <v>C28</v>
      </c>
      <c r="L557" s="47" t="str">
        <f>INDEX(_xlfn.TEXTSPLIT(mouvementmp[[#This Row],[QR MP]],"_"),1,2)</f>
        <v>FRAMBOISE</v>
      </c>
      <c r="M557" s="47" t="str">
        <f>INDEX(_xlfn.TEXTSPLIT(mouvementmp[[#This Row],[QR MP]],"_"),1,3)</f>
        <v>NM15-28.01</v>
      </c>
      <c r="N557" s="47" t="str">
        <f>INDEX(_xlfn.TEXTSPLIT(mouvementmp[[#This Row],[QR MP]],"_"),1,4)</f>
        <v>61639</v>
      </c>
      <c r="O557" s="47">
        <f>-mouvementmp[[#This Row],[Poids]]</f>
        <v>-90.5</v>
      </c>
      <c r="P557" s="47" t="str">
        <f>IF(
   COUNTIFS($A$2:A557,A557,
             $B$2:B557,B557,
             $C$2:C557,C557,
             $D$2:D557,D557,
             $E$2:E557,E557,
             $F$2:F557,F557,
              $J$2:J557,J557)&gt;1,
   "Doublon",
   "Correcte"
)</f>
        <v>Correcte</v>
      </c>
      <c r="Q557" s="106" t="str">
        <f>IF(mouvementmp[[#This Row],[QR Fabrication]]&lt;&gt;"",INDEX(_xlfn.TEXTSPLIT(mouvementmp[[#This Row],[QR Fabrication]],"_"),1,1),"")</f>
        <v>OF249798</v>
      </c>
      <c r="R557" s="106" t="str">
        <f>IF(mouvementmp[[#This Row],[QR Fabrication]]&lt;&gt;"",INDEX(_xlfn.TEXTSPLIT(mouvementmp[[#This Row],[QR Fabrication]],"_"),1,2),"")</f>
        <v>CL00884</v>
      </c>
      <c r="S557" s="47" t="str">
        <f>IF(mouvementmp[[#This Row],[QR Fabrication]]&lt;&gt;"",INDEX(_xlfn.TEXTSPLIT(mouvementmp[[#This Row],[QR Fabrication]],"_"),1,3),"")</f>
        <v>CM-FT0119</v>
      </c>
      <c r="T557" s="47" t="str">
        <f>IF(mouvementmp[[#This Row],[QR Fabrication]]&lt;&gt;"",INDEX(_xlfn.TEXTSPLIT(mouvementmp[[#This Row],[QR Fabrication]],"_"),1,4),"")</f>
        <v>LI1020-B28-01</v>
      </c>
      <c r="U557" s="47" t="str">
        <f>IF(mouvementmp[[#This Row],[QR Fabrication]]&lt;&gt;"",INDEX(_xlfn.TEXTSPLIT(mouvementmp[[#This Row],[QR Fabrication]],"_"),1,5),"")</f>
        <v>LILI</v>
      </c>
      <c r="V557" s="47" t="str">
        <f>IF(mouvementmp[[#This Row],[QR Fabrication]]&lt;&gt;"",_xlfn.TEXTAFTER(mouvementmp[[#This Row],[QR Fabrication]],"_",5),"")</f>
        <v>1020</v>
      </c>
    </row>
    <row r="558" spans="1:22" ht="16.5" thickTop="1" thickBot="1" x14ac:dyDescent="0.3">
      <c r="A558" s="46" t="s">
        <v>2481</v>
      </c>
      <c r="B558" s="55" t="s">
        <v>3811</v>
      </c>
      <c r="C558" s="47" t="s">
        <v>672</v>
      </c>
      <c r="D558" s="47" t="s">
        <v>665</v>
      </c>
      <c r="E558" s="47" t="s">
        <v>669</v>
      </c>
      <c r="F558" s="52">
        <v>13.35</v>
      </c>
      <c r="G558" s="51"/>
      <c r="H558" s="51"/>
      <c r="I558" s="47" t="s">
        <v>664</v>
      </c>
      <c r="J558" s="56">
        <v>45924</v>
      </c>
      <c r="K558" s="51" t="str">
        <f>INDEX(_xlfn.TEXTSPLIT(mouvementmp[[#This Row],[QR MP]],"_"),1,1)</f>
        <v>C03</v>
      </c>
      <c r="L558" s="51" t="str">
        <f>INDEX(_xlfn.TEXTSPLIT(mouvementmp[[#This Row],[QR MP]],"_"),1,2)</f>
        <v>BEIGE CLAIR</v>
      </c>
      <c r="M558" s="51" t="str">
        <f>INDEX(_xlfn.TEXTSPLIT(mouvementmp[[#This Row],[QR MP]],"_"),1,3)</f>
        <v>NM05-03.01</v>
      </c>
      <c r="N558" s="51" t="str">
        <f>INDEX(_xlfn.TEXTSPLIT(mouvementmp[[#This Row],[QR MP]],"_"),1,4)</f>
        <v>58783</v>
      </c>
      <c r="O558" s="51">
        <f>-mouvementmp[[#This Row],[Poids]]</f>
        <v>-13.35</v>
      </c>
      <c r="P558" s="51" t="str">
        <f>IF(
   COUNTIFS($A$2:A558,A558,
             $B$2:B558,B558,
             $C$2:C558,C558,
             $D$2:D558,D558,
             $E$2:E558,E558,
             $F$2:F558,F558,
              $J$2:J558,J558)&gt;1,
   "Doublon",
   "Correcte"
)</f>
        <v>Correcte</v>
      </c>
      <c r="Q558" s="107" t="str">
        <f>IF(mouvementmp[[#This Row],[QR Fabrication]]&lt;&gt;"",INDEX(_xlfn.TEXTSPLIT(mouvementmp[[#This Row],[QR Fabrication]],"_"),1,1),"")</f>
        <v>OF250131</v>
      </c>
      <c r="R558" s="107" t="str">
        <f>IF(mouvementmp[[#This Row],[QR Fabrication]]&lt;&gt;"",INDEX(_xlfn.TEXTSPLIT(mouvementmp[[#This Row],[QR Fabrication]],"_"),1,2),"")</f>
        <v>CL00162</v>
      </c>
      <c r="S558" s="51" t="str">
        <f>IF(mouvementmp[[#This Row],[QR Fabrication]]&lt;&gt;"",INDEX(_xlfn.TEXTSPLIT(mouvementmp[[#This Row],[QR Fabrication]],"_"),1,3),"")</f>
        <v>CM-FT0130</v>
      </c>
      <c r="T558" s="51" t="str">
        <f>IF(mouvementmp[[#This Row],[QR Fabrication]]&lt;&gt;"",INDEX(_xlfn.TEXTSPLIT(mouvementmp[[#This Row],[QR Fabrication]],"_"),1,4),"")</f>
        <v>GIN2426-B12-03</v>
      </c>
      <c r="U558" s="51" t="str">
        <f>IF(mouvementmp[[#This Row],[QR Fabrication]]&lt;&gt;"",INDEX(_xlfn.TEXTSPLIT(mouvementmp[[#This Row],[QR Fabrication]],"_"),1,5),"")</f>
        <v>GINKO</v>
      </c>
      <c r="V558" s="51" t="str">
        <f>IF(mouvementmp[[#This Row],[QR Fabrication]]&lt;&gt;"",_xlfn.TEXTAFTER(mouvementmp[[#This Row],[QR Fabrication]],"_",5),"")</f>
        <v>2426</v>
      </c>
    </row>
    <row r="559" spans="1:22" ht="15.75" thickTop="1" x14ac:dyDescent="0.25"/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3DB3-1F17-40EF-8BB2-0914C527C08B}">
  <dimension ref="A1:M67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17.28515625" customWidth="1"/>
    <col min="2" max="2" width="21" customWidth="1"/>
    <col min="3" max="3" width="26.140625" customWidth="1"/>
    <col min="4" max="4" width="13.140625" customWidth="1"/>
    <col min="5" max="5" width="12.85546875" customWidth="1"/>
    <col min="6" max="6" width="10.28515625" customWidth="1"/>
    <col min="7" max="7" width="17.85546875" customWidth="1"/>
    <col min="8" max="8" width="17" customWidth="1"/>
    <col min="9" max="9" width="12.7109375" customWidth="1"/>
    <col min="10" max="10" width="12" customWidth="1"/>
    <col min="11" max="11" width="14.5703125" customWidth="1"/>
    <col min="12" max="12" width="11.5703125" customWidth="1"/>
    <col min="13" max="13" width="12" customWidth="1"/>
  </cols>
  <sheetData>
    <row r="1" spans="1:13" ht="22.5" customHeight="1" thickBot="1" x14ac:dyDescent="0.3">
      <c r="A1" s="94" t="s">
        <v>1298</v>
      </c>
      <c r="B1" s="94" t="s">
        <v>679</v>
      </c>
      <c r="C1" s="94" t="s">
        <v>652</v>
      </c>
      <c r="D1" s="94" t="s">
        <v>1229</v>
      </c>
      <c r="E1" s="94" t="s">
        <v>656</v>
      </c>
      <c r="F1" s="94" t="s">
        <v>657</v>
      </c>
      <c r="G1" s="94" t="s">
        <v>658</v>
      </c>
      <c r="H1" s="95" t="s">
        <v>659</v>
      </c>
      <c r="I1" s="94" t="s">
        <v>1227</v>
      </c>
      <c r="J1" s="94" t="s">
        <v>1150</v>
      </c>
      <c r="K1" s="94" t="s">
        <v>1296</v>
      </c>
      <c r="L1" s="115" t="s">
        <v>2</v>
      </c>
      <c r="M1" s="115" t="s">
        <v>1</v>
      </c>
    </row>
    <row r="2" spans="1:13" ht="15.75" thickTop="1" x14ac:dyDescent="0.25">
      <c r="A2" s="16"/>
      <c r="B2" s="16" t="s">
        <v>1230</v>
      </c>
      <c r="C2" s="16" t="s">
        <v>662</v>
      </c>
      <c r="D2" s="16">
        <v>52</v>
      </c>
      <c r="E2" s="16"/>
      <c r="F2" s="16"/>
      <c r="G2" s="16" t="s">
        <v>664</v>
      </c>
      <c r="H2" s="23">
        <v>45915</v>
      </c>
      <c r="I2" s="16" t="str">
        <f>IF(
   COUNTIFS($A$2:A2,A2,
             $B$2:B2,B2,
             $C$2:C2,C2,
             $D$2:D2,D2,
              $H$2:H2,H2)&gt;1,
   "Doublon",
   "Correcte"
)</f>
        <v>Correcte</v>
      </c>
      <c r="J2" s="16" t="str">
        <f>_xlfn.TEXTBEFORE(mouvement_fourniture[[#This Row],[Code]],"_")</f>
        <v>Couture</v>
      </c>
      <c r="K2" s="16" t="str">
        <f>_xlfn.TEXTAFTER(mouvement_fourniture[[#This Row],[Code]],"_")</f>
        <v>BB</v>
      </c>
      <c r="L2" s="82" t="str">
        <f>IF(mouvement_fourniture[[#This Row],[QR Commande]]&lt;&gt;"",INDEX(_xlfn.TEXTSPLIT(mouvement_fourniture[[#This Row],[QR Commande]],"_"),1,1),"")</f>
        <v/>
      </c>
      <c r="M2" s="82" t="str">
        <f>IF(mouvement_fourniture[[#This Row],[QR Commande]]&lt;&gt;"",INDEX(_xlfn.TEXTSPLIT(mouvement_fourniture[[#This Row],[QR Commande]],"_"),1,2),"")</f>
        <v/>
      </c>
    </row>
    <row r="3" spans="1:13" x14ac:dyDescent="0.25">
      <c r="A3" s="16"/>
      <c r="B3" s="16" t="s">
        <v>1231</v>
      </c>
      <c r="C3" s="16" t="s">
        <v>662</v>
      </c>
      <c r="D3" s="16">
        <v>17</v>
      </c>
      <c r="E3" s="16"/>
      <c r="F3" s="16"/>
      <c r="G3" s="16" t="s">
        <v>664</v>
      </c>
      <c r="H3" s="23">
        <v>45915</v>
      </c>
      <c r="I3" s="16" t="str">
        <f>IF(
   COUNTIFS($A$2:A3,A3,
             $B$2:B3,B3,
             $C$2:C3,C3,
             $D$2:D3,D3,
              $H$2:H3,H3)&gt;1,
   "Doublon",
   "Correcte"
)</f>
        <v>Correcte</v>
      </c>
      <c r="J3" s="16" t="str">
        <f>_xlfn.TEXTBEFORE(mouvement_fourniture[[#This Row],[Code]],"_")</f>
        <v>Couture</v>
      </c>
      <c r="K3" s="16" t="str">
        <f>_xlfn.TEXTAFTER(mouvement_fourniture[[#This Row],[Code]],"_")</f>
        <v>BN</v>
      </c>
      <c r="L3" s="16" t="str">
        <f>IF(mouvement_fourniture[[#This Row],[QR Commande]]&lt;&gt;"",INDEX(_xlfn.TEXTSPLIT(mouvement_fourniture[[#This Row],[QR Commande]],"_"),1,1),"")</f>
        <v/>
      </c>
      <c r="M3" s="16" t="str">
        <f>IF(mouvement_fourniture[[#This Row],[QR Commande]]&lt;&gt;"",INDEX(_xlfn.TEXTSPLIT(mouvement_fourniture[[#This Row],[QR Commande]],"_"),1,2),"")</f>
        <v/>
      </c>
    </row>
    <row r="4" spans="1:13" x14ac:dyDescent="0.25">
      <c r="A4" s="16"/>
      <c r="B4" s="16" t="s">
        <v>1232</v>
      </c>
      <c r="C4" s="16" t="s">
        <v>662</v>
      </c>
      <c r="D4" s="16">
        <v>2100</v>
      </c>
      <c r="E4" s="16"/>
      <c r="F4" s="16"/>
      <c r="G4" s="16" t="s">
        <v>664</v>
      </c>
      <c r="H4" s="23">
        <v>45915</v>
      </c>
      <c r="I4" s="16" t="str">
        <f>IF(
   COUNTIFS($A$2:A4,A4,
             $B$2:B4,B4,
             $C$2:C4,C4,
             $D$2:D4,D4,
              $H$2:H4,H4)&gt;1,
   "Doublon",
   "Correcte"
)</f>
        <v>Correcte</v>
      </c>
      <c r="J4" s="16" t="str">
        <f>_xlfn.TEXTBEFORE(mouvement_fourniture[[#This Row],[Code]],"_")</f>
        <v>Etiquette</v>
      </c>
      <c r="K4" s="16" t="str">
        <f>_xlfn.TEXTAFTER(mouvement_fourniture[[#This Row],[Code]],"_")</f>
        <v>TABF100C</v>
      </c>
      <c r="L4" s="16" t="str">
        <f>IF(mouvement_fourniture[[#This Row],[QR Commande]]&lt;&gt;"",INDEX(_xlfn.TEXTSPLIT(mouvement_fourniture[[#This Row],[QR Commande]],"_"),1,1),"")</f>
        <v/>
      </c>
      <c r="M4" s="16" t="str">
        <f>IF(mouvement_fourniture[[#This Row],[QR Commande]]&lt;&gt;"",INDEX(_xlfn.TEXTSPLIT(mouvement_fourniture[[#This Row],[QR Commande]],"_"),1,2),"")</f>
        <v/>
      </c>
    </row>
    <row r="5" spans="1:13" x14ac:dyDescent="0.25">
      <c r="A5" s="16"/>
      <c r="B5" s="16" t="s">
        <v>1233</v>
      </c>
      <c r="C5" s="16" t="s">
        <v>662</v>
      </c>
      <c r="D5" s="16">
        <v>2645</v>
      </c>
      <c r="E5" s="16"/>
      <c r="F5" s="16"/>
      <c r="G5" s="16" t="s">
        <v>664</v>
      </c>
      <c r="H5" s="23">
        <v>45915</v>
      </c>
      <c r="I5" s="16" t="str">
        <f>IF(
   COUNTIFS($A$2:A5,A5,
             $B$2:B5,B5,
             $C$2:C5,C5,
             $D$2:D5,D5,
              $H$2:H5,H5)&gt;1,
   "Doublon",
   "Correcte"
)</f>
        <v>Correcte</v>
      </c>
      <c r="J5" s="16" t="str">
        <f>_xlfn.TEXTBEFORE(mouvement_fourniture[[#This Row],[Code]],"_")</f>
        <v>Etiquette</v>
      </c>
      <c r="K5" s="16" t="str">
        <f>_xlfn.TEXTAFTER(mouvement_fourniture[[#This Row],[Code]],"_")</f>
        <v>TCF100C</v>
      </c>
      <c r="L5" s="16" t="str">
        <f>IF(mouvement_fourniture[[#This Row],[QR Commande]]&lt;&gt;"",INDEX(_xlfn.TEXTSPLIT(mouvement_fourniture[[#This Row],[QR Commande]],"_"),1,1),"")</f>
        <v/>
      </c>
      <c r="M5" s="16" t="str">
        <f>IF(mouvement_fourniture[[#This Row],[QR Commande]]&lt;&gt;"",INDEX(_xlfn.TEXTSPLIT(mouvement_fourniture[[#This Row],[QR Commande]],"_"),1,2),"")</f>
        <v/>
      </c>
    </row>
    <row r="6" spans="1:13" x14ac:dyDescent="0.25">
      <c r="A6" s="16"/>
      <c r="B6" s="16" t="s">
        <v>1234</v>
      </c>
      <c r="C6" s="16" t="s">
        <v>662</v>
      </c>
      <c r="D6" s="16">
        <v>2485</v>
      </c>
      <c r="E6" s="16"/>
      <c r="F6" s="16"/>
      <c r="G6" s="16" t="s">
        <v>664</v>
      </c>
      <c r="H6" s="23">
        <v>45915</v>
      </c>
      <c r="I6" s="16" t="str">
        <f>IF(
   COUNTIFS($A$2:A6,A6,
             $B$2:B6,B6,
             $C$2:C6,C6,
             $D$2:D6,D6,
              $H$2:H6,H6)&gt;1,
   "Doublon",
   "Correcte"
)</f>
        <v>Correcte</v>
      </c>
      <c r="J6" s="16" t="str">
        <f>_xlfn.TEXTBEFORE(mouvement_fourniture[[#This Row],[Code]],"_")</f>
        <v>Etiquette</v>
      </c>
      <c r="K6" s="16" t="str">
        <f>_xlfn.TEXTAFTER(mouvement_fourniture[[#This Row],[Code]],"_")</f>
        <v>TFP100C</v>
      </c>
      <c r="L6" s="16" t="str">
        <f>IF(mouvement_fourniture[[#This Row],[QR Commande]]&lt;&gt;"",INDEX(_xlfn.TEXTSPLIT(mouvement_fourniture[[#This Row],[QR Commande]],"_"),1,1),"")</f>
        <v/>
      </c>
      <c r="M6" s="16" t="str">
        <f>IF(mouvement_fourniture[[#This Row],[QR Commande]]&lt;&gt;"",INDEX(_xlfn.TEXTSPLIT(mouvement_fourniture[[#This Row],[QR Commande]],"_"),1,2),"")</f>
        <v/>
      </c>
    </row>
    <row r="7" spans="1:13" x14ac:dyDescent="0.25">
      <c r="A7" s="16"/>
      <c r="B7" s="16" t="s">
        <v>1235</v>
      </c>
      <c r="C7" s="16" t="s">
        <v>662</v>
      </c>
      <c r="D7" s="16">
        <v>422</v>
      </c>
      <c r="E7" s="16"/>
      <c r="F7" s="16"/>
      <c r="G7" s="16" t="s">
        <v>664</v>
      </c>
      <c r="H7" s="23">
        <v>45915</v>
      </c>
      <c r="I7" s="16" t="str">
        <f>IF(
   COUNTIFS($A$2:A7,A7,
             $B$2:B7,B7,
             $C$2:C7,C7,
             $D$2:D7,D7,
              $H$2:H7,H7)&gt;1,
   "Doublon",
   "Correcte"
)</f>
        <v>Correcte</v>
      </c>
      <c r="J7" s="16" t="str">
        <f>_xlfn.TEXTBEFORE(mouvement_fourniture[[#This Row],[Code]],"_")</f>
        <v>Etiquette</v>
      </c>
      <c r="K7" s="16" t="str">
        <f>_xlfn.TEXTAFTER(mouvement_fourniture[[#This Row],[Code]],"_")</f>
        <v>TMK100C</v>
      </c>
      <c r="L7" s="16" t="str">
        <f>IF(mouvement_fourniture[[#This Row],[QR Commande]]&lt;&gt;"",INDEX(_xlfn.TEXTSPLIT(mouvement_fourniture[[#This Row],[QR Commande]],"_"),1,1),"")</f>
        <v/>
      </c>
      <c r="M7" s="16" t="str">
        <f>IF(mouvement_fourniture[[#This Row],[QR Commande]]&lt;&gt;"",INDEX(_xlfn.TEXTSPLIT(mouvement_fourniture[[#This Row],[QR Commande]],"_"),1,2),"")</f>
        <v/>
      </c>
    </row>
    <row r="8" spans="1:13" x14ac:dyDescent="0.25">
      <c r="A8" s="16"/>
      <c r="B8" s="16" t="s">
        <v>1236</v>
      </c>
      <c r="C8" s="16" t="s">
        <v>662</v>
      </c>
      <c r="D8" s="16">
        <v>4700</v>
      </c>
      <c r="E8" s="16"/>
      <c r="F8" s="16"/>
      <c r="G8" s="16" t="s">
        <v>664</v>
      </c>
      <c r="H8" s="23">
        <v>45915</v>
      </c>
      <c r="I8" s="16" t="str">
        <f>IF(
   COUNTIFS($A$2:A8,A8,
             $B$2:B8,B8,
             $C$2:C8,C8,
             $D$2:D8,D8,
              $H$2:H8,H8)&gt;1,
   "Doublon",
   "Correcte"
)</f>
        <v>Correcte</v>
      </c>
      <c r="J8" s="16" t="str">
        <f>_xlfn.TEXTBEFORE(mouvement_fourniture[[#This Row],[Code]],"_")</f>
        <v>Etiquette</v>
      </c>
      <c r="K8" s="16" t="str">
        <f>_xlfn.TEXTAFTER(mouvement_fourniture[[#This Row],[Code]],"_")</f>
        <v>TSP100C</v>
      </c>
      <c r="L8" s="16" t="str">
        <f>IF(mouvement_fourniture[[#This Row],[QR Commande]]&lt;&gt;"",INDEX(_xlfn.TEXTSPLIT(mouvement_fourniture[[#This Row],[QR Commande]],"_"),1,1),"")</f>
        <v/>
      </c>
      <c r="M8" s="16" t="str">
        <f>IF(mouvement_fourniture[[#This Row],[QR Commande]]&lt;&gt;"",INDEX(_xlfn.TEXTSPLIT(mouvement_fourniture[[#This Row],[QR Commande]],"_"),1,2),"")</f>
        <v/>
      </c>
    </row>
    <row r="9" spans="1:13" x14ac:dyDescent="0.25">
      <c r="A9" s="16"/>
      <c r="B9" s="16" t="s">
        <v>1237</v>
      </c>
      <c r="C9" s="16" t="s">
        <v>662</v>
      </c>
      <c r="D9" s="16">
        <v>6061</v>
      </c>
      <c r="E9" s="16"/>
      <c r="F9" s="16"/>
      <c r="G9" s="16" t="s">
        <v>664</v>
      </c>
      <c r="H9" s="23">
        <v>45915</v>
      </c>
      <c r="I9" s="16" t="str">
        <f>IF(
   COUNTIFS($A$2:A9,A9,
             $B$2:B9,B9,
             $C$2:C9,C9,
             $D$2:D9,D9,
              $H$2:H9,H9)&gt;1,
   "Doublon",
   "Correcte"
)</f>
        <v>Correcte</v>
      </c>
      <c r="J9" s="16" t="str">
        <f>_xlfn.TEXTBEFORE(mouvement_fourniture[[#This Row],[Code]],"_")</f>
        <v>Etiquette</v>
      </c>
      <c r="K9" s="16" t="str">
        <f>_xlfn.TEXTAFTER(mouvement_fourniture[[#This Row],[Code]],"_")</f>
        <v>TMF100M</v>
      </c>
      <c r="L9" s="16" t="str">
        <f>IF(mouvement_fourniture[[#This Row],[QR Commande]]&lt;&gt;"",INDEX(_xlfn.TEXTSPLIT(mouvement_fourniture[[#This Row],[QR Commande]],"_"),1,1),"")</f>
        <v/>
      </c>
      <c r="M9" s="16" t="str">
        <f>IF(mouvement_fourniture[[#This Row],[QR Commande]]&lt;&gt;"",INDEX(_xlfn.TEXTSPLIT(mouvement_fourniture[[#This Row],[QR Commande]],"_"),1,2),"")</f>
        <v/>
      </c>
    </row>
    <row r="10" spans="1:13" x14ac:dyDescent="0.25">
      <c r="A10" s="16"/>
      <c r="B10" s="16" t="s">
        <v>1238</v>
      </c>
      <c r="C10" s="16" t="s">
        <v>662</v>
      </c>
      <c r="D10" s="16">
        <v>2477</v>
      </c>
      <c r="E10" s="16"/>
      <c r="F10" s="16"/>
      <c r="G10" s="16" t="s">
        <v>664</v>
      </c>
      <c r="H10" s="23">
        <v>45915</v>
      </c>
      <c r="I10" s="16" t="str">
        <f>IF(
   COUNTIFS($A$2:A10,A10,
             $B$2:B10,B10,
             $C$2:C10,C10,
             $D$2:D10,D10,
              $H$2:H10,H10)&gt;1,
   "Doublon",
   "Correcte"
)</f>
        <v>Correcte</v>
      </c>
      <c r="J10" s="16" t="str">
        <f>_xlfn.TEXTBEFORE(mouvement_fourniture[[#This Row],[Code]],"_")</f>
        <v>Etiquette</v>
      </c>
      <c r="K10" s="16" t="str">
        <f>_xlfn.TEXTAFTER(mouvement_fourniture[[#This Row],[Code]],"_")</f>
        <v>TCP100C</v>
      </c>
      <c r="L10" s="16" t="str">
        <f>IF(mouvement_fourniture[[#This Row],[QR Commande]]&lt;&gt;"",INDEX(_xlfn.TEXTSPLIT(mouvement_fourniture[[#This Row],[QR Commande]],"_"),1,1),"")</f>
        <v/>
      </c>
      <c r="M10" s="16" t="str">
        <f>IF(mouvement_fourniture[[#This Row],[QR Commande]]&lt;&gt;"",INDEX(_xlfn.TEXTSPLIT(mouvement_fourniture[[#This Row],[QR Commande]],"_"),1,2),"")</f>
        <v/>
      </c>
    </row>
    <row r="11" spans="1:13" x14ac:dyDescent="0.25">
      <c r="A11" s="16"/>
      <c r="B11" s="16" t="s">
        <v>1239</v>
      </c>
      <c r="C11" s="16" t="s">
        <v>662</v>
      </c>
      <c r="D11" s="16">
        <v>1108</v>
      </c>
      <c r="E11" s="16"/>
      <c r="F11" s="16"/>
      <c r="G11" s="16" t="s">
        <v>664</v>
      </c>
      <c r="H11" s="23">
        <v>45915</v>
      </c>
      <c r="I11" s="16" t="str">
        <f>IF(
   COUNTIFS($A$2:A11,A11,
             $B$2:B11,B11,
             $C$2:C11,C11,
             $D$2:D11,D11,
              $H$2:H11,H11)&gt;1,
   "Doublon",
   "Correcte"
)</f>
        <v>Correcte</v>
      </c>
      <c r="J11" s="16" t="str">
        <f>_xlfn.TEXTBEFORE(mouvement_fourniture[[#This Row],[Code]],"_")</f>
        <v>Etiquette</v>
      </c>
      <c r="K11" s="16" t="str">
        <f>_xlfn.TEXTAFTER(mouvement_fourniture[[#This Row],[Code]],"_")</f>
        <v>TCD100C</v>
      </c>
      <c r="L11" s="16" t="str">
        <f>IF(mouvement_fourniture[[#This Row],[QR Commande]]&lt;&gt;"",INDEX(_xlfn.TEXTSPLIT(mouvement_fourniture[[#This Row],[QR Commande]],"_"),1,1),"")</f>
        <v/>
      </c>
      <c r="M11" s="16" t="str">
        <f>IF(mouvement_fourniture[[#This Row],[QR Commande]]&lt;&gt;"",INDEX(_xlfn.TEXTSPLIT(mouvement_fourniture[[#This Row],[QR Commande]],"_"),1,2),"")</f>
        <v/>
      </c>
    </row>
    <row r="12" spans="1:13" x14ac:dyDescent="0.25">
      <c r="A12" s="16"/>
      <c r="B12" s="16" t="s">
        <v>1238</v>
      </c>
      <c r="C12" s="16" t="s">
        <v>662</v>
      </c>
      <c r="D12" s="16">
        <v>1350</v>
      </c>
      <c r="E12" s="16"/>
      <c r="F12" s="16"/>
      <c r="G12" s="16" t="s">
        <v>664</v>
      </c>
      <c r="H12" s="23">
        <v>45915</v>
      </c>
      <c r="I12" s="16" t="str">
        <f>IF(
   COUNTIFS($A$2:A12,A12,
             $B$2:B12,B12,
             $C$2:C12,C12,
             $D$2:D12,D12,
              $H$2:H12,H12)&gt;1,
   "Doublon",
   "Correcte"
)</f>
        <v>Correcte</v>
      </c>
      <c r="J12" s="16" t="str">
        <f>_xlfn.TEXTBEFORE(mouvement_fourniture[[#This Row],[Code]],"_")</f>
        <v>Etiquette</v>
      </c>
      <c r="K12" s="16" t="str">
        <f>_xlfn.TEXTAFTER(mouvement_fourniture[[#This Row],[Code]],"_")</f>
        <v>TCP100C</v>
      </c>
      <c r="L12" s="16" t="str">
        <f>IF(mouvement_fourniture[[#This Row],[QR Commande]]&lt;&gt;"",INDEX(_xlfn.TEXTSPLIT(mouvement_fourniture[[#This Row],[QR Commande]],"_"),1,1),"")</f>
        <v/>
      </c>
      <c r="M12" s="16" t="str">
        <f>IF(mouvement_fourniture[[#This Row],[QR Commande]]&lt;&gt;"",INDEX(_xlfn.TEXTSPLIT(mouvement_fourniture[[#This Row],[QR Commande]],"_"),1,2),"")</f>
        <v/>
      </c>
    </row>
    <row r="13" spans="1:13" x14ac:dyDescent="0.25">
      <c r="A13" s="16"/>
      <c r="B13" s="16" t="s">
        <v>1240</v>
      </c>
      <c r="C13" s="16" t="s">
        <v>662</v>
      </c>
      <c r="D13" s="16">
        <v>757</v>
      </c>
      <c r="E13" s="16"/>
      <c r="F13" s="16"/>
      <c r="G13" s="16" t="s">
        <v>664</v>
      </c>
      <c r="H13" s="23">
        <v>45915</v>
      </c>
      <c r="I13" s="16" t="str">
        <f>IF(
   COUNTIFS($A$2:A13,A13,
             $B$2:B13,B13,
             $C$2:C13,C13,
             $D$2:D13,D13,
              $H$2:H13,H13)&gt;1,
   "Doublon",
   "Correcte"
)</f>
        <v>Correcte</v>
      </c>
      <c r="J13" s="16" t="str">
        <f>_xlfn.TEXTBEFORE(mouvement_fourniture[[#This Row],[Code]],"_")</f>
        <v>Etiquette</v>
      </c>
      <c r="K13" s="16" t="str">
        <f>_xlfn.TEXTAFTER(mouvement_fourniture[[#This Row],[Code]],"_")</f>
        <v>TDEL100C</v>
      </c>
      <c r="L13" s="16" t="str">
        <f>IF(mouvement_fourniture[[#This Row],[QR Commande]]&lt;&gt;"",INDEX(_xlfn.TEXTSPLIT(mouvement_fourniture[[#This Row],[QR Commande]],"_"),1,1),"")</f>
        <v/>
      </c>
      <c r="M13" s="16" t="str">
        <f>IF(mouvement_fourniture[[#This Row],[QR Commande]]&lt;&gt;"",INDEX(_xlfn.TEXTSPLIT(mouvement_fourniture[[#This Row],[QR Commande]],"_"),1,2),"")</f>
        <v/>
      </c>
    </row>
    <row r="14" spans="1:13" x14ac:dyDescent="0.25">
      <c r="A14" s="16"/>
      <c r="B14" s="16" t="s">
        <v>1241</v>
      </c>
      <c r="C14" s="16" t="s">
        <v>662</v>
      </c>
      <c r="D14" s="16">
        <v>516</v>
      </c>
      <c r="E14" s="16"/>
      <c r="F14" s="16"/>
      <c r="G14" s="16" t="s">
        <v>664</v>
      </c>
      <c r="H14" s="23">
        <v>45915</v>
      </c>
      <c r="I14" s="16" t="str">
        <f>IF(
   COUNTIFS($A$2:A14,A14,
             $B$2:B14,B14,
             $C$2:C14,C14,
             $D$2:D14,D14,
              $H$2:H14,H14)&gt;1,
   "Doublon",
   "Correcte"
)</f>
        <v>Correcte</v>
      </c>
      <c r="J14" s="16" t="str">
        <f>_xlfn.TEXTBEFORE(mouvement_fourniture[[#This Row],[Code]],"_")</f>
        <v>Etiquette</v>
      </c>
      <c r="K14" s="16" t="str">
        <f>_xlfn.TEXTAFTER(mouvement_fourniture[[#This Row],[Code]],"_")</f>
        <v>TBYS100C</v>
      </c>
      <c r="L14" s="16" t="str">
        <f>IF(mouvement_fourniture[[#This Row],[QR Commande]]&lt;&gt;"",INDEX(_xlfn.TEXTSPLIT(mouvement_fourniture[[#This Row],[QR Commande]],"_"),1,1),"")</f>
        <v/>
      </c>
      <c r="M14" s="16" t="str">
        <f>IF(mouvement_fourniture[[#This Row],[QR Commande]]&lt;&gt;"",INDEX(_xlfn.TEXTSPLIT(mouvement_fourniture[[#This Row],[QR Commande]],"_"),1,2),"")</f>
        <v/>
      </c>
    </row>
    <row r="15" spans="1:13" x14ac:dyDescent="0.25">
      <c r="A15" s="16"/>
      <c r="B15" s="16" t="s">
        <v>1242</v>
      </c>
      <c r="C15" s="16" t="s">
        <v>662</v>
      </c>
      <c r="D15" s="16">
        <v>329</v>
      </c>
      <c r="E15" s="16"/>
      <c r="F15" s="16"/>
      <c r="G15" s="16" t="s">
        <v>664</v>
      </c>
      <c r="H15" s="23">
        <v>45915</v>
      </c>
      <c r="I15" s="16" t="str">
        <f>IF(
   COUNTIFS($A$2:A15,A15,
             $B$2:B15,B15,
             $C$2:C15,C15,
             $D$2:D15,D15,
              $H$2:H15,H15)&gt;1,
   "Doublon",
   "Correcte"
)</f>
        <v>Correcte</v>
      </c>
      <c r="J15" s="16" t="str">
        <f>_xlfn.TEXTBEFORE(mouvement_fourniture[[#This Row],[Code]],"_")</f>
        <v>Etiquette</v>
      </c>
      <c r="K15" s="16" t="str">
        <f>_xlfn.TEXTAFTER(mouvement_fourniture[[#This Row],[Code]],"_")</f>
        <v>TBEM100M</v>
      </c>
      <c r="L15" s="16" t="str">
        <f>IF(mouvement_fourniture[[#This Row],[QR Commande]]&lt;&gt;"",INDEX(_xlfn.TEXTSPLIT(mouvement_fourniture[[#This Row],[QR Commande]],"_"),1,1),"")</f>
        <v/>
      </c>
      <c r="M15" s="16" t="str">
        <f>IF(mouvement_fourniture[[#This Row],[QR Commande]]&lt;&gt;"",INDEX(_xlfn.TEXTSPLIT(mouvement_fourniture[[#This Row],[QR Commande]],"_"),1,2),"")</f>
        <v/>
      </c>
    </row>
    <row r="16" spans="1:13" x14ac:dyDescent="0.25">
      <c r="A16" s="16"/>
      <c r="B16" s="16" t="s">
        <v>1243</v>
      </c>
      <c r="C16" s="16" t="s">
        <v>662</v>
      </c>
      <c r="D16" s="16">
        <v>269</v>
      </c>
      <c r="E16" s="16"/>
      <c r="F16" s="16"/>
      <c r="G16" s="16" t="s">
        <v>664</v>
      </c>
      <c r="H16" s="23">
        <v>45915</v>
      </c>
      <c r="I16" s="16" t="str">
        <f>IF(
   COUNTIFS($A$2:A16,A16,
             $B$2:B16,B16,
             $C$2:C16,C16,
             $D$2:D16,D16,
              $H$2:H16,H16)&gt;1,
   "Doublon",
   "Correcte"
)</f>
        <v>Correcte</v>
      </c>
      <c r="J16" s="16" t="str">
        <f>_xlfn.TEXTBEFORE(mouvement_fourniture[[#This Row],[Code]],"_")</f>
        <v>Etiquette</v>
      </c>
      <c r="K16" s="16" t="str">
        <f>_xlfn.TEXTAFTER(mouvement_fourniture[[#This Row],[Code]],"_")</f>
        <v>TSW100S</v>
      </c>
      <c r="L16" s="16" t="str">
        <f>IF(mouvement_fourniture[[#This Row],[QR Commande]]&lt;&gt;"",INDEX(_xlfn.TEXTSPLIT(mouvement_fourniture[[#This Row],[QR Commande]],"_"),1,1),"")</f>
        <v/>
      </c>
      <c r="M16" s="16" t="str">
        <f>IF(mouvement_fourniture[[#This Row],[QR Commande]]&lt;&gt;"",INDEX(_xlfn.TEXTSPLIT(mouvement_fourniture[[#This Row],[QR Commande]],"_"),1,2),"")</f>
        <v/>
      </c>
    </row>
    <row r="17" spans="1:13" x14ac:dyDescent="0.25">
      <c r="A17" s="16"/>
      <c r="B17" s="16" t="s">
        <v>1244</v>
      </c>
      <c r="C17" s="16" t="s">
        <v>662</v>
      </c>
      <c r="D17" s="16">
        <v>190</v>
      </c>
      <c r="E17" s="16"/>
      <c r="F17" s="16"/>
      <c r="G17" s="16" t="s">
        <v>664</v>
      </c>
      <c r="H17" s="23">
        <v>45915</v>
      </c>
      <c r="I17" s="16" t="str">
        <f>IF(
   COUNTIFS($A$2:A17,A17,
             $B$2:B17,B17,
             $C$2:C17,C17,
             $D$2:D17,D17,
              $H$2:H17,H17)&gt;1,
   "Doublon",
   "Correcte"
)</f>
        <v>Correcte</v>
      </c>
      <c r="J17" s="16" t="str">
        <f>_xlfn.TEXTBEFORE(mouvement_fourniture[[#This Row],[Code]],"_")</f>
        <v>Etiquette</v>
      </c>
      <c r="K17" s="16" t="str">
        <f>_xlfn.TEXTAFTER(mouvement_fourniture[[#This Row],[Code]],"_")</f>
        <v>TCSE100 C</v>
      </c>
      <c r="L17" s="16" t="str">
        <f>IF(mouvement_fourniture[[#This Row],[QR Commande]]&lt;&gt;"",INDEX(_xlfn.TEXTSPLIT(mouvement_fourniture[[#This Row],[QR Commande]],"_"),1,1),"")</f>
        <v/>
      </c>
      <c r="M17" s="16" t="str">
        <f>IF(mouvement_fourniture[[#This Row],[QR Commande]]&lt;&gt;"",INDEX(_xlfn.TEXTSPLIT(mouvement_fourniture[[#This Row],[QR Commande]],"_"),1,2),"")</f>
        <v/>
      </c>
    </row>
    <row r="18" spans="1:13" x14ac:dyDescent="0.25">
      <c r="A18" s="16"/>
      <c r="B18" s="16" t="s">
        <v>1245</v>
      </c>
      <c r="C18" s="16" t="s">
        <v>662</v>
      </c>
      <c r="D18" s="16">
        <v>597</v>
      </c>
      <c r="E18" s="16"/>
      <c r="F18" s="16"/>
      <c r="G18" s="16" t="s">
        <v>664</v>
      </c>
      <c r="H18" s="23">
        <v>45915</v>
      </c>
      <c r="I18" s="16" t="str">
        <f>IF(
   COUNTIFS($A$2:A18,A18,
             $B$2:B18,B18,
             $C$2:C18,C18,
             $D$2:D18,D18,
              $H$2:H18,H18)&gt;1,
   "Doublon",
   "Correcte"
)</f>
        <v>Correcte</v>
      </c>
      <c r="J18" s="16" t="str">
        <f>_xlfn.TEXTBEFORE(mouvement_fourniture[[#This Row],[Code]],"_")</f>
        <v>Etiquette</v>
      </c>
      <c r="K18" s="16" t="str">
        <f>_xlfn.TEXTAFTER(mouvement_fourniture[[#This Row],[Code]],"_")</f>
        <v>TCO100C</v>
      </c>
      <c r="L18" s="16" t="str">
        <f>IF(mouvement_fourniture[[#This Row],[QR Commande]]&lt;&gt;"",INDEX(_xlfn.TEXTSPLIT(mouvement_fourniture[[#This Row],[QR Commande]],"_"),1,1),"")</f>
        <v/>
      </c>
      <c r="M18" s="16" t="str">
        <f>IF(mouvement_fourniture[[#This Row],[QR Commande]]&lt;&gt;"",INDEX(_xlfn.TEXTSPLIT(mouvement_fourniture[[#This Row],[QR Commande]],"_"),1,2),"")</f>
        <v/>
      </c>
    </row>
    <row r="19" spans="1:13" x14ac:dyDescent="0.25">
      <c r="A19" s="16"/>
      <c r="B19" s="16" t="s">
        <v>1246</v>
      </c>
      <c r="C19" s="16" t="s">
        <v>662</v>
      </c>
      <c r="D19" s="16">
        <v>177</v>
      </c>
      <c r="E19" s="16"/>
      <c r="F19" s="16"/>
      <c r="G19" s="16" t="s">
        <v>664</v>
      </c>
      <c r="H19" s="23">
        <v>45915</v>
      </c>
      <c r="I19" s="16" t="str">
        <f>IF(
   COUNTIFS($A$2:A19,A19,
             $B$2:B19,B19,
             $C$2:C19,C19,
             $D$2:D19,D19,
              $H$2:H19,H19)&gt;1,
   "Doublon",
   "Correcte"
)</f>
        <v>Correcte</v>
      </c>
      <c r="J19" s="16" t="str">
        <f>_xlfn.TEXTBEFORE(mouvement_fourniture[[#This Row],[Code]],"_")</f>
        <v>Etiquette</v>
      </c>
      <c r="K19" s="16" t="str">
        <f>_xlfn.TEXTAFTER(mouvement_fourniture[[#This Row],[Code]],"_")</f>
        <v>TCSEPAM100C</v>
      </c>
      <c r="L19" s="16" t="str">
        <f>IF(mouvement_fourniture[[#This Row],[QR Commande]]&lt;&gt;"",INDEX(_xlfn.TEXTSPLIT(mouvement_fourniture[[#This Row],[QR Commande]],"_"),1,1),"")</f>
        <v/>
      </c>
      <c r="M19" s="16" t="str">
        <f>IF(mouvement_fourniture[[#This Row],[QR Commande]]&lt;&gt;"",INDEX(_xlfn.TEXTSPLIT(mouvement_fourniture[[#This Row],[QR Commande]],"_"),1,2),"")</f>
        <v/>
      </c>
    </row>
    <row r="20" spans="1:13" x14ac:dyDescent="0.25">
      <c r="A20" s="16"/>
      <c r="B20" s="16" t="s">
        <v>1247</v>
      </c>
      <c r="C20" s="16" t="s">
        <v>662</v>
      </c>
      <c r="D20" s="16">
        <v>145</v>
      </c>
      <c r="E20" s="16"/>
      <c r="F20" s="16"/>
      <c r="G20" s="16" t="s">
        <v>664</v>
      </c>
      <c r="H20" s="23">
        <v>45915</v>
      </c>
      <c r="I20" s="16" t="str">
        <f>IF(
   COUNTIFS($A$2:A20,A20,
             $B$2:B20,B20,
             $C$2:C20,C20,
             $D$2:D20,D20,
              $H$2:H20,H20)&gt;1,
   "Doublon",
   "Correcte"
)</f>
        <v>Correcte</v>
      </c>
      <c r="J20" s="16" t="str">
        <f>_xlfn.TEXTBEFORE(mouvement_fourniture[[#This Row],[Code]],"_")</f>
        <v>Etiquette</v>
      </c>
      <c r="K20" s="16" t="str">
        <f>_xlfn.TEXTAFTER(mouvement_fourniture[[#This Row],[Code]],"_")</f>
        <v>TLSEM100C</v>
      </c>
      <c r="L20" s="16" t="str">
        <f>IF(mouvement_fourniture[[#This Row],[QR Commande]]&lt;&gt;"",INDEX(_xlfn.TEXTSPLIT(mouvement_fourniture[[#This Row],[QR Commande]],"_"),1,1),"")</f>
        <v/>
      </c>
      <c r="M20" s="16" t="str">
        <f>IF(mouvement_fourniture[[#This Row],[QR Commande]]&lt;&gt;"",INDEX(_xlfn.TEXTSPLIT(mouvement_fourniture[[#This Row],[QR Commande]],"_"),1,2),"")</f>
        <v/>
      </c>
    </row>
    <row r="21" spans="1:13" x14ac:dyDescent="0.25">
      <c r="A21" s="16"/>
      <c r="B21" s="16" t="s">
        <v>1248</v>
      </c>
      <c r="C21" s="16" t="s">
        <v>662</v>
      </c>
      <c r="D21" s="16">
        <v>257</v>
      </c>
      <c r="E21" s="16"/>
      <c r="F21" s="16"/>
      <c r="G21" s="16" t="s">
        <v>664</v>
      </c>
      <c r="H21" s="23">
        <v>45915</v>
      </c>
      <c r="I21" s="16" t="str">
        <f>IF(
   COUNTIFS($A$2:A21,A21,
             $B$2:B21,B21,
             $C$2:C21,C21,
             $D$2:D21,D21,
              $H$2:H21,H21)&gt;1,
   "Doublon",
   "Correcte"
)</f>
        <v>Correcte</v>
      </c>
      <c r="J21" s="16" t="str">
        <f>_xlfn.TEXTBEFORE(mouvement_fourniture[[#This Row],[Code]],"_")</f>
        <v>Etiquette</v>
      </c>
      <c r="K21" s="16" t="str">
        <f>_xlfn.TEXTAFTER(mouvement_fourniture[[#This Row],[Code]],"_")</f>
        <v>TKA100C</v>
      </c>
      <c r="L21" s="16" t="str">
        <f>IF(mouvement_fourniture[[#This Row],[QR Commande]]&lt;&gt;"",INDEX(_xlfn.TEXTSPLIT(mouvement_fourniture[[#This Row],[QR Commande]],"_"),1,1),"")</f>
        <v/>
      </c>
      <c r="M21" s="16" t="str">
        <f>IF(mouvement_fourniture[[#This Row],[QR Commande]]&lt;&gt;"",INDEX(_xlfn.TEXTSPLIT(mouvement_fourniture[[#This Row],[QR Commande]],"_"),1,2),"")</f>
        <v/>
      </c>
    </row>
    <row r="22" spans="1:13" x14ac:dyDescent="0.25">
      <c r="A22" s="16"/>
      <c r="B22" s="16" t="s">
        <v>1249</v>
      </c>
      <c r="C22" s="16" t="s">
        <v>662</v>
      </c>
      <c r="D22" s="16">
        <v>978</v>
      </c>
      <c r="E22" s="16"/>
      <c r="F22" s="16"/>
      <c r="G22" s="16" t="s">
        <v>664</v>
      </c>
      <c r="H22" s="23">
        <v>45915</v>
      </c>
      <c r="I22" s="16" t="str">
        <f>IF(
   COUNTIFS($A$2:A22,A22,
             $B$2:B22,B22,
             $C$2:C22,C22,
             $D$2:D22,D22,
              $H$2:H22,H22)&gt;1,
   "Doublon",
   "Correcte"
)</f>
        <v>Correcte</v>
      </c>
      <c r="J22" s="16" t="str">
        <f>_xlfn.TEXTBEFORE(mouvement_fourniture[[#This Row],[Code]],"_")</f>
        <v>Polybag</v>
      </c>
      <c r="K22" s="16" t="str">
        <f>_xlfn.TEXTAFTER(mouvement_fourniture[[#This Row],[Code]],"_")</f>
        <v>P4530</v>
      </c>
      <c r="L22" s="16" t="str">
        <f>IF(mouvement_fourniture[[#This Row],[QR Commande]]&lt;&gt;"",INDEX(_xlfn.TEXTSPLIT(mouvement_fourniture[[#This Row],[QR Commande]],"_"),1,1),"")</f>
        <v/>
      </c>
      <c r="M22" s="16" t="str">
        <f>IF(mouvement_fourniture[[#This Row],[QR Commande]]&lt;&gt;"",INDEX(_xlfn.TEXTSPLIT(mouvement_fourniture[[#This Row],[QR Commande]],"_"),1,2),"")</f>
        <v/>
      </c>
    </row>
    <row r="23" spans="1:13" x14ac:dyDescent="0.25">
      <c r="A23" s="16"/>
      <c r="B23" s="16" t="s">
        <v>1250</v>
      </c>
      <c r="C23" s="16" t="s">
        <v>662</v>
      </c>
      <c r="D23" s="16">
        <v>628</v>
      </c>
      <c r="E23" s="16"/>
      <c r="F23" s="16"/>
      <c r="G23" s="16" t="s">
        <v>664</v>
      </c>
      <c r="H23" s="23">
        <v>45915</v>
      </c>
      <c r="I23" s="16" t="str">
        <f>IF(
   COUNTIFS($A$2:A23,A23,
             $B$2:B23,B23,
             $C$2:C23,C23,
             $D$2:D23,D23,
              $H$2:H23,H23)&gt;1,
   "Doublon",
   "Correcte"
)</f>
        <v>Correcte</v>
      </c>
      <c r="J23" s="16" t="str">
        <f>_xlfn.TEXTBEFORE(mouvement_fourniture[[#This Row],[Code]],"_")</f>
        <v>Polybag</v>
      </c>
      <c r="K23" s="16" t="str">
        <f>_xlfn.TEXTAFTER(mouvement_fourniture[[#This Row],[Code]],"_")</f>
        <v>P6040</v>
      </c>
      <c r="L23" s="16" t="str">
        <f>IF(mouvement_fourniture[[#This Row],[QR Commande]]&lt;&gt;"",INDEX(_xlfn.TEXTSPLIT(mouvement_fourniture[[#This Row],[QR Commande]],"_"),1,1),"")</f>
        <v/>
      </c>
      <c r="M23" s="16" t="str">
        <f>IF(mouvement_fourniture[[#This Row],[QR Commande]]&lt;&gt;"",INDEX(_xlfn.TEXTSPLIT(mouvement_fourniture[[#This Row],[QR Commande]],"_"),1,2),"")</f>
        <v/>
      </c>
    </row>
    <row r="24" spans="1:13" x14ac:dyDescent="0.25">
      <c r="A24" s="16"/>
      <c r="B24" s="16" t="s">
        <v>1251</v>
      </c>
      <c r="C24" s="16" t="s">
        <v>662</v>
      </c>
      <c r="D24" s="16">
        <v>67</v>
      </c>
      <c r="E24" s="16"/>
      <c r="F24" s="16"/>
      <c r="G24" s="16" t="s">
        <v>664</v>
      </c>
      <c r="H24" s="23">
        <v>45915</v>
      </c>
      <c r="I24" s="16" t="str">
        <f>IF(
   COUNTIFS($A$2:A24,A24,
             $B$2:B24,B24,
             $C$2:C24,C24,
             $D$2:D24,D24,
              $H$2:H24,H24)&gt;1,
   "Doublon",
   "Correcte"
)</f>
        <v>Correcte</v>
      </c>
      <c r="J24" s="16" t="str">
        <f>_xlfn.TEXTBEFORE(mouvement_fourniture[[#This Row],[Code]],"_")</f>
        <v>Polybag</v>
      </c>
      <c r="K24" s="16" t="str">
        <f>_xlfn.TEXTAFTER(mouvement_fourniture[[#This Row],[Code]],"_")</f>
        <v>P12075</v>
      </c>
      <c r="L24" s="16" t="str">
        <f>IF(mouvement_fourniture[[#This Row],[QR Commande]]&lt;&gt;"",INDEX(_xlfn.TEXTSPLIT(mouvement_fourniture[[#This Row],[QR Commande]],"_"),1,1),"")</f>
        <v/>
      </c>
      <c r="M24" s="16" t="str">
        <f>IF(mouvement_fourniture[[#This Row],[QR Commande]]&lt;&gt;"",INDEX(_xlfn.TEXTSPLIT(mouvement_fourniture[[#This Row],[QR Commande]],"_"),1,2),"")</f>
        <v/>
      </c>
    </row>
    <row r="25" spans="1:13" x14ac:dyDescent="0.25">
      <c r="A25" s="16"/>
      <c r="B25" s="16" t="s">
        <v>1252</v>
      </c>
      <c r="C25" s="16" t="s">
        <v>662</v>
      </c>
      <c r="D25" s="16">
        <v>3153</v>
      </c>
      <c r="E25" s="16"/>
      <c r="F25" s="16"/>
      <c r="G25" s="16" t="s">
        <v>664</v>
      </c>
      <c r="H25" s="23">
        <v>45915</v>
      </c>
      <c r="I25" s="16" t="str">
        <f>IF(
   COUNTIFS($A$2:A25,A25,
             $B$2:B25,B25,
             $C$2:C25,C25,
             $D$2:D25,D25,
              $H$2:H25,H25)&gt;1,
   "Doublon",
   "Correcte"
)</f>
        <v>Correcte</v>
      </c>
      <c r="J25" s="16" t="str">
        <f>_xlfn.TEXTBEFORE(mouvement_fourniture[[#This Row],[Code]],"_")</f>
        <v>Etiquette</v>
      </c>
      <c r="K25" s="16" t="str">
        <f>_xlfn.TEXTAFTER(mouvement_fourniture[[#This Row],[Code]],"_")</f>
        <v>TSC100C</v>
      </c>
      <c r="L25" s="16" t="str">
        <f>IF(mouvement_fourniture[[#This Row],[QR Commande]]&lt;&gt;"",INDEX(_xlfn.TEXTSPLIT(mouvement_fourniture[[#This Row],[QR Commande]],"_"),1,1),"")</f>
        <v/>
      </c>
      <c r="M25" s="16" t="str">
        <f>IF(mouvement_fourniture[[#This Row],[QR Commande]]&lt;&gt;"",INDEX(_xlfn.TEXTSPLIT(mouvement_fourniture[[#This Row],[QR Commande]],"_"),1,2),"")</f>
        <v/>
      </c>
    </row>
    <row r="26" spans="1:13" x14ac:dyDescent="0.25">
      <c r="A26" s="16"/>
      <c r="B26" s="16" t="s">
        <v>1253</v>
      </c>
      <c r="C26" s="16" t="s">
        <v>662</v>
      </c>
      <c r="D26" s="16">
        <v>3645</v>
      </c>
      <c r="E26" s="16"/>
      <c r="F26" s="16"/>
      <c r="G26" s="16" t="s">
        <v>664</v>
      </c>
      <c r="H26" s="23">
        <v>45915</v>
      </c>
      <c r="I26" s="16" t="str">
        <f>IF(
   COUNTIFS($A$2:A26,A26,
             $B$2:B26,B26,
             $C$2:C26,C26,
             $D$2:D26,D26,
              $H$2:H26,H26)&gt;1,
   "Doublon",
   "Correcte"
)</f>
        <v>Correcte</v>
      </c>
      <c r="J26" s="16" t="str">
        <f>_xlfn.TEXTBEFORE(mouvement_fourniture[[#This Row],[Code]],"_")</f>
        <v>Etiquette</v>
      </c>
      <c r="K26" s="16" t="str">
        <f>_xlfn.TEXTAFTER(mouvement_fourniture[[#This Row],[Code]],"_")</f>
        <v>TL100C</v>
      </c>
      <c r="L26" s="16" t="str">
        <f>IF(mouvement_fourniture[[#This Row],[QR Commande]]&lt;&gt;"",INDEX(_xlfn.TEXTSPLIT(mouvement_fourniture[[#This Row],[QR Commande]],"_"),1,1),"")</f>
        <v/>
      </c>
      <c r="M26" s="16" t="str">
        <f>IF(mouvement_fourniture[[#This Row],[QR Commande]]&lt;&gt;"",INDEX(_xlfn.TEXTSPLIT(mouvement_fourniture[[#This Row],[QR Commande]],"_"),1,2),"")</f>
        <v/>
      </c>
    </row>
    <row r="27" spans="1:13" x14ac:dyDescent="0.25">
      <c r="A27" s="16"/>
      <c r="B27" s="16" t="s">
        <v>1254</v>
      </c>
      <c r="C27" s="16" t="s">
        <v>662</v>
      </c>
      <c r="D27" s="16">
        <v>20</v>
      </c>
      <c r="E27" s="16"/>
      <c r="F27" s="16"/>
      <c r="G27" s="16" t="s">
        <v>664</v>
      </c>
      <c r="H27" s="23">
        <v>45915</v>
      </c>
      <c r="I27" s="16" t="str">
        <f>IF(
   COUNTIFS($A$2:A27,A27,
             $B$2:B27,B27,
             $C$2:C27,C27,
             $D$2:D27,D27,
              $H$2:H27,H27)&gt;1,
   "Doublon",
   "Correcte"
)</f>
        <v>Correcte</v>
      </c>
      <c r="J27" s="16" t="str">
        <f>_xlfn.TEXTBEFORE(mouvement_fourniture[[#This Row],[Code]],"_")</f>
        <v>Etiquette</v>
      </c>
      <c r="K27" s="16" t="str">
        <f>_xlfn.TEXTAFTER(mouvement_fourniture[[#This Row],[Code]],"_")</f>
        <v>TSOF100C</v>
      </c>
      <c r="L27" s="16" t="str">
        <f>IF(mouvement_fourniture[[#This Row],[QR Commande]]&lt;&gt;"",INDEX(_xlfn.TEXTSPLIT(mouvement_fourniture[[#This Row],[QR Commande]],"_"),1,1),"")</f>
        <v/>
      </c>
      <c r="M27" s="16" t="str">
        <f>IF(mouvement_fourniture[[#This Row],[QR Commande]]&lt;&gt;"",INDEX(_xlfn.TEXTSPLIT(mouvement_fourniture[[#This Row],[QR Commande]],"_"),1,2),"")</f>
        <v/>
      </c>
    </row>
    <row r="28" spans="1:13" x14ac:dyDescent="0.25">
      <c r="A28" s="16"/>
      <c r="B28" s="16" t="s">
        <v>1255</v>
      </c>
      <c r="C28" s="16" t="s">
        <v>662</v>
      </c>
      <c r="D28" s="16">
        <v>1570</v>
      </c>
      <c r="E28" s="16"/>
      <c r="F28" s="16"/>
      <c r="G28" s="16" t="s">
        <v>664</v>
      </c>
      <c r="H28" s="23">
        <v>45915</v>
      </c>
      <c r="I28" s="16" t="str">
        <f>IF(
   COUNTIFS($A$2:A28,A28,
             $B$2:B28,B28,
             $C$2:C28,C28,
             $D$2:D28,D28,
              $H$2:H28,H28)&gt;1,
   "Doublon",
   "Correcte"
)</f>
        <v>Correcte</v>
      </c>
      <c r="J28" s="16" t="str">
        <f>_xlfn.TEXTBEFORE(mouvement_fourniture[[#This Row],[Code]],"_")</f>
        <v>Etiquette</v>
      </c>
      <c r="K28" s="16" t="str">
        <f>_xlfn.TEXTAFTER(mouvement_fourniture[[#This Row],[Code]],"_")</f>
        <v>TLB100C</v>
      </c>
      <c r="L28" s="16" t="str">
        <f>IF(mouvement_fourniture[[#This Row],[QR Commande]]&lt;&gt;"",INDEX(_xlfn.TEXTSPLIT(mouvement_fourniture[[#This Row],[QR Commande]],"_"),1,1),"")</f>
        <v/>
      </c>
      <c r="M28" s="16" t="str">
        <f>IF(mouvement_fourniture[[#This Row],[QR Commande]]&lt;&gt;"",INDEX(_xlfn.TEXTSPLIT(mouvement_fourniture[[#This Row],[QR Commande]],"_"),1,2),"")</f>
        <v/>
      </c>
    </row>
    <row r="29" spans="1:13" x14ac:dyDescent="0.25">
      <c r="A29" s="16"/>
      <c r="B29" s="16" t="s">
        <v>1256</v>
      </c>
      <c r="C29" s="16" t="s">
        <v>662</v>
      </c>
      <c r="D29" s="16">
        <v>509</v>
      </c>
      <c r="E29" s="16"/>
      <c r="F29" s="16"/>
      <c r="G29" s="16" t="s">
        <v>664</v>
      </c>
      <c r="H29" s="23">
        <v>45915</v>
      </c>
      <c r="I29" s="16" t="str">
        <f>IF(
   COUNTIFS($A$2:A29,A29,
             $B$2:B29,B29,
             $C$2:C29,C29,
             $D$2:D29,D29,
              $H$2:H29,H29)&gt;1,
   "Doublon",
   "Correcte"
)</f>
        <v>Correcte</v>
      </c>
      <c r="J29" s="16" t="str">
        <f>_xlfn.TEXTBEFORE(mouvement_fourniture[[#This Row],[Code]],"_")</f>
        <v>Etiquette</v>
      </c>
      <c r="K29" s="16" t="str">
        <f>_xlfn.TEXTAFTER(mouvement_fourniture[[#This Row],[Code]],"_")</f>
        <v>TVDS100C</v>
      </c>
      <c r="L29" s="16" t="str">
        <f>IF(mouvement_fourniture[[#This Row],[QR Commande]]&lt;&gt;"",INDEX(_xlfn.TEXTSPLIT(mouvement_fourniture[[#This Row],[QR Commande]],"_"),1,1),"")</f>
        <v/>
      </c>
      <c r="M29" s="16" t="str">
        <f>IF(mouvement_fourniture[[#This Row],[QR Commande]]&lt;&gt;"",INDEX(_xlfn.TEXTSPLIT(mouvement_fourniture[[#This Row],[QR Commande]],"_"),1,2),"")</f>
        <v/>
      </c>
    </row>
    <row r="30" spans="1:13" x14ac:dyDescent="0.25">
      <c r="A30" s="16"/>
      <c r="B30" s="16" t="s">
        <v>1257</v>
      </c>
      <c r="C30" s="16" t="s">
        <v>662</v>
      </c>
      <c r="D30" s="16">
        <v>1717</v>
      </c>
      <c r="E30" s="16"/>
      <c r="F30" s="16"/>
      <c r="G30" s="16" t="s">
        <v>664</v>
      </c>
      <c r="H30" s="23">
        <v>45915</v>
      </c>
      <c r="I30" s="16" t="str">
        <f>IF(
   COUNTIFS($A$2:A30,A30,
             $B$2:B30,B30,
             $C$2:C30,C30,
             $D$2:D30,D30,
              $H$2:H30,H30)&gt;1,
   "Doublon",
   "Correcte"
)</f>
        <v>Correcte</v>
      </c>
      <c r="J30" s="16" t="str">
        <f>_xlfn.TEXTBEFORE(mouvement_fourniture[[#This Row],[Code]],"_")</f>
        <v>Etiquette</v>
      </c>
      <c r="K30" s="16" t="str">
        <f>_xlfn.TEXTAFTER(mouvement_fourniture[[#This Row],[Code]],"_")</f>
        <v>TABF70L30C</v>
      </c>
      <c r="L30" s="16" t="str">
        <f>IF(mouvement_fourniture[[#This Row],[QR Commande]]&lt;&gt;"",INDEX(_xlfn.TEXTSPLIT(mouvement_fourniture[[#This Row],[QR Commande]],"_"),1,1),"")</f>
        <v/>
      </c>
      <c r="M30" s="16" t="str">
        <f>IF(mouvement_fourniture[[#This Row],[QR Commande]]&lt;&gt;"",INDEX(_xlfn.TEXTSPLIT(mouvement_fourniture[[#This Row],[QR Commande]],"_"),1,2),"")</f>
        <v/>
      </c>
    </row>
    <row r="31" spans="1:13" x14ac:dyDescent="0.25">
      <c r="A31" s="16"/>
      <c r="B31" s="16" t="s">
        <v>1258</v>
      </c>
      <c r="C31" s="16" t="s">
        <v>662</v>
      </c>
      <c r="D31" s="16">
        <v>22</v>
      </c>
      <c r="E31" s="16"/>
      <c r="F31" s="16"/>
      <c r="G31" s="16" t="s">
        <v>664</v>
      </c>
      <c r="H31" s="23">
        <v>45915</v>
      </c>
      <c r="I31" s="16" t="str">
        <f>IF(
   COUNTIFS($A$2:A31,A31,
             $B$2:B31,B31,
             $C$2:C31,C31,
             $D$2:D31,D31,
              $H$2:H31,H31)&gt;1,
   "Doublon",
   "Correcte"
)</f>
        <v>Correcte</v>
      </c>
      <c r="J31" s="16" t="str">
        <f>_xlfn.TEXTBEFORE(mouvement_fourniture[[#This Row],[Code]],"_")</f>
        <v>Etiquette</v>
      </c>
      <c r="K31" s="16" t="str">
        <f>_xlfn.TEXTAFTER(mouvement_fourniture[[#This Row],[Code]],"_")</f>
        <v>ISOF100C</v>
      </c>
      <c r="L31" s="16" t="str">
        <f>IF(mouvement_fourniture[[#This Row],[QR Commande]]&lt;&gt;"",INDEX(_xlfn.TEXTSPLIT(mouvement_fourniture[[#This Row],[QR Commande]],"_"),1,1),"")</f>
        <v/>
      </c>
      <c r="M31" s="16" t="str">
        <f>IF(mouvement_fourniture[[#This Row],[QR Commande]]&lt;&gt;"",INDEX(_xlfn.TEXTSPLIT(mouvement_fourniture[[#This Row],[QR Commande]],"_"),1,2),"")</f>
        <v/>
      </c>
    </row>
    <row r="32" spans="1:13" x14ac:dyDescent="0.25">
      <c r="A32" s="16"/>
      <c r="B32" s="16" t="s">
        <v>1259</v>
      </c>
      <c r="C32" s="16" t="s">
        <v>662</v>
      </c>
      <c r="D32" s="16">
        <v>937</v>
      </c>
      <c r="E32" s="16"/>
      <c r="F32" s="16"/>
      <c r="G32" s="16" t="s">
        <v>664</v>
      </c>
      <c r="H32" s="23">
        <v>45915</v>
      </c>
      <c r="I32" s="16" t="str">
        <f>IF(
   COUNTIFS($A$2:A32,A32,
             $B$2:B32,B32,
             $C$2:C32,C32,
             $D$2:D32,D32,
              $H$2:H32,H32)&gt;1,
   "Doublon",
   "Correcte"
)</f>
        <v>Correcte</v>
      </c>
      <c r="J32" s="16" t="str">
        <f>_xlfn.TEXTBEFORE(mouvement_fourniture[[#This Row],[Code]],"_")</f>
        <v>Hantag</v>
      </c>
      <c r="K32" s="16" t="str">
        <f>_xlfn.TEXTAFTER(mouvement_fourniture[[#This Row],[Code]],"_")</f>
        <v>CBIZ</v>
      </c>
      <c r="L32" s="16" t="str">
        <f>IF(mouvement_fourniture[[#This Row],[QR Commande]]&lt;&gt;"",INDEX(_xlfn.TEXTSPLIT(mouvement_fourniture[[#This Row],[QR Commande]],"_"),1,1),"")</f>
        <v/>
      </c>
      <c r="M32" s="16" t="str">
        <f>IF(mouvement_fourniture[[#This Row],[QR Commande]]&lt;&gt;"",INDEX(_xlfn.TEXTSPLIT(mouvement_fourniture[[#This Row],[QR Commande]],"_"),1,2),"")</f>
        <v/>
      </c>
    </row>
    <row r="33" spans="1:13" x14ac:dyDescent="0.25">
      <c r="A33" s="16"/>
      <c r="B33" s="16" t="s">
        <v>1260</v>
      </c>
      <c r="C33" s="16" t="s">
        <v>662</v>
      </c>
      <c r="D33" s="16">
        <v>40</v>
      </c>
      <c r="E33" s="16"/>
      <c r="F33" s="16"/>
      <c r="G33" s="16" t="s">
        <v>664</v>
      </c>
      <c r="H33" s="23">
        <v>45915</v>
      </c>
      <c r="I33" s="16" t="str">
        <f>IF(
   COUNTIFS($A$2:A33,A33,
             $B$2:B33,B33,
             $C$2:C33,C33,
             $D$2:D33,D33,
              $H$2:H33,H33)&gt;1,
   "Doublon",
   "Correcte"
)</f>
        <v>Correcte</v>
      </c>
      <c r="J33" s="16" t="str">
        <f>_xlfn.TEXTBEFORE(mouvement_fourniture[[#This Row],[Code]],"_")</f>
        <v>Hantag</v>
      </c>
      <c r="K33" s="16" t="str">
        <f>_xlfn.TEXTAFTER(mouvement_fourniture[[#This Row],[Code]],"_")</f>
        <v>CMAH</v>
      </c>
      <c r="L33" s="16" t="str">
        <f>IF(mouvement_fourniture[[#This Row],[QR Commande]]&lt;&gt;"",INDEX(_xlfn.TEXTSPLIT(mouvement_fourniture[[#This Row],[QR Commande]],"_"),1,1),"")</f>
        <v/>
      </c>
      <c r="M33" s="16" t="str">
        <f>IF(mouvement_fourniture[[#This Row],[QR Commande]]&lt;&gt;"",INDEX(_xlfn.TEXTSPLIT(mouvement_fourniture[[#This Row],[QR Commande]],"_"),1,2),"")</f>
        <v/>
      </c>
    </row>
    <row r="34" spans="1:13" x14ac:dyDescent="0.25">
      <c r="A34" s="16"/>
      <c r="B34" s="16" t="s">
        <v>1261</v>
      </c>
      <c r="C34" s="16" t="s">
        <v>662</v>
      </c>
      <c r="D34" s="16">
        <v>75</v>
      </c>
      <c r="E34" s="16"/>
      <c r="F34" s="16"/>
      <c r="G34" s="16" t="s">
        <v>664</v>
      </c>
      <c r="H34" s="23">
        <v>45915</v>
      </c>
      <c r="I34" s="16" t="str">
        <f>IF(
   COUNTIFS($A$2:A34,A34,
             $B$2:B34,B34,
             $C$2:C34,C34,
             $D$2:D34,D34,
              $H$2:H34,H34)&gt;1,
   "Doublon",
   "Correcte"
)</f>
        <v>Correcte</v>
      </c>
      <c r="J34" s="16" t="str">
        <f>_xlfn.TEXTBEFORE(mouvement_fourniture[[#This Row],[Code]],"_")</f>
        <v>Hantag</v>
      </c>
      <c r="K34" s="16" t="str">
        <f>_xlfn.TEXTAFTER(mouvement_fourniture[[#This Row],[Code]],"_")</f>
        <v>CMON</v>
      </c>
      <c r="L34" s="16" t="str">
        <f>IF(mouvement_fourniture[[#This Row],[QR Commande]]&lt;&gt;"",INDEX(_xlfn.TEXTSPLIT(mouvement_fourniture[[#This Row],[QR Commande]],"_"),1,1),"")</f>
        <v/>
      </c>
      <c r="M34" s="16" t="str">
        <f>IF(mouvement_fourniture[[#This Row],[QR Commande]]&lt;&gt;"",INDEX(_xlfn.TEXTSPLIT(mouvement_fourniture[[#This Row],[QR Commande]],"_"),1,2),"")</f>
        <v/>
      </c>
    </row>
    <row r="35" spans="1:13" x14ac:dyDescent="0.25">
      <c r="A35" s="16"/>
      <c r="B35" s="16" t="s">
        <v>1262</v>
      </c>
      <c r="C35" s="16" t="s">
        <v>662</v>
      </c>
      <c r="D35" s="16">
        <v>1684</v>
      </c>
      <c r="E35" s="16"/>
      <c r="F35" s="16"/>
      <c r="G35" s="16" t="s">
        <v>664</v>
      </c>
      <c r="H35" s="23">
        <v>45915</v>
      </c>
      <c r="I35" s="16" t="str">
        <f>IF(
   COUNTIFS($A$2:A35,A35,
             $B$2:B35,B35,
             $C$2:C35,C35,
             $D$2:D35,D35,
              $H$2:H35,H35)&gt;1,
   "Doublon",
   "Correcte"
)</f>
        <v>Correcte</v>
      </c>
      <c r="J35" s="16" t="str">
        <f>_xlfn.TEXTBEFORE(mouvement_fourniture[[#This Row],[Code]],"_")</f>
        <v>Ruban</v>
      </c>
      <c r="K35" s="16" t="str">
        <f>_xlfn.TEXTAFTER(mouvement_fourniture[[#This Row],[Code]],"_")</f>
        <v>TORABF</v>
      </c>
      <c r="L35" s="16" t="str">
        <f>IF(mouvement_fourniture[[#This Row],[QR Commande]]&lt;&gt;"",INDEX(_xlfn.TEXTSPLIT(mouvement_fourniture[[#This Row],[QR Commande]],"_"),1,1),"")</f>
        <v/>
      </c>
      <c r="M35" s="16" t="str">
        <f>IF(mouvement_fourniture[[#This Row],[QR Commande]]&lt;&gt;"",INDEX(_xlfn.TEXTSPLIT(mouvement_fourniture[[#This Row],[QR Commande]],"_"),1,2),"")</f>
        <v/>
      </c>
    </row>
    <row r="36" spans="1:13" x14ac:dyDescent="0.25">
      <c r="A36" s="16"/>
      <c r="B36" s="16" t="s">
        <v>1263</v>
      </c>
      <c r="C36" s="16" t="s">
        <v>662</v>
      </c>
      <c r="D36" s="16">
        <v>6903</v>
      </c>
      <c r="E36" s="16"/>
      <c r="F36" s="16"/>
      <c r="G36" s="16" t="s">
        <v>664</v>
      </c>
      <c r="H36" s="23">
        <v>45915</v>
      </c>
      <c r="I36" s="16" t="str">
        <f>IF(
   COUNTIFS($A$2:A36,A36,
             $B$2:B36,B36,
             $C$2:C36,C36,
             $D$2:D36,D36,
              $H$2:H36,H36)&gt;1,
   "Doublon",
   "Correcte"
)</f>
        <v>Correcte</v>
      </c>
      <c r="J36" s="16" t="str">
        <f>_xlfn.TEXTBEFORE(mouvement_fourniture[[#This Row],[Code]],"_")</f>
        <v>Ruban</v>
      </c>
      <c r="K36" s="16" t="str">
        <f>_xlfn.TEXTAFTER(mouvement_fourniture[[#This Row],[Code]],"_")</f>
        <v>TORCF</v>
      </c>
      <c r="L36" s="16" t="str">
        <f>IF(mouvement_fourniture[[#This Row],[QR Commande]]&lt;&gt;"",INDEX(_xlfn.TEXTSPLIT(mouvement_fourniture[[#This Row],[QR Commande]],"_"),1,1),"")</f>
        <v/>
      </c>
      <c r="M36" s="16" t="str">
        <f>IF(mouvement_fourniture[[#This Row],[QR Commande]]&lt;&gt;"",INDEX(_xlfn.TEXTSPLIT(mouvement_fourniture[[#This Row],[QR Commande]],"_"),1,2),"")</f>
        <v/>
      </c>
    </row>
    <row r="37" spans="1:13" x14ac:dyDescent="0.25">
      <c r="A37" s="16"/>
      <c r="B37" s="16" t="s">
        <v>1264</v>
      </c>
      <c r="C37" s="16" t="s">
        <v>662</v>
      </c>
      <c r="D37" s="16">
        <v>4200</v>
      </c>
      <c r="E37" s="16"/>
      <c r="F37" s="16"/>
      <c r="G37" s="16" t="s">
        <v>664</v>
      </c>
      <c r="H37" s="23">
        <v>45915</v>
      </c>
      <c r="I37" s="16" t="str">
        <f>IF(
   COUNTIFS($A$2:A37,A37,
             $B$2:B37,B37,
             $C$2:C37,C37,
             $D$2:D37,D37,
              $H$2:H37,H37)&gt;1,
   "Doublon",
   "Correcte"
)</f>
        <v>Correcte</v>
      </c>
      <c r="J37" s="16" t="str">
        <f>_xlfn.TEXTBEFORE(mouvement_fourniture[[#This Row],[Code]],"_")</f>
        <v>Ruban</v>
      </c>
      <c r="K37" s="16" t="str">
        <f>_xlfn.TEXTAFTER(mouvement_fourniture[[#This Row],[Code]],"_")</f>
        <v>FILOPLAT</v>
      </c>
      <c r="L37" s="16" t="str">
        <f>IF(mouvement_fourniture[[#This Row],[QR Commande]]&lt;&gt;"",INDEX(_xlfn.TEXTSPLIT(mouvement_fourniture[[#This Row],[QR Commande]],"_"),1,1),"")</f>
        <v/>
      </c>
      <c r="M37" s="16" t="str">
        <f>IF(mouvement_fourniture[[#This Row],[QR Commande]]&lt;&gt;"",INDEX(_xlfn.TEXTSPLIT(mouvement_fourniture[[#This Row],[QR Commande]],"_"),1,2),"")</f>
        <v/>
      </c>
    </row>
    <row r="38" spans="1:13" x14ac:dyDescent="0.25">
      <c r="A38" s="16"/>
      <c r="B38" s="16" t="s">
        <v>1265</v>
      </c>
      <c r="C38" s="16" t="s">
        <v>662</v>
      </c>
      <c r="D38" s="16">
        <v>22173</v>
      </c>
      <c r="E38" s="16"/>
      <c r="F38" s="16"/>
      <c r="G38" s="16" t="s">
        <v>664</v>
      </c>
      <c r="H38" s="23">
        <v>45915</v>
      </c>
      <c r="I38" s="16" t="str">
        <f>IF(
   COUNTIFS($A$2:A38,A38,
             $B$2:B38,B38,
             $C$2:C38,C38,
             $D$2:D38,D38,
              $H$2:H38,H38)&gt;1,
   "Doublon",
   "Correcte"
)</f>
        <v>Correcte</v>
      </c>
      <c r="J38" s="16" t="str">
        <f>_xlfn.TEXTBEFORE(mouvement_fourniture[[#This Row],[Code]],"_")</f>
        <v>Ruban</v>
      </c>
      <c r="K38" s="16" t="str">
        <f>_xlfn.TEXTAFTER(mouvement_fourniture[[#This Row],[Code]],"_")</f>
        <v>FILOND</v>
      </c>
      <c r="L38" s="16" t="str">
        <f>IF(mouvement_fourniture[[#This Row],[QR Commande]]&lt;&gt;"",INDEX(_xlfn.TEXTSPLIT(mouvement_fourniture[[#This Row],[QR Commande]],"_"),1,1),"")</f>
        <v/>
      </c>
      <c r="M38" s="16" t="str">
        <f>IF(mouvement_fourniture[[#This Row],[QR Commande]]&lt;&gt;"",INDEX(_xlfn.TEXTSPLIT(mouvement_fourniture[[#This Row],[QR Commande]],"_"),1,2),"")</f>
        <v/>
      </c>
    </row>
    <row r="39" spans="1:13" x14ac:dyDescent="0.25">
      <c r="A39" s="16"/>
      <c r="B39" s="16" t="s">
        <v>1266</v>
      </c>
      <c r="C39" s="16" t="s">
        <v>662</v>
      </c>
      <c r="D39" s="16">
        <v>552</v>
      </c>
      <c r="E39" s="16"/>
      <c r="F39" s="16"/>
      <c r="G39" s="16" t="s">
        <v>664</v>
      </c>
      <c r="H39" s="23">
        <v>45915</v>
      </c>
      <c r="I39" s="16" t="str">
        <f>IF(
   COUNTIFS($A$2:A39,A39,
             $B$2:B39,B39,
             $C$2:C39,C39,
             $D$2:D39,D39,
              $H$2:H39,H39)&gt;1,
   "Doublon",
   "Correcte"
)</f>
        <v>Correcte</v>
      </c>
      <c r="J39" s="16" t="str">
        <f>_xlfn.TEXTBEFORE(mouvement_fourniture[[#This Row],[Code]],"_")</f>
        <v>Etiquette</v>
      </c>
      <c r="K39" s="16" t="str">
        <f>_xlfn.TEXTAFTER(mouvement_fourniture[[#This Row],[Code]],"_")</f>
        <v>ISDB100C</v>
      </c>
      <c r="L39" s="16" t="str">
        <f>IF(mouvement_fourniture[[#This Row],[QR Commande]]&lt;&gt;"",INDEX(_xlfn.TEXTSPLIT(mouvement_fourniture[[#This Row],[QR Commande]],"_"),1,1),"")</f>
        <v/>
      </c>
      <c r="M39" s="16" t="str">
        <f>IF(mouvement_fourniture[[#This Row],[QR Commande]]&lt;&gt;"",INDEX(_xlfn.TEXTSPLIT(mouvement_fourniture[[#This Row],[QR Commande]],"_"),1,2),"")</f>
        <v/>
      </c>
    </row>
    <row r="40" spans="1:13" x14ac:dyDescent="0.25">
      <c r="A40" s="16"/>
      <c r="B40" s="16" t="s">
        <v>1267</v>
      </c>
      <c r="C40" s="16" t="s">
        <v>662</v>
      </c>
      <c r="D40" s="16">
        <v>121</v>
      </c>
      <c r="E40" s="16"/>
      <c r="F40" s="16"/>
      <c r="G40" s="16" t="s">
        <v>664</v>
      </c>
      <c r="H40" s="23">
        <v>45915</v>
      </c>
      <c r="I40" s="16" t="str">
        <f>IF(
   COUNTIFS($A$2:A40,A40,
             $B$2:B40,B40,
             $C$2:C40,C40,
             $D$2:D40,D40,
              $H$2:H40,H40)&gt;1,
   "Doublon",
   "Correcte"
)</f>
        <v>Correcte</v>
      </c>
      <c r="J40" s="16" t="str">
        <f>_xlfn.TEXTBEFORE(mouvement_fourniture[[#This Row],[Code]],"_")</f>
        <v>Etiquette</v>
      </c>
      <c r="K40" s="16" t="str">
        <f>_xlfn.TEXTAFTER(mouvement_fourniture[[#This Row],[Code]],"_")</f>
        <v>IATD100C</v>
      </c>
      <c r="L40" s="16" t="str">
        <f>IF(mouvement_fourniture[[#This Row],[QR Commande]]&lt;&gt;"",INDEX(_xlfn.TEXTSPLIT(mouvement_fourniture[[#This Row],[QR Commande]],"_"),1,1),"")</f>
        <v/>
      </c>
      <c r="M40" s="16" t="str">
        <f>IF(mouvement_fourniture[[#This Row],[QR Commande]]&lt;&gt;"",INDEX(_xlfn.TEXTSPLIT(mouvement_fourniture[[#This Row],[QR Commande]],"_"),1,2),"")</f>
        <v/>
      </c>
    </row>
    <row r="41" spans="1:13" x14ac:dyDescent="0.25">
      <c r="A41" s="16"/>
      <c r="B41" s="16" t="s">
        <v>1268</v>
      </c>
      <c r="C41" s="16" t="s">
        <v>662</v>
      </c>
      <c r="D41" s="16">
        <v>115</v>
      </c>
      <c r="E41" s="16"/>
      <c r="F41" s="16"/>
      <c r="G41" s="16" t="s">
        <v>664</v>
      </c>
      <c r="H41" s="23">
        <v>45915</v>
      </c>
      <c r="I41" s="16" t="str">
        <f>IF(
   COUNTIFS($A$2:A41,A41,
             $B$2:B41,B41,
             $C$2:C41,C41,
             $D$2:D41,D41,
              $H$2:H41,H41)&gt;1,
   "Doublon",
   "Correcte"
)</f>
        <v>Correcte</v>
      </c>
      <c r="J41" s="16" t="str">
        <f>_xlfn.TEXTBEFORE(mouvement_fourniture[[#This Row],[Code]],"_")</f>
        <v>Etiquette</v>
      </c>
      <c r="K41" s="16" t="str">
        <f>_xlfn.TEXTAFTER(mouvement_fourniture[[#This Row],[Code]],"_")</f>
        <v>ILAU98C2P</v>
      </c>
      <c r="L41" s="16" t="str">
        <f>IF(mouvement_fourniture[[#This Row],[QR Commande]]&lt;&gt;"",INDEX(_xlfn.TEXTSPLIT(mouvement_fourniture[[#This Row],[QR Commande]],"_"),1,1),"")</f>
        <v/>
      </c>
      <c r="M41" s="16" t="str">
        <f>IF(mouvement_fourniture[[#This Row],[QR Commande]]&lt;&gt;"",INDEX(_xlfn.TEXTSPLIT(mouvement_fourniture[[#This Row],[QR Commande]],"_"),1,2),"")</f>
        <v/>
      </c>
    </row>
    <row r="42" spans="1:13" x14ac:dyDescent="0.25">
      <c r="A42" s="16"/>
      <c r="B42" s="16" t="s">
        <v>1269</v>
      </c>
      <c r="C42" s="16" t="s">
        <v>662</v>
      </c>
      <c r="D42" s="16">
        <v>538</v>
      </c>
      <c r="E42" s="16"/>
      <c r="F42" s="16"/>
      <c r="G42" s="16" t="s">
        <v>664</v>
      </c>
      <c r="H42" s="23">
        <v>45915</v>
      </c>
      <c r="I42" s="16" t="str">
        <f>IF(
   COUNTIFS($A$2:A42,A42,
             $B$2:B42,B42,
             $C$2:C42,C42,
             $D$2:D42,D42,
              $H$2:H42,H42)&gt;1,
   "Doublon",
   "Correcte"
)</f>
        <v>Correcte</v>
      </c>
      <c r="J42" s="16" t="str">
        <f>_xlfn.TEXTBEFORE(mouvement_fourniture[[#This Row],[Code]],"_")</f>
        <v>Etiquette</v>
      </c>
      <c r="K42" s="16" t="str">
        <f>_xlfn.TEXTAFTER(mouvement_fourniture[[#This Row],[Code]],"_")</f>
        <v>ILAU90C10P</v>
      </c>
      <c r="L42" s="16" t="str">
        <f>IF(mouvement_fourniture[[#This Row],[QR Commande]]&lt;&gt;"",INDEX(_xlfn.TEXTSPLIT(mouvement_fourniture[[#This Row],[QR Commande]],"_"),1,1),"")</f>
        <v/>
      </c>
      <c r="M42" s="16" t="str">
        <f>IF(mouvement_fourniture[[#This Row],[QR Commande]]&lt;&gt;"",INDEX(_xlfn.TEXTSPLIT(mouvement_fourniture[[#This Row],[QR Commande]],"_"),1,2),"")</f>
        <v/>
      </c>
    </row>
    <row r="43" spans="1:13" x14ac:dyDescent="0.25">
      <c r="A43" s="16"/>
      <c r="B43" s="16" t="s">
        <v>1270</v>
      </c>
      <c r="C43" s="16" t="s">
        <v>662</v>
      </c>
      <c r="D43" s="16">
        <v>5382</v>
      </c>
      <c r="E43" s="16"/>
      <c r="F43" s="16"/>
      <c r="G43" s="16" t="s">
        <v>664</v>
      </c>
      <c r="H43" s="23">
        <v>45915</v>
      </c>
      <c r="I43" s="16" t="str">
        <f>IF(
   COUNTIFS($A$2:A43,A43,
             $B$2:B43,B43,
             $C$2:C43,C43,
             $D$2:D43,D43,
              $H$2:H43,H43)&gt;1,
   "Doublon",
   "Correcte"
)</f>
        <v>Correcte</v>
      </c>
      <c r="J43" s="16" t="str">
        <f>_xlfn.TEXTBEFORE(mouvement_fourniture[[#This Row],[Code]],"_")</f>
        <v>Etiquette</v>
      </c>
      <c r="K43" s="16" t="str">
        <f>_xlfn.TEXTAFTER(mouvement_fourniture[[#This Row],[Code]],"_")</f>
        <v>ILAU100C</v>
      </c>
      <c r="L43" s="16" t="str">
        <f>IF(mouvement_fourniture[[#This Row],[QR Commande]]&lt;&gt;"",INDEX(_xlfn.TEXTSPLIT(mouvement_fourniture[[#This Row],[QR Commande]],"_"),1,1),"")</f>
        <v/>
      </c>
      <c r="M43" s="16" t="str">
        <f>IF(mouvement_fourniture[[#This Row],[QR Commande]]&lt;&gt;"",INDEX(_xlfn.TEXTSPLIT(mouvement_fourniture[[#This Row],[QR Commande]],"_"),1,2),"")</f>
        <v/>
      </c>
    </row>
    <row r="44" spans="1:13" x14ac:dyDescent="0.25">
      <c r="A44" s="16"/>
      <c r="B44" s="16" t="s">
        <v>1271</v>
      </c>
      <c r="C44" s="16" t="s">
        <v>662</v>
      </c>
      <c r="D44" s="16">
        <v>67</v>
      </c>
      <c r="E44" s="16"/>
      <c r="F44" s="16"/>
      <c r="G44" s="16" t="s">
        <v>664</v>
      </c>
      <c r="H44" s="23">
        <v>45915</v>
      </c>
      <c r="I44" s="16" t="str">
        <f>IF(
   COUNTIFS($A$2:A44,A44,
             $B$2:B44,B44,
             $C$2:C44,C44,
             $D$2:D44,D44,
              $H$2:H44,H44)&gt;1,
   "Doublon",
   "Correcte"
)</f>
        <v>Correcte</v>
      </c>
      <c r="J44" s="16" t="str">
        <f>_xlfn.TEXTBEFORE(mouvement_fourniture[[#This Row],[Code]],"_")</f>
        <v>Etiquette</v>
      </c>
      <c r="K44" s="16" t="str">
        <f>_xlfn.TEXTAFTER(mouvement_fourniture[[#This Row],[Code]],"_")</f>
        <v>ICF100C</v>
      </c>
      <c r="L44" s="16" t="str">
        <f>IF(mouvement_fourniture[[#This Row],[QR Commande]]&lt;&gt;"",INDEX(_xlfn.TEXTSPLIT(mouvement_fourniture[[#This Row],[QR Commande]],"_"),1,1),"")</f>
        <v/>
      </c>
      <c r="M44" s="16" t="str">
        <f>IF(mouvement_fourniture[[#This Row],[QR Commande]]&lt;&gt;"",INDEX(_xlfn.TEXTSPLIT(mouvement_fourniture[[#This Row],[QR Commande]],"_"),1,2),"")</f>
        <v/>
      </c>
    </row>
    <row r="45" spans="1:13" x14ac:dyDescent="0.25">
      <c r="A45" s="16"/>
      <c r="B45" s="16" t="s">
        <v>1272</v>
      </c>
      <c r="C45" s="16" t="s">
        <v>662</v>
      </c>
      <c r="D45" s="16">
        <v>667</v>
      </c>
      <c r="E45" s="16"/>
      <c r="F45" s="16"/>
      <c r="G45" s="16" t="s">
        <v>664</v>
      </c>
      <c r="H45" s="23">
        <v>45915</v>
      </c>
      <c r="I45" s="16" t="str">
        <f>IF(
   COUNTIFS($A$2:A45,A45,
             $B$2:B45,B45,
             $C$2:C45,C45,
             $D$2:D45,D45,
              $H$2:H45,H45)&gt;1,
   "Doublon",
   "Correcte"
)</f>
        <v>Correcte</v>
      </c>
      <c r="J45" s="16" t="str">
        <f>_xlfn.TEXTBEFORE(mouvement_fourniture[[#This Row],[Code]],"_")</f>
        <v>Etiquette</v>
      </c>
      <c r="K45" s="16" t="str">
        <f>_xlfn.TEXTAFTER(mouvement_fourniture[[#This Row],[Code]],"_")</f>
        <v>TEME100C</v>
      </c>
      <c r="L45" s="16" t="str">
        <f>IF(mouvement_fourniture[[#This Row],[QR Commande]]&lt;&gt;"",INDEX(_xlfn.TEXTSPLIT(mouvement_fourniture[[#This Row],[QR Commande]],"_"),1,1),"")</f>
        <v/>
      </c>
      <c r="M45" s="16" t="str">
        <f>IF(mouvement_fourniture[[#This Row],[QR Commande]]&lt;&gt;"",INDEX(_xlfn.TEXTSPLIT(mouvement_fourniture[[#This Row],[QR Commande]],"_"),1,2),"")</f>
        <v/>
      </c>
    </row>
    <row r="46" spans="1:13" x14ac:dyDescent="0.25">
      <c r="A46" s="16"/>
      <c r="B46" s="16" t="s">
        <v>1273</v>
      </c>
      <c r="C46" s="16" t="s">
        <v>662</v>
      </c>
      <c r="D46" s="16">
        <v>598</v>
      </c>
      <c r="E46" s="16"/>
      <c r="F46" s="16"/>
      <c r="G46" s="16" t="s">
        <v>664</v>
      </c>
      <c r="H46" s="23">
        <v>45915</v>
      </c>
      <c r="I46" s="16" t="str">
        <f>IF(
   COUNTIFS($A$2:A46,A46,
             $B$2:B46,B46,
             $C$2:C46,C46,
             $D$2:D46,D46,
              $H$2:H46,H46)&gt;1,
   "Doublon",
   "Correcte"
)</f>
        <v>Correcte</v>
      </c>
      <c r="J46" s="16" t="str">
        <f>_xlfn.TEXTBEFORE(mouvement_fourniture[[#This Row],[Code]],"_")</f>
        <v>Etiquette</v>
      </c>
      <c r="K46" s="16" t="str">
        <f>_xlfn.TEXTAFTER(mouvement_fourniture[[#This Row],[Code]],"_")</f>
        <v>TCC100C</v>
      </c>
      <c r="L46" s="16" t="str">
        <f>IF(mouvement_fourniture[[#This Row],[QR Commande]]&lt;&gt;"",INDEX(_xlfn.TEXTSPLIT(mouvement_fourniture[[#This Row],[QR Commande]],"_"),1,1),"")</f>
        <v/>
      </c>
      <c r="M46" s="16" t="str">
        <f>IF(mouvement_fourniture[[#This Row],[QR Commande]]&lt;&gt;"",INDEX(_xlfn.TEXTSPLIT(mouvement_fourniture[[#This Row],[QR Commande]],"_"),1,2),"")</f>
        <v/>
      </c>
    </row>
    <row r="47" spans="1:13" x14ac:dyDescent="0.25">
      <c r="A47" s="16"/>
      <c r="B47" s="16" t="s">
        <v>1274</v>
      </c>
      <c r="C47" s="16" t="s">
        <v>662</v>
      </c>
      <c r="D47" s="16">
        <v>100</v>
      </c>
      <c r="E47" s="16"/>
      <c r="F47" s="16"/>
      <c r="G47" s="16" t="s">
        <v>664</v>
      </c>
      <c r="H47" s="23">
        <v>45915</v>
      </c>
      <c r="I47" s="16" t="str">
        <f>IF(
   COUNTIFS($A$2:A47,A47,
             $B$2:B47,B47,
             $C$2:C47,C47,
             $D$2:D47,D47,
              $H$2:H47,H47)&gt;1,
   "Doublon",
   "Correcte"
)</f>
        <v>Correcte</v>
      </c>
      <c r="J47" s="16" t="str">
        <f>_xlfn.TEXTBEFORE(mouvement_fourniture[[#This Row],[Code]],"_")</f>
        <v>Etiquette</v>
      </c>
      <c r="K47" s="16" t="str">
        <f>_xlfn.TEXTAFTER(mouvement_fourniture[[#This Row],[Code]],"_")</f>
        <v>IJF100C</v>
      </c>
      <c r="L47" s="16" t="str">
        <f>IF(mouvement_fourniture[[#This Row],[QR Commande]]&lt;&gt;"",INDEX(_xlfn.TEXTSPLIT(mouvement_fourniture[[#This Row],[QR Commande]],"_"),1,1),"")</f>
        <v/>
      </c>
      <c r="M47" s="16" t="str">
        <f>IF(mouvement_fourniture[[#This Row],[QR Commande]]&lt;&gt;"",INDEX(_xlfn.TEXTSPLIT(mouvement_fourniture[[#This Row],[QR Commande]],"_"),1,2),"")</f>
        <v/>
      </c>
    </row>
    <row r="48" spans="1:13" x14ac:dyDescent="0.25">
      <c r="A48" s="16"/>
      <c r="B48" s="16" t="s">
        <v>1275</v>
      </c>
      <c r="C48" s="16" t="s">
        <v>662</v>
      </c>
      <c r="D48" s="16">
        <v>26595</v>
      </c>
      <c r="E48" s="16"/>
      <c r="F48" s="16"/>
      <c r="G48" s="16" t="s">
        <v>664</v>
      </c>
      <c r="H48" s="23">
        <v>45915</v>
      </c>
      <c r="I48" s="16" t="str">
        <f>IF(
   COUNTIFS($A$2:A48,A48,
             $B$2:B48,B48,
             $C$2:C48,C48,
             $D$2:D48,D48,
              $H$2:H48,H48)&gt;1,
   "Doublon",
   "Correcte"
)</f>
        <v>Correcte</v>
      </c>
      <c r="J48" s="16" t="str">
        <f>_xlfn.TEXTBEFORE(mouvement_fourniture[[#This Row],[Code]],"_")</f>
        <v>Etiquette</v>
      </c>
      <c r="K48" s="16" t="str">
        <f>_xlfn.TEXTAFTER(mouvement_fourniture[[#This Row],[Code]],"_")</f>
        <v>IILO90C10A</v>
      </c>
      <c r="L48" s="16" t="str">
        <f>IF(mouvement_fourniture[[#This Row],[QR Commande]]&lt;&gt;"",INDEX(_xlfn.TEXTSPLIT(mouvement_fourniture[[#This Row],[QR Commande]],"_"),1,1),"")</f>
        <v/>
      </c>
      <c r="M48" s="16" t="str">
        <f>IF(mouvement_fourniture[[#This Row],[QR Commande]]&lt;&gt;"",INDEX(_xlfn.TEXTSPLIT(mouvement_fourniture[[#This Row],[QR Commande]],"_"),1,2),"")</f>
        <v/>
      </c>
    </row>
    <row r="49" spans="1:13" x14ac:dyDescent="0.25">
      <c r="A49" s="16"/>
      <c r="B49" s="16" t="s">
        <v>1276</v>
      </c>
      <c r="C49" s="16" t="s">
        <v>662</v>
      </c>
      <c r="D49" s="16">
        <v>3256</v>
      </c>
      <c r="E49" s="16"/>
      <c r="F49" s="16"/>
      <c r="G49" s="16" t="s">
        <v>664</v>
      </c>
      <c r="H49" s="23">
        <v>45915</v>
      </c>
      <c r="I49" s="16" t="str">
        <f>IF(
   COUNTIFS($A$2:A49,A49,
             $B$2:B49,B49,
             $C$2:C49,C49,
             $D$2:D49,D49,
              $H$2:H49,H49)&gt;1,
   "Doublon",
   "Correcte"
)</f>
        <v>Correcte</v>
      </c>
      <c r="J49" s="16" t="str">
        <f>_xlfn.TEXTBEFORE(mouvement_fourniture[[#This Row],[Code]],"_")</f>
        <v>Etiquette</v>
      </c>
      <c r="K49" s="16" t="str">
        <f>_xlfn.TEXTAFTER(mouvement_fourniture[[#This Row],[Code]],"_")</f>
        <v>IAT100C</v>
      </c>
      <c r="L49" s="16" t="str">
        <f>IF(mouvement_fourniture[[#This Row],[QR Commande]]&lt;&gt;"",INDEX(_xlfn.TEXTSPLIT(mouvement_fourniture[[#This Row],[QR Commande]],"_"),1,1),"")</f>
        <v/>
      </c>
      <c r="M49" s="16" t="str">
        <f>IF(mouvement_fourniture[[#This Row],[QR Commande]]&lt;&gt;"",INDEX(_xlfn.TEXTSPLIT(mouvement_fourniture[[#This Row],[QR Commande]],"_"),1,2),"")</f>
        <v/>
      </c>
    </row>
    <row r="50" spans="1:13" x14ac:dyDescent="0.25">
      <c r="A50" s="16"/>
      <c r="B50" s="16" t="s">
        <v>1277</v>
      </c>
      <c r="C50" s="16" t="s">
        <v>662</v>
      </c>
      <c r="D50" s="16">
        <v>1900</v>
      </c>
      <c r="E50" s="16"/>
      <c r="F50" s="16"/>
      <c r="G50" s="16" t="s">
        <v>664</v>
      </c>
      <c r="H50" s="23">
        <v>45915</v>
      </c>
      <c r="I50" s="16" t="str">
        <f>IF(
   COUNTIFS($A$2:A50,A50,
             $B$2:B50,B50,
             $C$2:C50,C50,
             $D$2:D50,D50,
              $H$2:H50,H50)&gt;1,
   "Doublon",
   "Correcte"
)</f>
        <v>Correcte</v>
      </c>
      <c r="J50" s="16" t="str">
        <f>_xlfn.TEXTBEFORE(mouvement_fourniture[[#This Row],[Code]],"_")</f>
        <v>Etiquette</v>
      </c>
      <c r="K50" s="16" t="str">
        <f>_xlfn.TEXTAFTER(mouvement_fourniture[[#This Row],[Code]],"_")</f>
        <v>IAT60C40P</v>
      </c>
      <c r="L50" s="16" t="str">
        <f>IF(mouvement_fourniture[[#This Row],[QR Commande]]&lt;&gt;"",INDEX(_xlfn.TEXTSPLIT(mouvement_fourniture[[#This Row],[QR Commande]],"_"),1,1),"")</f>
        <v/>
      </c>
      <c r="M50" s="16" t="str">
        <f>IF(mouvement_fourniture[[#This Row],[QR Commande]]&lt;&gt;"",INDEX(_xlfn.TEXTSPLIT(mouvement_fourniture[[#This Row],[QR Commande]],"_"),1,2),"")</f>
        <v/>
      </c>
    </row>
    <row r="51" spans="1:13" x14ac:dyDescent="0.25">
      <c r="A51" s="16"/>
      <c r="B51" s="16" t="s">
        <v>1278</v>
      </c>
      <c r="C51" s="16" t="s">
        <v>662</v>
      </c>
      <c r="D51" s="16">
        <v>550</v>
      </c>
      <c r="E51" s="16"/>
      <c r="F51" s="16"/>
      <c r="G51" s="16" t="s">
        <v>664</v>
      </c>
      <c r="H51" s="23">
        <v>45915</v>
      </c>
      <c r="I51" s="16" t="str">
        <f>IF(
   COUNTIFS($A$2:A51,A51,
             $B$2:B51,B51,
             $C$2:C51,C51,
             $D$2:D51,D51,
              $H$2:H51,H51)&gt;1,
   "Doublon",
   "Correcte"
)</f>
        <v>Correcte</v>
      </c>
      <c r="J51" s="16" t="str">
        <f>_xlfn.TEXTBEFORE(mouvement_fourniture[[#This Row],[Code]],"_")</f>
        <v>Etiquette</v>
      </c>
      <c r="K51" s="16" t="str">
        <f>_xlfn.TEXTAFTER(mouvement_fourniture[[#This Row],[Code]],"_")</f>
        <v>IAT50L48C2P</v>
      </c>
      <c r="L51" s="16" t="str">
        <f>IF(mouvement_fourniture[[#This Row],[QR Commande]]&lt;&gt;"",INDEX(_xlfn.TEXTSPLIT(mouvement_fourniture[[#This Row],[QR Commande]],"_"),1,1),"")</f>
        <v/>
      </c>
      <c r="M51" s="16" t="str">
        <f>IF(mouvement_fourniture[[#This Row],[QR Commande]]&lt;&gt;"",INDEX(_xlfn.TEXTSPLIT(mouvement_fourniture[[#This Row],[QR Commande]],"_"),1,2),"")</f>
        <v/>
      </c>
    </row>
    <row r="52" spans="1:13" x14ac:dyDescent="0.25">
      <c r="A52" s="16"/>
      <c r="B52" s="16" t="s">
        <v>1279</v>
      </c>
      <c r="C52" s="16" t="s">
        <v>662</v>
      </c>
      <c r="D52" s="16">
        <v>14</v>
      </c>
      <c r="E52" s="16"/>
      <c r="F52" s="16"/>
      <c r="G52" s="16" t="s">
        <v>664</v>
      </c>
      <c r="H52" s="23">
        <v>45915</v>
      </c>
      <c r="I52" s="16" t="str">
        <f>IF(
   COUNTIFS($A$2:A52,A52,
             $B$2:B52,B52,
             $C$2:C52,C52,
             $D$2:D52,D52,
              $H$2:H52,H52)&gt;1,
   "Doublon",
   "Correcte"
)</f>
        <v>Correcte</v>
      </c>
      <c r="J52" s="16" t="str">
        <f>_xlfn.TEXTBEFORE(mouvement_fourniture[[#This Row],[Code]],"_")</f>
        <v>Emballage</v>
      </c>
      <c r="K52" s="16" t="str">
        <f>_xlfn.TEXTAFTER(mouvement_fourniture[[#This Row],[Code]],"_")</f>
        <v>FILP</v>
      </c>
      <c r="L52" s="16" t="str">
        <f>IF(mouvement_fourniture[[#This Row],[QR Commande]]&lt;&gt;"",INDEX(_xlfn.TEXTSPLIT(mouvement_fourniture[[#This Row],[QR Commande]],"_"),1,1),"")</f>
        <v/>
      </c>
      <c r="M52" s="16" t="str">
        <f>IF(mouvement_fourniture[[#This Row],[QR Commande]]&lt;&gt;"",INDEX(_xlfn.TEXTSPLIT(mouvement_fourniture[[#This Row],[QR Commande]],"_"),1,2),"")</f>
        <v/>
      </c>
    </row>
    <row r="53" spans="1:13" x14ac:dyDescent="0.25">
      <c r="A53" s="16"/>
      <c r="B53" s="16" t="s">
        <v>1280</v>
      </c>
      <c r="C53" s="16" t="s">
        <v>662</v>
      </c>
      <c r="D53" s="16">
        <v>56</v>
      </c>
      <c r="E53" s="16"/>
      <c r="F53" s="16"/>
      <c r="G53" s="16" t="s">
        <v>664</v>
      </c>
      <c r="H53" s="23">
        <v>45915</v>
      </c>
      <c r="I53" s="16" t="str">
        <f>IF(
   COUNTIFS($A$2:A53,A53,
             $B$2:B53,B53,
             $C$2:C53,C53,
             $D$2:D53,D53,
              $H$2:H53,H53)&gt;1,
   "Doublon",
   "Correcte"
)</f>
        <v>Correcte</v>
      </c>
      <c r="J53" s="16" t="str">
        <f>_xlfn.TEXTBEFORE(mouvement_fourniture[[#This Row],[Code]],"_")</f>
        <v>Emballage</v>
      </c>
      <c r="K53" s="16" t="str">
        <f>_xlfn.TEXTAFTER(mouvement_fourniture[[#This Row],[Code]],"_")</f>
        <v>SCOHAV</v>
      </c>
      <c r="L53" s="16" t="str">
        <f>IF(mouvement_fourniture[[#This Row],[QR Commande]]&lt;&gt;"",INDEX(_xlfn.TEXTSPLIT(mouvement_fourniture[[#This Row],[QR Commande]],"_"),1,1),"")</f>
        <v/>
      </c>
      <c r="M53" s="16" t="str">
        <f>IF(mouvement_fourniture[[#This Row],[QR Commande]]&lt;&gt;"",INDEX(_xlfn.TEXTSPLIT(mouvement_fourniture[[#This Row],[QR Commande]],"_"),1,2),"")</f>
        <v/>
      </c>
    </row>
    <row r="54" spans="1:13" x14ac:dyDescent="0.25">
      <c r="A54" s="16"/>
      <c r="B54" s="16" t="s">
        <v>1281</v>
      </c>
      <c r="C54" s="16" t="s">
        <v>662</v>
      </c>
      <c r="D54" s="16">
        <v>13</v>
      </c>
      <c r="E54" s="16"/>
      <c r="F54" s="16"/>
      <c r="G54" s="16" t="s">
        <v>664</v>
      </c>
      <c r="H54" s="23">
        <v>45915</v>
      </c>
      <c r="I54" s="16" t="str">
        <f>IF(
   COUNTIFS($A$2:A54,A54,
             $B$2:B54,B54,
             $C$2:C54,C54,
             $D$2:D54,D54,
              $H$2:H54,H54)&gt;1,
   "Doublon",
   "Correcte"
)</f>
        <v>Correcte</v>
      </c>
      <c r="J54" s="16" t="str">
        <f>_xlfn.TEXTBEFORE(mouvement_fourniture[[#This Row],[Code]],"_")</f>
        <v>Emballage</v>
      </c>
      <c r="K54" s="16" t="str">
        <f>_xlfn.TEXTAFTER(mouvement_fourniture[[#This Row],[Code]],"_")</f>
        <v>SCOPOLY</v>
      </c>
      <c r="L54" s="16" t="str">
        <f>IF(mouvement_fourniture[[#This Row],[QR Commande]]&lt;&gt;"",INDEX(_xlfn.TEXTSPLIT(mouvement_fourniture[[#This Row],[QR Commande]],"_"),1,1),"")</f>
        <v/>
      </c>
      <c r="M54" s="16" t="str">
        <f>IF(mouvement_fourniture[[#This Row],[QR Commande]]&lt;&gt;"",INDEX(_xlfn.TEXTSPLIT(mouvement_fourniture[[#This Row],[QR Commande]],"_"),1,2),"")</f>
        <v/>
      </c>
    </row>
    <row r="55" spans="1:13" x14ac:dyDescent="0.25">
      <c r="A55" s="16"/>
      <c r="B55" s="16" t="s">
        <v>1282</v>
      </c>
      <c r="C55" s="16" t="s">
        <v>662</v>
      </c>
      <c r="D55" s="16">
        <v>100</v>
      </c>
      <c r="E55" s="16"/>
      <c r="F55" s="16"/>
      <c r="G55" s="16" t="s">
        <v>664</v>
      </c>
      <c r="H55" s="23">
        <v>45915</v>
      </c>
      <c r="I55" s="16" t="str">
        <f>IF(
   COUNTIFS($A$2:A55,A55,
             $B$2:B55,B55,
             $C$2:C55,C55,
             $D$2:D55,D55,
              $H$2:H55,H55)&gt;1,
   "Doublon",
   "Correcte"
)</f>
        <v>Correcte</v>
      </c>
      <c r="J55" s="16" t="str">
        <f>_xlfn.TEXTBEFORE(mouvement_fourniture[[#This Row],[Code]],"_")</f>
        <v>Emballage</v>
      </c>
      <c r="K55" s="16" t="str">
        <f>_xlfn.TEXTAFTER(mouvement_fourniture[[#This Row],[Code]],"_")</f>
        <v>CAR464</v>
      </c>
      <c r="L55" s="16" t="str">
        <f>IF(mouvement_fourniture[[#This Row],[QR Commande]]&lt;&gt;"",INDEX(_xlfn.TEXTSPLIT(mouvement_fourniture[[#This Row],[QR Commande]],"_"),1,1),"")</f>
        <v/>
      </c>
      <c r="M55" s="16" t="str">
        <f>IF(mouvement_fourniture[[#This Row],[QR Commande]]&lt;&gt;"",INDEX(_xlfn.TEXTSPLIT(mouvement_fourniture[[#This Row],[QR Commande]],"_"),1,2),"")</f>
        <v/>
      </c>
    </row>
    <row r="56" spans="1:13" x14ac:dyDescent="0.25">
      <c r="A56" s="16"/>
      <c r="B56" s="16" t="s">
        <v>1283</v>
      </c>
      <c r="C56" s="16" t="s">
        <v>662</v>
      </c>
      <c r="D56" s="16">
        <v>100</v>
      </c>
      <c r="E56" s="16"/>
      <c r="F56" s="16"/>
      <c r="G56" s="16" t="s">
        <v>664</v>
      </c>
      <c r="H56" s="23">
        <v>45915</v>
      </c>
      <c r="I56" s="16" t="str">
        <f>IF(
   COUNTIFS($A$2:A56,A56,
             $B$2:B56,B56,
             $C$2:C56,C56,
             $D$2:D56,D56,
              $H$2:H56,H56)&gt;1,
   "Doublon",
   "Correcte"
)</f>
        <v>Correcte</v>
      </c>
      <c r="J56" s="16" t="str">
        <f>_xlfn.TEXTBEFORE(mouvement_fourniture[[#This Row],[Code]],"_")</f>
        <v>Emballage</v>
      </c>
      <c r="K56" s="16" t="str">
        <f>_xlfn.TEXTAFTER(mouvement_fourniture[[#This Row],[Code]],"_")</f>
        <v>CAR462</v>
      </c>
      <c r="L56" s="16" t="str">
        <f>IF(mouvement_fourniture[[#This Row],[QR Commande]]&lt;&gt;"",INDEX(_xlfn.TEXTSPLIT(mouvement_fourniture[[#This Row],[QR Commande]],"_"),1,1),"")</f>
        <v/>
      </c>
      <c r="M56" s="16" t="str">
        <f>IF(mouvement_fourniture[[#This Row],[QR Commande]]&lt;&gt;"",INDEX(_xlfn.TEXTSPLIT(mouvement_fourniture[[#This Row],[QR Commande]],"_"),1,2),"")</f>
        <v/>
      </c>
    </row>
    <row r="57" spans="1:13" x14ac:dyDescent="0.25">
      <c r="A57" s="16"/>
      <c r="B57" s="16" t="s">
        <v>1284</v>
      </c>
      <c r="C57" s="16" t="s">
        <v>662</v>
      </c>
      <c r="D57" s="16">
        <v>0</v>
      </c>
      <c r="E57" s="16"/>
      <c r="F57" s="16"/>
      <c r="G57" s="16" t="s">
        <v>664</v>
      </c>
      <c r="H57" s="23">
        <v>45915</v>
      </c>
      <c r="I57" s="16" t="str">
        <f>IF(
   COUNTIFS($A$2:A57,A57,
             $B$2:B57,B57,
             $C$2:C57,C57,
             $D$2:D57,D57,
              $H$2:H57,H57)&gt;1,
   "Doublon",
   "Correcte"
)</f>
        <v>Correcte</v>
      </c>
      <c r="J57" s="16" t="str">
        <f>_xlfn.TEXTBEFORE(mouvement_fourniture[[#This Row],[Code]],"_")</f>
        <v>Emballage</v>
      </c>
      <c r="K57" s="16" t="str">
        <f>_xlfn.TEXTAFTER(mouvement_fourniture[[#This Row],[Code]],"_")</f>
        <v>CAR433</v>
      </c>
      <c r="L57" s="16" t="str">
        <f>IF(mouvement_fourniture[[#This Row],[QR Commande]]&lt;&gt;"",INDEX(_xlfn.TEXTSPLIT(mouvement_fourniture[[#This Row],[QR Commande]],"_"),1,1),"")</f>
        <v/>
      </c>
      <c r="M57" s="16" t="str">
        <f>IF(mouvement_fourniture[[#This Row],[QR Commande]]&lt;&gt;"",INDEX(_xlfn.TEXTSPLIT(mouvement_fourniture[[#This Row],[QR Commande]],"_"),1,2),"")</f>
        <v/>
      </c>
    </row>
    <row r="58" spans="1:13" x14ac:dyDescent="0.25">
      <c r="A58" s="16"/>
      <c r="B58" s="16" t="s">
        <v>1285</v>
      </c>
      <c r="C58" s="16" t="s">
        <v>662</v>
      </c>
      <c r="D58" s="16">
        <v>551</v>
      </c>
      <c r="E58" s="16"/>
      <c r="F58" s="16"/>
      <c r="G58" s="16" t="s">
        <v>664</v>
      </c>
      <c r="H58" s="23">
        <v>45915</v>
      </c>
      <c r="I58" s="16" t="str">
        <f>IF(
   COUNTIFS($A$2:A58,A58,
             $B$2:B58,B58,
             $C$2:C58,C58,
             $D$2:D58,D58,
              $H$2:H58,H58)&gt;1,
   "Doublon",
   "Correcte"
)</f>
        <v>Correcte</v>
      </c>
      <c r="J58" s="16" t="str">
        <f>_xlfn.TEXTBEFORE(mouvement_fourniture[[#This Row],[Code]],"_")</f>
        <v>Hantag</v>
      </c>
      <c r="K58" s="16" t="str">
        <f>_xlfn.TEXTAFTER(mouvement_fourniture[[#This Row],[Code]],"_")</f>
        <v>CSHAEP031</v>
      </c>
      <c r="L58" s="16" t="str">
        <f>IF(mouvement_fourniture[[#This Row],[QR Commande]]&lt;&gt;"",INDEX(_xlfn.TEXTSPLIT(mouvement_fourniture[[#This Row],[QR Commande]],"_"),1,1),"")</f>
        <v/>
      </c>
      <c r="M58" s="16" t="str">
        <f>IF(mouvement_fourniture[[#This Row],[QR Commande]]&lt;&gt;"",INDEX(_xlfn.TEXTSPLIT(mouvement_fourniture[[#This Row],[QR Commande]],"_"),1,2),"")</f>
        <v/>
      </c>
    </row>
    <row r="59" spans="1:13" x14ac:dyDescent="0.25">
      <c r="A59" s="16"/>
      <c r="B59" s="16" t="s">
        <v>1286</v>
      </c>
      <c r="C59" s="16" t="s">
        <v>662</v>
      </c>
      <c r="D59" s="16">
        <v>0</v>
      </c>
      <c r="E59" s="16"/>
      <c r="F59" s="16"/>
      <c r="G59" s="16" t="s">
        <v>664</v>
      </c>
      <c r="H59" s="23">
        <v>45915</v>
      </c>
      <c r="I59" s="16" t="str">
        <f>IF(
   COUNTIFS($A$2:A59,A59,
             $B$2:B59,B59,
             $C$2:C59,C59,
             $D$2:D59,D59,
              $H$2:H59,H59)&gt;1,
   "Doublon",
   "Correcte"
)</f>
        <v>Correcte</v>
      </c>
      <c r="J59" s="16" t="str">
        <f>_xlfn.TEXTBEFORE(mouvement_fourniture[[#This Row],[Code]],"_")</f>
        <v>Hantag</v>
      </c>
      <c r="K59" s="16" t="str">
        <f>_xlfn.TEXTAFTER(mouvement_fourniture[[#This Row],[Code]],"_")</f>
        <v>CSHAM1020C</v>
      </c>
      <c r="L59" s="16" t="str">
        <f>IF(mouvement_fourniture[[#This Row],[QR Commande]]&lt;&gt;"",INDEX(_xlfn.TEXTSPLIT(mouvement_fourniture[[#This Row],[QR Commande]],"_"),1,1),"")</f>
        <v/>
      </c>
      <c r="M59" s="16" t="str">
        <f>IF(mouvement_fourniture[[#This Row],[QR Commande]]&lt;&gt;"",INDEX(_xlfn.TEXTSPLIT(mouvement_fourniture[[#This Row],[QR Commande]],"_"),1,2),"")</f>
        <v/>
      </c>
    </row>
    <row r="60" spans="1:13" x14ac:dyDescent="0.25">
      <c r="A60" s="16"/>
      <c r="B60" s="16" t="s">
        <v>1287</v>
      </c>
      <c r="C60" s="16" t="s">
        <v>662</v>
      </c>
      <c r="D60" s="16">
        <v>93</v>
      </c>
      <c r="E60" s="16"/>
      <c r="F60" s="16"/>
      <c r="G60" s="16" t="s">
        <v>664</v>
      </c>
      <c r="H60" s="23">
        <v>45915</v>
      </c>
      <c r="I60" s="16" t="str">
        <f>IF(
   COUNTIFS($A$2:A60,A60,
             $B$2:B60,B60,
             $C$2:C60,C60,
             $D$2:D60,D60,
              $H$2:H60,H60)&gt;1,
   "Doublon",
   "Correcte"
)</f>
        <v>Correcte</v>
      </c>
      <c r="J60" s="16" t="str">
        <f>_xlfn.TEXTBEFORE(mouvement_fourniture[[#This Row],[Code]],"_")</f>
        <v>Hantag</v>
      </c>
      <c r="K60" s="16" t="str">
        <f>_xlfn.TEXTAFTER(mouvement_fourniture[[#This Row],[Code]],"_")</f>
        <v>CSHAM2020C</v>
      </c>
      <c r="L60" s="16" t="str">
        <f>IF(mouvement_fourniture[[#This Row],[QR Commande]]&lt;&gt;"",INDEX(_xlfn.TEXTSPLIT(mouvement_fourniture[[#This Row],[QR Commande]],"_"),1,1),"")</f>
        <v/>
      </c>
      <c r="M60" s="16" t="str">
        <f>IF(mouvement_fourniture[[#This Row],[QR Commande]]&lt;&gt;"",INDEX(_xlfn.TEXTSPLIT(mouvement_fourniture[[#This Row],[QR Commande]],"_"),1,2),"")</f>
        <v/>
      </c>
    </row>
    <row r="61" spans="1:13" x14ac:dyDescent="0.25">
      <c r="A61" s="16"/>
      <c r="B61" s="16" t="s">
        <v>1288</v>
      </c>
      <c r="C61" s="16" t="s">
        <v>662</v>
      </c>
      <c r="D61" s="16">
        <v>124</v>
      </c>
      <c r="E61" s="16"/>
      <c r="F61" s="16"/>
      <c r="G61" s="16" t="s">
        <v>664</v>
      </c>
      <c r="H61" s="23">
        <v>45915</v>
      </c>
      <c r="I61" s="16" t="str">
        <f>IF(
   COUNTIFS($A$2:A61,A61,
             $B$2:B61,B61,
             $C$2:C61,C61,
             $D$2:D61,D61,
              $H$2:H61,H61)&gt;1,
   "Doublon",
   "Correcte"
)</f>
        <v>Correcte</v>
      </c>
      <c r="J61" s="16" t="str">
        <f>_xlfn.TEXTBEFORE(mouvement_fourniture[[#This Row],[Code]],"_")</f>
        <v>Hantag</v>
      </c>
      <c r="K61" s="16" t="str">
        <f>_xlfn.TEXTAFTER(mouvement_fourniture[[#This Row],[Code]],"_")</f>
        <v>CODPON</v>
      </c>
      <c r="L61" s="16" t="str">
        <f>IF(mouvement_fourniture[[#This Row],[QR Commande]]&lt;&gt;"",INDEX(_xlfn.TEXTSPLIT(mouvement_fourniture[[#This Row],[QR Commande]],"_"),1,1),"")</f>
        <v/>
      </c>
      <c r="M61" s="16" t="str">
        <f>IF(mouvement_fourniture[[#This Row],[QR Commande]]&lt;&gt;"",INDEX(_xlfn.TEXTSPLIT(mouvement_fourniture[[#This Row],[QR Commande]],"_"),1,2),"")</f>
        <v/>
      </c>
    </row>
    <row r="62" spans="1:13" x14ac:dyDescent="0.25">
      <c r="A62" s="16"/>
      <c r="B62" s="16" t="s">
        <v>1289</v>
      </c>
      <c r="C62" s="16" t="s">
        <v>662</v>
      </c>
      <c r="D62" s="16">
        <v>0</v>
      </c>
      <c r="E62" s="16"/>
      <c r="F62" s="16"/>
      <c r="G62" s="16" t="s">
        <v>664</v>
      </c>
      <c r="H62" s="23">
        <v>45915</v>
      </c>
      <c r="I62" s="16" t="str">
        <f>IF(
   COUNTIFS($A$2:A62,A62,
             $B$2:B62,B62,
             $C$2:C62,C62,
             $D$2:D62,D62,
              $H$2:H62,H62)&gt;1,
   "Doublon",
   "Correcte"
)</f>
        <v>Correcte</v>
      </c>
      <c r="J62" s="16" t="str">
        <f>_xlfn.TEXTBEFORE(mouvement_fourniture[[#This Row],[Code]],"_")</f>
        <v>Emballage</v>
      </c>
      <c r="K62" s="16" t="str">
        <f>_xlfn.TEXTAFTER(mouvement_fourniture[[#This Row],[Code]],"_")</f>
        <v>COFECHSP</v>
      </c>
      <c r="L62" s="16" t="str">
        <f>IF(mouvement_fourniture[[#This Row],[QR Commande]]&lt;&gt;"",INDEX(_xlfn.TEXTSPLIT(mouvement_fourniture[[#This Row],[QR Commande]],"_"),1,1),"")</f>
        <v/>
      </c>
      <c r="M62" s="16" t="str">
        <f>IF(mouvement_fourniture[[#This Row],[QR Commande]]&lt;&gt;"",INDEX(_xlfn.TEXTSPLIT(mouvement_fourniture[[#This Row],[QR Commande]],"_"),1,2),"")</f>
        <v/>
      </c>
    </row>
    <row r="63" spans="1:13" x14ac:dyDescent="0.25">
      <c r="A63" s="16"/>
      <c r="B63" s="16" t="s">
        <v>1290</v>
      </c>
      <c r="C63" s="16" t="s">
        <v>662</v>
      </c>
      <c r="D63" s="16">
        <v>0</v>
      </c>
      <c r="E63" s="16"/>
      <c r="F63" s="16"/>
      <c r="G63" s="16" t="s">
        <v>664</v>
      </c>
      <c r="H63" s="23">
        <v>45915</v>
      </c>
      <c r="I63" s="16" t="str">
        <f>IF(
   COUNTIFS($A$2:A63,A63,
             $B$2:B63,B63,
             $C$2:C63,C63,
             $D$2:D63,D63,
              $H$2:H63,H63)&gt;1,
   "Doublon",
   "Correcte"
)</f>
        <v>Correcte</v>
      </c>
      <c r="J63" s="16" t="str">
        <f>_xlfn.TEXTBEFORE(mouvement_fourniture[[#This Row],[Code]],"_")</f>
        <v>Emballage</v>
      </c>
      <c r="K63" s="16" t="str">
        <f>_xlfn.TEXTAFTER(mouvement_fourniture[[#This Row],[Code]],"_")</f>
        <v>COFECHABF</v>
      </c>
      <c r="L63" s="16" t="str">
        <f>IF(mouvement_fourniture[[#This Row],[QR Commande]]&lt;&gt;"",INDEX(_xlfn.TEXTSPLIT(mouvement_fourniture[[#This Row],[QR Commande]],"_"),1,1),"")</f>
        <v/>
      </c>
      <c r="M63" s="16" t="str">
        <f>IF(mouvement_fourniture[[#This Row],[QR Commande]]&lt;&gt;"",INDEX(_xlfn.TEXTSPLIT(mouvement_fourniture[[#This Row],[QR Commande]],"_"),1,2),"")</f>
        <v/>
      </c>
    </row>
    <row r="64" spans="1:13" x14ac:dyDescent="0.25">
      <c r="A64" s="16"/>
      <c r="B64" s="16" t="s">
        <v>1291</v>
      </c>
      <c r="C64" s="16" t="s">
        <v>662</v>
      </c>
      <c r="D64" s="16">
        <v>0</v>
      </c>
      <c r="E64" s="16"/>
      <c r="F64" s="16"/>
      <c r="G64" s="16" t="s">
        <v>664</v>
      </c>
      <c r="H64" s="23">
        <v>45915</v>
      </c>
      <c r="I64" s="16" t="str">
        <f>IF(
   COUNTIFS($A$2:A64,A64,
             $B$2:B64,B64,
             $C$2:C64,C64,
             $D$2:D64,D64,
              $H$2:H64,H64)&gt;1,
   "Doublon",
   "Correcte"
)</f>
        <v>Correcte</v>
      </c>
      <c r="J64" s="16" t="str">
        <f>_xlfn.TEXTBEFORE(mouvement_fourniture[[#This Row],[Code]],"_")</f>
        <v>Emballage</v>
      </c>
      <c r="K64" s="16" t="str">
        <f>_xlfn.TEXTAFTER(mouvement_fourniture[[#This Row],[Code]],"_")</f>
        <v>COFJETABF</v>
      </c>
      <c r="L64" s="16" t="str">
        <f>IF(mouvement_fourniture[[#This Row],[QR Commande]]&lt;&gt;"",INDEX(_xlfn.TEXTSPLIT(mouvement_fourniture[[#This Row],[QR Commande]],"_"),1,1),"")</f>
        <v/>
      </c>
      <c r="M64" s="16" t="str">
        <f>IF(mouvement_fourniture[[#This Row],[QR Commande]]&lt;&gt;"",INDEX(_xlfn.TEXTSPLIT(mouvement_fourniture[[#This Row],[QR Commande]],"_"),1,2),"")</f>
        <v/>
      </c>
    </row>
    <row r="65" spans="1:13" x14ac:dyDescent="0.25">
      <c r="A65" s="16"/>
      <c r="B65" s="16" t="s">
        <v>1292</v>
      </c>
      <c r="C65" s="16" t="s">
        <v>662</v>
      </c>
      <c r="D65" s="16">
        <v>729</v>
      </c>
      <c r="E65" s="16"/>
      <c r="F65" s="16"/>
      <c r="G65" s="16" t="s">
        <v>664</v>
      </c>
      <c r="H65" s="23">
        <v>45915</v>
      </c>
      <c r="I65" s="93" t="str">
        <f>IF(
   COUNTIFS($A$2:A65,A65,
             $B$2:B65,B65,
             $C$2:C65,C65,
             $D$2:D65,D65,
              $H$2:H65,H65)&gt;1,
   "Doublon",
   "Correcte"
)</f>
        <v>Correcte</v>
      </c>
      <c r="J65" s="16" t="str">
        <f>_xlfn.TEXTBEFORE(mouvement_fourniture[[#This Row],[Code]],"_")</f>
        <v>Hantag</v>
      </c>
      <c r="K65" s="16" t="str">
        <f>_xlfn.TEXTAFTER(mouvement_fourniture[[#This Row],[Code]],"_")</f>
        <v>CABFSCOD</v>
      </c>
      <c r="L65" s="16" t="str">
        <f>IF(mouvement_fourniture[[#This Row],[QR Commande]]&lt;&gt;"",INDEX(_xlfn.TEXTSPLIT(mouvement_fourniture[[#This Row],[QR Commande]],"_"),1,1),"")</f>
        <v/>
      </c>
      <c r="M65" s="16" t="str">
        <f>IF(mouvement_fourniture[[#This Row],[QR Commande]]&lt;&gt;"",INDEX(_xlfn.TEXTSPLIT(mouvement_fourniture[[#This Row],[QR Commande]],"_"),1,2),"")</f>
        <v/>
      </c>
    </row>
    <row r="66" spans="1:13" x14ac:dyDescent="0.25">
      <c r="A66" s="16" t="s">
        <v>2539</v>
      </c>
      <c r="B66" s="16" t="s">
        <v>1236</v>
      </c>
      <c r="C66" s="16" t="s">
        <v>1294</v>
      </c>
      <c r="D66" s="16">
        <v>200</v>
      </c>
      <c r="E66" s="16" t="s">
        <v>699</v>
      </c>
      <c r="F66" s="16" t="s">
        <v>1295</v>
      </c>
      <c r="G66" s="16" t="s">
        <v>1293</v>
      </c>
      <c r="H66" s="23">
        <v>45925.906550925924</v>
      </c>
      <c r="I66" s="93" t="str">
        <f>IF(
   COUNTIFS($A$2:A66,A66,
             $B$2:B66,B66,
             $C$2:C66,C66,
             $D$2:D66,D66,
              $H$2:H66,H66)&gt;1,
   "Doublon",
   "Correcte"
)</f>
        <v>Correcte</v>
      </c>
      <c r="J66" s="16" t="str">
        <f>_xlfn.TEXTBEFORE(mouvement_fourniture[[#This Row],[Code]],"_")</f>
        <v>Etiquette</v>
      </c>
      <c r="K66" s="16" t="str">
        <f>_xlfn.TEXTAFTER(mouvement_fourniture[[#This Row],[Code]],"_")</f>
        <v>TSP100C</v>
      </c>
      <c r="L66" s="16" t="str">
        <f>IF(mouvement_fourniture[[#This Row],[QR Commande]]&lt;&gt;"",INDEX(_xlfn.TEXTSPLIT(mouvement_fourniture[[#This Row],[QR Commande]],"_"),1,1),"")</f>
        <v>CL00296</v>
      </c>
      <c r="M66" s="16" t="str">
        <f>IF(mouvement_fourniture[[#This Row],[QR Commande]]&lt;&gt;"",INDEX(_xlfn.TEXTSPLIT(mouvement_fourniture[[#This Row],[QR Commande]],"_"),1,2),"")</f>
        <v>CM-FT0129</v>
      </c>
    </row>
    <row r="67" spans="1:13" x14ac:dyDescent="0.25">
      <c r="A67" s="16" t="s">
        <v>2540</v>
      </c>
      <c r="B67" s="23" t="s">
        <v>1236</v>
      </c>
      <c r="C67" s="16" t="s">
        <v>1294</v>
      </c>
      <c r="D67" s="16">
        <v>40</v>
      </c>
      <c r="E67" s="16" t="s">
        <v>699</v>
      </c>
      <c r="F67" s="16" t="s">
        <v>1295</v>
      </c>
      <c r="G67" s="16" t="s">
        <v>1293</v>
      </c>
      <c r="H67" s="23">
        <v>45943.908877314818</v>
      </c>
      <c r="I67" s="93" t="str">
        <f>IF(
   COUNTIFS($A$2:A67,A67,
             $B$2:B67,B67,
             $C$2:C67,C67,
             $D$2:D67,D67,
              $H$2:H67,H67)&gt;1,
   "Doublon",
   "Correcte"
)</f>
        <v>Correcte</v>
      </c>
      <c r="J67" s="16" t="str">
        <f>_xlfn.TEXTBEFORE(mouvement_fourniture[[#This Row],[Code]],"_")</f>
        <v>Etiquette</v>
      </c>
      <c r="K67" s="16" t="str">
        <f>_xlfn.TEXTAFTER(mouvement_fourniture[[#This Row],[Code]],"_")</f>
        <v>TSP100C</v>
      </c>
      <c r="L67" s="64" t="str">
        <f>IF(mouvement_fourniture[[#This Row],[QR Commande]]&lt;&gt;"",INDEX(_xlfn.TEXTSPLIT(mouvement_fourniture[[#This Row],[QR Commande]],"_"),1,1),"")</f>
        <v>CL00296</v>
      </c>
      <c r="M67" s="64" t="str">
        <f>IF(mouvement_fourniture[[#This Row],[QR Commande]]&lt;&gt;"",INDEX(_xlfn.TEXTSPLIT(mouvement_fourniture[[#This Row],[QR Commande]],"_"),1,2),"")</f>
        <v>CM-FT0108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B03B5-7327-40C6-84DC-BB05B569D544}">
  <dimension ref="A1:P232"/>
  <sheetViews>
    <sheetView topLeftCell="C1" workbookViewId="0">
      <selection activeCell="D11" sqref="D11"/>
    </sheetView>
  </sheetViews>
  <sheetFormatPr baseColWidth="10" defaultColWidth="11.42578125" defaultRowHeight="15" x14ac:dyDescent="0.25"/>
  <cols>
    <col min="1" max="1" width="12.42578125" bestFit="1" customWidth="1"/>
    <col min="2" max="2" width="13.140625" customWidth="1"/>
    <col min="3" max="3" width="31" customWidth="1"/>
    <col min="4" max="4" width="20.5703125" customWidth="1"/>
    <col min="5" max="5" width="12.42578125" bestFit="1" customWidth="1"/>
    <col min="6" max="6" width="8.5703125" bestFit="1" customWidth="1"/>
    <col min="7" max="7" width="10.85546875" customWidth="1"/>
    <col min="8" max="8" width="22" customWidth="1"/>
    <col min="9" max="9" width="17.7109375" customWidth="1"/>
    <col min="10" max="10" width="18.42578125" customWidth="1"/>
    <col min="11" max="11" width="18.5703125" bestFit="1" customWidth="1"/>
    <col min="12" max="12" width="19.5703125" customWidth="1"/>
    <col min="13" max="13" width="23.7109375" customWidth="1"/>
    <col min="14" max="14" width="20.140625" customWidth="1"/>
    <col min="15" max="15" width="14.140625" bestFit="1" customWidth="1"/>
    <col min="16" max="16" width="16.85546875" customWidth="1"/>
  </cols>
  <sheetData>
    <row r="1" spans="1:16" ht="30.75" customHeight="1" thickBot="1" x14ac:dyDescent="0.3">
      <c r="A1" s="70" t="s">
        <v>680</v>
      </c>
      <c r="B1" s="71" t="s">
        <v>681</v>
      </c>
      <c r="C1" s="71" t="s">
        <v>1297</v>
      </c>
      <c r="D1" s="71" t="s">
        <v>652</v>
      </c>
      <c r="E1" s="71" t="s">
        <v>682</v>
      </c>
      <c r="F1" s="71" t="s">
        <v>656</v>
      </c>
      <c r="G1" s="71" t="s">
        <v>657</v>
      </c>
      <c r="H1" s="71" t="s">
        <v>683</v>
      </c>
      <c r="I1" s="72" t="s">
        <v>659</v>
      </c>
      <c r="J1" s="72" t="s">
        <v>0</v>
      </c>
      <c r="K1" s="71" t="s">
        <v>2</v>
      </c>
      <c r="L1" s="71" t="s">
        <v>1</v>
      </c>
      <c r="M1" s="71" t="s">
        <v>3</v>
      </c>
      <c r="N1" s="71" t="s">
        <v>4</v>
      </c>
      <c r="O1" s="71" t="s">
        <v>5</v>
      </c>
      <c r="P1" s="86" t="s">
        <v>1227</v>
      </c>
    </row>
    <row r="2" spans="1:16" ht="16.5" thickTop="1" thickBot="1" x14ac:dyDescent="0.3">
      <c r="A2" s="47" t="s">
        <v>684</v>
      </c>
      <c r="B2" s="68" t="s">
        <v>2541</v>
      </c>
      <c r="C2" s="101" t="s">
        <v>2555</v>
      </c>
      <c r="D2" s="53" t="s">
        <v>685</v>
      </c>
      <c r="E2" s="47"/>
      <c r="F2" s="47"/>
      <c r="G2" s="47"/>
      <c r="H2" s="47" t="s">
        <v>664</v>
      </c>
      <c r="I2" s="57">
        <v>45910</v>
      </c>
      <c r="J2" s="68" t="str">
        <f>INDEX(_xlfn.TEXTSPLIT(tissage[[#This Row],[QR Fabrication]],"_"),1,1)</f>
        <v>OF244984</v>
      </c>
      <c r="K2" s="68" t="str">
        <f>INDEX(_xlfn.TEXTSPLIT(tissage[[#This Row],[QR Fabrication]],"_"),1,2)</f>
        <v>CL00296</v>
      </c>
      <c r="L2" s="16" t="str">
        <f>INDEX(_xlfn.TEXTSPLIT(tissage[[#This Row],[QR Fabrication]],"_"),1,3)</f>
        <v>CM-FT0069</v>
      </c>
      <c r="M2" s="16" t="str">
        <f>INDEX(_xlfn.TEXTSPLIT(tissage[[#This Row],[QR Fabrication]],"_"),1,4)</f>
        <v>NDL1020-B20-01</v>
      </c>
      <c r="N2" s="16" t="str">
        <f>INDEX(_xlfn.TEXTSPLIT(tissage[[#This Row],[QR Fabrication]],"_"),1,5)</f>
        <v>ND LILI</v>
      </c>
      <c r="O2" s="16" t="str">
        <f>_xlfn.TEXTAFTER(tissage[[#This Row],[QR Fabrication]],"_",5)</f>
        <v>1020</v>
      </c>
      <c r="P2" s="53" t="str">
        <f>IF(
   COUNTIFS($A$2:A2,A2,
             $C$2:C2,C2,
             $D$2:D2,D2,
             $B$2:B2,B2,
             $E$2:E2,E2,
             $I$2:I2,I2
               )&gt;1,
   "Doublon",
   "Correcte"
)</f>
        <v>Correcte</v>
      </c>
    </row>
    <row r="3" spans="1:16" ht="16.5" thickTop="1" thickBot="1" x14ac:dyDescent="0.3">
      <c r="A3" s="47" t="s">
        <v>678</v>
      </c>
      <c r="B3" s="106" t="s">
        <v>2542</v>
      </c>
      <c r="C3" s="101" t="s">
        <v>1299</v>
      </c>
      <c r="D3" s="53" t="s">
        <v>685</v>
      </c>
      <c r="E3" s="47"/>
      <c r="F3" s="47"/>
      <c r="G3" s="47"/>
      <c r="H3" s="47" t="s">
        <v>664</v>
      </c>
      <c r="I3" s="57">
        <v>45908</v>
      </c>
      <c r="J3" s="57" t="str">
        <f>INDEX(_xlfn.TEXTSPLIT(tissage[[#This Row],[QR Fabrication]],"_"),1,1)</f>
        <v>OF246533</v>
      </c>
      <c r="K3" s="106" t="str">
        <f>INDEX(_xlfn.TEXTSPLIT(tissage[[#This Row],[QR Fabrication]],"_"),1,2)</f>
        <v>CL00296</v>
      </c>
      <c r="L3" s="47" t="str">
        <f>INDEX(_xlfn.TEXTSPLIT(tissage[[#This Row],[QR Fabrication]],"_"),1,3)</f>
        <v>CM-FT0108</v>
      </c>
      <c r="M3" s="47" t="str">
        <f>INDEX(_xlfn.TEXTSPLIT(tissage[[#This Row],[QR Fabrication]],"_"),1,4)</f>
        <v>EPMA0919-B15-02</v>
      </c>
      <c r="N3" s="47" t="str">
        <f>INDEX(_xlfn.TEXTSPLIT(tissage[[#This Row],[QR Fabrication]],"_"),1,5)</f>
        <v>MARINIERE</v>
      </c>
      <c r="O3" s="47" t="str">
        <f>_xlfn.TEXTAFTER(tissage[[#This Row],[QR Fabrication]],"_",5)</f>
        <v>0919</v>
      </c>
      <c r="P3" s="47" t="str">
        <f>IF(
   COUNTIFS($A$2:A3,A3,
             $C$2:C3,C3,
             $D$2:D3,D3,
             $B$2:B3,B3,
             $E$2:E3,E3,
             $I$2:I3,I3
               )&gt;1,
   "Doublon",
   "Correcte"
)</f>
        <v>Correcte</v>
      </c>
    </row>
    <row r="4" spans="1:16" ht="16.5" thickTop="1" thickBot="1" x14ac:dyDescent="0.3">
      <c r="A4" s="47" t="s">
        <v>678</v>
      </c>
      <c r="B4" s="106" t="s">
        <v>2542</v>
      </c>
      <c r="C4" s="101" t="s">
        <v>2556</v>
      </c>
      <c r="D4" s="53" t="s">
        <v>685</v>
      </c>
      <c r="E4" s="47"/>
      <c r="F4" s="47"/>
      <c r="G4" s="47"/>
      <c r="H4" s="47" t="s">
        <v>664</v>
      </c>
      <c r="I4" s="57">
        <v>45908</v>
      </c>
      <c r="J4" s="57" t="str">
        <f>INDEX(_xlfn.TEXTSPLIT(tissage[[#This Row],[QR Fabrication]],"_"),1,1)</f>
        <v>OF246535</v>
      </c>
      <c r="K4" s="106" t="str">
        <f>INDEX(_xlfn.TEXTSPLIT(tissage[[#This Row],[QR Fabrication]],"_"),1,2)</f>
        <v>CL00296</v>
      </c>
      <c r="L4" s="47" t="str">
        <f>INDEX(_xlfn.TEXTSPLIT(tissage[[#This Row],[QR Fabrication]],"_"),1,3)</f>
        <v>CM-FT0108</v>
      </c>
      <c r="M4" s="47" t="str">
        <f>INDEX(_xlfn.TEXTSPLIT(tissage[[#This Row],[QR Fabrication]],"_"),1,4)</f>
        <v>EPMA0919-B03-02</v>
      </c>
      <c r="N4" s="47" t="str">
        <f>INDEX(_xlfn.TEXTSPLIT(tissage[[#This Row],[QR Fabrication]],"_"),1,5)</f>
        <v>MARINIERE</v>
      </c>
      <c r="O4" s="47" t="str">
        <f>_xlfn.TEXTAFTER(tissage[[#This Row],[QR Fabrication]],"_",5)</f>
        <v>0919</v>
      </c>
      <c r="P4" s="47" t="str">
        <f>IF(
   COUNTIFS($A$2:A4,A4,
             $C$2:C4,C4,
             $D$2:D4,D4,
             $B$2:B4,B4,
             $E$2:E4,E4,
             $I$2:I4,I4
               )&gt;1,
   "Doublon",
   "Correcte"
)</f>
        <v>Correcte</v>
      </c>
    </row>
    <row r="5" spans="1:16" ht="16.5" thickTop="1" thickBot="1" x14ac:dyDescent="0.3">
      <c r="A5" s="47" t="s">
        <v>678</v>
      </c>
      <c r="B5" s="106" t="s">
        <v>2542</v>
      </c>
      <c r="C5" s="101" t="s">
        <v>1302</v>
      </c>
      <c r="D5" s="53" t="s">
        <v>685</v>
      </c>
      <c r="E5" s="47"/>
      <c r="F5" s="47"/>
      <c r="G5" s="47"/>
      <c r="H5" s="47" t="s">
        <v>664</v>
      </c>
      <c r="I5" s="57">
        <v>45911</v>
      </c>
      <c r="J5" s="57" t="str">
        <f>INDEX(_xlfn.TEXTSPLIT(tissage[[#This Row],[QR Fabrication]],"_"),1,1)</f>
        <v>OF246543</v>
      </c>
      <c r="K5" s="106" t="str">
        <f>INDEX(_xlfn.TEXTSPLIT(tissage[[#This Row],[QR Fabrication]],"_"),1,2)</f>
        <v>CL00296</v>
      </c>
      <c r="L5" s="47" t="str">
        <f>INDEX(_xlfn.TEXTSPLIT(tissage[[#This Row],[QR Fabrication]],"_"),1,3)</f>
        <v>CM-FT0108</v>
      </c>
      <c r="M5" s="47" t="str">
        <f>INDEX(_xlfn.TEXTSPLIT(tissage[[#This Row],[QR Fabrication]],"_"),1,4)</f>
        <v>EPMA0919-B15-02</v>
      </c>
      <c r="N5" s="47" t="str">
        <f>INDEX(_xlfn.TEXTSPLIT(tissage[[#This Row],[QR Fabrication]],"_"),1,5)</f>
        <v>MARINIERE</v>
      </c>
      <c r="O5" s="47" t="str">
        <f>_xlfn.TEXTAFTER(tissage[[#This Row],[QR Fabrication]],"_",5)</f>
        <v>0919</v>
      </c>
      <c r="P5" s="47" t="str">
        <f>IF(
   COUNTIFS($A$2:A5,A5,
             $C$2:C5,C5,
             $D$2:D5,D5,
             $B$2:B5,B5,
             $E$2:E5,E5,
             $I$2:I5,I5
               )&gt;1,
   "Doublon",
   "Correcte"
)</f>
        <v>Correcte</v>
      </c>
    </row>
    <row r="6" spans="1:16" ht="16.5" thickTop="1" thickBot="1" x14ac:dyDescent="0.3">
      <c r="A6" s="47" t="s">
        <v>678</v>
      </c>
      <c r="B6" s="106" t="s">
        <v>2542</v>
      </c>
      <c r="C6" s="101" t="s">
        <v>2557</v>
      </c>
      <c r="D6" s="53" t="s">
        <v>685</v>
      </c>
      <c r="E6" s="47"/>
      <c r="F6" s="47"/>
      <c r="G6" s="47"/>
      <c r="H6" s="47" t="s">
        <v>664</v>
      </c>
      <c r="I6" s="57">
        <v>45869</v>
      </c>
      <c r="J6" s="57" t="str">
        <f>INDEX(_xlfn.TEXTSPLIT(tissage[[#This Row],[QR Fabrication]],"_"),1,1)</f>
        <v>OF246544</v>
      </c>
      <c r="K6" s="106" t="str">
        <f>INDEX(_xlfn.TEXTSPLIT(tissage[[#This Row],[QR Fabrication]],"_"),1,2)</f>
        <v>CL00296</v>
      </c>
      <c r="L6" s="47" t="str">
        <f>INDEX(_xlfn.TEXTSPLIT(tissage[[#This Row],[QR Fabrication]],"_"),1,3)</f>
        <v>CM-FT0108</v>
      </c>
      <c r="M6" s="47" t="str">
        <f>INDEX(_xlfn.TEXTSPLIT(tissage[[#This Row],[QR Fabrication]],"_"),1,4)</f>
        <v>EPMA0919-B03-02</v>
      </c>
      <c r="N6" s="47" t="str">
        <f>INDEX(_xlfn.TEXTSPLIT(tissage[[#This Row],[QR Fabrication]],"_"),1,5)</f>
        <v>MARINIERE</v>
      </c>
      <c r="O6" s="47" t="str">
        <f>_xlfn.TEXTAFTER(tissage[[#This Row],[QR Fabrication]],"_",5)</f>
        <v>0919</v>
      </c>
      <c r="P6" s="47" t="str">
        <f>IF(
   COUNTIFS($A$2:A6,A6,
             $C$2:C6,C6,
             $D$2:D6,D6,
             $B$2:B6,B6,
             $E$2:E6,E6,
             $I$2:I6,I6
               )&gt;1,
   "Doublon",
   "Correcte"
)</f>
        <v>Correcte</v>
      </c>
    </row>
    <row r="7" spans="1:16" ht="16.5" thickTop="1" thickBot="1" x14ac:dyDescent="0.3">
      <c r="A7" s="47" t="s">
        <v>686</v>
      </c>
      <c r="B7" s="106" t="s">
        <v>2543</v>
      </c>
      <c r="C7" s="101" t="s">
        <v>1308</v>
      </c>
      <c r="D7" s="53" t="s">
        <v>685</v>
      </c>
      <c r="E7" s="47"/>
      <c r="F7" s="47"/>
      <c r="G7" s="47"/>
      <c r="H7" s="47" t="s">
        <v>664</v>
      </c>
      <c r="I7" s="57">
        <v>45884</v>
      </c>
      <c r="J7" s="57" t="str">
        <f>INDEX(_xlfn.TEXTSPLIT(tissage[[#This Row],[QR Fabrication]],"_"),1,1)</f>
        <v>OF246842</v>
      </c>
      <c r="K7" s="106" t="str">
        <f>INDEX(_xlfn.TEXTSPLIT(tissage[[#This Row],[QR Fabrication]],"_"),1,2)</f>
        <v>CL00300</v>
      </c>
      <c r="L7" s="47" t="str">
        <f>INDEX(_xlfn.TEXTSPLIT(tissage[[#This Row],[QR Fabrication]],"_"),1,3)</f>
        <v>CM-FT0116</v>
      </c>
      <c r="M7" s="47" t="str">
        <f>INDEX(_xlfn.TEXTSPLIT(tissage[[#This Row],[QR Fabrication]],"_"),1,4)</f>
        <v>AR2030-B11-16</v>
      </c>
      <c r="N7" s="47" t="str">
        <f>INDEX(_xlfn.TEXTSPLIT(tissage[[#This Row],[QR Fabrication]],"_"),1,5)</f>
        <v>ARTHUR</v>
      </c>
      <c r="O7" s="47" t="str">
        <f>_xlfn.TEXTAFTER(tissage[[#This Row],[QR Fabrication]],"_",5)</f>
        <v>2030</v>
      </c>
      <c r="P7" s="47" t="str">
        <f>IF(
   COUNTIFS($A$2:A7,A7,
             $C$2:C7,C7,
             $D$2:D7,D7,
             $B$2:B7,B7,
             $E$2:E7,E7,
             $I$2:I7,I7
               )&gt;1,
   "Doublon",
   "Correcte"
)</f>
        <v>Correcte</v>
      </c>
    </row>
    <row r="8" spans="1:16" ht="16.5" thickTop="1" thickBot="1" x14ac:dyDescent="0.3">
      <c r="A8" s="47" t="s">
        <v>684</v>
      </c>
      <c r="B8" s="106" t="s">
        <v>2544</v>
      </c>
      <c r="C8" s="101" t="s">
        <v>2461</v>
      </c>
      <c r="D8" s="53" t="s">
        <v>685</v>
      </c>
      <c r="E8" s="47"/>
      <c r="F8" s="47"/>
      <c r="G8" s="47"/>
      <c r="H8" s="47" t="s">
        <v>664</v>
      </c>
      <c r="I8" s="57">
        <v>45909</v>
      </c>
      <c r="J8" s="57" t="str">
        <f>INDEX(_xlfn.TEXTSPLIT(tissage[[#This Row],[QR Fabrication]],"_"),1,1)</f>
        <v>CA250044</v>
      </c>
      <c r="K8" s="106" t="str">
        <f>INDEX(_xlfn.TEXTSPLIT(tissage[[#This Row],[QR Fabrication]],"_"),1,2)</f>
        <v>All by Fouta</v>
      </c>
      <c r="L8" s="47" t="str">
        <f>INDEX(_xlfn.TEXTSPLIT(tissage[[#This Row],[QR Fabrication]],"_"),1,3)</f>
        <v>Stock</v>
      </c>
      <c r="M8" s="47" t="str">
        <f>INDEX(_xlfn.TEXTSPLIT(tissage[[#This Row],[QR Fabrication]],"_"),1,4)</f>
        <v>UNS1626-09</v>
      </c>
      <c r="N8" s="47" t="str">
        <f>INDEX(_xlfn.TEXTSPLIT(tissage[[#This Row],[QR Fabrication]],"_"),1,5)</f>
        <v>UNI SURPIQUE</v>
      </c>
      <c r="O8" s="47" t="str">
        <f>_xlfn.TEXTAFTER(tissage[[#This Row],[QR Fabrication]],"_",5)</f>
        <v>1626</v>
      </c>
      <c r="P8" s="47" t="str">
        <f>IF(
   COUNTIFS($A$2:A8,A8,
             $C$2:C8,C8,
             $D$2:D8,D8,
             $B$2:B8,B8,
             $E$2:E8,E8,
             $I$2:I8,I8
               )&gt;1,
   "Doublon",
   "Correcte"
)</f>
        <v>Correcte</v>
      </c>
    </row>
    <row r="9" spans="1:16" ht="16.5" thickTop="1" thickBot="1" x14ac:dyDescent="0.3">
      <c r="A9" s="47" t="s">
        <v>684</v>
      </c>
      <c r="B9" s="106" t="s">
        <v>2544</v>
      </c>
      <c r="C9" s="101" t="s">
        <v>2425</v>
      </c>
      <c r="D9" s="53" t="s">
        <v>685</v>
      </c>
      <c r="E9" s="47"/>
      <c r="F9" s="47"/>
      <c r="G9" s="47"/>
      <c r="H9" s="47" t="s">
        <v>664</v>
      </c>
      <c r="I9" s="57">
        <v>45917</v>
      </c>
      <c r="J9" s="57" t="str">
        <f>INDEX(_xlfn.TEXTSPLIT(tissage[[#This Row],[QR Fabrication]],"_"),1,1)</f>
        <v>CA250043</v>
      </c>
      <c r="K9" s="106" t="str">
        <f>INDEX(_xlfn.TEXTSPLIT(tissage[[#This Row],[QR Fabrication]],"_"),1,2)</f>
        <v>All by Fouta</v>
      </c>
      <c r="L9" s="47" t="str">
        <f>INDEX(_xlfn.TEXTSPLIT(tissage[[#This Row],[QR Fabrication]],"_"),1,3)</f>
        <v>Stock</v>
      </c>
      <c r="M9" s="47" t="str">
        <f>INDEX(_xlfn.TEXTSPLIT(tissage[[#This Row],[QR Fabrication]],"_"),1,4)</f>
        <v>UNS1626-06</v>
      </c>
      <c r="N9" s="47" t="str">
        <f>INDEX(_xlfn.TEXTSPLIT(tissage[[#This Row],[QR Fabrication]],"_"),1,5)</f>
        <v>UNI SURPIQUE</v>
      </c>
      <c r="O9" s="47" t="str">
        <f>_xlfn.TEXTAFTER(tissage[[#This Row],[QR Fabrication]],"_",5)</f>
        <v>1626</v>
      </c>
      <c r="P9" s="47" t="str">
        <f>IF(
   COUNTIFS($A$2:A9,A9,
             $C$2:C9,C9,
             $D$2:D9,D9,
             $B$2:B9,B9,
             $E$2:E9,E9,
             $I$2:I9,I9
               )&gt;1,
   "Doublon",
   "Correcte"
)</f>
        <v>Correcte</v>
      </c>
    </row>
    <row r="10" spans="1:16" ht="16.5" thickTop="1" thickBot="1" x14ac:dyDescent="0.3">
      <c r="A10" s="47" t="s">
        <v>684</v>
      </c>
      <c r="B10" s="106" t="s">
        <v>2541</v>
      </c>
      <c r="C10" s="101" t="s">
        <v>1300</v>
      </c>
      <c r="D10" s="53" t="s">
        <v>685</v>
      </c>
      <c r="E10" s="47"/>
      <c r="F10" s="47"/>
      <c r="G10" s="47"/>
      <c r="H10" s="47" t="s">
        <v>664</v>
      </c>
      <c r="I10" s="57">
        <v>45873</v>
      </c>
      <c r="J10" s="57" t="str">
        <f>INDEX(_xlfn.TEXTSPLIT(tissage[[#This Row],[QR Fabrication]],"_"),1,1)</f>
        <v>CA250004</v>
      </c>
      <c r="K10" s="106" t="str">
        <f>INDEX(_xlfn.TEXTSPLIT(tissage[[#This Row],[QR Fabrication]],"_"),1,2)</f>
        <v>All by Fouta</v>
      </c>
      <c r="L10" s="47" t="str">
        <f>INDEX(_xlfn.TEXTSPLIT(tissage[[#This Row],[QR Fabrication]],"_"),1,3)</f>
        <v>Stock</v>
      </c>
      <c r="M10" s="47" t="str">
        <f>INDEX(_xlfn.TEXTSPLIT(tissage[[#This Row],[QR Fabrication]],"_"),1,4)</f>
        <v>UNS1020-09</v>
      </c>
      <c r="N10" s="47" t="str">
        <f>INDEX(_xlfn.TEXTSPLIT(tissage[[#This Row],[QR Fabrication]],"_"),1,5)</f>
        <v>UNI SURPIQUE</v>
      </c>
      <c r="O10" s="47" t="str">
        <f>_xlfn.TEXTAFTER(tissage[[#This Row],[QR Fabrication]],"_",5)</f>
        <v>1020</v>
      </c>
      <c r="P10" s="47" t="str">
        <f>IF(
   COUNTIFS($A$2:A10,A10,
             $C$2:C10,C10,
             $D$2:D10,D10,
             $B$2:B10,B10,
             $E$2:E10,E10,
             $I$2:I10,I10
               )&gt;1,
   "Doublon",
   "Correcte"
)</f>
        <v>Correcte</v>
      </c>
    </row>
    <row r="11" spans="1:16" ht="16.5" thickTop="1" thickBot="1" x14ac:dyDescent="0.3">
      <c r="A11" s="47" t="s">
        <v>684</v>
      </c>
      <c r="B11" s="106" t="s">
        <v>2541</v>
      </c>
      <c r="C11" s="101" t="s">
        <v>2419</v>
      </c>
      <c r="D11" s="53" t="s">
        <v>685</v>
      </c>
      <c r="E11" s="47"/>
      <c r="F11" s="47"/>
      <c r="G11" s="47"/>
      <c r="H11" s="47" t="s">
        <v>664</v>
      </c>
      <c r="I11" s="57">
        <v>45909</v>
      </c>
      <c r="J11" s="57" t="str">
        <f>INDEX(_xlfn.TEXTSPLIT(tissage[[#This Row],[QR Fabrication]],"_"),1,1)</f>
        <v>CA250008</v>
      </c>
      <c r="K11" s="106" t="str">
        <f>INDEX(_xlfn.TEXTSPLIT(tissage[[#This Row],[QR Fabrication]],"_"),1,2)</f>
        <v>All by Fouta</v>
      </c>
      <c r="L11" s="47" t="str">
        <f>INDEX(_xlfn.TEXTSPLIT(tissage[[#This Row],[QR Fabrication]],"_"),1,3)</f>
        <v>Stock</v>
      </c>
      <c r="M11" s="47" t="str">
        <f>INDEX(_xlfn.TEXTSPLIT(tissage[[#This Row],[QR Fabrication]],"_"),1,4)</f>
        <v>UNS1020-15</v>
      </c>
      <c r="N11" s="47" t="str">
        <f>INDEX(_xlfn.TEXTSPLIT(tissage[[#This Row],[QR Fabrication]],"_"),1,5)</f>
        <v>UNI SURPIQUE</v>
      </c>
      <c r="O11" s="47" t="str">
        <f>_xlfn.TEXTAFTER(tissage[[#This Row],[QR Fabrication]],"_",5)</f>
        <v>1020</v>
      </c>
      <c r="P11" s="47" t="str">
        <f>IF(
   COUNTIFS($A$2:A11,A11,
             $C$2:C11,C11,
             $D$2:D11,D11,
             $B$2:B11,B11,
             $E$2:E11,E11,
             $I$2:I11,I11
               )&gt;1,
   "Doublon",
   "Correcte"
)</f>
        <v>Correcte</v>
      </c>
    </row>
    <row r="12" spans="1:16" ht="16.5" thickTop="1" thickBot="1" x14ac:dyDescent="0.3">
      <c r="A12" s="47" t="s">
        <v>684</v>
      </c>
      <c r="B12" s="106" t="s">
        <v>2544</v>
      </c>
      <c r="C12" s="101" t="s">
        <v>2442</v>
      </c>
      <c r="D12" s="53" t="s">
        <v>685</v>
      </c>
      <c r="E12" s="47"/>
      <c r="F12" s="47"/>
      <c r="G12" s="47"/>
      <c r="H12" s="47" t="s">
        <v>664</v>
      </c>
      <c r="I12" s="57">
        <v>45923</v>
      </c>
      <c r="J12" s="57" t="str">
        <f>INDEX(_xlfn.TEXTSPLIT(tissage[[#This Row],[QR Fabrication]],"_"),1,1)</f>
        <v>CA250059</v>
      </c>
      <c r="K12" s="106" t="str">
        <f>INDEX(_xlfn.TEXTSPLIT(tissage[[#This Row],[QR Fabrication]],"_"),1,2)</f>
        <v>All by Fouta</v>
      </c>
      <c r="L12" s="47" t="str">
        <f>INDEX(_xlfn.TEXTSPLIT(tissage[[#This Row],[QR Fabrication]],"_"),1,3)</f>
        <v>Stock</v>
      </c>
      <c r="M12" s="47" t="str">
        <f>INDEX(_xlfn.TEXTSPLIT(tissage[[#This Row],[QR Fabrication]],"_"),1,4)</f>
        <v>UNS1626-32</v>
      </c>
      <c r="N12" s="47" t="str">
        <f>INDEX(_xlfn.TEXTSPLIT(tissage[[#This Row],[QR Fabrication]],"_"),1,5)</f>
        <v>UNI SURPIQUE</v>
      </c>
      <c r="O12" s="47" t="str">
        <f>_xlfn.TEXTAFTER(tissage[[#This Row],[QR Fabrication]],"_",5)</f>
        <v>1626</v>
      </c>
      <c r="P12" s="47" t="str">
        <f>IF(
   COUNTIFS($A$2:A12,A12,
             $C$2:C12,C12,
             $D$2:D12,D12,
             $B$2:B12,B12,
             $E$2:E12,E12,
             $I$2:I12,I12
               )&gt;1,
   "Doublon",
   "Correcte"
)</f>
        <v>Correcte</v>
      </c>
    </row>
    <row r="13" spans="1:16" ht="16.5" thickTop="1" thickBot="1" x14ac:dyDescent="0.3">
      <c r="A13" s="47" t="s">
        <v>684</v>
      </c>
      <c r="B13" s="106" t="s">
        <v>2544</v>
      </c>
      <c r="C13" s="101" t="s">
        <v>2424</v>
      </c>
      <c r="D13" s="53" t="s">
        <v>685</v>
      </c>
      <c r="E13" s="47"/>
      <c r="F13" s="47"/>
      <c r="G13" s="47"/>
      <c r="H13" s="47" t="s">
        <v>664</v>
      </c>
      <c r="I13" s="57">
        <v>45919</v>
      </c>
      <c r="J13" s="57" t="str">
        <f>INDEX(_xlfn.TEXTSPLIT(tissage[[#This Row],[QR Fabrication]],"_"),1,1)</f>
        <v>CA250058</v>
      </c>
      <c r="K13" s="106" t="str">
        <f>INDEX(_xlfn.TEXTSPLIT(tissage[[#This Row],[QR Fabrication]],"_"),1,2)</f>
        <v>All by Fouta</v>
      </c>
      <c r="L13" s="47" t="str">
        <f>INDEX(_xlfn.TEXTSPLIT(tissage[[#This Row],[QR Fabrication]],"_"),1,3)</f>
        <v>Stock</v>
      </c>
      <c r="M13" s="47" t="str">
        <f>INDEX(_xlfn.TEXTSPLIT(tissage[[#This Row],[QR Fabrication]],"_"),1,4)</f>
        <v>UNS1626-31</v>
      </c>
      <c r="N13" s="47" t="str">
        <f>INDEX(_xlfn.TEXTSPLIT(tissage[[#This Row],[QR Fabrication]],"_"),1,5)</f>
        <v>UNI SURPIQUE</v>
      </c>
      <c r="O13" s="47" t="str">
        <f>_xlfn.TEXTAFTER(tissage[[#This Row],[QR Fabrication]],"_",5)</f>
        <v>1626</v>
      </c>
      <c r="P13" s="47" t="str">
        <f>IF(
   COUNTIFS($A$2:A13,A13,
             $C$2:C13,C13,
             $D$2:D13,D13,
             $B$2:B13,B13,
             $E$2:E13,E13,
             $I$2:I13,I13
               )&gt;1,
   "Doublon",
   "Correcte"
)</f>
        <v>Correcte</v>
      </c>
    </row>
    <row r="14" spans="1:16" ht="16.5" thickTop="1" thickBot="1" x14ac:dyDescent="0.3">
      <c r="A14" s="47" t="s">
        <v>684</v>
      </c>
      <c r="B14" s="106" t="s">
        <v>2544</v>
      </c>
      <c r="C14" s="101" t="s">
        <v>2558</v>
      </c>
      <c r="D14" s="53" t="s">
        <v>685</v>
      </c>
      <c r="E14" s="47"/>
      <c r="F14" s="47"/>
      <c r="G14" s="47"/>
      <c r="H14" s="47" t="s">
        <v>664</v>
      </c>
      <c r="I14" s="57">
        <v>45919</v>
      </c>
      <c r="J14" s="57" t="str">
        <f>INDEX(_xlfn.TEXTSPLIT(tissage[[#This Row],[QR Fabrication]],"_"),1,1)</f>
        <v>CA250057</v>
      </c>
      <c r="K14" s="106" t="str">
        <f>INDEX(_xlfn.TEXTSPLIT(tissage[[#This Row],[QR Fabrication]],"_"),1,2)</f>
        <v>All by Fouta</v>
      </c>
      <c r="L14" s="47" t="str">
        <f>INDEX(_xlfn.TEXTSPLIT(tissage[[#This Row],[QR Fabrication]],"_"),1,3)</f>
        <v>Stock</v>
      </c>
      <c r="M14" s="47" t="str">
        <f>INDEX(_xlfn.TEXTSPLIT(tissage[[#This Row],[QR Fabrication]],"_"),1,4)</f>
        <v>UNS1626-30</v>
      </c>
      <c r="N14" s="47" t="str">
        <f>INDEX(_xlfn.TEXTSPLIT(tissage[[#This Row],[QR Fabrication]],"_"),1,5)</f>
        <v>UNI SURPIQUE</v>
      </c>
      <c r="O14" s="47" t="str">
        <f>_xlfn.TEXTAFTER(tissage[[#This Row],[QR Fabrication]],"_",5)</f>
        <v>1626</v>
      </c>
      <c r="P14" s="47" t="str">
        <f>IF(
   COUNTIFS($A$2:A14,A14,
             $C$2:C14,C14,
             $D$2:D14,D14,
             $B$2:B14,B14,
             $E$2:E14,E14,
             $I$2:I14,I14
               )&gt;1,
   "Doublon",
   "Correcte"
)</f>
        <v>Correcte</v>
      </c>
    </row>
    <row r="15" spans="1:16" ht="16.5" thickTop="1" thickBot="1" x14ac:dyDescent="0.3">
      <c r="A15" s="47" t="s">
        <v>684</v>
      </c>
      <c r="B15" s="106" t="s">
        <v>2544</v>
      </c>
      <c r="C15" s="101" t="s">
        <v>2469</v>
      </c>
      <c r="D15" s="53" t="s">
        <v>685</v>
      </c>
      <c r="E15" s="47"/>
      <c r="F15" s="47"/>
      <c r="G15" s="47"/>
      <c r="H15" s="47" t="s">
        <v>664</v>
      </c>
      <c r="I15" s="57">
        <v>45931</v>
      </c>
      <c r="J15" s="57" t="str">
        <f>INDEX(_xlfn.TEXTSPLIT(tissage[[#This Row],[QR Fabrication]],"_"),1,1)</f>
        <v>CA250056</v>
      </c>
      <c r="K15" s="106" t="str">
        <f>INDEX(_xlfn.TEXTSPLIT(tissage[[#This Row],[QR Fabrication]],"_"),1,2)</f>
        <v>All by Fouta</v>
      </c>
      <c r="L15" s="47" t="str">
        <f>INDEX(_xlfn.TEXTSPLIT(tissage[[#This Row],[QR Fabrication]],"_"),1,3)</f>
        <v>Stock</v>
      </c>
      <c r="M15" s="47" t="str">
        <f>INDEX(_xlfn.TEXTSPLIT(tissage[[#This Row],[QR Fabrication]],"_"),1,4)</f>
        <v>UNS1626-27</v>
      </c>
      <c r="N15" s="47" t="str">
        <f>INDEX(_xlfn.TEXTSPLIT(tissage[[#This Row],[QR Fabrication]],"_"),1,5)</f>
        <v>UNI SURPIQUE</v>
      </c>
      <c r="O15" s="47" t="str">
        <f>_xlfn.TEXTAFTER(tissage[[#This Row],[QR Fabrication]],"_",5)</f>
        <v>1626</v>
      </c>
      <c r="P15" s="47" t="str">
        <f>IF(
   COUNTIFS($A$2:A15,A15,
             $C$2:C15,C15,
             $D$2:D15,D15,
             $B$2:B15,B15,
             $E$2:E15,E15,
             $I$2:I15,I15
               )&gt;1,
   "Doublon",
   "Correcte"
)</f>
        <v>Correcte</v>
      </c>
    </row>
    <row r="16" spans="1:16" ht="16.5" thickTop="1" thickBot="1" x14ac:dyDescent="0.3">
      <c r="A16" s="47" t="s">
        <v>684</v>
      </c>
      <c r="B16" s="106" t="s">
        <v>2544</v>
      </c>
      <c r="C16" s="101" t="s">
        <v>2408</v>
      </c>
      <c r="D16" s="53" t="s">
        <v>685</v>
      </c>
      <c r="E16" s="47"/>
      <c r="F16" s="47"/>
      <c r="G16" s="47"/>
      <c r="H16" s="47" t="s">
        <v>664</v>
      </c>
      <c r="I16" s="57">
        <v>45924</v>
      </c>
      <c r="J16" s="57" t="str">
        <f>INDEX(_xlfn.TEXTSPLIT(tissage[[#This Row],[QR Fabrication]],"_"),1,1)</f>
        <v>CA250055</v>
      </c>
      <c r="K16" s="106" t="str">
        <f>INDEX(_xlfn.TEXTSPLIT(tissage[[#This Row],[QR Fabrication]],"_"),1,2)</f>
        <v>All by Fouta</v>
      </c>
      <c r="L16" s="47" t="str">
        <f>INDEX(_xlfn.TEXTSPLIT(tissage[[#This Row],[QR Fabrication]],"_"),1,3)</f>
        <v>Stock</v>
      </c>
      <c r="M16" s="47" t="str">
        <f>INDEX(_xlfn.TEXTSPLIT(tissage[[#This Row],[QR Fabrication]],"_"),1,4)</f>
        <v>UNS1626-26</v>
      </c>
      <c r="N16" s="47" t="str">
        <f>INDEX(_xlfn.TEXTSPLIT(tissage[[#This Row],[QR Fabrication]],"_"),1,5)</f>
        <v>UNI SURPIQUE</v>
      </c>
      <c r="O16" s="47" t="str">
        <f>_xlfn.TEXTAFTER(tissage[[#This Row],[QR Fabrication]],"_",5)</f>
        <v>1626</v>
      </c>
      <c r="P16" s="47" t="str">
        <f>IF(
   COUNTIFS($A$2:A16,A16,
             $C$2:C16,C16,
             $D$2:D16,D16,
             $B$2:B16,B16,
             $E$2:E16,E16,
             $I$2:I16,I16
               )&gt;1,
   "Doublon",
   "Correcte"
)</f>
        <v>Correcte</v>
      </c>
    </row>
    <row r="17" spans="1:16" ht="16.5" thickTop="1" thickBot="1" x14ac:dyDescent="0.3">
      <c r="A17" s="47" t="s">
        <v>684</v>
      </c>
      <c r="B17" s="106" t="s">
        <v>2544</v>
      </c>
      <c r="C17" s="101" t="s">
        <v>2446</v>
      </c>
      <c r="D17" s="53" t="s">
        <v>685</v>
      </c>
      <c r="E17" s="47"/>
      <c r="F17" s="47"/>
      <c r="G17" s="47"/>
      <c r="H17" s="47" t="s">
        <v>664</v>
      </c>
      <c r="I17" s="57">
        <v>45924</v>
      </c>
      <c r="J17" s="57" t="str">
        <f>INDEX(_xlfn.TEXTSPLIT(tissage[[#This Row],[QR Fabrication]],"_"),1,1)</f>
        <v>CA250054</v>
      </c>
      <c r="K17" s="106" t="str">
        <f>INDEX(_xlfn.TEXTSPLIT(tissage[[#This Row],[QR Fabrication]],"_"),1,2)</f>
        <v>All by Fouta</v>
      </c>
      <c r="L17" s="47" t="str">
        <f>INDEX(_xlfn.TEXTSPLIT(tissage[[#This Row],[QR Fabrication]],"_"),1,3)</f>
        <v>Stock</v>
      </c>
      <c r="M17" s="47" t="str">
        <f>INDEX(_xlfn.TEXTSPLIT(tissage[[#This Row],[QR Fabrication]],"_"),1,4)</f>
        <v>UNS1626-24</v>
      </c>
      <c r="N17" s="47" t="str">
        <f>INDEX(_xlfn.TEXTSPLIT(tissage[[#This Row],[QR Fabrication]],"_"),1,5)</f>
        <v>UNI SURPIQUE</v>
      </c>
      <c r="O17" s="47" t="str">
        <f>_xlfn.TEXTAFTER(tissage[[#This Row],[QR Fabrication]],"_",5)</f>
        <v>1626</v>
      </c>
      <c r="P17" s="47" t="str">
        <f>IF(
   COUNTIFS($A$2:A17,A17,
             $C$2:C17,C17,
             $D$2:D17,D17,
             $B$2:B17,B17,
             $E$2:E17,E17,
             $I$2:I17,I17
               )&gt;1,
   "Doublon",
   "Correcte"
)</f>
        <v>Correcte</v>
      </c>
    </row>
    <row r="18" spans="1:16" ht="16.5" thickTop="1" thickBot="1" x14ac:dyDescent="0.3">
      <c r="A18" s="47" t="s">
        <v>684</v>
      </c>
      <c r="B18" s="106" t="s">
        <v>2544</v>
      </c>
      <c r="C18" s="101" t="s">
        <v>2464</v>
      </c>
      <c r="D18" s="53" t="s">
        <v>685</v>
      </c>
      <c r="E18" s="47"/>
      <c r="F18" s="47"/>
      <c r="G18" s="47"/>
      <c r="H18" s="47" t="s">
        <v>664</v>
      </c>
      <c r="I18" s="57">
        <v>45925</v>
      </c>
      <c r="J18" s="57" t="str">
        <f>INDEX(_xlfn.TEXTSPLIT(tissage[[#This Row],[QR Fabrication]],"_"),1,1)</f>
        <v>CA250053</v>
      </c>
      <c r="K18" s="106" t="str">
        <f>INDEX(_xlfn.TEXTSPLIT(tissage[[#This Row],[QR Fabrication]],"_"),1,2)</f>
        <v>All by Fouta</v>
      </c>
      <c r="L18" s="47" t="str">
        <f>INDEX(_xlfn.TEXTSPLIT(tissage[[#This Row],[QR Fabrication]],"_"),1,3)</f>
        <v>Stock</v>
      </c>
      <c r="M18" s="47" t="str">
        <f>INDEX(_xlfn.TEXTSPLIT(tissage[[#This Row],[QR Fabrication]],"_"),1,4)</f>
        <v>UNS1626-23</v>
      </c>
      <c r="N18" s="47" t="str">
        <f>INDEX(_xlfn.TEXTSPLIT(tissage[[#This Row],[QR Fabrication]],"_"),1,5)</f>
        <v>UNI SURPIQUE</v>
      </c>
      <c r="O18" s="47" t="str">
        <f>_xlfn.TEXTAFTER(tissage[[#This Row],[QR Fabrication]],"_",5)</f>
        <v>1626</v>
      </c>
      <c r="P18" s="47" t="str">
        <f>IF(
   COUNTIFS($A$2:A18,A18,
             $C$2:C18,C18,
             $D$2:D18,D18,
             $B$2:B18,B18,
             $E$2:E18,E18,
             $I$2:I18,I18
               )&gt;1,
   "Doublon",
   "Correcte"
)</f>
        <v>Correcte</v>
      </c>
    </row>
    <row r="19" spans="1:16" ht="16.5" thickTop="1" thickBot="1" x14ac:dyDescent="0.3">
      <c r="A19" s="47" t="s">
        <v>684</v>
      </c>
      <c r="B19" s="106" t="s">
        <v>2544</v>
      </c>
      <c r="C19" s="101" t="s">
        <v>2495</v>
      </c>
      <c r="D19" s="53" t="s">
        <v>685</v>
      </c>
      <c r="E19" s="47"/>
      <c r="F19" s="47"/>
      <c r="G19" s="47"/>
      <c r="H19" s="47" t="s">
        <v>664</v>
      </c>
      <c r="I19" s="57">
        <v>45930</v>
      </c>
      <c r="J19" s="57" t="str">
        <f>INDEX(_xlfn.TEXTSPLIT(tissage[[#This Row],[QR Fabrication]],"_"),1,1)</f>
        <v>CA250052</v>
      </c>
      <c r="K19" s="106" t="str">
        <f>INDEX(_xlfn.TEXTSPLIT(tissage[[#This Row],[QR Fabrication]],"_"),1,2)</f>
        <v>All by Fouta</v>
      </c>
      <c r="L19" s="47" t="str">
        <f>INDEX(_xlfn.TEXTSPLIT(tissage[[#This Row],[QR Fabrication]],"_"),1,3)</f>
        <v>Stock</v>
      </c>
      <c r="M19" s="47" t="str">
        <f>INDEX(_xlfn.TEXTSPLIT(tissage[[#This Row],[QR Fabrication]],"_"),1,4)</f>
        <v>UNS1626-20</v>
      </c>
      <c r="N19" s="47" t="str">
        <f>INDEX(_xlfn.TEXTSPLIT(tissage[[#This Row],[QR Fabrication]],"_"),1,5)</f>
        <v>UNI SURPIQUE</v>
      </c>
      <c r="O19" s="47" t="str">
        <f>_xlfn.TEXTAFTER(tissage[[#This Row],[QR Fabrication]],"_",5)</f>
        <v>1626</v>
      </c>
      <c r="P19" s="47" t="str">
        <f>IF(
   COUNTIFS($A$2:A19,A19,
             $C$2:C19,C19,
             $D$2:D19,D19,
             $B$2:B19,B19,
             $E$2:E19,E19,
             $I$2:I19,I19
               )&gt;1,
   "Doublon",
   "Correcte"
)</f>
        <v>Correcte</v>
      </c>
    </row>
    <row r="20" spans="1:16" ht="16.5" thickTop="1" thickBot="1" x14ac:dyDescent="0.3">
      <c r="A20" s="51" t="s">
        <v>684</v>
      </c>
      <c r="B20" s="107" t="s">
        <v>2544</v>
      </c>
      <c r="C20" s="102" t="s">
        <v>2436</v>
      </c>
      <c r="D20" s="53" t="s">
        <v>685</v>
      </c>
      <c r="E20" s="51"/>
      <c r="F20" s="51"/>
      <c r="G20" s="51"/>
      <c r="H20" s="47" t="s">
        <v>664</v>
      </c>
      <c r="I20" s="58">
        <v>45926</v>
      </c>
      <c r="J20" s="58" t="str">
        <f>INDEX(_xlfn.TEXTSPLIT(tissage[[#This Row],[QR Fabrication]],"_"),1,1)</f>
        <v>CA250051</v>
      </c>
      <c r="K20" s="107" t="str">
        <f>INDEX(_xlfn.TEXTSPLIT(tissage[[#This Row],[QR Fabrication]],"_"),1,2)</f>
        <v>All by Fouta</v>
      </c>
      <c r="L20" s="51" t="str">
        <f>INDEX(_xlfn.TEXTSPLIT(tissage[[#This Row],[QR Fabrication]],"_"),1,3)</f>
        <v>Stock</v>
      </c>
      <c r="M20" s="51" t="str">
        <f>INDEX(_xlfn.TEXTSPLIT(tissage[[#This Row],[QR Fabrication]],"_"),1,4)</f>
        <v>UNS1626-19</v>
      </c>
      <c r="N20" s="51" t="str">
        <f>INDEX(_xlfn.TEXTSPLIT(tissage[[#This Row],[QR Fabrication]],"_"),1,5)</f>
        <v>UNI SURPIQUE</v>
      </c>
      <c r="O20" s="51" t="str">
        <f>_xlfn.TEXTAFTER(tissage[[#This Row],[QR Fabrication]],"_",5)</f>
        <v>1626</v>
      </c>
      <c r="P20" s="47" t="str">
        <f>IF(
   COUNTIFS($A$2:A20,A20,
             $C$2:C20,C20,
             $D$2:D20,D20,
             $B$2:B20,B20,
             $E$2:E20,E20,
             $I$2:I20,I20
               )&gt;1,
   "Doublon",
   "Correcte"
)</f>
        <v>Correcte</v>
      </c>
    </row>
    <row r="21" spans="1:16" ht="16.5" thickTop="1" thickBot="1" x14ac:dyDescent="0.3">
      <c r="A21" s="47" t="s">
        <v>684</v>
      </c>
      <c r="B21" s="106" t="s">
        <v>2544</v>
      </c>
      <c r="C21" s="101" t="s">
        <v>2443</v>
      </c>
      <c r="D21" s="53" t="s">
        <v>685</v>
      </c>
      <c r="E21" s="47"/>
      <c r="F21" s="47"/>
      <c r="G21" s="47"/>
      <c r="H21" s="47" t="s">
        <v>664</v>
      </c>
      <c r="I21" s="57">
        <v>45922</v>
      </c>
      <c r="J21" s="57" t="str">
        <f>INDEX(_xlfn.TEXTSPLIT(tissage[[#This Row],[QR Fabrication]],"_"),1,1)</f>
        <v>CA250050</v>
      </c>
      <c r="K21" s="106" t="str">
        <f>INDEX(_xlfn.TEXTSPLIT(tissage[[#This Row],[QR Fabrication]],"_"),1,2)</f>
        <v>All by Fouta</v>
      </c>
      <c r="L21" s="47" t="str">
        <f>INDEX(_xlfn.TEXTSPLIT(tissage[[#This Row],[QR Fabrication]],"_"),1,3)</f>
        <v>Stock</v>
      </c>
      <c r="M21" s="47" t="str">
        <f>INDEX(_xlfn.TEXTSPLIT(tissage[[#This Row],[QR Fabrication]],"_"),1,4)</f>
        <v>UNS1626-18</v>
      </c>
      <c r="N21" s="47" t="str">
        <f>INDEX(_xlfn.TEXTSPLIT(tissage[[#This Row],[QR Fabrication]],"_"),1,5)</f>
        <v>UNI SURPIQUE</v>
      </c>
      <c r="O21" s="47" t="str">
        <f>_xlfn.TEXTAFTER(tissage[[#This Row],[QR Fabrication]],"_",5)</f>
        <v>1626</v>
      </c>
      <c r="P21" s="47" t="str">
        <f>IF(
   COUNTIFS($A$2:A21,A21,
             $C$2:C21,C21,
             $D$2:D21,D21,
             $B$2:B21,B21,
             $E$2:E21,E21,
             $I$2:I21,I21
               )&gt;1,
   "Doublon",
   "Correcte"
)</f>
        <v>Correcte</v>
      </c>
    </row>
    <row r="22" spans="1:16" ht="16.5" thickTop="1" thickBot="1" x14ac:dyDescent="0.3">
      <c r="A22" s="47" t="s">
        <v>684</v>
      </c>
      <c r="B22" s="106" t="s">
        <v>2544</v>
      </c>
      <c r="C22" s="101" t="s">
        <v>2430</v>
      </c>
      <c r="D22" s="53" t="s">
        <v>685</v>
      </c>
      <c r="E22" s="47"/>
      <c r="F22" s="47"/>
      <c r="G22" s="47"/>
      <c r="H22" s="47" t="s">
        <v>664</v>
      </c>
      <c r="I22" s="57">
        <v>45919</v>
      </c>
      <c r="J22" s="57" t="str">
        <f>INDEX(_xlfn.TEXTSPLIT(tissage[[#This Row],[QR Fabrication]],"_"),1,1)</f>
        <v>CA250049</v>
      </c>
      <c r="K22" s="106" t="str">
        <f>INDEX(_xlfn.TEXTSPLIT(tissage[[#This Row],[QR Fabrication]],"_"),1,2)</f>
        <v>All by Fouta</v>
      </c>
      <c r="L22" s="47" t="str">
        <f>INDEX(_xlfn.TEXTSPLIT(tissage[[#This Row],[QR Fabrication]],"_"),1,3)</f>
        <v>Stock</v>
      </c>
      <c r="M22" s="47" t="str">
        <f>INDEX(_xlfn.TEXTSPLIT(tissage[[#This Row],[QR Fabrication]],"_"),1,4)</f>
        <v>UNS1626-17</v>
      </c>
      <c r="N22" s="47" t="str">
        <f>INDEX(_xlfn.TEXTSPLIT(tissage[[#This Row],[QR Fabrication]],"_"),1,5)</f>
        <v>UNI SURPIQUE</v>
      </c>
      <c r="O22" s="47" t="str">
        <f>_xlfn.TEXTAFTER(tissage[[#This Row],[QR Fabrication]],"_",5)</f>
        <v>1626</v>
      </c>
      <c r="P22" s="47" t="str">
        <f>IF(
   COUNTIFS($A$2:A22,A22,
             $C$2:C22,C22,
             $D$2:D22,D22,
             $B$2:B22,B22,
             $E$2:E22,E22,
             $I$2:I22,I22
               )&gt;1,
   "Doublon",
   "Correcte"
)</f>
        <v>Correcte</v>
      </c>
    </row>
    <row r="23" spans="1:16" ht="16.5" thickTop="1" thickBot="1" x14ac:dyDescent="0.3">
      <c r="A23" s="47" t="s">
        <v>684</v>
      </c>
      <c r="B23" s="106" t="s">
        <v>2544</v>
      </c>
      <c r="C23" s="101" t="s">
        <v>2559</v>
      </c>
      <c r="D23" s="53" t="s">
        <v>685</v>
      </c>
      <c r="E23" s="47"/>
      <c r="F23" s="47"/>
      <c r="G23" s="47"/>
      <c r="H23" s="47" t="s">
        <v>664</v>
      </c>
      <c r="I23" s="57">
        <v>45917</v>
      </c>
      <c r="J23" s="57" t="str">
        <f>INDEX(_xlfn.TEXTSPLIT(tissage[[#This Row],[QR Fabrication]],"_"),1,1)</f>
        <v>CA250048</v>
      </c>
      <c r="K23" s="106" t="str">
        <f>INDEX(_xlfn.TEXTSPLIT(tissage[[#This Row],[QR Fabrication]],"_"),1,2)</f>
        <v>All by Fouta</v>
      </c>
      <c r="L23" s="47" t="str">
        <f>INDEX(_xlfn.TEXTSPLIT(tissage[[#This Row],[QR Fabrication]],"_"),1,3)</f>
        <v>Stock</v>
      </c>
      <c r="M23" s="47" t="str">
        <f>INDEX(_xlfn.TEXTSPLIT(tissage[[#This Row],[QR Fabrication]],"_"),1,4)</f>
        <v>UNS1626-15</v>
      </c>
      <c r="N23" s="47" t="str">
        <f>INDEX(_xlfn.TEXTSPLIT(tissage[[#This Row],[QR Fabrication]],"_"),1,5)</f>
        <v>UNI SURPIQUE</v>
      </c>
      <c r="O23" s="47" t="str">
        <f>_xlfn.TEXTAFTER(tissage[[#This Row],[QR Fabrication]],"_",5)</f>
        <v>1626</v>
      </c>
      <c r="P23" s="47" t="str">
        <f>IF(
   COUNTIFS($A$2:A23,A23,
             $C$2:C23,C23,
             $D$2:D23,D23,
             $B$2:B23,B23,
             $E$2:E23,E23,
             $I$2:I23,I23
               )&gt;1,
   "Doublon",
   "Correcte"
)</f>
        <v>Correcte</v>
      </c>
    </row>
    <row r="24" spans="1:16" ht="16.5" thickTop="1" thickBot="1" x14ac:dyDescent="0.3">
      <c r="A24" s="47" t="s">
        <v>684</v>
      </c>
      <c r="B24" s="106" t="s">
        <v>2544</v>
      </c>
      <c r="C24" s="101" t="s">
        <v>2494</v>
      </c>
      <c r="D24" s="53" t="s">
        <v>685</v>
      </c>
      <c r="E24" s="47"/>
      <c r="F24" s="47"/>
      <c r="G24" s="47"/>
      <c r="H24" s="47" t="s">
        <v>664</v>
      </c>
      <c r="I24" s="57">
        <v>45932</v>
      </c>
      <c r="J24" s="57" t="str">
        <f>INDEX(_xlfn.TEXTSPLIT(tissage[[#This Row],[QR Fabrication]],"_"),1,1)</f>
        <v>CA250047</v>
      </c>
      <c r="K24" s="106" t="str">
        <f>INDEX(_xlfn.TEXTSPLIT(tissage[[#This Row],[QR Fabrication]],"_"),1,2)</f>
        <v>All by Fouta</v>
      </c>
      <c r="L24" s="47" t="str">
        <f>INDEX(_xlfn.TEXTSPLIT(tissage[[#This Row],[QR Fabrication]],"_"),1,3)</f>
        <v>Stock</v>
      </c>
      <c r="M24" s="47" t="str">
        <f>INDEX(_xlfn.TEXTSPLIT(tissage[[#This Row],[QR Fabrication]],"_"),1,4)</f>
        <v>UNS1626-13</v>
      </c>
      <c r="N24" s="47" t="str">
        <f>INDEX(_xlfn.TEXTSPLIT(tissage[[#This Row],[QR Fabrication]],"_"),1,5)</f>
        <v>UNI SURPIQUE</v>
      </c>
      <c r="O24" s="47" t="str">
        <f>_xlfn.TEXTAFTER(tissage[[#This Row],[QR Fabrication]],"_",5)</f>
        <v>1626</v>
      </c>
      <c r="P24" s="47" t="str">
        <f>IF(
   COUNTIFS($A$2:A24,A24,
             $C$2:C24,C24,
             $D$2:D24,D24,
             $B$2:B24,B24,
             $E$2:E24,E24,
             $I$2:I24,I24
               )&gt;1,
   "Doublon",
   "Correcte"
)</f>
        <v>Correcte</v>
      </c>
    </row>
    <row r="25" spans="1:16" ht="16.5" thickTop="1" thickBot="1" x14ac:dyDescent="0.3">
      <c r="A25" s="47" t="s">
        <v>684</v>
      </c>
      <c r="B25" s="106" t="s">
        <v>2544</v>
      </c>
      <c r="C25" s="101" t="s">
        <v>2418</v>
      </c>
      <c r="D25" s="53" t="s">
        <v>685</v>
      </c>
      <c r="E25" s="47"/>
      <c r="F25" s="47"/>
      <c r="G25" s="47"/>
      <c r="H25" s="47" t="s">
        <v>664</v>
      </c>
      <c r="I25" s="57">
        <v>45915</v>
      </c>
      <c r="J25" s="57" t="str">
        <f>INDEX(_xlfn.TEXTSPLIT(tissage[[#This Row],[QR Fabrication]],"_"),1,1)</f>
        <v>CA250046</v>
      </c>
      <c r="K25" s="106" t="str">
        <f>INDEX(_xlfn.TEXTSPLIT(tissage[[#This Row],[QR Fabrication]],"_"),1,2)</f>
        <v>All by Fouta</v>
      </c>
      <c r="L25" s="47" t="str">
        <f>INDEX(_xlfn.TEXTSPLIT(tissage[[#This Row],[QR Fabrication]],"_"),1,3)</f>
        <v>Stock</v>
      </c>
      <c r="M25" s="47" t="str">
        <f>INDEX(_xlfn.TEXTSPLIT(tissage[[#This Row],[QR Fabrication]],"_"),1,4)</f>
        <v>UNS1626-12</v>
      </c>
      <c r="N25" s="47" t="str">
        <f>INDEX(_xlfn.TEXTSPLIT(tissage[[#This Row],[QR Fabrication]],"_"),1,5)</f>
        <v>UNI SURPIQUE</v>
      </c>
      <c r="O25" s="47" t="str">
        <f>_xlfn.TEXTAFTER(tissage[[#This Row],[QR Fabrication]],"_",5)</f>
        <v>1626</v>
      </c>
      <c r="P25" s="47" t="str">
        <f>IF(
   COUNTIFS($A$2:A25,A25,
             $C$2:C25,C25,
             $D$2:D25,D25,
             $B$2:B25,B25,
             $E$2:E25,E25,
             $I$2:I25,I25
               )&gt;1,
   "Doublon",
   "Correcte"
)</f>
        <v>Correcte</v>
      </c>
    </row>
    <row r="26" spans="1:16" ht="16.5" thickTop="1" thickBot="1" x14ac:dyDescent="0.3">
      <c r="A26" s="47" t="s">
        <v>686</v>
      </c>
      <c r="B26" s="107" t="s">
        <v>2545</v>
      </c>
      <c r="C26" s="102" t="s">
        <v>1310</v>
      </c>
      <c r="D26" s="53" t="s">
        <v>685</v>
      </c>
      <c r="E26" s="51"/>
      <c r="F26" s="51"/>
      <c r="G26" s="51"/>
      <c r="H26" s="47" t="s">
        <v>664</v>
      </c>
      <c r="I26" s="58">
        <v>45913</v>
      </c>
      <c r="J26" s="58" t="str">
        <f>INDEX(_xlfn.TEXTSPLIT(tissage[[#This Row],[QR Fabrication]],"_"),1,1)</f>
        <v>CA250392</v>
      </c>
      <c r="K26" s="107" t="str">
        <f>INDEX(_xlfn.TEXTSPLIT(tissage[[#This Row],[QR Fabrication]],"_"),1,2)</f>
        <v>All by Fouta</v>
      </c>
      <c r="L26" s="51" t="str">
        <f>INDEX(_xlfn.TEXTSPLIT(tissage[[#This Row],[QR Fabrication]],"_"),1,3)</f>
        <v>Stock</v>
      </c>
      <c r="M26" s="51" t="str">
        <f>INDEX(_xlfn.TEXTSPLIT(tissage[[#This Row],[QR Fabrication]],"_"),1,4)</f>
        <v>BE1020-Q26-13-01</v>
      </c>
      <c r="N26" s="51" t="str">
        <f>INDEX(_xlfn.TEXTSPLIT(tissage[[#This Row],[QR Fabrication]],"_"),1,5)</f>
        <v>BERBER</v>
      </c>
      <c r="O26" s="51" t="str">
        <f>_xlfn.TEXTAFTER(tissage[[#This Row],[QR Fabrication]],"_",5)</f>
        <v>1020</v>
      </c>
      <c r="P26" s="47" t="str">
        <f>IF(
   COUNTIFS($A$2:A26,A26,
             $C$2:C26,C26,
             $D$2:D26,D26,
             $B$2:B26,B26,
             $E$2:E26,E26,
             $I$2:I26,I26
               )&gt;1,
   "Doublon",
   "Correcte"
)</f>
        <v>Correcte</v>
      </c>
    </row>
    <row r="27" spans="1:16" ht="16.5" thickTop="1" thickBot="1" x14ac:dyDescent="0.3">
      <c r="A27" s="47" t="s">
        <v>686</v>
      </c>
      <c r="B27" s="107" t="s">
        <v>2543</v>
      </c>
      <c r="C27" s="102" t="s">
        <v>2462</v>
      </c>
      <c r="D27" s="53" t="s">
        <v>685</v>
      </c>
      <c r="E27" s="51"/>
      <c r="F27" s="51"/>
      <c r="G27" s="51"/>
      <c r="H27" s="47" t="s">
        <v>664</v>
      </c>
      <c r="I27" s="58">
        <v>45909</v>
      </c>
      <c r="J27" s="58" t="str">
        <f>INDEX(_xlfn.TEXTSPLIT(tissage[[#This Row],[QR Fabrication]],"_"),1,1)</f>
        <v>CA250022</v>
      </c>
      <c r="K27" s="107" t="str">
        <f>INDEX(_xlfn.TEXTSPLIT(tissage[[#This Row],[QR Fabrication]],"_"),1,2)</f>
        <v>All by Fouta</v>
      </c>
      <c r="L27" s="51" t="str">
        <f>INDEX(_xlfn.TEXTSPLIT(tissage[[#This Row],[QR Fabrication]],"_"),1,3)</f>
        <v>Stock</v>
      </c>
      <c r="M27" s="51" t="str">
        <f>INDEX(_xlfn.TEXTSPLIT(tissage[[#This Row],[QR Fabrication]],"_"),1,4)</f>
        <v>UNS2020-04</v>
      </c>
      <c r="N27" s="51" t="str">
        <f>INDEX(_xlfn.TEXTSPLIT(tissage[[#This Row],[QR Fabrication]],"_"),1,5)</f>
        <v>UNI SURPIQUE</v>
      </c>
      <c r="O27" s="51" t="str">
        <f>_xlfn.TEXTAFTER(tissage[[#This Row],[QR Fabrication]],"_",5)</f>
        <v>2020</v>
      </c>
      <c r="P27" s="47" t="str">
        <f>IF(
   COUNTIFS($A$2:A27,A27,
             $C$2:C27,C27,
             $D$2:D27,D27,
             $B$2:B27,B27,
             $E$2:E27,E27,
             $I$2:I27,I27
               )&gt;1,
   "Doublon",
   "Correcte"
)</f>
        <v>Correcte</v>
      </c>
    </row>
    <row r="28" spans="1:16" ht="16.5" thickTop="1" thickBot="1" x14ac:dyDescent="0.3">
      <c r="A28" s="47" t="s">
        <v>686</v>
      </c>
      <c r="B28" s="107" t="s">
        <v>2543</v>
      </c>
      <c r="C28" s="102" t="s">
        <v>2417</v>
      </c>
      <c r="D28" s="53" t="s">
        <v>685</v>
      </c>
      <c r="E28" s="51"/>
      <c r="F28" s="51"/>
      <c r="G28" s="51"/>
      <c r="H28" s="47" t="s">
        <v>664</v>
      </c>
      <c r="I28" s="58">
        <v>45908</v>
      </c>
      <c r="J28" s="58" t="str">
        <f>INDEX(_xlfn.TEXTSPLIT(tissage[[#This Row],[QR Fabrication]],"_"),1,1)</f>
        <v>CA250023</v>
      </c>
      <c r="K28" s="107" t="str">
        <f>INDEX(_xlfn.TEXTSPLIT(tissage[[#This Row],[QR Fabrication]],"_"),1,2)</f>
        <v>All by Fouta</v>
      </c>
      <c r="L28" s="51" t="str">
        <f>INDEX(_xlfn.TEXTSPLIT(tissage[[#This Row],[QR Fabrication]],"_"),1,3)</f>
        <v>Stock</v>
      </c>
      <c r="M28" s="51" t="str">
        <f>INDEX(_xlfn.TEXTSPLIT(tissage[[#This Row],[QR Fabrication]],"_"),1,4)</f>
        <v>UNS2020-06</v>
      </c>
      <c r="N28" s="51" t="str">
        <f>INDEX(_xlfn.TEXTSPLIT(tissage[[#This Row],[QR Fabrication]],"_"),1,5)</f>
        <v>UNI SURPIQUE</v>
      </c>
      <c r="O28" s="51" t="str">
        <f>_xlfn.TEXTAFTER(tissage[[#This Row],[QR Fabrication]],"_",5)</f>
        <v>2020</v>
      </c>
      <c r="P28" s="47" t="str">
        <f>IF(
   COUNTIFS($A$2:A28,A28,
             $C$2:C28,C28,
             $D$2:D28,D28,
             $B$2:B28,B28,
             $E$2:E28,E28,
             $I$2:I28,I28
               )&gt;1,
   "Doublon",
   "Correcte"
)</f>
        <v>Correcte</v>
      </c>
    </row>
    <row r="29" spans="1:16" ht="16.5" thickTop="1" thickBot="1" x14ac:dyDescent="0.3">
      <c r="A29" s="47" t="s">
        <v>686</v>
      </c>
      <c r="B29" s="106" t="s">
        <v>2546</v>
      </c>
      <c r="C29" s="101" t="s">
        <v>2426</v>
      </c>
      <c r="D29" s="53" t="s">
        <v>685</v>
      </c>
      <c r="E29" s="47"/>
      <c r="F29" s="47"/>
      <c r="G29" s="47"/>
      <c r="H29" s="47" t="s">
        <v>664</v>
      </c>
      <c r="I29" s="57">
        <v>45917</v>
      </c>
      <c r="J29" s="57" t="str">
        <f>INDEX(_xlfn.TEXTSPLIT(tissage[[#This Row],[QR Fabrication]],"_"),1,1)</f>
        <v>CA250076</v>
      </c>
      <c r="K29" s="106" t="str">
        <f>INDEX(_xlfn.TEXTSPLIT(tissage[[#This Row],[QR Fabrication]],"_"),1,2)</f>
        <v>All by Fouta</v>
      </c>
      <c r="L29" s="47" t="str">
        <f>INDEX(_xlfn.TEXTSPLIT(tissage[[#This Row],[QR Fabrication]],"_"),1,3)</f>
        <v>Stock</v>
      </c>
      <c r="M29" s="47" t="str">
        <f>INDEX(_xlfn.TEXTSPLIT(tissage[[#This Row],[QR Fabrication]],"_"),1,4)</f>
        <v>UNS2030-27</v>
      </c>
      <c r="N29" s="47" t="str">
        <f>INDEX(_xlfn.TEXTSPLIT(tissage[[#This Row],[QR Fabrication]],"_"),1,5)</f>
        <v>UNI SURPIQUE</v>
      </c>
      <c r="O29" s="47" t="str">
        <f>_xlfn.TEXTAFTER(tissage[[#This Row],[QR Fabrication]],"_",5)</f>
        <v>2030</v>
      </c>
      <c r="P29" s="47" t="str">
        <f>IF(
   COUNTIFS($A$2:A29,A29,
             $C$2:C29,C29,
             $D$2:D29,D29,
             $B$2:B29,B29,
             $E$2:E29,E29,
             $I$2:I29,I29
               )&gt;1,
   "Doublon",
   "Correcte"
)</f>
        <v>Correcte</v>
      </c>
    </row>
    <row r="30" spans="1:16" ht="16.5" thickTop="1" thickBot="1" x14ac:dyDescent="0.3">
      <c r="A30" s="47" t="s">
        <v>686</v>
      </c>
      <c r="B30" s="107" t="s">
        <v>2546</v>
      </c>
      <c r="C30" s="102" t="s">
        <v>2455</v>
      </c>
      <c r="D30" s="53" t="s">
        <v>685</v>
      </c>
      <c r="E30" s="51"/>
      <c r="F30" s="51"/>
      <c r="G30" s="51"/>
      <c r="H30" s="47" t="s">
        <v>664</v>
      </c>
      <c r="I30" s="58">
        <v>45884</v>
      </c>
      <c r="J30" s="58" t="str">
        <f>INDEX(_xlfn.TEXTSPLIT(tissage[[#This Row],[QR Fabrication]],"_"),1,1)</f>
        <v>CA250064</v>
      </c>
      <c r="K30" s="107" t="str">
        <f>INDEX(_xlfn.TEXTSPLIT(tissage[[#This Row],[QR Fabrication]],"_"),1,2)</f>
        <v>All by Fouta</v>
      </c>
      <c r="L30" s="51" t="str">
        <f>INDEX(_xlfn.TEXTSPLIT(tissage[[#This Row],[QR Fabrication]],"_"),1,3)</f>
        <v>Stock</v>
      </c>
      <c r="M30" s="51" t="str">
        <f>INDEX(_xlfn.TEXTSPLIT(tissage[[#This Row],[QR Fabrication]],"_"),1,4)</f>
        <v>UNS2030-09</v>
      </c>
      <c r="N30" s="51" t="str">
        <f>INDEX(_xlfn.TEXTSPLIT(tissage[[#This Row],[QR Fabrication]],"_"),1,5)</f>
        <v>UNI SURPIQUE</v>
      </c>
      <c r="O30" s="51" t="str">
        <f>_xlfn.TEXTAFTER(tissage[[#This Row],[QR Fabrication]],"_",5)</f>
        <v>2030</v>
      </c>
      <c r="P30" s="47" t="str">
        <f>IF(
   COUNTIFS($A$2:A30,A30,
             $C$2:C30,C30,
             $D$2:D30,D30,
             $B$2:B30,B30,
             $E$2:E30,E30,
             $I$2:I30,I30
               )&gt;1,
   "Doublon",
   "Correcte"
)</f>
        <v>Correcte</v>
      </c>
    </row>
    <row r="31" spans="1:16" ht="16.5" thickTop="1" thickBot="1" x14ac:dyDescent="0.3">
      <c r="A31" s="47" t="s">
        <v>686</v>
      </c>
      <c r="B31" s="107" t="s">
        <v>2546</v>
      </c>
      <c r="C31" s="102" t="s">
        <v>1306</v>
      </c>
      <c r="D31" s="53" t="s">
        <v>685</v>
      </c>
      <c r="E31" s="51"/>
      <c r="F31" s="51"/>
      <c r="G31" s="51"/>
      <c r="H31" s="47" t="s">
        <v>664</v>
      </c>
      <c r="I31" s="58">
        <v>45913</v>
      </c>
      <c r="J31" s="58" t="str">
        <f>INDEX(_xlfn.TEXTSPLIT(tissage[[#This Row],[QR Fabrication]],"_"),1,1)</f>
        <v>CA250068</v>
      </c>
      <c r="K31" s="107" t="str">
        <f>INDEX(_xlfn.TEXTSPLIT(tissage[[#This Row],[QR Fabrication]],"_"),1,2)</f>
        <v>All by Fouta</v>
      </c>
      <c r="L31" s="51" t="str">
        <f>INDEX(_xlfn.TEXTSPLIT(tissage[[#This Row],[QR Fabrication]],"_"),1,3)</f>
        <v>Stock</v>
      </c>
      <c r="M31" s="51" t="str">
        <f>INDEX(_xlfn.TEXTSPLIT(tissage[[#This Row],[QR Fabrication]],"_"),1,4)</f>
        <v>UNS2030-15</v>
      </c>
      <c r="N31" s="51" t="str">
        <f>INDEX(_xlfn.TEXTSPLIT(tissage[[#This Row],[QR Fabrication]],"_"),1,5)</f>
        <v>UNI SURPIQUE</v>
      </c>
      <c r="O31" s="51" t="str">
        <f>_xlfn.TEXTAFTER(tissage[[#This Row],[QR Fabrication]],"_",5)</f>
        <v>2030</v>
      </c>
      <c r="P31" s="47" t="str">
        <f>IF(
   COUNTIFS($A$2:A31,A31,
             $C$2:C31,C31,
             $D$2:D31,D31,
             $B$2:B31,B31,
             $E$2:E31,E31,
             $I$2:I31,I31
               )&gt;1,
   "Doublon",
   "Correcte"
)</f>
        <v>Correcte</v>
      </c>
    </row>
    <row r="32" spans="1:16" ht="16.5" thickTop="1" thickBot="1" x14ac:dyDescent="0.3">
      <c r="A32" s="47" t="s">
        <v>686</v>
      </c>
      <c r="B32" s="106" t="s">
        <v>2546</v>
      </c>
      <c r="C32" s="101" t="s">
        <v>1303</v>
      </c>
      <c r="D32" s="53" t="s">
        <v>685</v>
      </c>
      <c r="E32" s="47"/>
      <c r="F32" s="47"/>
      <c r="G32" s="47"/>
      <c r="H32" s="47" t="s">
        <v>664</v>
      </c>
      <c r="I32" s="57">
        <v>45912</v>
      </c>
      <c r="J32" s="57" t="str">
        <f>INDEX(_xlfn.TEXTSPLIT(tissage[[#This Row],[QR Fabrication]],"_"),1,1)</f>
        <v>CA250070</v>
      </c>
      <c r="K32" s="106" t="str">
        <f>INDEX(_xlfn.TEXTSPLIT(tissage[[#This Row],[QR Fabrication]],"_"),1,2)</f>
        <v>All by Fouta</v>
      </c>
      <c r="L32" s="47" t="str">
        <f>INDEX(_xlfn.TEXTSPLIT(tissage[[#This Row],[QR Fabrication]],"_"),1,3)</f>
        <v>Stock</v>
      </c>
      <c r="M32" s="47" t="str">
        <f>INDEX(_xlfn.TEXTSPLIT(tissage[[#This Row],[QR Fabrication]],"_"),1,4)</f>
        <v>UNS2030-18</v>
      </c>
      <c r="N32" s="47" t="str">
        <f>INDEX(_xlfn.TEXTSPLIT(tissage[[#This Row],[QR Fabrication]],"_"),1,5)</f>
        <v>UNI SURPIQUE</v>
      </c>
      <c r="O32" s="47" t="str">
        <f>_xlfn.TEXTAFTER(tissage[[#This Row],[QR Fabrication]],"_",5)</f>
        <v>2030</v>
      </c>
      <c r="P32" s="47" t="str">
        <f>IF(
   COUNTIFS($A$2:A32,A32,
             $C$2:C32,C32,
             $D$2:D32,D32,
             $B$2:B32,B32,
             $E$2:E32,E32,
             $I$2:I32,I32
               )&gt;1,
   "Doublon",
   "Correcte"
)</f>
        <v>Correcte</v>
      </c>
    </row>
    <row r="33" spans="1:16" ht="16.5" thickTop="1" thickBot="1" x14ac:dyDescent="0.3">
      <c r="A33" s="47" t="s">
        <v>686</v>
      </c>
      <c r="B33" s="106" t="s">
        <v>2546</v>
      </c>
      <c r="C33" s="101" t="s">
        <v>2434</v>
      </c>
      <c r="D33" s="53" t="s">
        <v>685</v>
      </c>
      <c r="E33" s="47"/>
      <c r="F33" s="47"/>
      <c r="G33" s="47"/>
      <c r="H33" s="47" t="s">
        <v>664</v>
      </c>
      <c r="I33" s="57">
        <v>45919</v>
      </c>
      <c r="J33" s="57" t="str">
        <f>INDEX(_xlfn.TEXTSPLIT(tissage[[#This Row],[QR Fabrication]],"_"),1,1)</f>
        <v>CA250071</v>
      </c>
      <c r="K33" s="106" t="str">
        <f>INDEX(_xlfn.TEXTSPLIT(tissage[[#This Row],[QR Fabrication]],"_"),1,2)</f>
        <v>All by Fouta</v>
      </c>
      <c r="L33" s="47" t="str">
        <f>INDEX(_xlfn.TEXTSPLIT(tissage[[#This Row],[QR Fabrication]],"_"),1,3)</f>
        <v>Stock</v>
      </c>
      <c r="M33" s="47" t="str">
        <f>INDEX(_xlfn.TEXTSPLIT(tissage[[#This Row],[QR Fabrication]],"_"),1,4)</f>
        <v>UNS2030-19</v>
      </c>
      <c r="N33" s="47" t="str">
        <f>INDEX(_xlfn.TEXTSPLIT(tissage[[#This Row],[QR Fabrication]],"_"),1,5)</f>
        <v>UNI SURPIQUE</v>
      </c>
      <c r="O33" s="47" t="str">
        <f>_xlfn.TEXTAFTER(tissage[[#This Row],[QR Fabrication]],"_",5)</f>
        <v>2030</v>
      </c>
      <c r="P33" s="47" t="str">
        <f>IF(
   COUNTIFS($A$2:A33,A33,
             $C$2:C33,C33,
             $D$2:D33,D33,
             $B$2:B33,B33,
             $E$2:E33,E33,
             $I$2:I33,I33
               )&gt;1,
   "Doublon",
   "Correcte"
)</f>
        <v>Correcte</v>
      </c>
    </row>
    <row r="34" spans="1:16" ht="16.5" thickTop="1" thickBot="1" x14ac:dyDescent="0.3">
      <c r="A34" s="47" t="s">
        <v>686</v>
      </c>
      <c r="B34" s="106" t="s">
        <v>2546</v>
      </c>
      <c r="C34" s="101" t="s">
        <v>2432</v>
      </c>
      <c r="D34" s="53" t="s">
        <v>685</v>
      </c>
      <c r="E34" s="47"/>
      <c r="F34" s="47"/>
      <c r="G34" s="47"/>
      <c r="H34" s="47" t="s">
        <v>664</v>
      </c>
      <c r="I34" s="57">
        <v>45920</v>
      </c>
      <c r="J34" s="57" t="str">
        <f>INDEX(_xlfn.TEXTSPLIT(tissage[[#This Row],[QR Fabrication]],"_"),1,1)</f>
        <v>CA250072</v>
      </c>
      <c r="K34" s="106" t="str">
        <f>INDEX(_xlfn.TEXTSPLIT(tissage[[#This Row],[QR Fabrication]],"_"),1,2)</f>
        <v>All by Fouta</v>
      </c>
      <c r="L34" s="47" t="str">
        <f>INDEX(_xlfn.TEXTSPLIT(tissage[[#This Row],[QR Fabrication]],"_"),1,3)</f>
        <v>Stock</v>
      </c>
      <c r="M34" s="47" t="str">
        <f>INDEX(_xlfn.TEXTSPLIT(tissage[[#This Row],[QR Fabrication]],"_"),1,4)</f>
        <v>UNS2030-20</v>
      </c>
      <c r="N34" s="47" t="str">
        <f>INDEX(_xlfn.TEXTSPLIT(tissage[[#This Row],[QR Fabrication]],"_"),1,5)</f>
        <v>UNI SURPIQUE</v>
      </c>
      <c r="O34" s="47" t="str">
        <f>_xlfn.TEXTAFTER(tissage[[#This Row],[QR Fabrication]],"_",5)</f>
        <v>2030</v>
      </c>
      <c r="P34" s="47" t="str">
        <f>IF(
   COUNTIFS($A$2:A34,A34,
             $C$2:C34,C34,
             $D$2:D34,D34,
             $B$2:B34,B34,
             $E$2:E34,E34,
             $I$2:I34,I34
               )&gt;1,
   "Doublon",
   "Correcte"
)</f>
        <v>Correcte</v>
      </c>
    </row>
    <row r="35" spans="1:16" ht="16.5" thickTop="1" thickBot="1" x14ac:dyDescent="0.3">
      <c r="A35" s="47" t="s">
        <v>686</v>
      </c>
      <c r="B35" s="106" t="s">
        <v>2546</v>
      </c>
      <c r="C35" s="101" t="s">
        <v>2441</v>
      </c>
      <c r="D35" s="53" t="s">
        <v>685</v>
      </c>
      <c r="E35" s="47"/>
      <c r="F35" s="47"/>
      <c r="G35" s="47"/>
      <c r="H35" s="47" t="s">
        <v>664</v>
      </c>
      <c r="I35" s="57">
        <v>45922</v>
      </c>
      <c r="J35" s="57" t="str">
        <f>INDEX(_xlfn.TEXTSPLIT(tissage[[#This Row],[QR Fabrication]],"_"),1,1)</f>
        <v>CA250073</v>
      </c>
      <c r="K35" s="106" t="str">
        <f>INDEX(_xlfn.TEXTSPLIT(tissage[[#This Row],[QR Fabrication]],"_"),1,2)</f>
        <v>All by Fouta</v>
      </c>
      <c r="L35" s="47" t="str">
        <f>INDEX(_xlfn.TEXTSPLIT(tissage[[#This Row],[QR Fabrication]],"_"),1,3)</f>
        <v>Stock</v>
      </c>
      <c r="M35" s="47" t="str">
        <f>INDEX(_xlfn.TEXTSPLIT(tissage[[#This Row],[QR Fabrication]],"_"),1,4)</f>
        <v>UNS2030-23</v>
      </c>
      <c r="N35" s="47" t="str">
        <f>INDEX(_xlfn.TEXTSPLIT(tissage[[#This Row],[QR Fabrication]],"_"),1,5)</f>
        <v>UNI SURPIQUE</v>
      </c>
      <c r="O35" s="47" t="str">
        <f>_xlfn.TEXTAFTER(tissage[[#This Row],[QR Fabrication]],"_",5)</f>
        <v>2030</v>
      </c>
      <c r="P35" s="47" t="str">
        <f>IF(
   COUNTIFS($A$2:A35,A35,
             $C$2:C35,C35,
             $D$2:D35,D35,
             $B$2:B35,B35,
             $E$2:E35,E35,
             $I$2:I35,I35
               )&gt;1,
   "Doublon",
   "Correcte"
)</f>
        <v>Correcte</v>
      </c>
    </row>
    <row r="36" spans="1:16" ht="16.5" thickTop="1" thickBot="1" x14ac:dyDescent="0.3">
      <c r="A36" s="47" t="s">
        <v>686</v>
      </c>
      <c r="B36" s="106" t="s">
        <v>2546</v>
      </c>
      <c r="C36" s="101" t="s">
        <v>2439</v>
      </c>
      <c r="D36" s="53" t="s">
        <v>685</v>
      </c>
      <c r="E36" s="47"/>
      <c r="F36" s="47"/>
      <c r="G36" s="47"/>
      <c r="H36" s="47" t="s">
        <v>664</v>
      </c>
      <c r="I36" s="57">
        <v>45923</v>
      </c>
      <c r="J36" s="57" t="str">
        <f>INDEX(_xlfn.TEXTSPLIT(tissage[[#This Row],[QR Fabrication]],"_"),1,1)</f>
        <v>CA250074</v>
      </c>
      <c r="K36" s="106" t="str">
        <f>INDEX(_xlfn.TEXTSPLIT(tissage[[#This Row],[QR Fabrication]],"_"),1,2)</f>
        <v>All by Fouta</v>
      </c>
      <c r="L36" s="47" t="str">
        <f>INDEX(_xlfn.TEXTSPLIT(tissage[[#This Row],[QR Fabrication]],"_"),1,3)</f>
        <v>Stock</v>
      </c>
      <c r="M36" s="47" t="str">
        <f>INDEX(_xlfn.TEXTSPLIT(tissage[[#This Row],[QR Fabrication]],"_"),1,4)</f>
        <v>UNS2030-24</v>
      </c>
      <c r="N36" s="47" t="str">
        <f>INDEX(_xlfn.TEXTSPLIT(tissage[[#This Row],[QR Fabrication]],"_"),1,5)</f>
        <v>UNI SURPIQUE</v>
      </c>
      <c r="O36" s="47" t="str">
        <f>_xlfn.TEXTAFTER(tissage[[#This Row],[QR Fabrication]],"_",5)</f>
        <v>2030</v>
      </c>
      <c r="P36" s="47" t="str">
        <f>IF(
   COUNTIFS($A$2:A36,A36,
             $C$2:C36,C36,
             $D$2:D36,D36,
             $B$2:B36,B36,
             $E$2:E36,E36,
             $I$2:I36,I36
               )&gt;1,
   "Doublon",
   "Correcte"
)</f>
        <v>Correcte</v>
      </c>
    </row>
    <row r="37" spans="1:16" ht="16.5" thickTop="1" thickBot="1" x14ac:dyDescent="0.3">
      <c r="A37" s="47" t="s">
        <v>686</v>
      </c>
      <c r="B37" s="106" t="s">
        <v>2546</v>
      </c>
      <c r="C37" s="101" t="s">
        <v>1312</v>
      </c>
      <c r="D37" s="53" t="s">
        <v>685</v>
      </c>
      <c r="E37" s="47"/>
      <c r="F37" s="47"/>
      <c r="G37" s="47"/>
      <c r="H37" s="47" t="s">
        <v>664</v>
      </c>
      <c r="I37" s="57">
        <v>45916</v>
      </c>
      <c r="J37" s="57" t="str">
        <f>INDEX(_xlfn.TEXTSPLIT(tissage[[#This Row],[QR Fabrication]],"_"),1,1)</f>
        <v>CA250075</v>
      </c>
      <c r="K37" s="106" t="str">
        <f>INDEX(_xlfn.TEXTSPLIT(tissage[[#This Row],[QR Fabrication]],"_"),1,2)</f>
        <v>All by Fouta</v>
      </c>
      <c r="L37" s="47" t="str">
        <f>INDEX(_xlfn.TEXTSPLIT(tissage[[#This Row],[QR Fabrication]],"_"),1,3)</f>
        <v>Stock</v>
      </c>
      <c r="M37" s="47" t="str">
        <f>INDEX(_xlfn.TEXTSPLIT(tissage[[#This Row],[QR Fabrication]],"_"),1,4)</f>
        <v>UNS2030-26</v>
      </c>
      <c r="N37" s="47" t="str">
        <f>INDEX(_xlfn.TEXTSPLIT(tissage[[#This Row],[QR Fabrication]],"_"),1,5)</f>
        <v>UNI SURPIQUE</v>
      </c>
      <c r="O37" s="47" t="str">
        <f>_xlfn.TEXTAFTER(tissage[[#This Row],[QR Fabrication]],"_",5)</f>
        <v>2030</v>
      </c>
      <c r="P37" s="47" t="str">
        <f>IF(
   COUNTIFS($A$2:A37,A37,
             $C$2:C37,C37,
             $D$2:D37,D37,
             $B$2:B37,B37,
             $E$2:E37,E37,
             $I$2:I37,I37
               )&gt;1,
   "Doublon",
   "Correcte"
)</f>
        <v>Correcte</v>
      </c>
    </row>
    <row r="38" spans="1:16" ht="16.5" thickTop="1" thickBot="1" x14ac:dyDescent="0.3">
      <c r="A38" s="47" t="s">
        <v>686</v>
      </c>
      <c r="B38" s="106" t="s">
        <v>2546</v>
      </c>
      <c r="C38" s="101" t="s">
        <v>1313</v>
      </c>
      <c r="D38" s="53" t="s">
        <v>685</v>
      </c>
      <c r="E38" s="47"/>
      <c r="F38" s="47"/>
      <c r="G38" s="47"/>
      <c r="H38" s="47" t="s">
        <v>664</v>
      </c>
      <c r="I38" s="57">
        <v>45915</v>
      </c>
      <c r="J38" s="57" t="str">
        <f>INDEX(_xlfn.TEXTSPLIT(tissage[[#This Row],[QR Fabrication]],"_"),1,1)</f>
        <v>CA250077</v>
      </c>
      <c r="K38" s="106" t="str">
        <f>INDEX(_xlfn.TEXTSPLIT(tissage[[#This Row],[QR Fabrication]],"_"),1,2)</f>
        <v>All by Fouta</v>
      </c>
      <c r="L38" s="47" t="str">
        <f>INDEX(_xlfn.TEXTSPLIT(tissage[[#This Row],[QR Fabrication]],"_"),1,3)</f>
        <v>Stock</v>
      </c>
      <c r="M38" s="47" t="str">
        <f>INDEX(_xlfn.TEXTSPLIT(tissage[[#This Row],[QR Fabrication]],"_"),1,4)</f>
        <v>UNS2030-30</v>
      </c>
      <c r="N38" s="47" t="str">
        <f>INDEX(_xlfn.TEXTSPLIT(tissage[[#This Row],[QR Fabrication]],"_"),1,5)</f>
        <v>UNI SURPIQUE</v>
      </c>
      <c r="O38" s="47" t="str">
        <f>_xlfn.TEXTAFTER(tissage[[#This Row],[QR Fabrication]],"_",5)</f>
        <v>2030</v>
      </c>
      <c r="P38" s="47" t="str">
        <f>IF(
   COUNTIFS($A$2:A38,A38,
             $C$2:C38,C38,
             $D$2:D38,D38,
             $B$2:B38,B38,
             $E$2:E38,E38,
             $I$2:I38,I38
               )&gt;1,
   "Doublon",
   "Correcte"
)</f>
        <v>Correcte</v>
      </c>
    </row>
    <row r="39" spans="1:16" ht="16.5" thickTop="1" thickBot="1" x14ac:dyDescent="0.3">
      <c r="A39" s="47" t="s">
        <v>686</v>
      </c>
      <c r="B39" s="106" t="s">
        <v>2546</v>
      </c>
      <c r="C39" s="101" t="s">
        <v>2440</v>
      </c>
      <c r="D39" s="53" t="s">
        <v>685</v>
      </c>
      <c r="E39" s="47"/>
      <c r="F39" s="47"/>
      <c r="G39" s="47"/>
      <c r="H39" s="47" t="s">
        <v>664</v>
      </c>
      <c r="I39" s="57">
        <v>45923</v>
      </c>
      <c r="J39" s="57" t="str">
        <f>INDEX(_xlfn.TEXTSPLIT(tissage[[#This Row],[QR Fabrication]],"_"),1,1)</f>
        <v>CA250078</v>
      </c>
      <c r="K39" s="106" t="str">
        <f>INDEX(_xlfn.TEXTSPLIT(tissage[[#This Row],[QR Fabrication]],"_"),1,2)</f>
        <v>All by Fouta</v>
      </c>
      <c r="L39" s="47" t="str">
        <f>INDEX(_xlfn.TEXTSPLIT(tissage[[#This Row],[QR Fabrication]],"_"),1,3)</f>
        <v>Stock</v>
      </c>
      <c r="M39" s="47" t="str">
        <f>INDEX(_xlfn.TEXTSPLIT(tissage[[#This Row],[QR Fabrication]],"_"),1,4)</f>
        <v>UNS2030-31</v>
      </c>
      <c r="N39" s="47" t="str">
        <f>INDEX(_xlfn.TEXTSPLIT(tissage[[#This Row],[QR Fabrication]],"_"),1,5)</f>
        <v>UNI SURPIQUE</v>
      </c>
      <c r="O39" s="47" t="str">
        <f>_xlfn.TEXTAFTER(tissage[[#This Row],[QR Fabrication]],"_",5)</f>
        <v>2030</v>
      </c>
      <c r="P39" s="47" t="str">
        <f>IF(
   COUNTIFS($A$2:A39,A39,
             $C$2:C39,C39,
             $D$2:D39,D39,
             $B$2:B39,B39,
             $E$2:E39,E39,
             $I$2:I39,I39
               )&gt;1,
   "Doublon",
   "Correcte"
)</f>
        <v>Correcte</v>
      </c>
    </row>
    <row r="40" spans="1:16" ht="16.5" thickTop="1" thickBot="1" x14ac:dyDescent="0.3">
      <c r="A40" s="47" t="s">
        <v>686</v>
      </c>
      <c r="B40" s="107" t="s">
        <v>2546</v>
      </c>
      <c r="C40" s="102" t="s">
        <v>2427</v>
      </c>
      <c r="D40" s="53" t="s">
        <v>685</v>
      </c>
      <c r="E40" s="51"/>
      <c r="F40" s="51"/>
      <c r="G40" s="51"/>
      <c r="H40" s="47" t="s">
        <v>664</v>
      </c>
      <c r="I40" s="58">
        <v>45918</v>
      </c>
      <c r="J40" s="58" t="str">
        <f>INDEX(_xlfn.TEXTSPLIT(tissage[[#This Row],[QR Fabrication]],"_"),1,1)</f>
        <v>CA250079</v>
      </c>
      <c r="K40" s="107" t="str">
        <f>INDEX(_xlfn.TEXTSPLIT(tissage[[#This Row],[QR Fabrication]],"_"),1,2)</f>
        <v>All by Fouta</v>
      </c>
      <c r="L40" s="51" t="str">
        <f>INDEX(_xlfn.TEXTSPLIT(tissage[[#This Row],[QR Fabrication]],"_"),1,3)</f>
        <v>Stock</v>
      </c>
      <c r="M40" s="51" t="str">
        <f>INDEX(_xlfn.TEXTSPLIT(tissage[[#This Row],[QR Fabrication]],"_"),1,4)</f>
        <v>UNS2030-32</v>
      </c>
      <c r="N40" s="51" t="str">
        <f>INDEX(_xlfn.TEXTSPLIT(tissage[[#This Row],[QR Fabrication]],"_"),1,5)</f>
        <v>UNI SURPIQUE</v>
      </c>
      <c r="O40" s="51" t="str">
        <f>_xlfn.TEXTAFTER(tissage[[#This Row],[QR Fabrication]],"_",5)</f>
        <v>2030</v>
      </c>
      <c r="P40" s="47" t="str">
        <f>IF(
   COUNTIFS($A$2:A40,A40,
             $C$2:C40,C40,
             $D$2:D40,D40,
             $B$2:B40,B40,
             $E$2:E40,E40,
             $I$2:I40,I40
               )&gt;1,
   "Doublon",
   "Correcte"
)</f>
        <v>Correcte</v>
      </c>
    </row>
    <row r="41" spans="1:16" ht="16.5" thickTop="1" thickBot="1" x14ac:dyDescent="0.3">
      <c r="A41" s="47" t="s">
        <v>686</v>
      </c>
      <c r="B41" s="106" t="s">
        <v>2543</v>
      </c>
      <c r="C41" s="101" t="s">
        <v>1305</v>
      </c>
      <c r="D41" s="53" t="s">
        <v>685</v>
      </c>
      <c r="E41" s="47"/>
      <c r="F41" s="47"/>
      <c r="G41" s="47"/>
      <c r="H41" s="47" t="s">
        <v>664</v>
      </c>
      <c r="I41" s="57">
        <v>45911</v>
      </c>
      <c r="J41" s="57" t="str">
        <f>INDEX(_xlfn.TEXTSPLIT(tissage[[#This Row],[QR Fabrication]],"_"),1,1)</f>
        <v>CA250025</v>
      </c>
      <c r="K41" s="106" t="str">
        <f>INDEX(_xlfn.TEXTSPLIT(tissage[[#This Row],[QR Fabrication]],"_"),1,2)</f>
        <v>All by Fouta</v>
      </c>
      <c r="L41" s="47" t="str">
        <f>INDEX(_xlfn.TEXTSPLIT(tissage[[#This Row],[QR Fabrication]],"_"),1,3)</f>
        <v>Stock</v>
      </c>
      <c r="M41" s="47" t="str">
        <f>INDEX(_xlfn.TEXTSPLIT(tissage[[#This Row],[QR Fabrication]],"_"),1,4)</f>
        <v>UNS2020-10</v>
      </c>
      <c r="N41" s="47" t="str">
        <f>INDEX(_xlfn.TEXTSPLIT(tissage[[#This Row],[QR Fabrication]],"_"),1,5)</f>
        <v>UNI SURPIQUE</v>
      </c>
      <c r="O41" s="47" t="str">
        <f>_xlfn.TEXTAFTER(tissage[[#This Row],[QR Fabrication]],"_",5)</f>
        <v>2020</v>
      </c>
      <c r="P41" s="47" t="str">
        <f>IF(
   COUNTIFS($A$2:A41,A41,
             $C$2:C41,C41,
             $D$2:D41,D41,
             $B$2:B41,B41,
             $E$2:E41,E41,
             $I$2:I41,I41
               )&gt;1,
   "Doublon",
   "Correcte"
)</f>
        <v>Correcte</v>
      </c>
    </row>
    <row r="42" spans="1:16" ht="16.5" thickTop="1" thickBot="1" x14ac:dyDescent="0.3">
      <c r="A42" s="47" t="s">
        <v>686</v>
      </c>
      <c r="B42" s="106" t="s">
        <v>2543</v>
      </c>
      <c r="C42" s="101" t="s">
        <v>2449</v>
      </c>
      <c r="D42" s="53" t="s">
        <v>685</v>
      </c>
      <c r="E42" s="47"/>
      <c r="F42" s="47"/>
      <c r="G42" s="47"/>
      <c r="H42" s="47" t="s">
        <v>664</v>
      </c>
      <c r="I42" s="57">
        <v>45925</v>
      </c>
      <c r="J42" s="57" t="str">
        <f>INDEX(_xlfn.TEXTSPLIT(tissage[[#This Row],[QR Fabrication]],"_"),1,1)</f>
        <v>CA250024</v>
      </c>
      <c r="K42" s="106" t="str">
        <f>INDEX(_xlfn.TEXTSPLIT(tissage[[#This Row],[QR Fabrication]],"_"),1,2)</f>
        <v>All by Fouta</v>
      </c>
      <c r="L42" s="47" t="str">
        <f>INDEX(_xlfn.TEXTSPLIT(tissage[[#This Row],[QR Fabrication]],"_"),1,3)</f>
        <v>Stock</v>
      </c>
      <c r="M42" s="47" t="str">
        <f>INDEX(_xlfn.TEXTSPLIT(tissage[[#This Row],[QR Fabrication]],"_"),1,4)</f>
        <v>UNS2020-09</v>
      </c>
      <c r="N42" s="47" t="str">
        <f>INDEX(_xlfn.TEXTSPLIT(tissage[[#This Row],[QR Fabrication]],"_"),1,5)</f>
        <v>UNI SURPIQUE</v>
      </c>
      <c r="O42" s="47" t="str">
        <f>_xlfn.TEXTAFTER(tissage[[#This Row],[QR Fabrication]],"_",5)</f>
        <v>2020</v>
      </c>
      <c r="P42" s="47" t="str">
        <f>IF(
   COUNTIFS($A$2:A42,A42,
             $C$2:C42,C42,
             $D$2:D42,D42,
             $B$2:B42,B42,
             $E$2:E42,E42,
             $I$2:I42,I42
               )&gt;1,
   "Doublon",
   "Correcte"
)</f>
        <v>Correcte</v>
      </c>
    </row>
    <row r="43" spans="1:16" ht="16.5" thickTop="1" thickBot="1" x14ac:dyDescent="0.3">
      <c r="A43" s="47" t="s">
        <v>686</v>
      </c>
      <c r="B43" s="106" t="s">
        <v>2543</v>
      </c>
      <c r="C43" s="101" t="s">
        <v>2435</v>
      </c>
      <c r="D43" s="53" t="s">
        <v>685</v>
      </c>
      <c r="E43" s="47"/>
      <c r="F43" s="47"/>
      <c r="G43" s="47"/>
      <c r="H43" s="47" t="s">
        <v>664</v>
      </c>
      <c r="I43" s="57">
        <v>45922</v>
      </c>
      <c r="J43" s="57" t="str">
        <f>INDEX(_xlfn.TEXTSPLIT(tissage[[#This Row],[QR Fabrication]],"_"),1,1)</f>
        <v>CA250039</v>
      </c>
      <c r="K43" s="106" t="str">
        <f>INDEX(_xlfn.TEXTSPLIT(tissage[[#This Row],[QR Fabrication]],"_"),1,2)</f>
        <v>All by Fouta</v>
      </c>
      <c r="L43" s="47" t="str">
        <f>INDEX(_xlfn.TEXTSPLIT(tissage[[#This Row],[QR Fabrication]],"_"),1,3)</f>
        <v>Stock</v>
      </c>
      <c r="M43" s="47" t="str">
        <f>INDEX(_xlfn.TEXTSPLIT(tissage[[#This Row],[QR Fabrication]],"_"),1,4)</f>
        <v>UNS2020-32</v>
      </c>
      <c r="N43" s="47" t="str">
        <f>INDEX(_xlfn.TEXTSPLIT(tissage[[#This Row],[QR Fabrication]],"_"),1,5)</f>
        <v>UNI SURPIQUE</v>
      </c>
      <c r="O43" s="47" t="str">
        <f>_xlfn.TEXTAFTER(tissage[[#This Row],[QR Fabrication]],"_",5)</f>
        <v>2020</v>
      </c>
      <c r="P43" s="47" t="str">
        <f>IF(
   COUNTIFS($A$2:A43,A43,
             $C$2:C43,C43,
             $D$2:D43,D43,
             $B$2:B43,B43,
             $E$2:E43,E43,
             $I$2:I43,I43
               )&gt;1,
   "Doublon",
   "Correcte"
)</f>
        <v>Correcte</v>
      </c>
    </row>
    <row r="44" spans="1:16" ht="16.5" thickTop="1" thickBot="1" x14ac:dyDescent="0.3">
      <c r="A44" s="47" t="s">
        <v>686</v>
      </c>
      <c r="B44" s="106" t="s">
        <v>2543</v>
      </c>
      <c r="C44" s="101" t="s">
        <v>2465</v>
      </c>
      <c r="D44" s="53" t="s">
        <v>685</v>
      </c>
      <c r="E44" s="47"/>
      <c r="F44" s="47"/>
      <c r="G44" s="47"/>
      <c r="H44" s="47" t="s">
        <v>664</v>
      </c>
      <c r="I44" s="57">
        <v>45927</v>
      </c>
      <c r="J44" s="57" t="str">
        <f>INDEX(_xlfn.TEXTSPLIT(tissage[[#This Row],[QR Fabrication]],"_"),1,1)</f>
        <v>CA250038</v>
      </c>
      <c r="K44" s="106" t="str">
        <f>INDEX(_xlfn.TEXTSPLIT(tissage[[#This Row],[QR Fabrication]],"_"),1,2)</f>
        <v>All by Fouta</v>
      </c>
      <c r="L44" s="47" t="str">
        <f>INDEX(_xlfn.TEXTSPLIT(tissage[[#This Row],[QR Fabrication]],"_"),1,3)</f>
        <v>Stock</v>
      </c>
      <c r="M44" s="47" t="str">
        <f>INDEX(_xlfn.TEXTSPLIT(tissage[[#This Row],[QR Fabrication]],"_"),1,4)</f>
        <v>UNS2020-31</v>
      </c>
      <c r="N44" s="47" t="str">
        <f>INDEX(_xlfn.TEXTSPLIT(tissage[[#This Row],[QR Fabrication]],"_"),1,5)</f>
        <v>UNI SURPIQUE</v>
      </c>
      <c r="O44" s="47" t="str">
        <f>_xlfn.TEXTAFTER(tissage[[#This Row],[QR Fabrication]],"_",5)</f>
        <v>2020</v>
      </c>
      <c r="P44" s="47" t="str">
        <f>IF(
   COUNTIFS($A$2:A44,A44,
             $C$2:C44,C44,
             $D$2:D44,D44,
             $B$2:B44,B44,
             $E$2:E44,E44,
             $I$2:I44,I44
               )&gt;1,
   "Doublon",
   "Correcte"
)</f>
        <v>Correcte</v>
      </c>
    </row>
    <row r="45" spans="1:16" ht="16.5" thickTop="1" thickBot="1" x14ac:dyDescent="0.3">
      <c r="A45" s="47" t="s">
        <v>686</v>
      </c>
      <c r="B45" s="106" t="s">
        <v>2543</v>
      </c>
      <c r="C45" s="101" t="s">
        <v>2470</v>
      </c>
      <c r="D45" s="53" t="s">
        <v>685</v>
      </c>
      <c r="E45" s="47"/>
      <c r="F45" s="47"/>
      <c r="G45" s="47"/>
      <c r="H45" s="47" t="s">
        <v>664</v>
      </c>
      <c r="I45" s="57">
        <v>45926</v>
      </c>
      <c r="J45" s="57" t="str">
        <f>INDEX(_xlfn.TEXTSPLIT(tissage[[#This Row],[QR Fabrication]],"_"),1,1)</f>
        <v>CA250037</v>
      </c>
      <c r="K45" s="106" t="str">
        <f>INDEX(_xlfn.TEXTSPLIT(tissage[[#This Row],[QR Fabrication]],"_"),1,2)</f>
        <v>All by Fouta</v>
      </c>
      <c r="L45" s="47" t="str">
        <f>INDEX(_xlfn.TEXTSPLIT(tissage[[#This Row],[QR Fabrication]],"_"),1,3)</f>
        <v>Stock</v>
      </c>
      <c r="M45" s="47" t="str">
        <f>INDEX(_xlfn.TEXTSPLIT(tissage[[#This Row],[QR Fabrication]],"_"),1,4)</f>
        <v>UNS2020-30</v>
      </c>
      <c r="N45" s="47" t="str">
        <f>INDEX(_xlfn.TEXTSPLIT(tissage[[#This Row],[QR Fabrication]],"_"),1,5)</f>
        <v>UNI SURPIQUE</v>
      </c>
      <c r="O45" s="47" t="str">
        <f>_xlfn.TEXTAFTER(tissage[[#This Row],[QR Fabrication]],"_",5)</f>
        <v>2020</v>
      </c>
      <c r="P45" s="47" t="str">
        <f>IF(
   COUNTIFS($A$2:A45,A45,
             $C$2:C45,C45,
             $D$2:D45,D45,
             $B$2:B45,B45,
             $E$2:E45,E45,
             $I$2:I45,I45
               )&gt;1,
   "Doublon",
   "Correcte"
)</f>
        <v>Correcte</v>
      </c>
    </row>
    <row r="46" spans="1:16" ht="16.5" thickTop="1" thickBot="1" x14ac:dyDescent="0.3">
      <c r="A46" s="47" t="s">
        <v>686</v>
      </c>
      <c r="B46" s="106" t="s">
        <v>2543</v>
      </c>
      <c r="C46" s="101" t="s">
        <v>2437</v>
      </c>
      <c r="D46" s="53" t="s">
        <v>685</v>
      </c>
      <c r="E46" s="47"/>
      <c r="F46" s="47"/>
      <c r="G46" s="47"/>
      <c r="H46" s="47" t="s">
        <v>664</v>
      </c>
      <c r="I46" s="57">
        <v>45929</v>
      </c>
      <c r="J46" s="57" t="str">
        <f>INDEX(_xlfn.TEXTSPLIT(tissage[[#This Row],[QR Fabrication]],"_"),1,1)</f>
        <v>CA250035</v>
      </c>
      <c r="K46" s="106" t="str">
        <f>INDEX(_xlfn.TEXTSPLIT(tissage[[#This Row],[QR Fabrication]],"_"),1,2)</f>
        <v>All by Fouta</v>
      </c>
      <c r="L46" s="47" t="str">
        <f>INDEX(_xlfn.TEXTSPLIT(tissage[[#This Row],[QR Fabrication]],"_"),1,3)</f>
        <v>Stock</v>
      </c>
      <c r="M46" s="47" t="str">
        <f>INDEX(_xlfn.TEXTSPLIT(tissage[[#This Row],[QR Fabrication]],"_"),1,4)</f>
        <v>UNS2020-26</v>
      </c>
      <c r="N46" s="47" t="str">
        <f>INDEX(_xlfn.TEXTSPLIT(tissage[[#This Row],[QR Fabrication]],"_"),1,5)</f>
        <v>UNI SURPIQUE</v>
      </c>
      <c r="O46" s="47" t="str">
        <f>_xlfn.TEXTAFTER(tissage[[#This Row],[QR Fabrication]],"_",5)</f>
        <v>2020</v>
      </c>
      <c r="P46" s="47" t="str">
        <f>IF(
   COUNTIFS($A$2:A46,A46,
             $C$2:C46,C46,
             $D$2:D46,D46,
             $B$2:B46,B46,
             $E$2:E46,E46,
             $I$2:I46,I46
               )&gt;1,
   "Doublon",
   "Correcte"
)</f>
        <v>Correcte</v>
      </c>
    </row>
    <row r="47" spans="1:16" ht="16.5" thickTop="1" thickBot="1" x14ac:dyDescent="0.3">
      <c r="A47" s="47" t="s">
        <v>686</v>
      </c>
      <c r="B47" s="106" t="s">
        <v>2543</v>
      </c>
      <c r="C47" s="101" t="s">
        <v>2438</v>
      </c>
      <c r="D47" s="53" t="s">
        <v>685</v>
      </c>
      <c r="E47" s="47"/>
      <c r="F47" s="47"/>
      <c r="G47" s="47"/>
      <c r="H47" s="47" t="s">
        <v>664</v>
      </c>
      <c r="I47" s="57">
        <v>45934</v>
      </c>
      <c r="J47" s="57" t="str">
        <f>INDEX(_xlfn.TEXTSPLIT(tissage[[#This Row],[QR Fabrication]],"_"),1,1)</f>
        <v>CA250034</v>
      </c>
      <c r="K47" s="106" t="str">
        <f>INDEX(_xlfn.TEXTSPLIT(tissage[[#This Row],[QR Fabrication]],"_"),1,2)</f>
        <v>All by Fouta</v>
      </c>
      <c r="L47" s="47" t="str">
        <f>INDEX(_xlfn.TEXTSPLIT(tissage[[#This Row],[QR Fabrication]],"_"),1,3)</f>
        <v>Stock</v>
      </c>
      <c r="M47" s="47" t="str">
        <f>INDEX(_xlfn.TEXTSPLIT(tissage[[#This Row],[QR Fabrication]],"_"),1,4)</f>
        <v>UNS2020-24</v>
      </c>
      <c r="N47" s="47" t="str">
        <f>INDEX(_xlfn.TEXTSPLIT(tissage[[#This Row],[QR Fabrication]],"_"),1,5)</f>
        <v>UNI SURPIQUE</v>
      </c>
      <c r="O47" s="47" t="str">
        <f>_xlfn.TEXTAFTER(tissage[[#This Row],[QR Fabrication]],"_",5)</f>
        <v>2020</v>
      </c>
      <c r="P47" s="47" t="str">
        <f>IF(
   COUNTIFS($A$2:A47,A47,
             $C$2:C47,C47,
             $D$2:D47,D47,
             $B$2:B47,B47,
             $E$2:E47,E47,
             $I$2:I47,I47
               )&gt;1,
   "Doublon",
   "Correcte"
)</f>
        <v>Correcte</v>
      </c>
    </row>
    <row r="48" spans="1:16" ht="16.5" thickTop="1" thickBot="1" x14ac:dyDescent="0.3">
      <c r="A48" s="47" t="s">
        <v>686</v>
      </c>
      <c r="B48" s="106" t="s">
        <v>2543</v>
      </c>
      <c r="C48" s="101" t="s">
        <v>2429</v>
      </c>
      <c r="D48" s="53" t="s">
        <v>685</v>
      </c>
      <c r="E48" s="47"/>
      <c r="F48" s="47"/>
      <c r="G48" s="47"/>
      <c r="H48" s="47" t="s">
        <v>664</v>
      </c>
      <c r="I48" s="57">
        <v>45918</v>
      </c>
      <c r="J48" s="57" t="str">
        <f>INDEX(_xlfn.TEXTSPLIT(tissage[[#This Row],[QR Fabrication]],"_"),1,1)</f>
        <v>CA250033</v>
      </c>
      <c r="K48" s="106" t="str">
        <f>INDEX(_xlfn.TEXTSPLIT(tissage[[#This Row],[QR Fabrication]],"_"),1,2)</f>
        <v>All by Fouta</v>
      </c>
      <c r="L48" s="47" t="str">
        <f>INDEX(_xlfn.TEXTSPLIT(tissage[[#This Row],[QR Fabrication]],"_"),1,3)</f>
        <v>Stock</v>
      </c>
      <c r="M48" s="47" t="str">
        <f>INDEX(_xlfn.TEXTSPLIT(tissage[[#This Row],[QR Fabrication]],"_"),1,4)</f>
        <v>UNS2020-23</v>
      </c>
      <c r="N48" s="47" t="str">
        <f>INDEX(_xlfn.TEXTSPLIT(tissage[[#This Row],[QR Fabrication]],"_"),1,5)</f>
        <v>UNI SURPIQUE</v>
      </c>
      <c r="O48" s="47" t="str">
        <f>_xlfn.TEXTAFTER(tissage[[#This Row],[QR Fabrication]],"_",5)</f>
        <v>2020</v>
      </c>
      <c r="P48" s="47" t="str">
        <f>IF(
   COUNTIFS($A$2:A48,A48,
             $C$2:C48,C48,
             $D$2:D48,D48,
             $B$2:B48,B48,
             $E$2:E48,E48,
             $I$2:I48,I48
               )&gt;1,
   "Doublon",
   "Correcte"
)</f>
        <v>Correcte</v>
      </c>
    </row>
    <row r="49" spans="1:16" ht="16.5" thickTop="1" thickBot="1" x14ac:dyDescent="0.3">
      <c r="A49" s="47" t="s">
        <v>686</v>
      </c>
      <c r="B49" s="106" t="s">
        <v>2543</v>
      </c>
      <c r="C49" s="101" t="s">
        <v>2433</v>
      </c>
      <c r="D49" s="53" t="s">
        <v>685</v>
      </c>
      <c r="E49" s="47"/>
      <c r="F49" s="47"/>
      <c r="G49" s="47"/>
      <c r="H49" s="47" t="s">
        <v>664</v>
      </c>
      <c r="I49" s="57">
        <v>45919</v>
      </c>
      <c r="J49" s="57" t="str">
        <f>INDEX(_xlfn.TEXTSPLIT(tissage[[#This Row],[QR Fabrication]],"_"),1,1)</f>
        <v>CA250032</v>
      </c>
      <c r="K49" s="106" t="str">
        <f>INDEX(_xlfn.TEXTSPLIT(tissage[[#This Row],[QR Fabrication]],"_"),1,2)</f>
        <v>All by Fouta</v>
      </c>
      <c r="L49" s="47" t="str">
        <f>INDEX(_xlfn.TEXTSPLIT(tissage[[#This Row],[QR Fabrication]],"_"),1,3)</f>
        <v>Stock</v>
      </c>
      <c r="M49" s="47" t="str">
        <f>INDEX(_xlfn.TEXTSPLIT(tissage[[#This Row],[QR Fabrication]],"_"),1,4)</f>
        <v>UNS2020-20</v>
      </c>
      <c r="N49" s="47" t="str">
        <f>INDEX(_xlfn.TEXTSPLIT(tissage[[#This Row],[QR Fabrication]],"_"),1,5)</f>
        <v>UNI SURPIQUE</v>
      </c>
      <c r="O49" s="47" t="str">
        <f>_xlfn.TEXTAFTER(tissage[[#This Row],[QR Fabrication]],"_",5)</f>
        <v>2020</v>
      </c>
      <c r="P49" s="47" t="str">
        <f>IF(
   COUNTIFS($A$2:A49,A49,
             $C$2:C49,C49,
             $D$2:D49,D49,
             $B$2:B49,B49,
             $E$2:E49,E49,
             $I$2:I49,I49
               )&gt;1,
   "Doublon",
   "Correcte"
)</f>
        <v>Correcte</v>
      </c>
    </row>
    <row r="50" spans="1:16" ht="16.5" thickTop="1" thickBot="1" x14ac:dyDescent="0.3">
      <c r="A50" s="47" t="s">
        <v>686</v>
      </c>
      <c r="B50" s="106" t="s">
        <v>2543</v>
      </c>
      <c r="C50" s="101" t="s">
        <v>2560</v>
      </c>
      <c r="D50" s="53" t="s">
        <v>685</v>
      </c>
      <c r="E50" s="47"/>
      <c r="F50" s="47"/>
      <c r="G50" s="47"/>
      <c r="H50" s="47" t="s">
        <v>664</v>
      </c>
      <c r="I50" s="57">
        <v>45917</v>
      </c>
      <c r="J50" s="57" t="str">
        <f>INDEX(_xlfn.TEXTSPLIT(tissage[[#This Row],[QR Fabrication]],"_"),1,1)</f>
        <v>CA250031</v>
      </c>
      <c r="K50" s="106" t="str">
        <f>INDEX(_xlfn.TEXTSPLIT(tissage[[#This Row],[QR Fabrication]],"_"),1,2)</f>
        <v>All by Fouta</v>
      </c>
      <c r="L50" s="47" t="str">
        <f>INDEX(_xlfn.TEXTSPLIT(tissage[[#This Row],[QR Fabrication]],"_"),1,3)</f>
        <v>Stock</v>
      </c>
      <c r="M50" s="47" t="str">
        <f>INDEX(_xlfn.TEXTSPLIT(tissage[[#This Row],[QR Fabrication]],"_"),1,4)</f>
        <v>UNS2020-19</v>
      </c>
      <c r="N50" s="47" t="str">
        <f>INDEX(_xlfn.TEXTSPLIT(tissage[[#This Row],[QR Fabrication]],"_"),1,5)</f>
        <v>UNI SURPIQUE</v>
      </c>
      <c r="O50" s="47" t="str">
        <f>_xlfn.TEXTAFTER(tissage[[#This Row],[QR Fabrication]],"_",5)</f>
        <v>2020</v>
      </c>
      <c r="P50" s="47" t="str">
        <f>IF(
   COUNTIFS($A$2:A50,A50,
             $C$2:C50,C50,
             $D$2:D50,D50,
             $B$2:B50,B50,
             $E$2:E50,E50,
             $I$2:I50,I50
               )&gt;1,
   "Doublon",
   "Correcte"
)</f>
        <v>Correcte</v>
      </c>
    </row>
    <row r="51" spans="1:16" ht="16.5" thickTop="1" thickBot="1" x14ac:dyDescent="0.3">
      <c r="A51" s="47" t="s">
        <v>686</v>
      </c>
      <c r="B51" s="106" t="s">
        <v>2543</v>
      </c>
      <c r="C51" s="101" t="s">
        <v>2407</v>
      </c>
      <c r="D51" s="53" t="s">
        <v>685</v>
      </c>
      <c r="E51" s="47"/>
      <c r="F51" s="47"/>
      <c r="G51" s="47"/>
      <c r="H51" s="47" t="s">
        <v>664</v>
      </c>
      <c r="I51" s="57">
        <v>45924</v>
      </c>
      <c r="J51" s="57" t="str">
        <f>INDEX(_xlfn.TEXTSPLIT(tissage[[#This Row],[QR Fabrication]],"_"),1,1)</f>
        <v>CA250030</v>
      </c>
      <c r="K51" s="106" t="str">
        <f>INDEX(_xlfn.TEXTSPLIT(tissage[[#This Row],[QR Fabrication]],"_"),1,2)</f>
        <v>All by Fouta</v>
      </c>
      <c r="L51" s="47" t="str">
        <f>INDEX(_xlfn.TEXTSPLIT(tissage[[#This Row],[QR Fabrication]],"_"),1,3)</f>
        <v>Stock</v>
      </c>
      <c r="M51" s="47" t="str">
        <f>INDEX(_xlfn.TEXTSPLIT(tissage[[#This Row],[QR Fabrication]],"_"),1,4)</f>
        <v>UNS2020-18</v>
      </c>
      <c r="N51" s="47" t="str">
        <f>INDEX(_xlfn.TEXTSPLIT(tissage[[#This Row],[QR Fabrication]],"_"),1,5)</f>
        <v>UNI SURPIQUE</v>
      </c>
      <c r="O51" s="47" t="str">
        <f>_xlfn.TEXTAFTER(tissage[[#This Row],[QR Fabrication]],"_",5)</f>
        <v>2020</v>
      </c>
      <c r="P51" s="47" t="str">
        <f>IF(
   COUNTIFS($A$2:A51,A51,
             $C$2:C51,C51,
             $D$2:D51,D51,
             $B$2:B51,B51,
             $E$2:E51,E51,
             $I$2:I51,I51
               )&gt;1,
   "Doublon",
   "Correcte"
)</f>
        <v>Correcte</v>
      </c>
    </row>
    <row r="52" spans="1:16" ht="16.5" thickTop="1" thickBot="1" x14ac:dyDescent="0.3">
      <c r="A52" s="47" t="s">
        <v>686</v>
      </c>
      <c r="B52" s="106" t="s">
        <v>2543</v>
      </c>
      <c r="C52" s="101" t="s">
        <v>2448</v>
      </c>
      <c r="D52" s="53" t="s">
        <v>685</v>
      </c>
      <c r="E52" s="47"/>
      <c r="F52" s="47"/>
      <c r="G52" s="47"/>
      <c r="H52" s="47" t="s">
        <v>664</v>
      </c>
      <c r="I52" s="57">
        <v>45923</v>
      </c>
      <c r="J52" s="57" t="str">
        <f>INDEX(_xlfn.TEXTSPLIT(tissage[[#This Row],[QR Fabrication]],"_"),1,1)</f>
        <v>CA250036</v>
      </c>
      <c r="K52" s="106" t="str">
        <f>INDEX(_xlfn.TEXTSPLIT(tissage[[#This Row],[QR Fabrication]],"_"),1,2)</f>
        <v>All by Fouta</v>
      </c>
      <c r="L52" s="47" t="str">
        <f>INDEX(_xlfn.TEXTSPLIT(tissage[[#This Row],[QR Fabrication]],"_"),1,3)</f>
        <v>Stock</v>
      </c>
      <c r="M52" s="47" t="str">
        <f>INDEX(_xlfn.TEXTSPLIT(tissage[[#This Row],[QR Fabrication]],"_"),1,4)</f>
        <v>UNS2020-27</v>
      </c>
      <c r="N52" s="47" t="str">
        <f>INDEX(_xlfn.TEXTSPLIT(tissage[[#This Row],[QR Fabrication]],"_"),1,5)</f>
        <v>UNI SURPIQUE</v>
      </c>
      <c r="O52" s="47" t="str">
        <f>_xlfn.TEXTAFTER(tissage[[#This Row],[QR Fabrication]],"_",5)</f>
        <v>2020</v>
      </c>
      <c r="P52" s="47" t="str">
        <f>IF(
   COUNTIFS($A$2:A52,A52,
             $C$2:C52,C52,
             $D$2:D52,D52,
             $B$2:B52,B52,
             $E$2:E52,E52,
             $I$2:I52,I52
               )&gt;1,
   "Doublon",
   "Correcte"
)</f>
        <v>Correcte</v>
      </c>
    </row>
    <row r="53" spans="1:16" ht="16.5" thickTop="1" thickBot="1" x14ac:dyDescent="0.3">
      <c r="A53" s="47" t="s">
        <v>686</v>
      </c>
      <c r="B53" s="107" t="s">
        <v>2543</v>
      </c>
      <c r="C53" s="102" t="s">
        <v>2561</v>
      </c>
      <c r="D53" s="53" t="s">
        <v>685</v>
      </c>
      <c r="E53" s="51"/>
      <c r="F53" s="51"/>
      <c r="G53" s="51"/>
      <c r="H53" s="47" t="s">
        <v>664</v>
      </c>
      <c r="I53" s="58">
        <v>45913</v>
      </c>
      <c r="J53" s="58" t="str">
        <f>INDEX(_xlfn.TEXTSPLIT(tissage[[#This Row],[QR Fabrication]],"_"),1,1)</f>
        <v>CA250029</v>
      </c>
      <c r="K53" s="107" t="str">
        <f>INDEX(_xlfn.TEXTSPLIT(tissage[[#This Row],[QR Fabrication]],"_"),1,2)</f>
        <v>All by Fouta</v>
      </c>
      <c r="L53" s="51" t="str">
        <f>INDEX(_xlfn.TEXTSPLIT(tissage[[#This Row],[QR Fabrication]],"_"),1,3)</f>
        <v>Stock</v>
      </c>
      <c r="M53" s="51" t="str">
        <f>INDEX(_xlfn.TEXTSPLIT(tissage[[#This Row],[QR Fabrication]],"_"),1,4)</f>
        <v>UNS2020-17</v>
      </c>
      <c r="N53" s="51" t="str">
        <f>INDEX(_xlfn.TEXTSPLIT(tissage[[#This Row],[QR Fabrication]],"_"),1,5)</f>
        <v>UNI SURPIQUE</v>
      </c>
      <c r="O53" s="51" t="str">
        <f>_xlfn.TEXTAFTER(tissage[[#This Row],[QR Fabrication]],"_",5)</f>
        <v>2020</v>
      </c>
      <c r="P53" s="47" t="str">
        <f>IF(
   COUNTIFS($A$2:A53,A53,
             $C$2:C53,C53,
             $D$2:D53,D53,
             $B$2:B53,B53,
             $E$2:E53,E53,
             $I$2:I53,I53
               )&gt;1,
   "Doublon",
   "Correcte"
)</f>
        <v>Correcte</v>
      </c>
    </row>
    <row r="54" spans="1:16" ht="16.5" thickTop="1" thickBot="1" x14ac:dyDescent="0.3">
      <c r="A54" s="51" t="s">
        <v>684</v>
      </c>
      <c r="B54" s="107" t="s">
        <v>2547</v>
      </c>
      <c r="C54" s="102" t="s">
        <v>2414</v>
      </c>
      <c r="D54" s="53" t="s">
        <v>685</v>
      </c>
      <c r="E54" s="51"/>
      <c r="F54" s="51"/>
      <c r="G54" s="51"/>
      <c r="H54" s="47" t="s">
        <v>664</v>
      </c>
      <c r="I54" s="58">
        <v>45883</v>
      </c>
      <c r="J54" s="58" t="str">
        <f>INDEX(_xlfn.TEXTSPLIT(tissage[[#This Row],[QR Fabrication]],"_"),1,1)</f>
        <v>CA250778</v>
      </c>
      <c r="K54" s="107" t="str">
        <f>INDEX(_xlfn.TEXTSPLIT(tissage[[#This Row],[QR Fabrication]],"_"),1,2)</f>
        <v>All by Fouta</v>
      </c>
      <c r="L54" s="51" t="str">
        <f>INDEX(_xlfn.TEXTSPLIT(tissage[[#This Row],[QR Fabrication]],"_"),1,3)</f>
        <v>Stock</v>
      </c>
      <c r="M54" s="51" t="str">
        <f>INDEX(_xlfn.TEXTSPLIT(tissage[[#This Row],[QR Fabrication]],"_"),1,4)</f>
        <v>PACKSICHI0507-Q10-29-01</v>
      </c>
      <c r="N54" s="51" t="str">
        <f>INDEX(_xlfn.TEXTSPLIT(tissage[[#This Row],[QR Fabrication]],"_"),1,5)</f>
        <v>PACK CHIC</v>
      </c>
      <c r="O54" s="51" t="str">
        <f>_xlfn.TEXTAFTER(tissage[[#This Row],[QR Fabrication]],"_",5)</f>
        <v>0507</v>
      </c>
      <c r="P54" s="47" t="str">
        <f>IF(
   COUNTIFS($A$2:A54,A54,
             $C$2:C54,C54,
             $D$2:D54,D54,
             $B$2:B54,B54,
             $E$2:E54,E54,
             $I$2:I54,I54
               )&gt;1,
   "Doublon",
   "Correcte"
)</f>
        <v>Correcte</v>
      </c>
    </row>
    <row r="55" spans="1:16" ht="16.5" thickTop="1" thickBot="1" x14ac:dyDescent="0.3">
      <c r="A55" s="51" t="s">
        <v>684</v>
      </c>
      <c r="B55" s="107" t="s">
        <v>2541</v>
      </c>
      <c r="C55" s="102" t="s">
        <v>2416</v>
      </c>
      <c r="D55" s="53" t="s">
        <v>685</v>
      </c>
      <c r="E55" s="51"/>
      <c r="F55" s="51"/>
      <c r="G55" s="51"/>
      <c r="H55" s="47" t="s">
        <v>664</v>
      </c>
      <c r="I55" s="58">
        <v>45884</v>
      </c>
      <c r="J55" s="58" t="str">
        <f>INDEX(_xlfn.TEXTSPLIT(tissage[[#This Row],[QR Fabrication]],"_"),1,1)</f>
        <v>CA250009</v>
      </c>
      <c r="K55" s="107" t="str">
        <f>INDEX(_xlfn.TEXTSPLIT(tissage[[#This Row],[QR Fabrication]],"_"),1,2)</f>
        <v>All by Fouta</v>
      </c>
      <c r="L55" s="51" t="str">
        <f>INDEX(_xlfn.TEXTSPLIT(tissage[[#This Row],[QR Fabrication]],"_"),1,3)</f>
        <v>Stock</v>
      </c>
      <c r="M55" s="51" t="str">
        <f>INDEX(_xlfn.TEXTSPLIT(tissage[[#This Row],[QR Fabrication]],"_"),1,4)</f>
        <v>UNS1020-17</v>
      </c>
      <c r="N55" s="51" t="str">
        <f>INDEX(_xlfn.TEXTSPLIT(tissage[[#This Row],[QR Fabrication]],"_"),1,5)</f>
        <v>UNI SURPIQUE</v>
      </c>
      <c r="O55" s="51" t="str">
        <f>_xlfn.TEXTAFTER(tissage[[#This Row],[QR Fabrication]],"_",5)</f>
        <v>1020</v>
      </c>
      <c r="P55" s="47" t="str">
        <f>IF(
   COUNTIFS($A$2:A55,A55,
             $C$2:C55,C55,
             $D$2:D55,D55,
             $B$2:B55,B55,
             $E$2:E55,E55,
             $I$2:I55,I55
               )&gt;1,
   "Doublon",
   "Correcte"
)</f>
        <v>Correcte</v>
      </c>
    </row>
    <row r="56" spans="1:16" ht="16.5" thickTop="1" thickBot="1" x14ac:dyDescent="0.3">
      <c r="A56" s="51" t="s">
        <v>684</v>
      </c>
      <c r="B56" s="107" t="s">
        <v>2548</v>
      </c>
      <c r="C56" s="102" t="s">
        <v>2420</v>
      </c>
      <c r="D56" s="53" t="s">
        <v>685</v>
      </c>
      <c r="E56" s="51"/>
      <c r="F56" s="51"/>
      <c r="G56" s="51"/>
      <c r="H56" s="47" t="s">
        <v>664</v>
      </c>
      <c r="I56" s="58">
        <v>45908</v>
      </c>
      <c r="J56" s="58" t="str">
        <f>INDEX(_xlfn.TEXTSPLIT(tissage[[#This Row],[QR Fabrication]],"_"),1,1)</f>
        <v>CA250469</v>
      </c>
      <c r="K56" s="107" t="str">
        <f>INDEX(_xlfn.TEXTSPLIT(tissage[[#This Row],[QR Fabrication]],"_"),1,2)</f>
        <v>All by Fouta</v>
      </c>
      <c r="L56" s="51" t="str">
        <f>INDEX(_xlfn.TEXTSPLIT(tissage[[#This Row],[QR Fabrication]],"_"),1,3)</f>
        <v>Stock</v>
      </c>
      <c r="M56" s="51" t="str">
        <f>INDEX(_xlfn.TEXTSPLIT(tissage[[#This Row],[QR Fabrication]],"_"),1,4)</f>
        <v>FAF1020-B04-02</v>
      </c>
      <c r="N56" s="51" t="str">
        <f>INDEX(_xlfn.TEXTSPLIT(tissage[[#This Row],[QR Fabrication]],"_"),1,5)</f>
        <v>FIL A FIL</v>
      </c>
      <c r="O56" s="51" t="str">
        <f>_xlfn.TEXTAFTER(tissage[[#This Row],[QR Fabrication]],"_",5)</f>
        <v>1020</v>
      </c>
      <c r="P56" s="47" t="str">
        <f>IF(
   COUNTIFS($A$2:A56,A56,
             $C$2:C56,C56,
             $D$2:D56,D56,
             $B$2:B56,B56,
             $E$2:E56,E56,
             $I$2:I56,I56
               )&gt;1,
   "Doublon",
   "Correcte"
)</f>
        <v>Correcte</v>
      </c>
    </row>
    <row r="57" spans="1:16" ht="16.5" thickTop="1" thickBot="1" x14ac:dyDescent="0.3">
      <c r="A57" s="47" t="s">
        <v>686</v>
      </c>
      <c r="B57" s="107" t="s">
        <v>2549</v>
      </c>
      <c r="C57" s="102" t="s">
        <v>2410</v>
      </c>
      <c r="D57" s="53" t="s">
        <v>685</v>
      </c>
      <c r="E57" s="51"/>
      <c r="F57" s="51"/>
      <c r="G57" s="51"/>
      <c r="H57" s="47" t="s">
        <v>664</v>
      </c>
      <c r="I57" s="58">
        <v>45878</v>
      </c>
      <c r="J57" s="58" t="str">
        <f>INDEX(_xlfn.TEXTSPLIT(tissage[[#This Row],[QR Fabrication]],"_"),1,1)</f>
        <v>OF249842</v>
      </c>
      <c r="K57" s="107" t="str">
        <f>INDEX(_xlfn.TEXTSPLIT(tissage[[#This Row],[QR Fabrication]],"_"),1,2)</f>
        <v>CL00884</v>
      </c>
      <c r="L57" s="51" t="str">
        <f>INDEX(_xlfn.TEXTSPLIT(tissage[[#This Row],[QR Fabrication]],"_"),1,3)</f>
        <v>CM-FT0119</v>
      </c>
      <c r="M57" s="51" t="str">
        <f>INDEX(_xlfn.TEXTSPLIT(tissage[[#This Row],[QR Fabrication]],"_"),1,4)</f>
        <v>FI1020-C28-25-24</v>
      </c>
      <c r="N57" s="51" t="str">
        <f>INDEX(_xlfn.TEXTSPLIT(tissage[[#This Row],[QR Fabrication]],"_"),1,5)</f>
        <v>FIVE</v>
      </c>
      <c r="O57" s="51" t="str">
        <f>_xlfn.TEXTAFTER(tissage[[#This Row],[QR Fabrication]],"_",5)</f>
        <v>1020</v>
      </c>
      <c r="P57" s="47" t="str">
        <f>IF(
   COUNTIFS($A$2:A57,A57,
             $C$2:C57,C57,
             $D$2:D57,D57,
             $B$2:B57,B57,
             $E$2:E57,E57,
             $I$2:I57,I57
               )&gt;1,
   "Doublon",
   "Correcte"
)</f>
        <v>Correcte</v>
      </c>
    </row>
    <row r="58" spans="1:16" ht="16.5" thickTop="1" thickBot="1" x14ac:dyDescent="0.3">
      <c r="A58" s="47" t="s">
        <v>684</v>
      </c>
      <c r="B58" s="106" t="s">
        <v>2548</v>
      </c>
      <c r="C58" s="101" t="s">
        <v>2454</v>
      </c>
      <c r="D58" s="53" t="s">
        <v>685</v>
      </c>
      <c r="E58" s="47"/>
      <c r="F58" s="47"/>
      <c r="G58" s="47"/>
      <c r="H58" s="47" t="s">
        <v>664</v>
      </c>
      <c r="I58" s="57">
        <v>45909</v>
      </c>
      <c r="J58" s="57" t="str">
        <f>INDEX(_xlfn.TEXTSPLIT(tissage[[#This Row],[QR Fabrication]],"_"),1,1)</f>
        <v>CA250473</v>
      </c>
      <c r="K58" s="106" t="str">
        <f>INDEX(_xlfn.TEXTSPLIT(tissage[[#This Row],[QR Fabrication]],"_"),1,2)</f>
        <v>All by Fouta</v>
      </c>
      <c r="L58" s="47" t="str">
        <f>INDEX(_xlfn.TEXTSPLIT(tissage[[#This Row],[QR Fabrication]],"_"),1,3)</f>
        <v>Stock</v>
      </c>
      <c r="M58" s="47" t="str">
        <f>INDEX(_xlfn.TEXTSPLIT(tissage[[#This Row],[QR Fabrication]],"_"),1,4)</f>
        <v>FAF1020-B18-19</v>
      </c>
      <c r="N58" s="47" t="str">
        <f>INDEX(_xlfn.TEXTSPLIT(tissage[[#This Row],[QR Fabrication]],"_"),1,5)</f>
        <v>FIL A FIL</v>
      </c>
      <c r="O58" s="47" t="str">
        <f>_xlfn.TEXTAFTER(tissage[[#This Row],[QR Fabrication]],"_",5)</f>
        <v>1020</v>
      </c>
      <c r="P58" s="47" t="str">
        <f>IF(
   COUNTIFS($A$2:A58,A58,
             $C$2:C58,C58,
             $D$2:D58,D58,
             $B$2:B58,B58,
             $E$2:E58,E58,
             $I$2:I58,I58
               )&gt;1,
   "Doublon",
   "Correcte"
)</f>
        <v>Correcte</v>
      </c>
    </row>
    <row r="59" spans="1:16" ht="16.5" thickTop="1" thickBot="1" x14ac:dyDescent="0.3">
      <c r="A59" s="47" t="s">
        <v>684</v>
      </c>
      <c r="B59" s="106" t="s">
        <v>2548</v>
      </c>
      <c r="C59" s="101" t="s">
        <v>2411</v>
      </c>
      <c r="D59" s="53" t="s">
        <v>685</v>
      </c>
      <c r="E59" s="47"/>
      <c r="F59" s="47"/>
      <c r="G59" s="47"/>
      <c r="H59" s="47" t="s">
        <v>664</v>
      </c>
      <c r="I59" s="57">
        <v>45911</v>
      </c>
      <c r="J59" s="57" t="str">
        <f>INDEX(_xlfn.TEXTSPLIT(tissage[[#This Row],[QR Fabrication]],"_"),1,1)</f>
        <v>CA250474</v>
      </c>
      <c r="K59" s="106" t="str">
        <f>INDEX(_xlfn.TEXTSPLIT(tissage[[#This Row],[QR Fabrication]],"_"),1,2)</f>
        <v>All by Fouta</v>
      </c>
      <c r="L59" s="47" t="str">
        <f>INDEX(_xlfn.TEXTSPLIT(tissage[[#This Row],[QR Fabrication]],"_"),1,3)</f>
        <v>Stock</v>
      </c>
      <c r="M59" s="47" t="str">
        <f>INDEX(_xlfn.TEXTSPLIT(tissage[[#This Row],[QR Fabrication]],"_"),1,4)</f>
        <v>FAF1020-B06-08</v>
      </c>
      <c r="N59" s="47" t="str">
        <f>INDEX(_xlfn.TEXTSPLIT(tissage[[#This Row],[QR Fabrication]],"_"),1,5)</f>
        <v>FIL A FIL</v>
      </c>
      <c r="O59" s="47" t="str">
        <f>_xlfn.TEXTAFTER(tissage[[#This Row],[QR Fabrication]],"_",5)</f>
        <v>1020</v>
      </c>
      <c r="P59" s="47" t="str">
        <f>IF(
   COUNTIFS($A$2:A59,A59,
             $C$2:C59,C59,
             $D$2:D59,D59,
             $B$2:B59,B59,
             $E$2:E59,E59,
             $I$2:I59,I59
               )&gt;1,
   "Doublon",
   "Correcte"
)</f>
        <v>Correcte</v>
      </c>
    </row>
    <row r="60" spans="1:16" ht="16.5" thickTop="1" thickBot="1" x14ac:dyDescent="0.3">
      <c r="A60" s="47" t="s">
        <v>684</v>
      </c>
      <c r="B60" s="106" t="s">
        <v>2541</v>
      </c>
      <c r="C60" s="101" t="s">
        <v>2423</v>
      </c>
      <c r="D60" s="53" t="s">
        <v>685</v>
      </c>
      <c r="E60" s="47"/>
      <c r="F60" s="47"/>
      <c r="G60" s="47"/>
      <c r="H60" s="47" t="s">
        <v>664</v>
      </c>
      <c r="I60" s="57">
        <v>45916</v>
      </c>
      <c r="J60" s="57" t="str">
        <f>INDEX(_xlfn.TEXTSPLIT(tissage[[#This Row],[QR Fabrication]],"_"),1,1)</f>
        <v>CA250012</v>
      </c>
      <c r="K60" s="106" t="str">
        <f>INDEX(_xlfn.TEXTSPLIT(tissage[[#This Row],[QR Fabrication]],"_"),1,2)</f>
        <v>All by Fouta</v>
      </c>
      <c r="L60" s="47" t="str">
        <f>INDEX(_xlfn.TEXTSPLIT(tissage[[#This Row],[QR Fabrication]],"_"),1,3)</f>
        <v>Stock</v>
      </c>
      <c r="M60" s="47" t="str">
        <f>INDEX(_xlfn.TEXTSPLIT(tissage[[#This Row],[QR Fabrication]],"_"),1,4)</f>
        <v>UNS1020-20</v>
      </c>
      <c r="N60" s="47" t="str">
        <f>INDEX(_xlfn.TEXTSPLIT(tissage[[#This Row],[QR Fabrication]],"_"),1,5)</f>
        <v>UNI SURPIQUE</v>
      </c>
      <c r="O60" s="47" t="str">
        <f>_xlfn.TEXTAFTER(tissage[[#This Row],[QR Fabrication]],"_",5)</f>
        <v>1020</v>
      </c>
      <c r="P60" s="47" t="str">
        <f>IF(
   COUNTIFS($A$2:A60,A60,
             $C$2:C60,C60,
             $D$2:D60,D60,
             $B$2:B60,B60,
             $E$2:E60,E60,
             $I$2:I60,I60
               )&gt;1,
   "Doublon",
   "Correcte"
)</f>
        <v>Correcte</v>
      </c>
    </row>
    <row r="61" spans="1:16" ht="16.5" thickTop="1" thickBot="1" x14ac:dyDescent="0.3">
      <c r="A61" s="47" t="s">
        <v>684</v>
      </c>
      <c r="B61" s="106" t="s">
        <v>2541</v>
      </c>
      <c r="C61" s="101" t="s">
        <v>1309</v>
      </c>
      <c r="D61" s="53" t="s">
        <v>685</v>
      </c>
      <c r="E61" s="47"/>
      <c r="F61" s="47"/>
      <c r="G61" s="47"/>
      <c r="H61" s="47" t="s">
        <v>664</v>
      </c>
      <c r="I61" s="57">
        <v>45915</v>
      </c>
      <c r="J61" s="57" t="str">
        <f>INDEX(_xlfn.TEXTSPLIT(tissage[[#This Row],[QR Fabrication]],"_"),1,1)</f>
        <v>CA250013</v>
      </c>
      <c r="K61" s="106" t="str">
        <f>INDEX(_xlfn.TEXTSPLIT(tissage[[#This Row],[QR Fabrication]],"_"),1,2)</f>
        <v>All by Fouta</v>
      </c>
      <c r="L61" s="47" t="str">
        <f>INDEX(_xlfn.TEXTSPLIT(tissage[[#This Row],[QR Fabrication]],"_"),1,3)</f>
        <v>Stock</v>
      </c>
      <c r="M61" s="47" t="str">
        <f>INDEX(_xlfn.TEXTSPLIT(tissage[[#This Row],[QR Fabrication]],"_"),1,4)</f>
        <v>UNS1020-23</v>
      </c>
      <c r="N61" s="47" t="str">
        <f>INDEX(_xlfn.TEXTSPLIT(tissage[[#This Row],[QR Fabrication]],"_"),1,5)</f>
        <v>UNI SURPIQUE</v>
      </c>
      <c r="O61" s="47" t="str">
        <f>_xlfn.TEXTAFTER(tissage[[#This Row],[QR Fabrication]],"_",5)</f>
        <v>1020</v>
      </c>
      <c r="P61" s="47" t="str">
        <f>IF(
   COUNTIFS($A$2:A61,A61,
             $C$2:C61,C61,
             $D$2:D61,D61,
             $B$2:B61,B61,
             $E$2:E61,E61,
             $I$2:I61,I61
               )&gt;1,
   "Doublon",
   "Correcte"
)</f>
        <v>Correcte</v>
      </c>
    </row>
    <row r="62" spans="1:16" ht="16.5" thickTop="1" thickBot="1" x14ac:dyDescent="0.3">
      <c r="A62" s="47" t="s">
        <v>684</v>
      </c>
      <c r="B62" s="106" t="s">
        <v>2541</v>
      </c>
      <c r="C62" s="101" t="s">
        <v>1307</v>
      </c>
      <c r="D62" s="53" t="s">
        <v>685</v>
      </c>
      <c r="E62" s="47"/>
      <c r="F62" s="47"/>
      <c r="G62" s="47"/>
      <c r="H62" s="47" t="s">
        <v>664</v>
      </c>
      <c r="I62" s="57">
        <v>45912</v>
      </c>
      <c r="J62" s="57" t="str">
        <f>INDEX(_xlfn.TEXTSPLIT(tissage[[#This Row],[QR Fabrication]],"_"),1,1)</f>
        <v>CA250014</v>
      </c>
      <c r="K62" s="106" t="str">
        <f>INDEX(_xlfn.TEXTSPLIT(tissage[[#This Row],[QR Fabrication]],"_"),1,2)</f>
        <v>All by Fouta</v>
      </c>
      <c r="L62" s="47" t="str">
        <f>INDEX(_xlfn.TEXTSPLIT(tissage[[#This Row],[QR Fabrication]],"_"),1,3)</f>
        <v>Stock</v>
      </c>
      <c r="M62" s="47" t="str">
        <f>INDEX(_xlfn.TEXTSPLIT(tissage[[#This Row],[QR Fabrication]],"_"),1,4)</f>
        <v>UNS1020-24</v>
      </c>
      <c r="N62" s="47" t="str">
        <f>INDEX(_xlfn.TEXTSPLIT(tissage[[#This Row],[QR Fabrication]],"_"),1,5)</f>
        <v>UNI SURPIQUE</v>
      </c>
      <c r="O62" s="47" t="str">
        <f>_xlfn.TEXTAFTER(tissage[[#This Row],[QR Fabrication]],"_",5)</f>
        <v>1020</v>
      </c>
      <c r="P62" s="47" t="str">
        <f>IF(
   COUNTIFS($A$2:A62,A62,
             $C$2:C62,C62,
             $D$2:D62,D62,
             $B$2:B62,B62,
             $E$2:E62,E62,
             $I$2:I62,I62
               )&gt;1,
   "Doublon",
   "Correcte"
)</f>
        <v>Correcte</v>
      </c>
    </row>
    <row r="63" spans="1:16" ht="16.5" thickTop="1" thickBot="1" x14ac:dyDescent="0.3">
      <c r="A63" s="47" t="s">
        <v>684</v>
      </c>
      <c r="B63" s="106" t="s">
        <v>2541</v>
      </c>
      <c r="C63" s="101" t="s">
        <v>2562</v>
      </c>
      <c r="D63" s="53" t="s">
        <v>685</v>
      </c>
      <c r="E63" s="47"/>
      <c r="F63" s="47"/>
      <c r="G63" s="47"/>
      <c r="H63" s="47" t="s">
        <v>664</v>
      </c>
      <c r="I63" s="57">
        <v>45918</v>
      </c>
      <c r="J63" s="57" t="str">
        <f>INDEX(_xlfn.TEXTSPLIT(tissage[[#This Row],[QR Fabrication]],"_"),1,1)</f>
        <v>CA250015</v>
      </c>
      <c r="K63" s="106" t="str">
        <f>INDEX(_xlfn.TEXTSPLIT(tissage[[#This Row],[QR Fabrication]],"_"),1,2)</f>
        <v>All by Fouta</v>
      </c>
      <c r="L63" s="47" t="str">
        <f>INDEX(_xlfn.TEXTSPLIT(tissage[[#This Row],[QR Fabrication]],"_"),1,3)</f>
        <v>Stock</v>
      </c>
      <c r="M63" s="47" t="str">
        <f>INDEX(_xlfn.TEXTSPLIT(tissage[[#This Row],[QR Fabrication]],"_"),1,4)</f>
        <v>UNS1020-26</v>
      </c>
      <c r="N63" s="47" t="str">
        <f>INDEX(_xlfn.TEXTSPLIT(tissage[[#This Row],[QR Fabrication]],"_"),1,5)</f>
        <v>UNI SURPIQUE</v>
      </c>
      <c r="O63" s="47" t="str">
        <f>_xlfn.TEXTAFTER(tissage[[#This Row],[QR Fabrication]],"_",5)</f>
        <v>1020</v>
      </c>
      <c r="P63" s="47" t="str">
        <f>IF(
   COUNTIFS($A$2:A63,A63,
             $C$2:C63,C63,
             $D$2:D63,D63,
             $B$2:B63,B63,
             $E$2:E63,E63,
             $I$2:I63,I63
               )&gt;1,
   "Doublon",
   "Correcte"
)</f>
        <v>Correcte</v>
      </c>
    </row>
    <row r="64" spans="1:16" ht="16.5" thickTop="1" thickBot="1" x14ac:dyDescent="0.3">
      <c r="A64" s="47" t="s">
        <v>684</v>
      </c>
      <c r="B64" s="106" t="s">
        <v>2541</v>
      </c>
      <c r="C64" s="101" t="s">
        <v>2563</v>
      </c>
      <c r="D64" s="53" t="s">
        <v>685</v>
      </c>
      <c r="E64" s="47"/>
      <c r="F64" s="47"/>
      <c r="G64" s="47"/>
      <c r="H64" s="47" t="s">
        <v>664</v>
      </c>
      <c r="I64" s="57">
        <v>45933</v>
      </c>
      <c r="J64" s="57" t="str">
        <f>INDEX(_xlfn.TEXTSPLIT(tissage[[#This Row],[QR Fabrication]],"_"),1,1)</f>
        <v>CA250016</v>
      </c>
      <c r="K64" s="106" t="str">
        <f>INDEX(_xlfn.TEXTSPLIT(tissage[[#This Row],[QR Fabrication]],"_"),1,2)</f>
        <v>All by Fouta</v>
      </c>
      <c r="L64" s="47" t="str">
        <f>INDEX(_xlfn.TEXTSPLIT(tissage[[#This Row],[QR Fabrication]],"_"),1,3)</f>
        <v>Stock</v>
      </c>
      <c r="M64" s="47" t="str">
        <f>INDEX(_xlfn.TEXTSPLIT(tissage[[#This Row],[QR Fabrication]],"_"),1,4)</f>
        <v>UNS1020-27</v>
      </c>
      <c r="N64" s="47" t="str">
        <f>INDEX(_xlfn.TEXTSPLIT(tissage[[#This Row],[QR Fabrication]],"_"),1,5)</f>
        <v>UNI SURPIQUE</v>
      </c>
      <c r="O64" s="47" t="str">
        <f>_xlfn.TEXTAFTER(tissage[[#This Row],[QR Fabrication]],"_",5)</f>
        <v>1020</v>
      </c>
      <c r="P64" s="47" t="str">
        <f>IF(
   COUNTIFS($A$2:A64,A64,
             $C$2:C64,C64,
             $D$2:D64,D64,
             $B$2:B64,B64,
             $E$2:E64,E64,
             $I$2:I64,I64
               )&gt;1,
   "Doublon",
   "Correcte"
)</f>
        <v>Correcte</v>
      </c>
    </row>
    <row r="65" spans="1:16" ht="16.5" thickTop="1" thickBot="1" x14ac:dyDescent="0.3">
      <c r="A65" s="47" t="s">
        <v>684</v>
      </c>
      <c r="B65" s="106" t="s">
        <v>2541</v>
      </c>
      <c r="C65" s="101" t="s">
        <v>2428</v>
      </c>
      <c r="D65" s="53" t="s">
        <v>685</v>
      </c>
      <c r="E65" s="47"/>
      <c r="F65" s="47"/>
      <c r="G65" s="47"/>
      <c r="H65" s="47" t="s">
        <v>664</v>
      </c>
      <c r="I65" s="57">
        <v>45919</v>
      </c>
      <c r="J65" s="57" t="str">
        <f>INDEX(_xlfn.TEXTSPLIT(tissage[[#This Row],[QR Fabrication]],"_"),1,1)</f>
        <v>CA250017</v>
      </c>
      <c r="K65" s="106" t="str">
        <f>INDEX(_xlfn.TEXTSPLIT(tissage[[#This Row],[QR Fabrication]],"_"),1,2)</f>
        <v>All by Fouta</v>
      </c>
      <c r="L65" s="47" t="str">
        <f>INDEX(_xlfn.TEXTSPLIT(tissage[[#This Row],[QR Fabrication]],"_"),1,3)</f>
        <v>Stock</v>
      </c>
      <c r="M65" s="47" t="str">
        <f>INDEX(_xlfn.TEXTSPLIT(tissage[[#This Row],[QR Fabrication]],"_"),1,4)</f>
        <v>UNS1020-30</v>
      </c>
      <c r="N65" s="47" t="str">
        <f>INDEX(_xlfn.TEXTSPLIT(tissage[[#This Row],[QR Fabrication]],"_"),1,5)</f>
        <v>UNI SURPIQUE</v>
      </c>
      <c r="O65" s="47" t="str">
        <f>_xlfn.TEXTAFTER(tissage[[#This Row],[QR Fabrication]],"_",5)</f>
        <v>1020</v>
      </c>
      <c r="P65" s="47" t="str">
        <f>IF(
   COUNTIFS($A$2:A65,A65,
             $C$2:C65,C65,
             $D$2:D65,D65,
             $B$2:B65,B65,
             $E$2:E65,E65,
             $I$2:I65,I65
               )&gt;1,
   "Doublon",
   "Correcte"
)</f>
        <v>Correcte</v>
      </c>
    </row>
    <row r="66" spans="1:16" ht="16.5" thickTop="1" thickBot="1" x14ac:dyDescent="0.3">
      <c r="A66" s="51" t="s">
        <v>684</v>
      </c>
      <c r="B66" s="107" t="s">
        <v>2541</v>
      </c>
      <c r="C66" s="102" t="s">
        <v>2463</v>
      </c>
      <c r="D66" s="53" t="s">
        <v>685</v>
      </c>
      <c r="E66" s="51"/>
      <c r="F66" s="51"/>
      <c r="G66" s="51"/>
      <c r="H66" s="47" t="s">
        <v>664</v>
      </c>
      <c r="I66" s="58">
        <v>45922</v>
      </c>
      <c r="J66" s="58" t="str">
        <f>INDEX(_xlfn.TEXTSPLIT(tissage[[#This Row],[QR Fabrication]],"_"),1,1)</f>
        <v>CA250018</v>
      </c>
      <c r="K66" s="107" t="str">
        <f>INDEX(_xlfn.TEXTSPLIT(tissage[[#This Row],[QR Fabrication]],"_"),1,2)</f>
        <v>All by Fouta</v>
      </c>
      <c r="L66" s="51" t="str">
        <f>INDEX(_xlfn.TEXTSPLIT(tissage[[#This Row],[QR Fabrication]],"_"),1,3)</f>
        <v>Stock</v>
      </c>
      <c r="M66" s="51" t="str">
        <f>INDEX(_xlfn.TEXTSPLIT(tissage[[#This Row],[QR Fabrication]],"_"),1,4)</f>
        <v>UNS1020-31</v>
      </c>
      <c r="N66" s="51" t="str">
        <f>INDEX(_xlfn.TEXTSPLIT(tissage[[#This Row],[QR Fabrication]],"_"),1,5)</f>
        <v>UNI SURPIQUE</v>
      </c>
      <c r="O66" s="51" t="str">
        <f>_xlfn.TEXTAFTER(tissage[[#This Row],[QR Fabrication]],"_",5)</f>
        <v>1020</v>
      </c>
      <c r="P66" s="47" t="str">
        <f>IF(
   COUNTIFS($A$2:A66,A66,
             $C$2:C66,C66,
             $D$2:D66,D66,
             $B$2:B66,B66,
             $E$2:E66,E66,
             $I$2:I66,I66
               )&gt;1,
   "Doublon",
   "Correcte"
)</f>
        <v>Correcte</v>
      </c>
    </row>
    <row r="67" spans="1:16" ht="16.5" thickTop="1" thickBot="1" x14ac:dyDescent="0.3">
      <c r="A67" s="47" t="s">
        <v>686</v>
      </c>
      <c r="B67" s="106" t="s">
        <v>2550</v>
      </c>
      <c r="C67" s="101" t="s">
        <v>2431</v>
      </c>
      <c r="D67" s="53" t="s">
        <v>685</v>
      </c>
      <c r="E67" s="47"/>
      <c r="F67" s="47"/>
      <c r="G67" s="47"/>
      <c r="H67" s="47" t="s">
        <v>664</v>
      </c>
      <c r="I67" s="57">
        <v>45883</v>
      </c>
      <c r="J67" s="57" t="str">
        <f>INDEX(_xlfn.TEXTSPLIT(tissage[[#This Row],[QR Fabrication]],"_"),1,1)</f>
        <v>OF249846</v>
      </c>
      <c r="K67" s="106" t="str">
        <f>INDEX(_xlfn.TEXTSPLIT(tissage[[#This Row],[QR Fabrication]],"_"),1,2)</f>
        <v>CL00884</v>
      </c>
      <c r="L67" s="47" t="str">
        <f>INDEX(_xlfn.TEXTSPLIT(tissage[[#This Row],[QR Fabrication]],"_"),1,3)</f>
        <v>CM-FT0119</v>
      </c>
      <c r="M67" s="47" t="str">
        <f>INDEX(_xlfn.TEXTSPLIT(tissage[[#This Row],[QR Fabrication]],"_"),1,4)</f>
        <v>ST1020-S28-25-24</v>
      </c>
      <c r="N67" s="47" t="str">
        <f>INDEX(_xlfn.TEXTSPLIT(tissage[[#This Row],[QR Fabrication]],"_"),1,5)</f>
        <v>ST TROPEZ</v>
      </c>
      <c r="O67" s="47" t="str">
        <f>_xlfn.TEXTAFTER(tissage[[#This Row],[QR Fabrication]],"_",5)</f>
        <v>1020</v>
      </c>
      <c r="P67" s="47" t="str">
        <f>IF(
   COUNTIFS($A$2:A67,A67,
             $C$2:C67,C67,
             $D$2:D67,D67,
             $B$2:B67,B67,
             $E$2:E67,E67,
             $I$2:I67,I67
               )&gt;1,
   "Doublon",
   "Correcte"
)</f>
        <v>Correcte</v>
      </c>
    </row>
    <row r="68" spans="1:16" ht="16.5" thickTop="1" thickBot="1" x14ac:dyDescent="0.3">
      <c r="A68" s="47" t="s">
        <v>686</v>
      </c>
      <c r="B68" s="106" t="s">
        <v>2543</v>
      </c>
      <c r="C68" s="101" t="s">
        <v>1304</v>
      </c>
      <c r="D68" s="53" t="s">
        <v>685</v>
      </c>
      <c r="E68" s="47"/>
      <c r="F68" s="47"/>
      <c r="G68" s="47"/>
      <c r="H68" s="47" t="s">
        <v>664</v>
      </c>
      <c r="I68" s="57">
        <v>45912</v>
      </c>
      <c r="J68" s="57" t="str">
        <f>INDEX(_xlfn.TEXTSPLIT(tissage[[#This Row],[QR Fabrication]],"_"),1,1)</f>
        <v>CA250026</v>
      </c>
      <c r="K68" s="106" t="str">
        <f>INDEX(_xlfn.TEXTSPLIT(tissage[[#This Row],[QR Fabrication]],"_"),1,2)</f>
        <v>All by Fouta</v>
      </c>
      <c r="L68" s="47" t="str">
        <f>INDEX(_xlfn.TEXTSPLIT(tissage[[#This Row],[QR Fabrication]],"_"),1,3)</f>
        <v>Stock</v>
      </c>
      <c r="M68" s="47" t="str">
        <f>INDEX(_xlfn.TEXTSPLIT(tissage[[#This Row],[QR Fabrication]],"_"),1,4)</f>
        <v>UNS2020-12</v>
      </c>
      <c r="N68" s="47" t="str">
        <f>INDEX(_xlfn.TEXTSPLIT(tissage[[#This Row],[QR Fabrication]],"_"),1,5)</f>
        <v>UNI SURPIQUE</v>
      </c>
      <c r="O68" s="47" t="str">
        <f>_xlfn.TEXTAFTER(tissage[[#This Row],[QR Fabrication]],"_",5)</f>
        <v>2020</v>
      </c>
      <c r="P68" s="47" t="str">
        <f>IF(
   COUNTIFS($A$2:A68,A68,
             $C$2:C68,C68,
             $D$2:D68,D68,
             $B$2:B68,B68,
             $E$2:E68,E68,
             $I$2:I68,I68
               )&gt;1,
   "Doublon",
   "Correcte"
)</f>
        <v>Correcte</v>
      </c>
    </row>
    <row r="69" spans="1:16" ht="16.5" thickTop="1" thickBot="1" x14ac:dyDescent="0.3">
      <c r="A69" s="47" t="s">
        <v>686</v>
      </c>
      <c r="B69" s="106" t="s">
        <v>2546</v>
      </c>
      <c r="C69" s="101" t="s">
        <v>1301</v>
      </c>
      <c r="D69" s="53" t="s">
        <v>685</v>
      </c>
      <c r="E69" s="47"/>
      <c r="F69" s="47"/>
      <c r="G69" s="47"/>
      <c r="H69" s="47" t="s">
        <v>664</v>
      </c>
      <c r="I69" s="57">
        <v>45911</v>
      </c>
      <c r="J69" s="57" t="str">
        <f>INDEX(_xlfn.TEXTSPLIT(tissage[[#This Row],[QR Fabrication]],"_"),1,1)</f>
        <v>CA250069</v>
      </c>
      <c r="K69" s="106" t="str">
        <f>INDEX(_xlfn.TEXTSPLIT(tissage[[#This Row],[QR Fabrication]],"_"),1,2)</f>
        <v>All by Fouta</v>
      </c>
      <c r="L69" s="47" t="str">
        <f>INDEX(_xlfn.TEXTSPLIT(tissage[[#This Row],[QR Fabrication]],"_"),1,3)</f>
        <v>Stock</v>
      </c>
      <c r="M69" s="47" t="str">
        <f>INDEX(_xlfn.TEXTSPLIT(tissage[[#This Row],[QR Fabrication]],"_"),1,4)</f>
        <v>UNS2030-17</v>
      </c>
      <c r="N69" s="47" t="str">
        <f>INDEX(_xlfn.TEXTSPLIT(tissage[[#This Row],[QR Fabrication]],"_"),1,5)</f>
        <v>UNI SURPIQUE</v>
      </c>
      <c r="O69" s="47" t="str">
        <f>_xlfn.TEXTAFTER(tissage[[#This Row],[QR Fabrication]],"_",5)</f>
        <v>2030</v>
      </c>
      <c r="P69" s="47" t="str">
        <f>IF(
   COUNTIFS($A$2:A69,A69,
             $C$2:C69,C69,
             $D$2:D69,D69,
             $B$2:B69,B69,
             $E$2:E69,E69,
             $I$2:I69,I69
               )&gt;1,
   "Doublon",
   "Correcte"
)</f>
        <v>Correcte</v>
      </c>
    </row>
    <row r="70" spans="1:16" ht="16.5" thickTop="1" thickBot="1" x14ac:dyDescent="0.3">
      <c r="A70" s="47" t="s">
        <v>687</v>
      </c>
      <c r="B70" s="106" t="s">
        <v>2551</v>
      </c>
      <c r="C70" s="101" t="s">
        <v>1315</v>
      </c>
      <c r="D70" s="53" t="s">
        <v>685</v>
      </c>
      <c r="E70" s="47"/>
      <c r="F70" s="47"/>
      <c r="G70" s="47"/>
      <c r="H70" s="47" t="s">
        <v>664</v>
      </c>
      <c r="I70" s="57">
        <v>45917</v>
      </c>
      <c r="J70" s="57" t="str">
        <f>INDEX(_xlfn.TEXTSPLIT(tissage[[#This Row],[QR Fabrication]],"_"),1,1)</f>
        <v>OF250129</v>
      </c>
      <c r="K70" s="106" t="str">
        <f>INDEX(_xlfn.TEXTSPLIT(tissage[[#This Row],[QR Fabrication]],"_"),1,2)</f>
        <v>CL00296</v>
      </c>
      <c r="L70" s="47" t="str">
        <f>INDEX(_xlfn.TEXTSPLIT(tissage[[#This Row],[QR Fabrication]],"_"),1,3)</f>
        <v>CM-FT0129</v>
      </c>
      <c r="M70" s="47" t="str">
        <f>INDEX(_xlfn.TEXTSPLIT(tissage[[#This Row],[QR Fabrication]],"_"),1,4)</f>
        <v>SACF0507-B09-14</v>
      </c>
      <c r="N70" s="47" t="str">
        <f>INDEX(_xlfn.TEXTSPLIT(tissage[[#This Row],[QR Fabrication]],"_"),1,5)</f>
        <v>SAC FOUTA</v>
      </c>
      <c r="O70" s="47" t="str">
        <f>_xlfn.TEXTAFTER(tissage[[#This Row],[QR Fabrication]],"_",5)</f>
        <v>0507</v>
      </c>
      <c r="P70" s="47" t="str">
        <f>IF(
   COUNTIFS($A$2:A70,A70,
             $C$2:C70,C70,
             $D$2:D70,D70,
             $B$2:B70,B70,
             $E$2:E70,E70,
             $I$2:I70,I70
               )&gt;1,
   "Doublon",
   "Correcte"
)</f>
        <v>Correcte</v>
      </c>
    </row>
    <row r="71" spans="1:16" ht="16.5" thickTop="1" thickBot="1" x14ac:dyDescent="0.3">
      <c r="A71" s="47" t="s">
        <v>686</v>
      </c>
      <c r="B71" s="107" t="s">
        <v>2552</v>
      </c>
      <c r="C71" s="102" t="s">
        <v>1311</v>
      </c>
      <c r="D71" s="53" t="s">
        <v>685</v>
      </c>
      <c r="E71" s="51"/>
      <c r="F71" s="51"/>
      <c r="G71" s="51"/>
      <c r="H71" s="47" t="s">
        <v>664</v>
      </c>
      <c r="I71" s="58">
        <v>45917</v>
      </c>
      <c r="J71" s="58" t="str">
        <f>INDEX(_xlfn.TEXTSPLIT(tissage[[#This Row],[QR Fabrication]],"_"),1,1)</f>
        <v>OF250128</v>
      </c>
      <c r="K71" s="107" t="str">
        <f>INDEX(_xlfn.TEXTSPLIT(tissage[[#This Row],[QR Fabrication]],"_"),1,2)</f>
        <v>CL00296</v>
      </c>
      <c r="L71" s="51" t="str">
        <f>INDEX(_xlfn.TEXTSPLIT(tissage[[#This Row],[QR Fabrication]],"_"),1,3)</f>
        <v>CM-FT0129</v>
      </c>
      <c r="M71" s="51" t="str">
        <f>INDEX(_xlfn.TEXTSPLIT(tissage[[#This Row],[QR Fabrication]],"_"),1,4)</f>
        <v>NDL1020-B09-14</v>
      </c>
      <c r="N71" s="51" t="str">
        <f>INDEX(_xlfn.TEXTSPLIT(tissage[[#This Row],[QR Fabrication]],"_"),1,5)</f>
        <v>ND LILI</v>
      </c>
      <c r="O71" s="51" t="str">
        <f>_xlfn.TEXTAFTER(tissage[[#This Row],[QR Fabrication]],"_",5)</f>
        <v>1020</v>
      </c>
      <c r="P71" s="47" t="str">
        <f>IF(
   COUNTIFS($A$2:A71,A71,
             $C$2:C71,C71,
             $D$2:D71,D71,
             $B$2:B71,B71,
             $E$2:E71,E71,
             $I$2:I71,I71
               )&gt;1,
   "Doublon",
   "Correcte"
)</f>
        <v>Correcte</v>
      </c>
    </row>
    <row r="72" spans="1:16" ht="16.5" thickTop="1" thickBot="1" x14ac:dyDescent="0.3">
      <c r="A72" s="51" t="s">
        <v>678</v>
      </c>
      <c r="B72" s="107" t="s">
        <v>2542</v>
      </c>
      <c r="C72" s="102" t="s">
        <v>2467</v>
      </c>
      <c r="D72" s="53" t="s">
        <v>685</v>
      </c>
      <c r="E72" s="51"/>
      <c r="F72" s="51"/>
      <c r="G72" s="51"/>
      <c r="H72" s="47" t="s">
        <v>664</v>
      </c>
      <c r="I72" s="58">
        <v>45917</v>
      </c>
      <c r="J72" s="58" t="str">
        <f>INDEX(_xlfn.TEXTSPLIT(tissage[[#This Row],[QR Fabrication]],"_"),1,1)</f>
        <v>CA250637</v>
      </c>
      <c r="K72" s="107" t="str">
        <f>INDEX(_xlfn.TEXTSPLIT(tissage[[#This Row],[QR Fabrication]],"_"),1,2)</f>
        <v>All by Fouta</v>
      </c>
      <c r="L72" s="51" t="str">
        <f>INDEX(_xlfn.TEXTSPLIT(tissage[[#This Row],[QR Fabrication]],"_"),1,3)</f>
        <v>Stock</v>
      </c>
      <c r="M72" s="51" t="str">
        <f>INDEX(_xlfn.TEXTSPLIT(tissage[[#This Row],[QR Fabrication]],"_"),1,4)</f>
        <v>EPMA0919-B26-02</v>
      </c>
      <c r="N72" s="51" t="str">
        <f>INDEX(_xlfn.TEXTSPLIT(tissage[[#This Row],[QR Fabrication]],"_"),1,5)</f>
        <v>MARINIERE</v>
      </c>
      <c r="O72" s="51" t="str">
        <f>_xlfn.TEXTAFTER(tissage[[#This Row],[QR Fabrication]],"_",5)</f>
        <v>0919</v>
      </c>
      <c r="P72" s="47" t="str">
        <f>IF(
   COUNTIFS($A$2:A72,A72,
             $C$2:C72,C72,
             $D$2:D72,D72,
             $B$2:B72,B72,
             $E$2:E72,E72,
             $I$2:I72,I72
               )&gt;1,
   "Doublon",
   "Correcte"
)</f>
        <v>Correcte</v>
      </c>
    </row>
    <row r="73" spans="1:16" ht="16.5" thickTop="1" thickBot="1" x14ac:dyDescent="0.3">
      <c r="A73" s="47" t="s">
        <v>684</v>
      </c>
      <c r="B73" s="106" t="s">
        <v>2547</v>
      </c>
      <c r="C73" s="101" t="s">
        <v>2473</v>
      </c>
      <c r="D73" s="53" t="s">
        <v>685</v>
      </c>
      <c r="E73" s="47"/>
      <c r="F73" s="47"/>
      <c r="G73" s="47"/>
      <c r="H73" s="47" t="s">
        <v>664</v>
      </c>
      <c r="I73" s="57">
        <v>45923</v>
      </c>
      <c r="J73" s="57" t="str">
        <f>INDEX(_xlfn.TEXTSPLIT(tissage[[#This Row],[QR Fabrication]],"_"),1,1)</f>
        <v>CA250751</v>
      </c>
      <c r="K73" s="106" t="str">
        <f>INDEX(_xlfn.TEXTSPLIT(tissage[[#This Row],[QR Fabrication]],"_"),1,2)</f>
        <v>All by Fouta</v>
      </c>
      <c r="L73" s="47" t="str">
        <f>INDEX(_xlfn.TEXTSPLIT(tissage[[#This Row],[QR Fabrication]],"_"),1,3)</f>
        <v>Stock</v>
      </c>
      <c r="M73" s="47" t="str">
        <f>INDEX(_xlfn.TEXTSPLIT(tissage[[#This Row],[QR Fabrication]],"_"),1,4)</f>
        <v>PACKSICL0507-B04-02</v>
      </c>
      <c r="N73" s="47" t="str">
        <f>INDEX(_xlfn.TEXTSPLIT(tissage[[#This Row],[QR Fabrication]],"_"),1,5)</f>
        <v>PACK CLASSIQUE</v>
      </c>
      <c r="O73" s="47" t="str">
        <f>_xlfn.TEXTAFTER(tissage[[#This Row],[QR Fabrication]],"_",5)</f>
        <v>0507</v>
      </c>
      <c r="P73" s="47" t="str">
        <f>IF(
   COUNTIFS($A$2:A73,A73,
             $C$2:C73,C73,
             $D$2:D73,D73,
             $B$2:B73,B73,
             $E$2:E73,E73,
             $I$2:I73,I73
               )&gt;1,
   "Doublon",
   "Correcte"
)</f>
        <v>Correcte</v>
      </c>
    </row>
    <row r="74" spans="1:16" ht="16.5" thickTop="1" thickBot="1" x14ac:dyDescent="0.3">
      <c r="A74" s="47" t="s">
        <v>684</v>
      </c>
      <c r="B74" s="106" t="s">
        <v>2547</v>
      </c>
      <c r="C74" s="101" t="s">
        <v>2459</v>
      </c>
      <c r="D74" s="53" t="s">
        <v>685</v>
      </c>
      <c r="E74" s="47"/>
      <c r="F74" s="47"/>
      <c r="G74" s="47"/>
      <c r="H74" s="47" t="s">
        <v>664</v>
      </c>
      <c r="I74" s="57">
        <v>45918</v>
      </c>
      <c r="J74" s="57" t="str">
        <f>INDEX(_xlfn.TEXTSPLIT(tissage[[#This Row],[QR Fabrication]],"_"),1,1)</f>
        <v>CA250752</v>
      </c>
      <c r="K74" s="106" t="str">
        <f>INDEX(_xlfn.TEXTSPLIT(tissage[[#This Row],[QR Fabrication]],"_"),1,2)</f>
        <v>All by Fouta</v>
      </c>
      <c r="L74" s="47" t="str">
        <f>INDEX(_xlfn.TEXTSPLIT(tissage[[#This Row],[QR Fabrication]],"_"),1,3)</f>
        <v>Stock</v>
      </c>
      <c r="M74" s="47" t="str">
        <f>INDEX(_xlfn.TEXTSPLIT(tissage[[#This Row],[QR Fabrication]],"_"),1,4)</f>
        <v>PACKSICL0507-B05-03</v>
      </c>
      <c r="N74" s="47" t="str">
        <f>INDEX(_xlfn.TEXTSPLIT(tissage[[#This Row],[QR Fabrication]],"_"),1,5)</f>
        <v>PACK CLASSIQUE</v>
      </c>
      <c r="O74" s="47" t="str">
        <f>_xlfn.TEXTAFTER(tissage[[#This Row],[QR Fabrication]],"_",5)</f>
        <v>0507</v>
      </c>
      <c r="P74" s="47" t="str">
        <f>IF(
   COUNTIFS($A$2:A74,A74,
             $C$2:C74,C74,
             $D$2:D74,D74,
             $B$2:B74,B74,
             $E$2:E74,E74,
             $I$2:I74,I74
               )&gt;1,
   "Doublon",
   "Correcte"
)</f>
        <v>Correcte</v>
      </c>
    </row>
    <row r="75" spans="1:16" ht="16.5" thickTop="1" thickBot="1" x14ac:dyDescent="0.3">
      <c r="A75" s="51" t="s">
        <v>684</v>
      </c>
      <c r="B75" s="107" t="s">
        <v>2547</v>
      </c>
      <c r="C75" s="102" t="s">
        <v>2458</v>
      </c>
      <c r="D75" s="53" t="s">
        <v>685</v>
      </c>
      <c r="E75" s="51"/>
      <c r="F75" s="51"/>
      <c r="G75" s="51"/>
      <c r="H75" s="47" t="s">
        <v>664</v>
      </c>
      <c r="I75" s="58">
        <v>45919</v>
      </c>
      <c r="J75" s="58" t="str">
        <f>INDEX(_xlfn.TEXTSPLIT(tissage[[#This Row],[QR Fabrication]],"_"),1,1)</f>
        <v>CA250753</v>
      </c>
      <c r="K75" s="107" t="str">
        <f>INDEX(_xlfn.TEXTSPLIT(tissage[[#This Row],[QR Fabrication]],"_"),1,2)</f>
        <v>All by Fouta</v>
      </c>
      <c r="L75" s="51" t="str">
        <f>INDEX(_xlfn.TEXTSPLIT(tissage[[#This Row],[QR Fabrication]],"_"),1,3)</f>
        <v>Stock</v>
      </c>
      <c r="M75" s="51" t="str">
        <f>INDEX(_xlfn.TEXTSPLIT(tissage[[#This Row],[QR Fabrication]],"_"),1,4)</f>
        <v>PACKSICL0507-B06-08</v>
      </c>
      <c r="N75" s="51" t="str">
        <f>INDEX(_xlfn.TEXTSPLIT(tissage[[#This Row],[QR Fabrication]],"_"),1,5)</f>
        <v>PACK CLASSIQUE</v>
      </c>
      <c r="O75" s="51" t="str">
        <f>_xlfn.TEXTAFTER(tissage[[#This Row],[QR Fabrication]],"_",5)</f>
        <v>0507</v>
      </c>
      <c r="P75" s="47" t="str">
        <f>IF(
   COUNTIFS($A$2:A75,A75,
             $C$2:C75,C75,
             $D$2:D75,D75,
             $B$2:B75,B75,
             $E$2:E75,E75,
             $I$2:I75,I75
               )&gt;1,
   "Doublon",
   "Correcte"
)</f>
        <v>Correcte</v>
      </c>
    </row>
    <row r="76" spans="1:16" ht="16.5" thickTop="1" thickBot="1" x14ac:dyDescent="0.3">
      <c r="A76" s="47" t="s">
        <v>684</v>
      </c>
      <c r="B76" s="106" t="s">
        <v>2547</v>
      </c>
      <c r="C76" s="101" t="s">
        <v>2474</v>
      </c>
      <c r="D76" s="53" t="s">
        <v>685</v>
      </c>
      <c r="E76" s="47"/>
      <c r="F76" s="47"/>
      <c r="G76" s="47"/>
      <c r="H76" s="47" t="s">
        <v>664</v>
      </c>
      <c r="I76" s="57">
        <v>45924</v>
      </c>
      <c r="J76" s="57" t="str">
        <f>INDEX(_xlfn.TEXTSPLIT(tissage[[#This Row],[QR Fabrication]],"_"),1,1)</f>
        <v>CA250755</v>
      </c>
      <c r="K76" s="106" t="str">
        <f>INDEX(_xlfn.TEXTSPLIT(tissage[[#This Row],[QR Fabrication]],"_"),1,2)</f>
        <v>All by Fouta</v>
      </c>
      <c r="L76" s="47" t="str">
        <f>INDEX(_xlfn.TEXTSPLIT(tissage[[#This Row],[QR Fabrication]],"_"),1,3)</f>
        <v>Stock</v>
      </c>
      <c r="M76" s="47" t="str">
        <f>INDEX(_xlfn.TEXTSPLIT(tissage[[#This Row],[QR Fabrication]],"_"),1,4)</f>
        <v>PACKSICL0507-B07-17</v>
      </c>
      <c r="N76" s="47" t="str">
        <f>INDEX(_xlfn.TEXTSPLIT(tissage[[#This Row],[QR Fabrication]],"_"),1,5)</f>
        <v>PACK CLASSIQUE</v>
      </c>
      <c r="O76" s="47" t="str">
        <f>_xlfn.TEXTAFTER(tissage[[#This Row],[QR Fabrication]],"_",5)</f>
        <v>0507</v>
      </c>
      <c r="P76" s="47" t="str">
        <f>IF(
   COUNTIFS($A$2:A76,A76,
             $C$2:C76,C76,
             $D$2:D76,D76,
             $B$2:B76,B76,
             $E$2:E76,E76,
             $I$2:I76,I76
               )&gt;1,
   "Doublon",
   "Correcte"
)</f>
        <v>Correcte</v>
      </c>
    </row>
    <row r="77" spans="1:16" ht="16.5" thickTop="1" thickBot="1" x14ac:dyDescent="0.3">
      <c r="A77" s="47" t="s">
        <v>684</v>
      </c>
      <c r="B77" s="106" t="s">
        <v>2547</v>
      </c>
      <c r="C77" s="101" t="s">
        <v>2499</v>
      </c>
      <c r="D77" s="53" t="s">
        <v>685</v>
      </c>
      <c r="E77" s="47"/>
      <c r="F77" s="47"/>
      <c r="G77" s="47"/>
      <c r="H77" s="47" t="s">
        <v>664</v>
      </c>
      <c r="I77" s="57">
        <v>45933</v>
      </c>
      <c r="J77" s="57" t="str">
        <f>INDEX(_xlfn.TEXTSPLIT(tissage[[#This Row],[QR Fabrication]],"_"),1,1)</f>
        <v>CA250756</v>
      </c>
      <c r="K77" s="106" t="str">
        <f>INDEX(_xlfn.TEXTSPLIT(tissage[[#This Row],[QR Fabrication]],"_"),1,2)</f>
        <v>All by Fouta</v>
      </c>
      <c r="L77" s="47" t="str">
        <f>INDEX(_xlfn.TEXTSPLIT(tissage[[#This Row],[QR Fabrication]],"_"),1,3)</f>
        <v>Stock</v>
      </c>
      <c r="M77" s="47" t="str">
        <f>INDEX(_xlfn.TEXTSPLIT(tissage[[#This Row],[QR Fabrication]],"_"),1,4)</f>
        <v>PACKSICL0507-B10-25</v>
      </c>
      <c r="N77" s="47" t="str">
        <f>INDEX(_xlfn.TEXTSPLIT(tissage[[#This Row],[QR Fabrication]],"_"),1,5)</f>
        <v>PACK CLASSIQUE</v>
      </c>
      <c r="O77" s="47" t="str">
        <f>_xlfn.TEXTAFTER(tissage[[#This Row],[QR Fabrication]],"_",5)</f>
        <v>0507</v>
      </c>
      <c r="P77" s="47" t="str">
        <f>IF(
   COUNTIFS($A$2:A77,A77,
             $C$2:C77,C77,
             $D$2:D77,D77,
             $B$2:B77,B77,
             $E$2:E77,E77,
             $I$2:I77,I77
               )&gt;1,
   "Doublon",
   "Correcte"
)</f>
        <v>Correcte</v>
      </c>
    </row>
    <row r="78" spans="1:16" ht="16.5" thickTop="1" thickBot="1" x14ac:dyDescent="0.3">
      <c r="A78" s="47" t="s">
        <v>684</v>
      </c>
      <c r="B78" s="106" t="s">
        <v>2547</v>
      </c>
      <c r="C78" s="101" t="s">
        <v>2502</v>
      </c>
      <c r="D78" s="53" t="s">
        <v>685</v>
      </c>
      <c r="E78" s="47"/>
      <c r="F78" s="47"/>
      <c r="G78" s="47"/>
      <c r="H78" s="47" t="s">
        <v>664</v>
      </c>
      <c r="I78" s="57">
        <v>45938</v>
      </c>
      <c r="J78" s="57" t="str">
        <f>INDEX(_xlfn.TEXTSPLIT(tissage[[#This Row],[QR Fabrication]],"_"),1,1)</f>
        <v>CA250757</v>
      </c>
      <c r="K78" s="106" t="str">
        <f>INDEX(_xlfn.TEXTSPLIT(tissage[[#This Row],[QR Fabrication]],"_"),1,2)</f>
        <v>All by Fouta</v>
      </c>
      <c r="L78" s="47" t="str">
        <f>INDEX(_xlfn.TEXTSPLIT(tissage[[#This Row],[QR Fabrication]],"_"),1,3)</f>
        <v>Stock</v>
      </c>
      <c r="M78" s="47" t="str">
        <f>INDEX(_xlfn.TEXTSPLIT(tissage[[#This Row],[QR Fabrication]],"_"),1,4)</f>
        <v>PACKSICL0507-B20-24</v>
      </c>
      <c r="N78" s="47" t="str">
        <f>INDEX(_xlfn.TEXTSPLIT(tissage[[#This Row],[QR Fabrication]],"_"),1,5)</f>
        <v>PACK CLASSIQUE</v>
      </c>
      <c r="O78" s="47" t="str">
        <f>_xlfn.TEXTAFTER(tissage[[#This Row],[QR Fabrication]],"_",5)</f>
        <v>0507</v>
      </c>
      <c r="P78" s="47" t="str">
        <f>IF(
   COUNTIFS($A$2:A78,A78,
             $C$2:C78,C78,
             $D$2:D78,D78,
             $B$2:B78,B78,
             $E$2:E78,E78,
             $I$2:I78,I78
               )&gt;1,
   "Doublon",
   "Correcte"
)</f>
        <v>Correcte</v>
      </c>
    </row>
    <row r="79" spans="1:16" ht="16.5" thickTop="1" thickBot="1" x14ac:dyDescent="0.3">
      <c r="A79" s="47" t="s">
        <v>684</v>
      </c>
      <c r="B79" s="106" t="s">
        <v>2547</v>
      </c>
      <c r="C79" s="101" t="s">
        <v>2475</v>
      </c>
      <c r="D79" s="53" t="s">
        <v>685</v>
      </c>
      <c r="E79" s="47"/>
      <c r="F79" s="47"/>
      <c r="G79" s="47"/>
      <c r="H79" s="47" t="s">
        <v>664</v>
      </c>
      <c r="I79" s="57">
        <v>45927</v>
      </c>
      <c r="J79" s="57" t="str">
        <f>INDEX(_xlfn.TEXTSPLIT(tissage[[#This Row],[QR Fabrication]],"_"),1,1)</f>
        <v>CA250758</v>
      </c>
      <c r="K79" s="106" t="str">
        <f>INDEX(_xlfn.TEXTSPLIT(tissage[[#This Row],[QR Fabrication]],"_"),1,2)</f>
        <v>All by Fouta</v>
      </c>
      <c r="L79" s="47" t="str">
        <f>INDEX(_xlfn.TEXTSPLIT(tissage[[#This Row],[QR Fabrication]],"_"),1,3)</f>
        <v>Stock</v>
      </c>
      <c r="M79" s="47" t="str">
        <f>INDEX(_xlfn.TEXTSPLIT(tissage[[#This Row],[QR Fabrication]],"_"),1,4)</f>
        <v>PACKSICL0507-B15-02</v>
      </c>
      <c r="N79" s="47" t="str">
        <f>INDEX(_xlfn.TEXTSPLIT(tissage[[#This Row],[QR Fabrication]],"_"),1,5)</f>
        <v>PACK CLASSIQUE</v>
      </c>
      <c r="O79" s="47" t="str">
        <f>_xlfn.TEXTAFTER(tissage[[#This Row],[QR Fabrication]],"_",5)</f>
        <v>0507</v>
      </c>
      <c r="P79" s="47" t="str">
        <f>IF(
   COUNTIFS($A$2:A79,A79,
             $C$2:C79,C79,
             $D$2:D79,D79,
             $B$2:B79,B79,
             $E$2:E79,E79,
             $I$2:I79,I79
               )&gt;1,
   "Doublon",
   "Correcte"
)</f>
        <v>Correcte</v>
      </c>
    </row>
    <row r="80" spans="1:16" ht="16.5" thickTop="1" thickBot="1" x14ac:dyDescent="0.3">
      <c r="A80" s="51" t="s">
        <v>684</v>
      </c>
      <c r="B80" s="107" t="s">
        <v>2547</v>
      </c>
      <c r="C80" s="102" t="s">
        <v>2497</v>
      </c>
      <c r="D80" s="53" t="s">
        <v>685</v>
      </c>
      <c r="E80" s="51"/>
      <c r="F80" s="51"/>
      <c r="G80" s="51"/>
      <c r="H80" s="47" t="s">
        <v>664</v>
      </c>
      <c r="I80" s="58">
        <v>45937</v>
      </c>
      <c r="J80" s="58" t="str">
        <f>INDEX(_xlfn.TEXTSPLIT(tissage[[#This Row],[QR Fabrication]],"_"),1,1)</f>
        <v>CA250759</v>
      </c>
      <c r="K80" s="107" t="str">
        <f>INDEX(_xlfn.TEXTSPLIT(tissage[[#This Row],[QR Fabrication]],"_"),1,2)</f>
        <v>All by Fouta</v>
      </c>
      <c r="L80" s="51" t="str">
        <f>INDEX(_xlfn.TEXTSPLIT(tissage[[#This Row],[QR Fabrication]],"_"),1,3)</f>
        <v>Stock</v>
      </c>
      <c r="M80" s="51" t="str">
        <f>INDEX(_xlfn.TEXTSPLIT(tissage[[#This Row],[QR Fabrication]],"_"),1,4)</f>
        <v>PACKSICL0507-B14-13</v>
      </c>
      <c r="N80" s="51" t="str">
        <f>INDEX(_xlfn.TEXTSPLIT(tissage[[#This Row],[QR Fabrication]],"_"),1,5)</f>
        <v>PACK CLASSIQUE</v>
      </c>
      <c r="O80" s="51" t="str">
        <f>_xlfn.TEXTAFTER(tissage[[#This Row],[QR Fabrication]],"_",5)</f>
        <v>0507</v>
      </c>
      <c r="P80" s="47" t="str">
        <f>IF(
   COUNTIFS($A$2:A80,A80,
             $C$2:C80,C80,
             $D$2:D80,D80,
             $B$2:B80,B80,
             $E$2:E80,E80,
             $I$2:I80,I80
               )&gt;1,
   "Doublon",
   "Correcte"
)</f>
        <v>Correcte</v>
      </c>
    </row>
    <row r="81" spans="1:16" ht="16.5" thickTop="1" thickBot="1" x14ac:dyDescent="0.3">
      <c r="A81" s="51" t="s">
        <v>684</v>
      </c>
      <c r="B81" s="107" t="s">
        <v>2547</v>
      </c>
      <c r="C81" s="102" t="s">
        <v>2496</v>
      </c>
      <c r="D81" s="53" t="s">
        <v>685</v>
      </c>
      <c r="E81" s="51"/>
      <c r="F81" s="51"/>
      <c r="G81" s="51"/>
      <c r="H81" s="47" t="s">
        <v>664</v>
      </c>
      <c r="I81" s="58">
        <v>45937</v>
      </c>
      <c r="J81" s="58" t="str">
        <f>INDEX(_xlfn.TEXTSPLIT(tissage[[#This Row],[QR Fabrication]],"_"),1,1)</f>
        <v>CA250761</v>
      </c>
      <c r="K81" s="107" t="str">
        <f>INDEX(_xlfn.TEXTSPLIT(tissage[[#This Row],[QR Fabrication]],"_"),1,2)</f>
        <v>All by Fouta</v>
      </c>
      <c r="L81" s="51" t="str">
        <f>INDEX(_xlfn.TEXTSPLIT(tissage[[#This Row],[QR Fabrication]],"_"),1,3)</f>
        <v>Stock</v>
      </c>
      <c r="M81" s="51" t="str">
        <f>INDEX(_xlfn.TEXTSPLIT(tissage[[#This Row],[QR Fabrication]],"_"),1,4)</f>
        <v>PACKSICL0507-B24-10</v>
      </c>
      <c r="N81" s="51" t="str">
        <f>INDEX(_xlfn.TEXTSPLIT(tissage[[#This Row],[QR Fabrication]],"_"),1,5)</f>
        <v>PACK CLASSIQUE</v>
      </c>
      <c r="O81" s="51" t="str">
        <f>_xlfn.TEXTAFTER(tissage[[#This Row],[QR Fabrication]],"_",5)</f>
        <v>0507</v>
      </c>
      <c r="P81" s="47" t="str">
        <f>IF(
   COUNTIFS($A$2:A81,A81,
             $C$2:C81,C81,
             $D$2:D81,D81,
             $B$2:B81,B81,
             $E$2:E81,E81,
             $I$2:I81,I81
               )&gt;1,
   "Doublon",
   "Correcte"
)</f>
        <v>Correcte</v>
      </c>
    </row>
    <row r="82" spans="1:16" ht="16.5" thickTop="1" thickBot="1" x14ac:dyDescent="0.3">
      <c r="A82" s="51" t="s">
        <v>684</v>
      </c>
      <c r="B82" s="107" t="s">
        <v>2547</v>
      </c>
      <c r="C82" s="102" t="s">
        <v>2482</v>
      </c>
      <c r="D82" s="53" t="s">
        <v>685</v>
      </c>
      <c r="E82" s="51"/>
      <c r="F82" s="51"/>
      <c r="G82" s="51"/>
      <c r="H82" s="47" t="s">
        <v>664</v>
      </c>
      <c r="I82" s="58">
        <v>45930</v>
      </c>
      <c r="J82" s="58" t="str">
        <f>INDEX(_xlfn.TEXTSPLIT(tissage[[#This Row],[QR Fabrication]],"_"),1,1)</f>
        <v>CA250763</v>
      </c>
      <c r="K82" s="107" t="str">
        <f>INDEX(_xlfn.TEXTSPLIT(tissage[[#This Row],[QR Fabrication]],"_"),1,2)</f>
        <v>All by Fouta</v>
      </c>
      <c r="L82" s="51" t="str">
        <f>INDEX(_xlfn.TEXTSPLIT(tissage[[#This Row],[QR Fabrication]],"_"),1,3)</f>
        <v>Stock</v>
      </c>
      <c r="M82" s="51" t="str">
        <f>INDEX(_xlfn.TEXTSPLIT(tissage[[#This Row],[QR Fabrication]],"_"),1,4)</f>
        <v>PACKSICL0507-B07-16</v>
      </c>
      <c r="N82" s="51" t="str">
        <f>INDEX(_xlfn.TEXTSPLIT(tissage[[#This Row],[QR Fabrication]],"_"),1,5)</f>
        <v>PACK CLASSIQUE</v>
      </c>
      <c r="O82" s="51" t="str">
        <f>_xlfn.TEXTAFTER(tissage[[#This Row],[QR Fabrication]],"_",5)</f>
        <v>0507</v>
      </c>
      <c r="P82" s="47" t="str">
        <f>IF(
   COUNTIFS($A$2:A82,A82,
             $C$2:C82,C82,
             $D$2:D82,D82,
             $B$2:B82,B82,
             $E$2:E82,E82,
             $I$2:I82,I82
               )&gt;1,
   "Doublon",
   "Correcte"
)</f>
        <v>Correcte</v>
      </c>
    </row>
    <row r="83" spans="1:16" ht="16.5" thickTop="1" thickBot="1" x14ac:dyDescent="0.3">
      <c r="A83" s="47" t="s">
        <v>686</v>
      </c>
      <c r="B83" s="107" t="s">
        <v>2550</v>
      </c>
      <c r="C83" s="102" t="s">
        <v>2457</v>
      </c>
      <c r="D83" s="53" t="s">
        <v>685</v>
      </c>
      <c r="E83" s="51"/>
      <c r="F83" s="51"/>
      <c r="G83" s="51"/>
      <c r="H83" s="47" t="s">
        <v>664</v>
      </c>
      <c r="I83" s="58">
        <v>45920</v>
      </c>
      <c r="J83" s="58" t="str">
        <f>INDEX(_xlfn.TEXTSPLIT(tissage[[#This Row],[QR Fabrication]],"_"),1,1)</f>
        <v>OF249849</v>
      </c>
      <c r="K83" s="107" t="str">
        <f>INDEX(_xlfn.TEXTSPLIT(tissage[[#This Row],[QR Fabrication]],"_"),1,2)</f>
        <v>CL00884</v>
      </c>
      <c r="L83" s="51" t="str">
        <f>INDEX(_xlfn.TEXTSPLIT(tissage[[#This Row],[QR Fabrication]],"_"),1,3)</f>
        <v>CM-FT0119</v>
      </c>
      <c r="M83" s="51" t="str">
        <f>INDEX(_xlfn.TEXTSPLIT(tissage[[#This Row],[QR Fabrication]],"_"),1,4)</f>
        <v>ST1020-S20-24-17</v>
      </c>
      <c r="N83" s="51" t="str">
        <f>INDEX(_xlfn.TEXTSPLIT(tissage[[#This Row],[QR Fabrication]],"_"),1,5)</f>
        <v>ST TROPEZ</v>
      </c>
      <c r="O83" s="51" t="str">
        <f>_xlfn.TEXTAFTER(tissage[[#This Row],[QR Fabrication]],"_",5)</f>
        <v>1020</v>
      </c>
      <c r="P83" s="47" t="str">
        <f>IF(
   COUNTIFS($A$2:A83,A83,
             $C$2:C83,C83,
             $D$2:D83,D83,
             $B$2:B83,B83,
             $E$2:E83,E83,
             $I$2:I83,I83
               )&gt;1,
   "Doublon",
   "Correcte"
)</f>
        <v>Correcte</v>
      </c>
    </row>
    <row r="84" spans="1:16" ht="16.5" thickTop="1" thickBot="1" x14ac:dyDescent="0.3">
      <c r="A84" s="47" t="s">
        <v>686</v>
      </c>
      <c r="B84" s="107" t="s">
        <v>2549</v>
      </c>
      <c r="C84" s="102" t="s">
        <v>2460</v>
      </c>
      <c r="D84" s="53" t="s">
        <v>685</v>
      </c>
      <c r="E84" s="51"/>
      <c r="F84" s="51"/>
      <c r="G84" s="51"/>
      <c r="H84" s="47" t="s">
        <v>664</v>
      </c>
      <c r="I84" s="58">
        <v>45918</v>
      </c>
      <c r="J84" s="58" t="str">
        <f>INDEX(_xlfn.TEXTSPLIT(tissage[[#This Row],[QR Fabrication]],"_"),1,1)</f>
        <v>OF249940</v>
      </c>
      <c r="K84" s="107" t="str">
        <f>INDEX(_xlfn.TEXTSPLIT(tissage[[#This Row],[QR Fabrication]],"_"),1,2)</f>
        <v>CL00884</v>
      </c>
      <c r="L84" s="51" t="str">
        <f>INDEX(_xlfn.TEXTSPLIT(tissage[[#This Row],[QR Fabrication]],"_"),1,3)</f>
        <v>CM-FT0120</v>
      </c>
      <c r="M84" s="51" t="str">
        <f>INDEX(_xlfn.TEXTSPLIT(tissage[[#This Row],[QR Fabrication]],"_"),1,4)</f>
        <v>FI1020-C28-25-24</v>
      </c>
      <c r="N84" s="51" t="str">
        <f>INDEX(_xlfn.TEXTSPLIT(tissage[[#This Row],[QR Fabrication]],"_"),1,5)</f>
        <v>FIVE</v>
      </c>
      <c r="O84" s="51" t="str">
        <f>_xlfn.TEXTAFTER(tissage[[#This Row],[QR Fabrication]],"_",5)</f>
        <v>1020</v>
      </c>
      <c r="P84" s="47" t="str">
        <f>IF(
   COUNTIFS($A$2:A84,A84,
             $C$2:C84,C84,
             $D$2:D84,D84,
             $B$2:B84,B84,
             $E$2:E84,E84,
             $I$2:I84,I84
               )&gt;1,
   "Doublon",
   "Correcte"
)</f>
        <v>Correcte</v>
      </c>
    </row>
    <row r="85" spans="1:16" ht="16.5" thickTop="1" thickBot="1" x14ac:dyDescent="0.3">
      <c r="A85" s="47" t="s">
        <v>684</v>
      </c>
      <c r="B85" s="106" t="s">
        <v>2553</v>
      </c>
      <c r="C85" s="101" t="s">
        <v>2471</v>
      </c>
      <c r="D85" s="53" t="s">
        <v>685</v>
      </c>
      <c r="E85" s="47"/>
      <c r="F85" s="47"/>
      <c r="G85" s="47"/>
      <c r="H85" s="47" t="s">
        <v>664</v>
      </c>
      <c r="I85" s="57">
        <v>45923</v>
      </c>
      <c r="J85" s="57" t="str">
        <f>INDEX(_xlfn.TEXTSPLIT(tissage[[#This Row],[QR Fabrication]],"_"),1,1)</f>
        <v>OF249798</v>
      </c>
      <c r="K85" s="106" t="str">
        <f>INDEX(_xlfn.TEXTSPLIT(tissage[[#This Row],[QR Fabrication]],"_"),1,2)</f>
        <v>CL00884</v>
      </c>
      <c r="L85" s="47" t="str">
        <f>INDEX(_xlfn.TEXTSPLIT(tissage[[#This Row],[QR Fabrication]],"_"),1,3)</f>
        <v>CM-FT0119</v>
      </c>
      <c r="M85" s="47" t="str">
        <f>INDEX(_xlfn.TEXTSPLIT(tissage[[#This Row],[QR Fabrication]],"_"),1,4)</f>
        <v>LI1020-B28-01</v>
      </c>
      <c r="N85" s="47" t="str">
        <f>INDEX(_xlfn.TEXTSPLIT(tissage[[#This Row],[QR Fabrication]],"_"),1,5)</f>
        <v>LILI</v>
      </c>
      <c r="O85" s="47" t="str">
        <f>_xlfn.TEXTAFTER(tissage[[#This Row],[QR Fabrication]],"_",5)</f>
        <v>1020</v>
      </c>
      <c r="P85" s="47" t="str">
        <f>IF(
   COUNTIFS($A$2:A85,A85,
             $C$2:C85,C85,
             $D$2:D85,D85,
             $B$2:B85,B85,
             $E$2:E85,E85,
             $I$2:I85,I85
               )&gt;1,
   "Doublon",
   "Correcte"
)</f>
        <v>Correcte</v>
      </c>
    </row>
    <row r="86" spans="1:16" ht="16.5" thickTop="1" thickBot="1" x14ac:dyDescent="0.3">
      <c r="A86" s="47" t="s">
        <v>686</v>
      </c>
      <c r="B86" s="106" t="s">
        <v>2552</v>
      </c>
      <c r="C86" s="101" t="s">
        <v>2472</v>
      </c>
      <c r="D86" s="53" t="s">
        <v>685</v>
      </c>
      <c r="E86" s="47"/>
      <c r="F86" s="47"/>
      <c r="G86" s="47"/>
      <c r="H86" s="47" t="s">
        <v>664</v>
      </c>
      <c r="I86" s="57">
        <v>45922</v>
      </c>
      <c r="J86" s="57" t="str">
        <f>INDEX(_xlfn.TEXTSPLIT(tissage[[#This Row],[QR Fabrication]],"_"),1,1)</f>
        <v>OF249782</v>
      </c>
      <c r="K86" s="106" t="str">
        <f>INDEX(_xlfn.TEXTSPLIT(tissage[[#This Row],[QR Fabrication]],"_"),1,2)</f>
        <v>CL00884</v>
      </c>
      <c r="L86" s="47" t="str">
        <f>INDEX(_xlfn.TEXTSPLIT(tissage[[#This Row],[QR Fabrication]],"_"),1,3)</f>
        <v>CM-FT0119</v>
      </c>
      <c r="M86" s="47" t="str">
        <f>INDEX(_xlfn.TEXTSPLIT(tissage[[#This Row],[QR Fabrication]],"_"),1,4)</f>
        <v>IB1020-B24-01</v>
      </c>
      <c r="N86" s="47" t="str">
        <f>INDEX(_xlfn.TEXTSPLIT(tissage[[#This Row],[QR Fabrication]],"_"),1,5)</f>
        <v>IBIZA</v>
      </c>
      <c r="O86" s="47" t="str">
        <f>_xlfn.TEXTAFTER(tissage[[#This Row],[QR Fabrication]],"_",5)</f>
        <v>1020</v>
      </c>
      <c r="P86" s="47" t="str">
        <f>IF(
   COUNTIFS($A$2:A86,A86,
             $C$2:C86,C86,
             $D$2:D86,D86,
             $B$2:B86,B86,
             $E$2:E86,E86,
             $I$2:I86,I86
               )&gt;1,
   "Doublon",
   "Correcte"
)</f>
        <v>Correcte</v>
      </c>
    </row>
    <row r="87" spans="1:16" ht="16.5" thickTop="1" thickBot="1" x14ac:dyDescent="0.3">
      <c r="A87" s="47" t="s">
        <v>687</v>
      </c>
      <c r="B87" s="106" t="s">
        <v>2554</v>
      </c>
      <c r="C87" s="101" t="s">
        <v>2479</v>
      </c>
      <c r="D87" s="53" t="s">
        <v>685</v>
      </c>
      <c r="E87" s="47"/>
      <c r="F87" s="47"/>
      <c r="G87" s="47"/>
      <c r="H87" s="47" t="s">
        <v>664</v>
      </c>
      <c r="I87" s="57">
        <v>45926</v>
      </c>
      <c r="J87" s="57" t="str">
        <f>INDEX(_xlfn.TEXTSPLIT(tissage[[#This Row],[QR Fabrication]],"_"),1,1)</f>
        <v>OF250130</v>
      </c>
      <c r="K87" s="106" t="str">
        <f>INDEX(_xlfn.TEXTSPLIT(tissage[[#This Row],[QR Fabrication]],"_"),1,2)</f>
        <v>CL00162</v>
      </c>
      <c r="L87" s="47" t="str">
        <f>INDEX(_xlfn.TEXTSPLIT(tissage[[#This Row],[QR Fabrication]],"_"),1,3)</f>
        <v>CM-FT0130</v>
      </c>
      <c r="M87" s="47" t="str">
        <f>INDEX(_xlfn.TEXTSPLIT(tissage[[#This Row],[QR Fabrication]],"_"),1,4)</f>
        <v>GIN2426-B03-02</v>
      </c>
      <c r="N87" s="47" t="str">
        <f>INDEX(_xlfn.TEXTSPLIT(tissage[[#This Row],[QR Fabrication]],"_"),1,5)</f>
        <v>GINKO</v>
      </c>
      <c r="O87" s="47" t="str">
        <f>_xlfn.TEXTAFTER(tissage[[#This Row],[QR Fabrication]],"_",5)</f>
        <v>2426</v>
      </c>
      <c r="P87" s="47" t="str">
        <f>IF(
   COUNTIFS($A$2:A87,A87,
             $C$2:C87,C87,
             $D$2:D87,D87,
             $B$2:B87,B87,
             $E$2:E87,E87,
             $I$2:I87,I87
               )&gt;1,
   "Doublon",
   "Correcte"
)</f>
        <v>Correcte</v>
      </c>
    </row>
    <row r="88" spans="1:16" ht="16.5" thickTop="1" thickBot="1" x14ac:dyDescent="0.3">
      <c r="A88" s="47" t="s">
        <v>687</v>
      </c>
      <c r="B88" s="106" t="s">
        <v>2554</v>
      </c>
      <c r="C88" s="101" t="s">
        <v>2481</v>
      </c>
      <c r="D88" s="53" t="s">
        <v>685</v>
      </c>
      <c r="E88" s="47"/>
      <c r="F88" s="47"/>
      <c r="G88" s="47"/>
      <c r="H88" s="47" t="s">
        <v>664</v>
      </c>
      <c r="I88" s="57">
        <v>45925</v>
      </c>
      <c r="J88" s="57" t="str">
        <f>INDEX(_xlfn.TEXTSPLIT(tissage[[#This Row],[QR Fabrication]],"_"),1,1)</f>
        <v>OF250131</v>
      </c>
      <c r="K88" s="106" t="str">
        <f>INDEX(_xlfn.TEXTSPLIT(tissage[[#This Row],[QR Fabrication]],"_"),1,2)</f>
        <v>CL00162</v>
      </c>
      <c r="L88" s="47" t="str">
        <f>INDEX(_xlfn.TEXTSPLIT(tissage[[#This Row],[QR Fabrication]],"_"),1,3)</f>
        <v>CM-FT0130</v>
      </c>
      <c r="M88" s="47" t="str">
        <f>INDEX(_xlfn.TEXTSPLIT(tissage[[#This Row],[QR Fabrication]],"_"),1,4)</f>
        <v>GIN2426-B12-03</v>
      </c>
      <c r="N88" s="47" t="str">
        <f>INDEX(_xlfn.TEXTSPLIT(tissage[[#This Row],[QR Fabrication]],"_"),1,5)</f>
        <v>GINKO</v>
      </c>
      <c r="O88" s="47" t="str">
        <f>_xlfn.TEXTAFTER(tissage[[#This Row],[QR Fabrication]],"_",5)</f>
        <v>2426</v>
      </c>
      <c r="P88" s="47" t="str">
        <f>IF(
   COUNTIFS($A$2:A88,A88,
             $C$2:C88,C88,
             $D$2:D88,D88,
             $B$2:B88,B88,
             $E$2:E88,E88,
             $I$2:I88,I88
               )&gt;1,
   "Doublon",
   "Correcte"
)</f>
        <v>Correcte</v>
      </c>
    </row>
    <row r="89" spans="1:16" ht="16.5" thickTop="1" thickBot="1" x14ac:dyDescent="0.3">
      <c r="A89" s="47" t="s">
        <v>687</v>
      </c>
      <c r="B89" s="106" t="s">
        <v>2554</v>
      </c>
      <c r="C89" s="101" t="s">
        <v>2477</v>
      </c>
      <c r="D89" s="53" t="s">
        <v>685</v>
      </c>
      <c r="E89" s="47"/>
      <c r="F89" s="47"/>
      <c r="G89" s="47"/>
      <c r="H89" s="47" t="s">
        <v>664</v>
      </c>
      <c r="I89" s="57">
        <v>45925</v>
      </c>
      <c r="J89" s="57" t="str">
        <f>INDEX(_xlfn.TEXTSPLIT(tissage[[#This Row],[QR Fabrication]],"_"),1,1)</f>
        <v>OF250132</v>
      </c>
      <c r="K89" s="106" t="str">
        <f>INDEX(_xlfn.TEXTSPLIT(tissage[[#This Row],[QR Fabrication]],"_"),1,2)</f>
        <v>CL00162</v>
      </c>
      <c r="L89" s="47" t="str">
        <f>INDEX(_xlfn.TEXTSPLIT(tissage[[#This Row],[QR Fabrication]],"_"),1,3)</f>
        <v>CM-FT0130</v>
      </c>
      <c r="M89" s="47" t="str">
        <f>INDEX(_xlfn.TEXTSPLIT(tissage[[#This Row],[QR Fabrication]],"_"),1,4)</f>
        <v>GIN2426-B19-03</v>
      </c>
      <c r="N89" s="47" t="str">
        <f>INDEX(_xlfn.TEXTSPLIT(tissage[[#This Row],[QR Fabrication]],"_"),1,5)</f>
        <v>GINKO</v>
      </c>
      <c r="O89" s="47" t="str">
        <f>_xlfn.TEXTAFTER(tissage[[#This Row],[QR Fabrication]],"_",5)</f>
        <v>2426</v>
      </c>
      <c r="P89" s="47" t="str">
        <f>IF(
   COUNTIFS($A$2:A89,A89,
             $C$2:C89,C89,
             $D$2:D89,D89,
             $B$2:B89,B89,
             $E$2:E89,E89,
             $I$2:I89,I89
               )&gt;1,
   "Doublon",
   "Correcte"
)</f>
        <v>Correcte</v>
      </c>
    </row>
    <row r="90" spans="1:16" ht="16.5" thickTop="1" thickBot="1" x14ac:dyDescent="0.3">
      <c r="A90" s="47" t="s">
        <v>687</v>
      </c>
      <c r="B90" s="106" t="s">
        <v>2554</v>
      </c>
      <c r="C90" s="101" t="s">
        <v>2478</v>
      </c>
      <c r="D90" s="53" t="s">
        <v>685</v>
      </c>
      <c r="E90" s="47"/>
      <c r="F90" s="47"/>
      <c r="G90" s="47"/>
      <c r="H90" s="47" t="s">
        <v>664</v>
      </c>
      <c r="I90" s="57">
        <v>45925</v>
      </c>
      <c r="J90" s="57" t="str">
        <f>INDEX(_xlfn.TEXTSPLIT(tissage[[#This Row],[QR Fabrication]],"_"),1,1)</f>
        <v>OF250134</v>
      </c>
      <c r="K90" s="106" t="str">
        <f>INDEX(_xlfn.TEXTSPLIT(tissage[[#This Row],[QR Fabrication]],"_"),1,2)</f>
        <v>CL00162</v>
      </c>
      <c r="L90" s="47" t="str">
        <f>INDEX(_xlfn.TEXTSPLIT(tissage[[#This Row],[QR Fabrication]],"_"),1,3)</f>
        <v>CM-FT0130</v>
      </c>
      <c r="M90" s="47" t="str">
        <f>INDEX(_xlfn.TEXTSPLIT(tissage[[#This Row],[QR Fabrication]],"_"),1,4)</f>
        <v>OLI2426-B18-19</v>
      </c>
      <c r="N90" s="47" t="str">
        <f>INDEX(_xlfn.TEXTSPLIT(tissage[[#This Row],[QR Fabrication]],"_"),1,5)</f>
        <v>OLIVIER</v>
      </c>
      <c r="O90" s="47" t="str">
        <f>_xlfn.TEXTAFTER(tissage[[#This Row],[QR Fabrication]],"_",5)</f>
        <v>2426</v>
      </c>
      <c r="P90" s="47" t="str">
        <f>IF(
   COUNTIFS($A$2:A90,A90,
             $C$2:C90,C90,
             $D$2:D90,D90,
             $B$2:B90,B90,
             $E$2:E90,E90,
             $I$2:I90,I90
               )&gt;1,
   "Doublon",
   "Correcte"
)</f>
        <v>Correcte</v>
      </c>
    </row>
    <row r="91" spans="1:16" ht="16.5" thickTop="1" thickBot="1" x14ac:dyDescent="0.3">
      <c r="A91" s="47" t="s">
        <v>686</v>
      </c>
      <c r="B91" s="106" t="s">
        <v>2545</v>
      </c>
      <c r="C91" s="101" t="s">
        <v>2480</v>
      </c>
      <c r="D91" s="53" t="s">
        <v>685</v>
      </c>
      <c r="E91" s="47"/>
      <c r="F91" s="47"/>
      <c r="G91" s="47"/>
      <c r="H91" s="47" t="s">
        <v>664</v>
      </c>
      <c r="I91" s="57">
        <v>45924</v>
      </c>
      <c r="J91" s="57" t="str">
        <f>INDEX(_xlfn.TEXTSPLIT(tissage[[#This Row],[QR Fabrication]],"_"),1,1)</f>
        <v>OF249816</v>
      </c>
      <c r="K91" s="106" t="str">
        <f>INDEX(_xlfn.TEXTSPLIT(tissage[[#This Row],[QR Fabrication]],"_"),1,2)</f>
        <v>CL00884</v>
      </c>
      <c r="L91" s="47" t="str">
        <f>INDEX(_xlfn.TEXTSPLIT(tissage[[#This Row],[QR Fabrication]],"_"),1,3)</f>
        <v>CM-FT0119</v>
      </c>
      <c r="M91" s="47" t="str">
        <f>INDEX(_xlfn.TEXTSPLIT(tissage[[#This Row],[QR Fabrication]],"_"),1,4)</f>
        <v>SO1020-Q29-11-14</v>
      </c>
      <c r="N91" s="47" t="str">
        <f>INDEX(_xlfn.TEXTSPLIT(tissage[[#This Row],[QR Fabrication]],"_"),1,5)</f>
        <v>SOUSSE</v>
      </c>
      <c r="O91" s="47" t="str">
        <f>_xlfn.TEXTAFTER(tissage[[#This Row],[QR Fabrication]],"_",5)</f>
        <v>1020</v>
      </c>
      <c r="P91" s="47" t="str">
        <f>IF(
   COUNTIFS($A$2:A91,A91,
             $C$2:C91,C91,
             $D$2:D91,D91,
             $B$2:B91,B91,
             $E$2:E91,E91,
             $I$2:I91,I91
               )&gt;1,
   "Doublon",
   "Correcte"
)</f>
        <v>Correcte</v>
      </c>
    </row>
    <row r="92" spans="1:16" ht="16.5" thickTop="1" thickBot="1" x14ac:dyDescent="0.3">
      <c r="A92" s="47" t="s">
        <v>686</v>
      </c>
      <c r="B92" s="107" t="s">
        <v>2546</v>
      </c>
      <c r="C92" s="102" t="s">
        <v>2476</v>
      </c>
      <c r="D92" s="53" t="s">
        <v>685</v>
      </c>
      <c r="E92" s="51"/>
      <c r="F92" s="51"/>
      <c r="G92" s="51"/>
      <c r="H92" s="47" t="s">
        <v>664</v>
      </c>
      <c r="I92" s="58">
        <v>45925</v>
      </c>
      <c r="J92" s="58" t="str">
        <f>INDEX(_xlfn.TEXTSPLIT(tissage[[#This Row],[QR Fabrication]],"_"),1,1)</f>
        <v>OF249859</v>
      </c>
      <c r="K92" s="107" t="str">
        <f>INDEX(_xlfn.TEXTSPLIT(tissage[[#This Row],[QR Fabrication]],"_"),1,2)</f>
        <v>CL00884</v>
      </c>
      <c r="L92" s="51" t="str">
        <f>INDEX(_xlfn.TEXTSPLIT(tissage[[#This Row],[QR Fabrication]],"_"),1,3)</f>
        <v>CM-FT0119</v>
      </c>
      <c r="M92" s="51" t="str">
        <f>INDEX(_xlfn.TEXTSPLIT(tissage[[#This Row],[QR Fabrication]],"_"),1,4)</f>
        <v>AR2020-B29-01</v>
      </c>
      <c r="N92" s="51" t="str">
        <f>INDEX(_xlfn.TEXTSPLIT(tissage[[#This Row],[QR Fabrication]],"_"),1,5)</f>
        <v>ARTHUR</v>
      </c>
      <c r="O92" s="51" t="str">
        <f>_xlfn.TEXTAFTER(tissage[[#This Row],[QR Fabrication]],"_",5)</f>
        <v>2020</v>
      </c>
      <c r="P92" s="47" t="str">
        <f>IF(
   COUNTIFS($A$2:A92,A92,
             $C$2:C92,C92,
             $D$2:D92,D92,
             $B$2:B92,B92,
             $E$2:E92,E92,
             $I$2:I92,I92
               )&gt;1,
   "Doublon",
   "Correcte"
)</f>
        <v>Correcte</v>
      </c>
    </row>
    <row r="93" spans="1:16" ht="16.5" thickTop="1" thickBot="1" x14ac:dyDescent="0.3">
      <c r="A93" s="47" t="s">
        <v>684</v>
      </c>
      <c r="B93" s="106" t="s">
        <v>2547</v>
      </c>
      <c r="C93" s="101" t="s">
        <v>2483</v>
      </c>
      <c r="D93" s="53" t="s">
        <v>685</v>
      </c>
      <c r="E93" s="47"/>
      <c r="F93" s="47"/>
      <c r="G93" s="47"/>
      <c r="H93" s="47" t="s">
        <v>664</v>
      </c>
      <c r="I93" s="57">
        <v>45926</v>
      </c>
      <c r="J93" s="57" t="str">
        <f>INDEX(_xlfn.TEXTSPLIT(tissage[[#This Row],[QR Fabrication]],"_"),1,1)</f>
        <v>OF250199</v>
      </c>
      <c r="K93" s="106" t="str">
        <f>INDEX(_xlfn.TEXTSPLIT(tissage[[#This Row],[QR Fabrication]],"_"),1,2)</f>
        <v>CL00844</v>
      </c>
      <c r="L93" s="47" t="str">
        <f>INDEX(_xlfn.TEXTSPLIT(tissage[[#This Row],[QR Fabrication]],"_"),1,3)</f>
        <v>CM-FT0136</v>
      </c>
      <c r="M93" s="47" t="str">
        <f>INDEX(_xlfn.TEXTSPLIT(tissage[[#This Row],[QR Fabrication]],"_"),1,4)</f>
        <v>PACKSICL0507-B03-02</v>
      </c>
      <c r="N93" s="47" t="str">
        <f>INDEX(_xlfn.TEXTSPLIT(tissage[[#This Row],[QR Fabrication]],"_"),1,5)</f>
        <v>PACK CLASSIQUE</v>
      </c>
      <c r="O93" s="47" t="str">
        <f>_xlfn.TEXTAFTER(tissage[[#This Row],[QR Fabrication]],"_",5)</f>
        <v>0507</v>
      </c>
      <c r="P93" s="47" t="str">
        <f>IF(
   COUNTIFS($A$2:A93,A93,
             $C$2:C93,C93,
             $D$2:D93,D93,
             $B$2:B93,B93,
             $E$2:E93,E93,
             $I$2:I93,I93
               )&gt;1,
   "Doublon",
   "Correcte"
)</f>
        <v>Correcte</v>
      </c>
    </row>
    <row r="94" spans="1:16" ht="16.5" thickTop="1" thickBot="1" x14ac:dyDescent="0.3">
      <c r="A94" s="47" t="s">
        <v>686</v>
      </c>
      <c r="B94" s="106" t="s">
        <v>2550</v>
      </c>
      <c r="C94" s="101" t="s">
        <v>2491</v>
      </c>
      <c r="D94" s="53" t="s">
        <v>685</v>
      </c>
      <c r="E94" s="47"/>
      <c r="F94" s="47"/>
      <c r="G94" s="47"/>
      <c r="H94" s="47" t="s">
        <v>664</v>
      </c>
      <c r="I94" s="57">
        <v>45936</v>
      </c>
      <c r="J94" s="57" t="str">
        <f>INDEX(_xlfn.TEXTSPLIT(tissage[[#This Row],[QR Fabrication]],"_"),1,1)</f>
        <v>OF249946</v>
      </c>
      <c r="K94" s="106" t="str">
        <f>INDEX(_xlfn.TEXTSPLIT(tissage[[#This Row],[QR Fabrication]],"_"),1,2)</f>
        <v>CL00884</v>
      </c>
      <c r="L94" s="47" t="str">
        <f>INDEX(_xlfn.TEXTSPLIT(tissage[[#This Row],[QR Fabrication]],"_"),1,3)</f>
        <v>CM-FT0120</v>
      </c>
      <c r="M94" s="47" t="str">
        <f>INDEX(_xlfn.TEXTSPLIT(tissage[[#This Row],[QR Fabrication]],"_"),1,4)</f>
        <v>ST1020-S14-16-17</v>
      </c>
      <c r="N94" s="47" t="str">
        <f>INDEX(_xlfn.TEXTSPLIT(tissage[[#This Row],[QR Fabrication]],"_"),1,5)</f>
        <v>ST TROPEZ</v>
      </c>
      <c r="O94" s="47" t="str">
        <f>_xlfn.TEXTAFTER(tissage[[#This Row],[QR Fabrication]],"_",5)</f>
        <v>1020</v>
      </c>
      <c r="P94" s="47" t="str">
        <f>IF(
   COUNTIFS($A$2:A94,A94,
             $C$2:C94,C94,
             $D$2:D94,D94,
             $B$2:B94,B94,
             $E$2:E94,E94,
             $I$2:I94,I94
               )&gt;1,
   "Doublon",
   "Correcte"
)</f>
        <v>Correcte</v>
      </c>
    </row>
    <row r="95" spans="1:16" ht="16.5" thickTop="1" thickBot="1" x14ac:dyDescent="0.3">
      <c r="A95" s="47" t="s">
        <v>702</v>
      </c>
      <c r="B95" s="106" t="s">
        <v>2550</v>
      </c>
      <c r="C95" s="101" t="s">
        <v>2490</v>
      </c>
      <c r="D95" s="53" t="s">
        <v>685</v>
      </c>
      <c r="E95" s="47"/>
      <c r="F95" s="47"/>
      <c r="G95" s="47"/>
      <c r="H95" s="47" t="s">
        <v>664</v>
      </c>
      <c r="I95" s="57">
        <v>45929</v>
      </c>
      <c r="J95" s="57" t="str">
        <f>INDEX(_xlfn.TEXTSPLIT(tissage[[#This Row],[QR Fabrication]],"_"),1,1)</f>
        <v>OF249848</v>
      </c>
      <c r="K95" s="106" t="str">
        <f>INDEX(_xlfn.TEXTSPLIT(tissage[[#This Row],[QR Fabrication]],"_"),1,2)</f>
        <v>CL00884</v>
      </c>
      <c r="L95" s="47" t="str">
        <f>INDEX(_xlfn.TEXTSPLIT(tissage[[#This Row],[QR Fabrication]],"_"),1,3)</f>
        <v>CM-FT0119</v>
      </c>
      <c r="M95" s="47" t="str">
        <f>INDEX(_xlfn.TEXTSPLIT(tissage[[#This Row],[QR Fabrication]],"_"),1,4)</f>
        <v>ST1020-S14-16-17</v>
      </c>
      <c r="N95" s="47" t="str">
        <f>INDEX(_xlfn.TEXTSPLIT(tissage[[#This Row],[QR Fabrication]],"_"),1,5)</f>
        <v>ST TROPEZ</v>
      </c>
      <c r="O95" s="47" t="str">
        <f>_xlfn.TEXTAFTER(tissage[[#This Row],[QR Fabrication]],"_",5)</f>
        <v>1020</v>
      </c>
      <c r="P95" s="47" t="str">
        <f>IF(
   COUNTIFS($A$2:A95,A95,
             $C$2:C95,C95,
             $D$2:D95,D95,
             $B$2:B95,B95,
             $E$2:E95,E95,
             $I$2:I95,I95
               )&gt;1,
   "Doublon",
   "Correcte"
)</f>
        <v>Correcte</v>
      </c>
    </row>
    <row r="96" spans="1:16" ht="16.5" thickTop="1" thickBot="1" x14ac:dyDescent="0.3">
      <c r="A96" s="47" t="s">
        <v>686</v>
      </c>
      <c r="B96" s="106" t="s">
        <v>2549</v>
      </c>
      <c r="C96" s="101" t="s">
        <v>2493</v>
      </c>
      <c r="D96" s="53" t="s">
        <v>685</v>
      </c>
      <c r="E96" s="47"/>
      <c r="F96" s="47"/>
      <c r="G96" s="47"/>
      <c r="H96" s="47" t="s">
        <v>664</v>
      </c>
      <c r="I96" s="57">
        <v>45934</v>
      </c>
      <c r="J96" s="57" t="str">
        <f>INDEX(_xlfn.TEXTSPLIT(tissage[[#This Row],[QR Fabrication]],"_"),1,1)</f>
        <v>OF249836</v>
      </c>
      <c r="K96" s="106" t="str">
        <f>INDEX(_xlfn.TEXTSPLIT(tissage[[#This Row],[QR Fabrication]],"_"),1,2)</f>
        <v>CL00884</v>
      </c>
      <c r="L96" s="47" t="str">
        <f>INDEX(_xlfn.TEXTSPLIT(tissage[[#This Row],[QR Fabrication]],"_"),1,3)</f>
        <v>CM-FT0119</v>
      </c>
      <c r="M96" s="47" t="str">
        <f>INDEX(_xlfn.TEXTSPLIT(tissage[[#This Row],[QR Fabrication]],"_"),1,4)</f>
        <v>FI1020-C02-28-29</v>
      </c>
      <c r="N96" s="47" t="str">
        <f>INDEX(_xlfn.TEXTSPLIT(tissage[[#This Row],[QR Fabrication]],"_"),1,5)</f>
        <v>FIVE</v>
      </c>
      <c r="O96" s="47" t="str">
        <f>_xlfn.TEXTAFTER(tissage[[#This Row],[QR Fabrication]],"_",5)</f>
        <v>1020</v>
      </c>
      <c r="P96" s="47" t="str">
        <f>IF(
   COUNTIFS($A$2:A96,A96,
             $C$2:C96,C96,
             $D$2:D96,D96,
             $B$2:B96,B96,
             $E$2:E96,E96,
             $I$2:I96,I96
               )&gt;1,
   "Doublon",
   "Correcte"
)</f>
        <v>Correcte</v>
      </c>
    </row>
    <row r="97" spans="1:16" ht="16.5" thickTop="1" thickBot="1" x14ac:dyDescent="0.3">
      <c r="A97" s="51" t="s">
        <v>684</v>
      </c>
      <c r="B97" s="107" t="s">
        <v>2548</v>
      </c>
      <c r="C97" s="102" t="s">
        <v>2445</v>
      </c>
      <c r="D97" s="53" t="s">
        <v>685</v>
      </c>
      <c r="E97" s="51"/>
      <c r="F97" s="51"/>
      <c r="G97" s="51"/>
      <c r="H97" s="47" t="s">
        <v>664</v>
      </c>
      <c r="I97" s="58">
        <v>45925</v>
      </c>
      <c r="J97" s="58" t="str">
        <f>INDEX(_xlfn.TEXTSPLIT(tissage[[#This Row],[QR Fabrication]],"_"),1,1)</f>
        <v>OF249809</v>
      </c>
      <c r="K97" s="107" t="str">
        <f>INDEX(_xlfn.TEXTSPLIT(tissage[[#This Row],[QR Fabrication]],"_"),1,2)</f>
        <v>CL00884</v>
      </c>
      <c r="L97" s="51" t="str">
        <f>INDEX(_xlfn.TEXTSPLIT(tissage[[#This Row],[QR Fabrication]],"_"),1,3)</f>
        <v>CM-FT0119</v>
      </c>
      <c r="M97" s="51" t="str">
        <f>INDEX(_xlfn.TEXTSPLIT(tissage[[#This Row],[QR Fabrication]],"_"),1,4)</f>
        <v>IS1020-B14-01</v>
      </c>
      <c r="N97" s="51" t="str">
        <f>INDEX(_xlfn.TEXTSPLIT(tissage[[#This Row],[QR Fabrication]],"_"),1,5)</f>
        <v>ISTANBUL</v>
      </c>
      <c r="O97" s="51" t="str">
        <f>_xlfn.TEXTAFTER(tissage[[#This Row],[QR Fabrication]],"_",5)</f>
        <v>1020</v>
      </c>
      <c r="P97" s="47" t="str">
        <f>IF(
   COUNTIFS($A$2:A97,A97,
             $C$2:C97,C97,
             $D$2:D97,D97,
             $B$2:B97,B97,
             $E$2:E97,E97,
             $I$2:I97,I97
               )&gt;1,
   "Doublon",
   "Correcte"
)</f>
        <v>Correcte</v>
      </c>
    </row>
    <row r="98" spans="1:16" ht="16.5" thickTop="1" thickBot="1" x14ac:dyDescent="0.3">
      <c r="A98" s="51" t="s">
        <v>687</v>
      </c>
      <c r="B98" s="107" t="s">
        <v>2547</v>
      </c>
      <c r="C98" s="102" t="s">
        <v>2516</v>
      </c>
      <c r="D98" s="53" t="s">
        <v>685</v>
      </c>
      <c r="E98" s="51"/>
      <c r="F98" s="51"/>
      <c r="G98" s="51"/>
      <c r="H98" s="47" t="s">
        <v>664</v>
      </c>
      <c r="I98" s="58">
        <v>45939</v>
      </c>
      <c r="J98" s="58" t="str">
        <f>INDEX(_xlfn.TEXTSPLIT(tissage[[#This Row],[QR Fabrication]],"_"),1,1)</f>
        <v>CA250766</v>
      </c>
      <c r="K98" s="107" t="str">
        <f>INDEX(_xlfn.TEXTSPLIT(tissage[[#This Row],[QR Fabrication]],"_"),1,2)</f>
        <v>All by Fouta</v>
      </c>
      <c r="L98" s="51" t="str">
        <f>INDEX(_xlfn.TEXTSPLIT(tissage[[#This Row],[QR Fabrication]],"_"),1,3)</f>
        <v>Stock</v>
      </c>
      <c r="M98" s="51" t="str">
        <f>INDEX(_xlfn.TEXTSPLIT(tissage[[#This Row],[QR Fabrication]],"_"),1,4)</f>
        <v>PACKSILO0507-T12-06-32</v>
      </c>
      <c r="N98" s="51" t="str">
        <f>INDEX(_xlfn.TEXTSPLIT(tissage[[#This Row],[QR Fabrication]],"_"),1,5)</f>
        <v>PACK LONDON</v>
      </c>
      <c r="O98" s="51" t="str">
        <f>_xlfn.TEXTAFTER(tissage[[#This Row],[QR Fabrication]],"_",5)</f>
        <v>0507</v>
      </c>
      <c r="P98" s="47" t="str">
        <f>IF(
   COUNTIFS($A$2:A98,A98,
             $C$2:C98,C98,
             $D$2:D98,D98,
             $B$2:B98,B98,
             $E$2:E98,E98,
             $I$2:I98,I98
               )&gt;1,
   "Doublon",
   "Correcte"
)</f>
        <v>Correcte</v>
      </c>
    </row>
    <row r="99" spans="1:16" ht="16.5" thickTop="1" thickBot="1" x14ac:dyDescent="0.3">
      <c r="A99" s="47" t="s">
        <v>702</v>
      </c>
      <c r="B99" s="107" t="s">
        <v>2552</v>
      </c>
      <c r="C99" s="102" t="s">
        <v>2531</v>
      </c>
      <c r="D99" s="53" t="s">
        <v>685</v>
      </c>
      <c r="E99" s="51"/>
      <c r="F99" s="51"/>
      <c r="G99" s="51"/>
      <c r="H99" s="47" t="s">
        <v>664</v>
      </c>
      <c r="I99" s="58">
        <v>45940</v>
      </c>
      <c r="J99" s="58" t="str">
        <f>INDEX(_xlfn.TEXTSPLIT(tissage[[#This Row],[QR Fabrication]],"_"),1,1)</f>
        <v>CA250215</v>
      </c>
      <c r="K99" s="107" t="str">
        <f>INDEX(_xlfn.TEXTSPLIT(tissage[[#This Row],[QR Fabrication]],"_"),1,2)</f>
        <v>All by Fouta</v>
      </c>
      <c r="L99" s="51" t="str">
        <f>INDEX(_xlfn.TEXTSPLIT(tissage[[#This Row],[QR Fabrication]],"_"),1,3)</f>
        <v>Stock</v>
      </c>
      <c r="M99" s="51" t="str">
        <f>INDEX(_xlfn.TEXTSPLIT(tissage[[#This Row],[QR Fabrication]],"_"),1,4)</f>
        <v>AR1020-T03-04-17</v>
      </c>
      <c r="N99" s="51" t="str">
        <f>INDEX(_xlfn.TEXTSPLIT(tissage[[#This Row],[QR Fabrication]],"_"),1,5)</f>
        <v>ARTHUR</v>
      </c>
      <c r="O99" s="51" t="str">
        <f>_xlfn.TEXTAFTER(tissage[[#This Row],[QR Fabrication]],"_",5)</f>
        <v>1020</v>
      </c>
      <c r="P99" s="47" t="str">
        <f>IF(
   COUNTIFS($A$2:A99,A99,
             $C$2:C99,C99,
             $D$2:D99,D99,
             $B$2:B99,B99,
             $E$2:E99,E99,
             $I$2:I99,I99
               )&gt;1,
   "Doublon",
   "Correcte"
)</f>
        <v>Correcte</v>
      </c>
    </row>
    <row r="100" spans="1:16" ht="16.5" thickTop="1" thickBot="1" x14ac:dyDescent="0.3">
      <c r="A100" s="47" t="s">
        <v>686</v>
      </c>
      <c r="B100" s="107" t="s">
        <v>2552</v>
      </c>
      <c r="C100" s="102" t="s">
        <v>2530</v>
      </c>
      <c r="D100" s="53" t="s">
        <v>685</v>
      </c>
      <c r="E100" s="51"/>
      <c r="F100" s="51"/>
      <c r="G100" s="51"/>
      <c r="H100" s="47" t="s">
        <v>664</v>
      </c>
      <c r="I100" s="58">
        <v>45940</v>
      </c>
      <c r="J100" s="58" t="str">
        <f>INDEX(_xlfn.TEXTSPLIT(tissage[[#This Row],[QR Fabrication]],"_"),1,1)</f>
        <v>CA250217</v>
      </c>
      <c r="K100" s="107" t="str">
        <f>INDEX(_xlfn.TEXTSPLIT(tissage[[#This Row],[QR Fabrication]],"_"),1,2)</f>
        <v>All by Fouta</v>
      </c>
      <c r="L100" s="51" t="str">
        <f>INDEX(_xlfn.TEXTSPLIT(tissage[[#This Row],[QR Fabrication]],"_"),1,3)</f>
        <v>Stock</v>
      </c>
      <c r="M100" s="51" t="str">
        <f>INDEX(_xlfn.TEXTSPLIT(tissage[[#This Row],[QR Fabrication]],"_"),1,4)</f>
        <v>AR1020-T10-14-25</v>
      </c>
      <c r="N100" s="51" t="str">
        <f>INDEX(_xlfn.TEXTSPLIT(tissage[[#This Row],[QR Fabrication]],"_"),1,5)</f>
        <v>ARTHUR</v>
      </c>
      <c r="O100" s="51" t="str">
        <f>_xlfn.TEXTAFTER(tissage[[#This Row],[QR Fabrication]],"_",5)</f>
        <v>1020</v>
      </c>
      <c r="P100" s="47" t="str">
        <f>IF(
   COUNTIFS($A$2:A100,A100,
             $C$2:C100,C100,
             $D$2:D100,D100,
             $B$2:B100,B100,
             $E$2:E100,E100,
             $I$2:I100,I100
               )&gt;1,
   "Doublon",
   "Correcte"
)</f>
        <v>Correcte</v>
      </c>
    </row>
    <row r="101" spans="1:16" ht="16.5" thickTop="1" thickBot="1" x14ac:dyDescent="0.3">
      <c r="A101" s="47" t="s">
        <v>702</v>
      </c>
      <c r="B101" s="107" t="s">
        <v>2546</v>
      </c>
      <c r="C101" s="101" t="s">
        <v>2508</v>
      </c>
      <c r="D101" s="53" t="s">
        <v>685</v>
      </c>
      <c r="E101" s="47"/>
      <c r="F101" s="47"/>
      <c r="G101" s="47"/>
      <c r="H101" s="47" t="s">
        <v>664</v>
      </c>
      <c r="I101" s="57">
        <v>45938</v>
      </c>
      <c r="J101" s="58" t="str">
        <f>INDEX(_xlfn.TEXTSPLIT(tissage[[#This Row],[QR Fabrication]],"_"),1,1)</f>
        <v>CA250237</v>
      </c>
      <c r="K101" s="106" t="str">
        <f>INDEX(_xlfn.TEXTSPLIT(tissage[[#This Row],[QR Fabrication]],"_"),1,2)</f>
        <v>All by Fouta</v>
      </c>
      <c r="L101" s="47" t="str">
        <f>INDEX(_xlfn.TEXTSPLIT(tissage[[#This Row],[QR Fabrication]],"_"),1,3)</f>
        <v>Stock</v>
      </c>
      <c r="M101" s="47" t="str">
        <f>INDEX(_xlfn.TEXTSPLIT(tissage[[#This Row],[QR Fabrication]],"_"),1,4)</f>
        <v>AR2020-B07-17</v>
      </c>
      <c r="N101" s="47" t="str">
        <f>INDEX(_xlfn.TEXTSPLIT(tissage[[#This Row],[QR Fabrication]],"_"),1,5)</f>
        <v>ARTHUR</v>
      </c>
      <c r="O101" s="47" t="str">
        <f>_xlfn.TEXTAFTER(tissage[[#This Row],[QR Fabrication]],"_",5)</f>
        <v>2020</v>
      </c>
      <c r="P101" s="47" t="str">
        <f>IF(
   COUNTIFS($A$2:A101,A101,
             $C$2:C101,C101,
             $D$2:D101,D101,
             $B$2:B101,B101,
             $E$2:E101,E101,
             $I$2:I101,I101
               )&gt;1,
   "Doublon",
   "Correcte"
)</f>
        <v>Correcte</v>
      </c>
    </row>
    <row r="102" spans="1:16" ht="16.5" thickTop="1" thickBot="1" x14ac:dyDescent="0.3">
      <c r="A102" s="47" t="s">
        <v>702</v>
      </c>
      <c r="B102" s="107" t="s">
        <v>2546</v>
      </c>
      <c r="C102" s="102" t="s">
        <v>2522</v>
      </c>
      <c r="D102" s="53" t="s">
        <v>685</v>
      </c>
      <c r="E102" s="51"/>
      <c r="F102" s="51"/>
      <c r="G102" s="51"/>
      <c r="H102" s="47" t="s">
        <v>664</v>
      </c>
      <c r="I102" s="58">
        <v>45939</v>
      </c>
      <c r="J102" s="58" t="str">
        <f>INDEX(_xlfn.TEXTSPLIT(tissage[[#This Row],[QR Fabrication]],"_"),1,1)</f>
        <v>CA250238</v>
      </c>
      <c r="K102" s="107" t="str">
        <f>INDEX(_xlfn.TEXTSPLIT(tissage[[#This Row],[QR Fabrication]],"_"),1,2)</f>
        <v>All by Fouta</v>
      </c>
      <c r="L102" s="51" t="str">
        <f>INDEX(_xlfn.TEXTSPLIT(tissage[[#This Row],[QR Fabrication]],"_"),1,3)</f>
        <v>Stock</v>
      </c>
      <c r="M102" s="51" t="str">
        <f>INDEX(_xlfn.TEXTSPLIT(tissage[[#This Row],[QR Fabrication]],"_"),1,4)</f>
        <v>AR2020-B11-25</v>
      </c>
      <c r="N102" s="51" t="str">
        <f>INDEX(_xlfn.TEXTSPLIT(tissage[[#This Row],[QR Fabrication]],"_"),1,5)</f>
        <v>ARTHUR</v>
      </c>
      <c r="O102" s="51" t="str">
        <f>_xlfn.TEXTAFTER(tissage[[#This Row],[QR Fabrication]],"_",5)</f>
        <v>2020</v>
      </c>
      <c r="P102" s="47" t="str">
        <f>IF(
   COUNTIFS($A$2:A102,A102,
             $C$2:C102,C102,
             $D$2:D102,D102,
             $B$2:B102,B102,
             $E$2:E102,E102,
             $I$2:I102,I102
               )&gt;1,
   "Doublon",
   "Correcte"
)</f>
        <v>Correcte</v>
      </c>
    </row>
    <row r="103" spans="1:16" ht="16.5" thickTop="1" thickBot="1" x14ac:dyDescent="0.3">
      <c r="A103" s="47" t="s">
        <v>702</v>
      </c>
      <c r="B103" s="107" t="s">
        <v>2546</v>
      </c>
      <c r="C103" s="102" t="s">
        <v>2514</v>
      </c>
      <c r="D103" s="53" t="s">
        <v>685</v>
      </c>
      <c r="E103" s="51"/>
      <c r="F103" s="51"/>
      <c r="G103" s="51"/>
      <c r="H103" s="47" t="s">
        <v>664</v>
      </c>
      <c r="I103" s="58">
        <v>45939</v>
      </c>
      <c r="J103" s="58" t="str">
        <f>INDEX(_xlfn.TEXTSPLIT(tissage[[#This Row],[QR Fabrication]],"_"),1,1)</f>
        <v>CA250245</v>
      </c>
      <c r="K103" s="107" t="str">
        <f>INDEX(_xlfn.TEXTSPLIT(tissage[[#This Row],[QR Fabrication]],"_"),1,2)</f>
        <v>All by Fouta</v>
      </c>
      <c r="L103" s="51" t="str">
        <f>INDEX(_xlfn.TEXTSPLIT(tissage[[#This Row],[QR Fabrication]],"_"),1,3)</f>
        <v>Stock</v>
      </c>
      <c r="M103" s="51" t="str">
        <f>INDEX(_xlfn.TEXTSPLIT(tissage[[#This Row],[QR Fabrication]],"_"),1,4)</f>
        <v>AR2020-T03-04-17</v>
      </c>
      <c r="N103" s="51" t="str">
        <f>INDEX(_xlfn.TEXTSPLIT(tissage[[#This Row],[QR Fabrication]],"_"),1,5)</f>
        <v>ARTHUR</v>
      </c>
      <c r="O103" s="51" t="str">
        <f>_xlfn.TEXTAFTER(tissage[[#This Row],[QR Fabrication]],"_",5)</f>
        <v>2020</v>
      </c>
      <c r="P103" s="47" t="str">
        <f>IF(
   COUNTIFS($A$2:A103,A103,
             $C$2:C103,C103,
             $D$2:D103,D103,
             $B$2:B103,B103,
             $E$2:E103,E103,
             $I$2:I103,I103
               )&gt;1,
   "Doublon",
   "Correcte"
)</f>
        <v>Correcte</v>
      </c>
    </row>
    <row r="104" spans="1:16" ht="16.5" thickTop="1" thickBot="1" x14ac:dyDescent="0.3">
      <c r="A104" s="51" t="s">
        <v>684</v>
      </c>
      <c r="B104" s="107" t="s">
        <v>2541</v>
      </c>
      <c r="C104" s="102" t="s">
        <v>2503</v>
      </c>
      <c r="D104" s="53" t="s">
        <v>685</v>
      </c>
      <c r="E104" s="51"/>
      <c r="F104" s="51"/>
      <c r="G104" s="51"/>
      <c r="H104" s="47" t="s">
        <v>664</v>
      </c>
      <c r="I104" s="58">
        <v>45938</v>
      </c>
      <c r="J104" s="58" t="str">
        <f>INDEX(_xlfn.TEXTSPLIT(tissage[[#This Row],[QR Fabrication]],"_"),1,1)</f>
        <v>CA250157</v>
      </c>
      <c r="K104" s="107" t="str">
        <f>INDEX(_xlfn.TEXTSPLIT(tissage[[#This Row],[QR Fabrication]],"_"),1,2)</f>
        <v>All by Fouta</v>
      </c>
      <c r="L104" s="51" t="str">
        <f>INDEX(_xlfn.TEXTSPLIT(tissage[[#This Row],[QR Fabrication]],"_"),1,3)</f>
        <v>Stock</v>
      </c>
      <c r="M104" s="51" t="str">
        <f>INDEX(_xlfn.TEXTSPLIT(tissage[[#This Row],[QR Fabrication]],"_"),1,4)</f>
        <v>IB1020-B07-17</v>
      </c>
      <c r="N104" s="51" t="str">
        <f>INDEX(_xlfn.TEXTSPLIT(tissage[[#This Row],[QR Fabrication]],"_"),1,5)</f>
        <v>IBIZA</v>
      </c>
      <c r="O104" s="51" t="str">
        <f>_xlfn.TEXTAFTER(tissage[[#This Row],[QR Fabrication]],"_",5)</f>
        <v>1020</v>
      </c>
      <c r="P104" s="47" t="str">
        <f>IF(
   COUNTIFS($A$2:A104,A104,
             $C$2:C104,C104,
             $D$2:D104,D104,
             $B$2:B104,B104,
             $E$2:E104,E104,
             $I$2:I104,I104
               )&gt;1,
   "Doublon",
   "Correcte"
)</f>
        <v>Correcte</v>
      </c>
    </row>
    <row r="105" spans="1:16" ht="16.5" thickTop="1" thickBot="1" x14ac:dyDescent="0.3">
      <c r="A105" s="47" t="s">
        <v>684</v>
      </c>
      <c r="B105" s="107" t="s">
        <v>2553</v>
      </c>
      <c r="C105" s="101" t="s">
        <v>2505</v>
      </c>
      <c r="D105" s="53" t="s">
        <v>685</v>
      </c>
      <c r="E105" s="47"/>
      <c r="F105" s="47"/>
      <c r="G105" s="47"/>
      <c r="H105" s="47" t="s">
        <v>664</v>
      </c>
      <c r="I105" s="57">
        <v>45938</v>
      </c>
      <c r="J105" s="58" t="str">
        <f>INDEX(_xlfn.TEXTSPLIT(tissage[[#This Row],[QR Fabrication]],"_"),1,1)</f>
        <v>CA250163</v>
      </c>
      <c r="K105" s="106" t="str">
        <f>INDEX(_xlfn.TEXTSPLIT(tissage[[#This Row],[QR Fabrication]],"_"),1,2)</f>
        <v>All by Fouta</v>
      </c>
      <c r="L105" s="47" t="str">
        <f>INDEX(_xlfn.TEXTSPLIT(tissage[[#This Row],[QR Fabrication]],"_"),1,3)</f>
        <v>Stock</v>
      </c>
      <c r="M105" s="47" t="str">
        <f>INDEX(_xlfn.TEXTSPLIT(tissage[[#This Row],[QR Fabrication]],"_"),1,4)</f>
        <v>IB1020-B20-24</v>
      </c>
      <c r="N105" s="47" t="str">
        <f>INDEX(_xlfn.TEXTSPLIT(tissage[[#This Row],[QR Fabrication]],"_"),1,5)</f>
        <v>IBIZA</v>
      </c>
      <c r="O105" s="47" t="str">
        <f>_xlfn.TEXTAFTER(tissage[[#This Row],[QR Fabrication]],"_",5)</f>
        <v>1020</v>
      </c>
      <c r="P105" s="47" t="str">
        <f>IF(
   COUNTIFS($A$2:A105,A105,
             $C$2:C105,C105,
             $D$2:D105,D105,
             $B$2:B105,B105,
             $E$2:E105,E105,
             $I$2:I105,I105
               )&gt;1,
   "Doublon",
   "Correcte"
)</f>
        <v>Correcte</v>
      </c>
    </row>
    <row r="106" spans="1:16" ht="16.5" thickTop="1" thickBot="1" x14ac:dyDescent="0.3">
      <c r="A106" s="47" t="s">
        <v>686</v>
      </c>
      <c r="B106" s="107" t="s">
        <v>2552</v>
      </c>
      <c r="C106" s="102" t="s">
        <v>2506</v>
      </c>
      <c r="D106" s="53" t="s">
        <v>685</v>
      </c>
      <c r="E106" s="51"/>
      <c r="F106" s="51"/>
      <c r="G106" s="51"/>
      <c r="H106" s="47" t="s">
        <v>664</v>
      </c>
      <c r="I106" s="58">
        <v>45938</v>
      </c>
      <c r="J106" s="58" t="str">
        <f>INDEX(_xlfn.TEXTSPLIT(tissage[[#This Row],[QR Fabrication]],"_"),1,1)</f>
        <v>CA250208</v>
      </c>
      <c r="K106" s="107" t="str">
        <f>INDEX(_xlfn.TEXTSPLIT(tissage[[#This Row],[QR Fabrication]],"_"),1,2)</f>
        <v>All by Fouta</v>
      </c>
      <c r="L106" s="51" t="str">
        <f>INDEX(_xlfn.TEXTSPLIT(tissage[[#This Row],[QR Fabrication]],"_"),1,3)</f>
        <v>Stock</v>
      </c>
      <c r="M106" s="51" t="str">
        <f>INDEX(_xlfn.TEXTSPLIT(tissage[[#This Row],[QR Fabrication]],"_"),1,4)</f>
        <v>AR1020-B11-25</v>
      </c>
      <c r="N106" s="51" t="str">
        <f>INDEX(_xlfn.TEXTSPLIT(tissage[[#This Row],[QR Fabrication]],"_"),1,5)</f>
        <v>ARTHUR</v>
      </c>
      <c r="O106" s="51" t="str">
        <f>_xlfn.TEXTAFTER(tissage[[#This Row],[QR Fabrication]],"_",5)</f>
        <v>1020</v>
      </c>
      <c r="P106" s="47" t="str">
        <f>IF(
   COUNTIFS($A$2:A106,A106,
             $C$2:C106,C106,
             $D$2:D106,D106,
             $B$2:B106,B106,
             $E$2:E106,E106,
             $I$2:I106,I106
               )&gt;1,
   "Doublon",
   "Correcte"
)</f>
        <v>Correcte</v>
      </c>
    </row>
    <row r="107" spans="1:16" ht="16.5" thickTop="1" thickBot="1" x14ac:dyDescent="0.3">
      <c r="A107" s="47" t="s">
        <v>687</v>
      </c>
      <c r="B107" s="107" t="s">
        <v>2548</v>
      </c>
      <c r="C107" s="101" t="s">
        <v>2509</v>
      </c>
      <c r="D107" s="53" t="s">
        <v>685</v>
      </c>
      <c r="E107" s="47"/>
      <c r="F107" s="47"/>
      <c r="G107" s="47"/>
      <c r="H107" s="47" t="s">
        <v>664</v>
      </c>
      <c r="I107" s="57">
        <v>45938</v>
      </c>
      <c r="J107" s="58" t="str">
        <f>INDEX(_xlfn.TEXTSPLIT(tissage[[#This Row],[QR Fabrication]],"_"),1,1)</f>
        <v>CA250156</v>
      </c>
      <c r="K107" s="106" t="str">
        <f>INDEX(_xlfn.TEXTSPLIT(tissage[[#This Row],[QR Fabrication]],"_"),1,2)</f>
        <v>All by Fouta</v>
      </c>
      <c r="L107" s="47" t="str">
        <f>INDEX(_xlfn.TEXTSPLIT(tissage[[#This Row],[QR Fabrication]],"_"),1,3)</f>
        <v>Stock</v>
      </c>
      <c r="M107" s="47" t="str">
        <f>INDEX(_xlfn.TEXTSPLIT(tissage[[#This Row],[QR Fabrication]],"_"),1,4)</f>
        <v>IB1020-B06-08</v>
      </c>
      <c r="N107" s="47" t="str">
        <f>INDEX(_xlfn.TEXTSPLIT(tissage[[#This Row],[QR Fabrication]],"_"),1,5)</f>
        <v>IBIZA</v>
      </c>
      <c r="O107" s="47" t="str">
        <f>_xlfn.TEXTAFTER(tissage[[#This Row],[QR Fabrication]],"_",5)</f>
        <v>1020</v>
      </c>
      <c r="P107" s="47" t="str">
        <f>IF(
   COUNTIFS($A$2:A107,A107,
             $C$2:C107,C107,
             $D$2:D107,D107,
             $B$2:B107,B107,
             $E$2:E107,E107,
             $I$2:I107,I107
               )&gt;1,
   "Doublon",
   "Correcte"
)</f>
        <v>Correcte</v>
      </c>
    </row>
    <row r="108" spans="1:16" ht="16.5" thickTop="1" thickBot="1" x14ac:dyDescent="0.3">
      <c r="A108" s="47" t="s">
        <v>684</v>
      </c>
      <c r="B108" s="107" t="s">
        <v>2541</v>
      </c>
      <c r="C108" s="101" t="s">
        <v>2510</v>
      </c>
      <c r="D108" s="53" t="s">
        <v>685</v>
      </c>
      <c r="E108" s="47"/>
      <c r="F108" s="47"/>
      <c r="G108" s="47"/>
      <c r="H108" s="47" t="s">
        <v>664</v>
      </c>
      <c r="I108" s="57">
        <v>45939</v>
      </c>
      <c r="J108" s="58" t="str">
        <f>INDEX(_xlfn.TEXTSPLIT(tissage[[#This Row],[QR Fabrication]],"_"),1,1)</f>
        <v>CA250158</v>
      </c>
      <c r="K108" s="106" t="str">
        <f>INDEX(_xlfn.TEXTSPLIT(tissage[[#This Row],[QR Fabrication]],"_"),1,2)</f>
        <v>All by Fouta</v>
      </c>
      <c r="L108" s="47" t="str">
        <f>INDEX(_xlfn.TEXTSPLIT(tissage[[#This Row],[QR Fabrication]],"_"),1,3)</f>
        <v>Stock</v>
      </c>
      <c r="M108" s="47" t="str">
        <f>INDEX(_xlfn.TEXTSPLIT(tissage[[#This Row],[QR Fabrication]],"_"),1,4)</f>
        <v>IB1020-B11-25</v>
      </c>
      <c r="N108" s="47" t="str">
        <f>INDEX(_xlfn.TEXTSPLIT(tissage[[#This Row],[QR Fabrication]],"_"),1,5)</f>
        <v>IBIZA</v>
      </c>
      <c r="O108" s="47" t="str">
        <f>_xlfn.TEXTAFTER(tissage[[#This Row],[QR Fabrication]],"_",5)</f>
        <v>1020</v>
      </c>
      <c r="P108" s="47" t="str">
        <f>IF(
   COUNTIFS($A$2:A108,A108,
             $C$2:C108,C108,
             $D$2:D108,D108,
             $B$2:B108,B108,
             $E$2:E108,E108,
             $I$2:I108,I108
               )&gt;1,
   "Doublon",
   "Correcte"
)</f>
        <v>Correcte</v>
      </c>
    </row>
    <row r="109" spans="1:16" ht="16.5" thickTop="1" thickBot="1" x14ac:dyDescent="0.3">
      <c r="A109" s="47" t="s">
        <v>687</v>
      </c>
      <c r="B109" s="107" t="s">
        <v>2553</v>
      </c>
      <c r="C109" s="101" t="s">
        <v>2513</v>
      </c>
      <c r="D109" s="53" t="s">
        <v>685</v>
      </c>
      <c r="E109" s="47"/>
      <c r="F109" s="47"/>
      <c r="G109" s="47"/>
      <c r="H109" s="47" t="s">
        <v>664</v>
      </c>
      <c r="I109" s="57">
        <v>45939</v>
      </c>
      <c r="J109" s="58" t="str">
        <f>INDEX(_xlfn.TEXTSPLIT(tissage[[#This Row],[QR Fabrication]],"_"),1,1)</f>
        <v>CA250162</v>
      </c>
      <c r="K109" s="106" t="str">
        <f>INDEX(_xlfn.TEXTSPLIT(tissage[[#This Row],[QR Fabrication]],"_"),1,2)</f>
        <v>All by Fouta</v>
      </c>
      <c r="L109" s="47" t="str">
        <f>INDEX(_xlfn.TEXTSPLIT(tissage[[#This Row],[QR Fabrication]],"_"),1,3)</f>
        <v>Stock</v>
      </c>
      <c r="M109" s="47" t="str">
        <f>INDEX(_xlfn.TEXTSPLIT(tissage[[#This Row],[QR Fabrication]],"_"),1,4)</f>
        <v>IB1020-B17-07</v>
      </c>
      <c r="N109" s="47" t="str">
        <f>INDEX(_xlfn.TEXTSPLIT(tissage[[#This Row],[QR Fabrication]],"_"),1,5)</f>
        <v>IBIZA</v>
      </c>
      <c r="O109" s="47" t="str">
        <f>_xlfn.TEXTAFTER(tissage[[#This Row],[QR Fabrication]],"_",5)</f>
        <v>1020</v>
      </c>
      <c r="P109" s="47" t="str">
        <f>IF(
   COUNTIFS($A$2:A109,A109,
             $C$2:C109,C109,
             $D$2:D109,D109,
             $B$2:B109,B109,
             $E$2:E109,E109,
             $I$2:I109,I109
               )&gt;1,
   "Doublon",
   "Correcte"
)</f>
        <v>Correcte</v>
      </c>
    </row>
    <row r="110" spans="1:16" ht="16.5" thickTop="1" thickBot="1" x14ac:dyDescent="0.3">
      <c r="A110" s="47" t="s">
        <v>702</v>
      </c>
      <c r="B110" s="107" t="s">
        <v>2543</v>
      </c>
      <c r="C110" s="101" t="s">
        <v>2515</v>
      </c>
      <c r="D110" s="53" t="s">
        <v>685</v>
      </c>
      <c r="E110" s="47"/>
      <c r="F110" s="47"/>
      <c r="G110" s="47"/>
      <c r="H110" s="47" t="s">
        <v>664</v>
      </c>
      <c r="I110" s="57">
        <v>45938</v>
      </c>
      <c r="J110" s="58" t="str">
        <f>INDEX(_xlfn.TEXTSPLIT(tissage[[#This Row],[QR Fabrication]],"_"),1,1)</f>
        <v>CA250183</v>
      </c>
      <c r="K110" s="106" t="str">
        <f>INDEX(_xlfn.TEXTSPLIT(tissage[[#This Row],[QR Fabrication]],"_"),1,2)</f>
        <v>All by Fouta</v>
      </c>
      <c r="L110" s="47" t="str">
        <f>INDEX(_xlfn.TEXTSPLIT(tissage[[#This Row],[QR Fabrication]],"_"),1,3)</f>
        <v>Stock</v>
      </c>
      <c r="M110" s="47" t="str">
        <f>INDEX(_xlfn.TEXTSPLIT(tissage[[#This Row],[QR Fabrication]],"_"),1,4)</f>
        <v>IB2020-B06-08</v>
      </c>
      <c r="N110" s="47" t="str">
        <f>INDEX(_xlfn.TEXTSPLIT(tissage[[#This Row],[QR Fabrication]],"_"),1,5)</f>
        <v>IBIZA</v>
      </c>
      <c r="O110" s="47" t="str">
        <f>_xlfn.TEXTAFTER(tissage[[#This Row],[QR Fabrication]],"_",5)</f>
        <v>2020</v>
      </c>
      <c r="P110" s="47" t="str">
        <f>IF(
   COUNTIFS($A$2:A110,A110,
             $C$2:C110,C110,
             $D$2:D110,D110,
             $B$2:B110,B110,
             $E$2:E110,E110,
             $I$2:I110,I110
               )&gt;1,
   "Doublon",
   "Correcte"
)</f>
        <v>Correcte</v>
      </c>
    </row>
    <row r="111" spans="1:16" ht="16.5" thickTop="1" thickBot="1" x14ac:dyDescent="0.3">
      <c r="A111" s="47" t="s">
        <v>687</v>
      </c>
      <c r="B111" s="107" t="s">
        <v>2541</v>
      </c>
      <c r="C111" s="101" t="s">
        <v>2518</v>
      </c>
      <c r="D111" s="53" t="s">
        <v>685</v>
      </c>
      <c r="E111" s="47"/>
      <c r="F111" s="47"/>
      <c r="G111" s="47"/>
      <c r="H111" s="47" t="s">
        <v>664</v>
      </c>
      <c r="I111" s="57">
        <v>45939</v>
      </c>
      <c r="J111" s="58" t="str">
        <f>INDEX(_xlfn.TEXTSPLIT(tissage[[#This Row],[QR Fabrication]],"_"),1,1)</f>
        <v>CA250159</v>
      </c>
      <c r="K111" s="106" t="str">
        <f>INDEX(_xlfn.TEXTSPLIT(tissage[[#This Row],[QR Fabrication]],"_"),1,2)</f>
        <v>All by Fouta</v>
      </c>
      <c r="L111" s="47" t="str">
        <f>INDEX(_xlfn.TEXTSPLIT(tissage[[#This Row],[QR Fabrication]],"_"),1,3)</f>
        <v>Stock</v>
      </c>
      <c r="M111" s="47" t="str">
        <f>INDEX(_xlfn.TEXTSPLIT(tissage[[#This Row],[QR Fabrication]],"_"),1,4)</f>
        <v>IB1020-B11-14</v>
      </c>
      <c r="N111" s="47" t="str">
        <f>INDEX(_xlfn.TEXTSPLIT(tissage[[#This Row],[QR Fabrication]],"_"),1,5)</f>
        <v>IBIZA</v>
      </c>
      <c r="O111" s="47" t="str">
        <f>_xlfn.TEXTAFTER(tissage[[#This Row],[QR Fabrication]],"_",5)</f>
        <v>1020</v>
      </c>
      <c r="P111" s="47" t="str">
        <f>IF(
   COUNTIFS($A$2:A111,A111,
             $C$2:C111,C111,
             $D$2:D111,D111,
             $B$2:B111,B111,
             $E$2:E111,E111,
             $I$2:I111,I111
               )&gt;1,
   "Doublon",
   "Correcte"
)</f>
        <v>Correcte</v>
      </c>
    </row>
    <row r="112" spans="1:16" ht="16.5" thickTop="1" thickBot="1" x14ac:dyDescent="0.3">
      <c r="A112" s="47" t="s">
        <v>686</v>
      </c>
      <c r="B112" s="107" t="s">
        <v>2543</v>
      </c>
      <c r="C112" s="101" t="s">
        <v>2520</v>
      </c>
      <c r="D112" s="53" t="s">
        <v>685</v>
      </c>
      <c r="E112" s="47"/>
      <c r="F112" s="47"/>
      <c r="G112" s="47"/>
      <c r="H112" s="47" t="s">
        <v>664</v>
      </c>
      <c r="I112" s="57">
        <v>45939</v>
      </c>
      <c r="J112" s="58" t="str">
        <f>INDEX(_xlfn.TEXTSPLIT(tissage[[#This Row],[QR Fabrication]],"_"),1,1)</f>
        <v>CA250186</v>
      </c>
      <c r="K112" s="106" t="str">
        <f>INDEX(_xlfn.TEXTSPLIT(tissage[[#This Row],[QR Fabrication]],"_"),1,2)</f>
        <v>All by Fouta</v>
      </c>
      <c r="L112" s="47" t="str">
        <f>INDEX(_xlfn.TEXTSPLIT(tissage[[#This Row],[QR Fabrication]],"_"),1,3)</f>
        <v>Stock</v>
      </c>
      <c r="M112" s="47" t="str">
        <f>INDEX(_xlfn.TEXTSPLIT(tissage[[#This Row],[QR Fabrication]],"_"),1,4)</f>
        <v>IB2020-B11-14</v>
      </c>
      <c r="N112" s="47" t="str">
        <f>INDEX(_xlfn.TEXTSPLIT(tissage[[#This Row],[QR Fabrication]],"_"),1,5)</f>
        <v>IBIZA</v>
      </c>
      <c r="O112" s="47" t="str">
        <f>_xlfn.TEXTAFTER(tissage[[#This Row],[QR Fabrication]],"_",5)</f>
        <v>2020</v>
      </c>
      <c r="P112" s="47" t="str">
        <f>IF(
   COUNTIFS($A$2:A112,A112,
             $C$2:C112,C112,
             $D$2:D112,D112,
             $B$2:B112,B112,
             $E$2:E112,E112,
             $I$2:I112,I112
               )&gt;1,
   "Doublon",
   "Correcte"
)</f>
        <v>Correcte</v>
      </c>
    </row>
    <row r="113" spans="1:16" ht="16.5" thickTop="1" thickBot="1" x14ac:dyDescent="0.3">
      <c r="A113" s="47" t="s">
        <v>702</v>
      </c>
      <c r="B113" s="107" t="s">
        <v>2543</v>
      </c>
      <c r="C113" s="101" t="s">
        <v>2521</v>
      </c>
      <c r="D113" s="53" t="s">
        <v>685</v>
      </c>
      <c r="E113" s="47"/>
      <c r="F113" s="47"/>
      <c r="G113" s="47"/>
      <c r="H113" s="47" t="s">
        <v>664</v>
      </c>
      <c r="I113" s="57">
        <v>45939</v>
      </c>
      <c r="J113" s="58" t="str">
        <f>INDEX(_xlfn.TEXTSPLIT(tissage[[#This Row],[QR Fabrication]],"_"),1,1)</f>
        <v>CA250185</v>
      </c>
      <c r="K113" s="106" t="str">
        <f>INDEX(_xlfn.TEXTSPLIT(tissage[[#This Row],[QR Fabrication]],"_"),1,2)</f>
        <v>All by Fouta</v>
      </c>
      <c r="L113" s="47" t="str">
        <f>INDEX(_xlfn.TEXTSPLIT(tissage[[#This Row],[QR Fabrication]],"_"),1,3)</f>
        <v>Stock</v>
      </c>
      <c r="M113" s="47" t="str">
        <f>INDEX(_xlfn.TEXTSPLIT(tissage[[#This Row],[QR Fabrication]],"_"),1,4)</f>
        <v>IB2020-B11-25</v>
      </c>
      <c r="N113" s="47" t="str">
        <f>INDEX(_xlfn.TEXTSPLIT(tissage[[#This Row],[QR Fabrication]],"_"),1,5)</f>
        <v>IBIZA</v>
      </c>
      <c r="O113" s="47" t="str">
        <f>_xlfn.TEXTAFTER(tissage[[#This Row],[QR Fabrication]],"_",5)</f>
        <v>2020</v>
      </c>
      <c r="P113" s="47" t="str">
        <f>IF(
   COUNTIFS($A$2:A113,A113,
             $C$2:C113,C113,
             $D$2:D113,D113,
             $B$2:B113,B113,
             $E$2:E113,E113,
             $I$2:I113,I113
               )&gt;1,
   "Doublon",
   "Correcte"
)</f>
        <v>Correcte</v>
      </c>
    </row>
    <row r="114" spans="1:16" ht="16.5" thickTop="1" thickBot="1" x14ac:dyDescent="0.3">
      <c r="A114" s="51" t="s">
        <v>687</v>
      </c>
      <c r="B114" s="107" t="s">
        <v>2541</v>
      </c>
      <c r="C114" s="102" t="s">
        <v>2523</v>
      </c>
      <c r="D114" s="53" t="s">
        <v>685</v>
      </c>
      <c r="E114" s="51"/>
      <c r="F114" s="51"/>
      <c r="G114" s="51"/>
      <c r="H114" s="47" t="s">
        <v>664</v>
      </c>
      <c r="I114" s="58">
        <v>45939</v>
      </c>
      <c r="J114" s="58" t="str">
        <f>INDEX(_xlfn.TEXTSPLIT(tissage[[#This Row],[QR Fabrication]],"_"),1,1)</f>
        <v>CA250160</v>
      </c>
      <c r="K114" s="107" t="str">
        <f>INDEX(_xlfn.TEXTSPLIT(tissage[[#This Row],[QR Fabrication]],"_"),1,2)</f>
        <v>All by Fouta</v>
      </c>
      <c r="L114" s="51" t="str">
        <f>INDEX(_xlfn.TEXTSPLIT(tissage[[#This Row],[QR Fabrication]],"_"),1,3)</f>
        <v>Stock</v>
      </c>
      <c r="M114" s="51" t="str">
        <f>INDEX(_xlfn.TEXTSPLIT(tissage[[#This Row],[QR Fabrication]],"_"),1,4)</f>
        <v>IB1020-B12-32</v>
      </c>
      <c r="N114" s="51" t="str">
        <f>INDEX(_xlfn.TEXTSPLIT(tissage[[#This Row],[QR Fabrication]],"_"),1,5)</f>
        <v>IBIZA</v>
      </c>
      <c r="O114" s="51" t="str">
        <f>_xlfn.TEXTAFTER(tissage[[#This Row],[QR Fabrication]],"_",5)</f>
        <v>1020</v>
      </c>
      <c r="P114" s="47" t="str">
        <f>IF(
   COUNTIFS($A$2:A114,A114,
             $C$2:C114,C114,
             $D$2:D114,D114,
             $B$2:B114,B114,
             $E$2:E114,E114,
             $I$2:I114,I114
               )&gt;1,
   "Doublon",
   "Correcte"
)</f>
        <v>Correcte</v>
      </c>
    </row>
    <row r="115" spans="1:16" ht="16.5" thickTop="1" thickBot="1" x14ac:dyDescent="0.3">
      <c r="A115" s="47" t="s">
        <v>686</v>
      </c>
      <c r="B115" s="107" t="s">
        <v>2543</v>
      </c>
      <c r="C115" s="101" t="s">
        <v>2528</v>
      </c>
      <c r="D115" s="53" t="s">
        <v>685</v>
      </c>
      <c r="E115" s="47"/>
      <c r="F115" s="47"/>
      <c r="G115" s="47"/>
      <c r="H115" s="47" t="s">
        <v>664</v>
      </c>
      <c r="I115" s="57">
        <v>45940</v>
      </c>
      <c r="J115" s="58" t="str">
        <f>INDEX(_xlfn.TEXTSPLIT(tissage[[#This Row],[QR Fabrication]],"_"),1,1)</f>
        <v>CA250187</v>
      </c>
      <c r="K115" s="106" t="str">
        <f>INDEX(_xlfn.TEXTSPLIT(tissage[[#This Row],[QR Fabrication]],"_"),1,2)</f>
        <v>All by Fouta</v>
      </c>
      <c r="L115" s="47" t="str">
        <f>INDEX(_xlfn.TEXTSPLIT(tissage[[#This Row],[QR Fabrication]],"_"),1,3)</f>
        <v>Stock</v>
      </c>
      <c r="M115" s="47" t="str">
        <f>INDEX(_xlfn.TEXTSPLIT(tissage[[#This Row],[QR Fabrication]],"_"),1,4)</f>
        <v>IB2020-B12-32</v>
      </c>
      <c r="N115" s="47" t="str">
        <f>INDEX(_xlfn.TEXTSPLIT(tissage[[#This Row],[QR Fabrication]],"_"),1,5)</f>
        <v>IBIZA</v>
      </c>
      <c r="O115" s="47" t="str">
        <f>_xlfn.TEXTAFTER(tissage[[#This Row],[QR Fabrication]],"_",5)</f>
        <v>2020</v>
      </c>
      <c r="P115" s="47" t="str">
        <f>IF(
   COUNTIFS($A$2:A115,A115,
             $C$2:C115,C115,
             $D$2:D115,D115,
             $B$2:B115,B115,
             $E$2:E115,E115,
             $I$2:I115,I115
               )&gt;1,
   "Doublon",
   "Correcte"
)</f>
        <v>Correcte</v>
      </c>
    </row>
    <row r="116" spans="1:16" ht="16.5" thickTop="1" thickBot="1" x14ac:dyDescent="0.3">
      <c r="A116" s="47" t="s">
        <v>702</v>
      </c>
      <c r="B116" s="107" t="s">
        <v>2543</v>
      </c>
      <c r="C116" s="102" t="s">
        <v>2529</v>
      </c>
      <c r="D116" s="53" t="s">
        <v>685</v>
      </c>
      <c r="E116" s="51"/>
      <c r="F116" s="51"/>
      <c r="G116" s="51"/>
      <c r="H116" s="47" t="s">
        <v>664</v>
      </c>
      <c r="I116" s="58">
        <v>45940</v>
      </c>
      <c r="J116" s="58" t="str">
        <f>INDEX(_xlfn.TEXTSPLIT(tissage[[#This Row],[QR Fabrication]],"_"),1,1)</f>
        <v>CA250184</v>
      </c>
      <c r="K116" s="107" t="str">
        <f>INDEX(_xlfn.TEXTSPLIT(tissage[[#This Row],[QR Fabrication]],"_"),1,2)</f>
        <v>All by Fouta</v>
      </c>
      <c r="L116" s="51" t="str">
        <f>INDEX(_xlfn.TEXTSPLIT(tissage[[#This Row],[QR Fabrication]],"_"),1,3)</f>
        <v>Stock</v>
      </c>
      <c r="M116" s="51" t="str">
        <f>INDEX(_xlfn.TEXTSPLIT(tissage[[#This Row],[QR Fabrication]],"_"),1,4)</f>
        <v>IB2020-B07-17</v>
      </c>
      <c r="N116" s="51" t="str">
        <f>INDEX(_xlfn.TEXTSPLIT(tissage[[#This Row],[QR Fabrication]],"_"),1,5)</f>
        <v>IBIZA</v>
      </c>
      <c r="O116" s="51" t="str">
        <f>_xlfn.TEXTAFTER(tissage[[#This Row],[QR Fabrication]],"_",5)</f>
        <v>2020</v>
      </c>
      <c r="P116" s="47" t="str">
        <f>IF(
   COUNTIFS($A$2:A116,A116,
             $C$2:C116,C116,
             $D$2:D116,D116,
             $B$2:B116,B116,
             $E$2:E116,E116,
             $I$2:I116,I116
               )&gt;1,
   "Doublon",
   "Correcte"
)</f>
        <v>Correcte</v>
      </c>
    </row>
    <row r="117" spans="1:16" ht="16.5" thickTop="1" thickBot="1" x14ac:dyDescent="0.3">
      <c r="A117" s="51" t="s">
        <v>684</v>
      </c>
      <c r="B117" s="107" t="s">
        <v>2541</v>
      </c>
      <c r="C117" s="102" t="s">
        <v>2555</v>
      </c>
      <c r="D117" s="51" t="s">
        <v>688</v>
      </c>
      <c r="E117" s="51">
        <v>0</v>
      </c>
      <c r="F117" s="51"/>
      <c r="G117" s="51"/>
      <c r="H117" s="47" t="s">
        <v>664</v>
      </c>
      <c r="I117" s="58">
        <v>45910</v>
      </c>
      <c r="J117" s="58" t="str">
        <f>INDEX(_xlfn.TEXTSPLIT(tissage[[#This Row],[QR Fabrication]],"_"),1,1)</f>
        <v>OF244984</v>
      </c>
      <c r="K117" s="107" t="str">
        <f>INDEX(_xlfn.TEXTSPLIT(tissage[[#This Row],[QR Fabrication]],"_"),1,2)</f>
        <v>CL00296</v>
      </c>
      <c r="L117" s="51" t="str">
        <f>INDEX(_xlfn.TEXTSPLIT(tissage[[#This Row],[QR Fabrication]],"_"),1,3)</f>
        <v>CM-FT0069</v>
      </c>
      <c r="M117" s="51" t="str">
        <f>INDEX(_xlfn.TEXTSPLIT(tissage[[#This Row],[QR Fabrication]],"_"),1,4)</f>
        <v>NDL1020-B20-01</v>
      </c>
      <c r="N117" s="51" t="str">
        <f>INDEX(_xlfn.TEXTSPLIT(tissage[[#This Row],[QR Fabrication]],"_"),1,5)</f>
        <v>ND LILI</v>
      </c>
      <c r="O117" s="51" t="str">
        <f>_xlfn.TEXTAFTER(tissage[[#This Row],[QR Fabrication]],"_",5)</f>
        <v>1020</v>
      </c>
      <c r="P117" s="47" t="str">
        <f>IF(
   COUNTIFS($A$2:A117,A117,
             $C$2:C117,C117,
             $D$2:D117,D117,
             $B$2:B117,B117,
             $E$2:E117,E117,
             $I$2:I117,I117
               )&gt;1,
   "Doublon",
   "Correcte"
)</f>
        <v>Correcte</v>
      </c>
    </row>
    <row r="118" spans="1:16" ht="16.5" thickTop="1" thickBot="1" x14ac:dyDescent="0.3">
      <c r="A118" s="51" t="s">
        <v>678</v>
      </c>
      <c r="B118" s="107" t="s">
        <v>2542</v>
      </c>
      <c r="C118" s="102" t="s">
        <v>1299</v>
      </c>
      <c r="D118" s="51" t="s">
        <v>688</v>
      </c>
      <c r="E118" s="51">
        <v>0</v>
      </c>
      <c r="F118" s="51"/>
      <c r="G118" s="51"/>
      <c r="H118" s="47" t="s">
        <v>664</v>
      </c>
      <c r="I118" s="58">
        <v>45911</v>
      </c>
      <c r="J118" s="58" t="str">
        <f>INDEX(_xlfn.TEXTSPLIT(tissage[[#This Row],[QR Fabrication]],"_"),1,1)</f>
        <v>OF246533</v>
      </c>
      <c r="K118" s="107" t="str">
        <f>INDEX(_xlfn.TEXTSPLIT(tissage[[#This Row],[QR Fabrication]],"_"),1,2)</f>
        <v>CL00296</v>
      </c>
      <c r="L118" s="51" t="str">
        <f>INDEX(_xlfn.TEXTSPLIT(tissage[[#This Row],[QR Fabrication]],"_"),1,3)</f>
        <v>CM-FT0108</v>
      </c>
      <c r="M118" s="51" t="str">
        <f>INDEX(_xlfn.TEXTSPLIT(tissage[[#This Row],[QR Fabrication]],"_"),1,4)</f>
        <v>EPMA0919-B15-02</v>
      </c>
      <c r="N118" s="51" t="str">
        <f>INDEX(_xlfn.TEXTSPLIT(tissage[[#This Row],[QR Fabrication]],"_"),1,5)</f>
        <v>MARINIERE</v>
      </c>
      <c r="O118" s="51" t="str">
        <f>_xlfn.TEXTAFTER(tissage[[#This Row],[QR Fabrication]],"_",5)</f>
        <v>0919</v>
      </c>
      <c r="P118" s="47" t="str">
        <f>IF(
   COUNTIFS($A$2:A118,A118,
             $C$2:C118,C118,
             $D$2:D118,D118,
             $B$2:B118,B118,
             $E$2:E118,E118,
             $I$2:I118,I118
               )&gt;1,
   "Doublon",
   "Correcte"
)</f>
        <v>Correcte</v>
      </c>
    </row>
    <row r="119" spans="1:16" ht="16.5" thickTop="1" thickBot="1" x14ac:dyDescent="0.3">
      <c r="A119" s="51" t="s">
        <v>678</v>
      </c>
      <c r="B119" s="107" t="s">
        <v>2542</v>
      </c>
      <c r="C119" s="102" t="s">
        <v>2556</v>
      </c>
      <c r="D119" s="51" t="s">
        <v>688</v>
      </c>
      <c r="E119" s="51">
        <v>0</v>
      </c>
      <c r="F119" s="51"/>
      <c r="G119" s="51"/>
      <c r="H119" s="47" t="s">
        <v>664</v>
      </c>
      <c r="I119" s="58">
        <v>45909</v>
      </c>
      <c r="J119" s="58" t="str">
        <f>INDEX(_xlfn.TEXTSPLIT(tissage[[#This Row],[QR Fabrication]],"_"),1,1)</f>
        <v>OF246535</v>
      </c>
      <c r="K119" s="107" t="str">
        <f>INDEX(_xlfn.TEXTSPLIT(tissage[[#This Row],[QR Fabrication]],"_"),1,2)</f>
        <v>CL00296</v>
      </c>
      <c r="L119" s="51" t="str">
        <f>INDEX(_xlfn.TEXTSPLIT(tissage[[#This Row],[QR Fabrication]],"_"),1,3)</f>
        <v>CM-FT0108</v>
      </c>
      <c r="M119" s="51" t="str">
        <f>INDEX(_xlfn.TEXTSPLIT(tissage[[#This Row],[QR Fabrication]],"_"),1,4)</f>
        <v>EPMA0919-B03-02</v>
      </c>
      <c r="N119" s="51" t="str">
        <f>INDEX(_xlfn.TEXTSPLIT(tissage[[#This Row],[QR Fabrication]],"_"),1,5)</f>
        <v>MARINIERE</v>
      </c>
      <c r="O119" s="51" t="str">
        <f>_xlfn.TEXTAFTER(tissage[[#This Row],[QR Fabrication]],"_",5)</f>
        <v>0919</v>
      </c>
      <c r="P119" s="47" t="str">
        <f>IF(
   COUNTIFS($A$2:A119,A119,
             $C$2:C119,C119,
             $D$2:D119,D119,
             $B$2:B119,B119,
             $E$2:E119,E119,
             $I$2:I119,I119
               )&gt;1,
   "Doublon",
   "Correcte"
)</f>
        <v>Correcte</v>
      </c>
    </row>
    <row r="120" spans="1:16" ht="16.5" thickTop="1" thickBot="1" x14ac:dyDescent="0.3">
      <c r="A120" s="47" t="s">
        <v>678</v>
      </c>
      <c r="B120" s="106" t="s">
        <v>2542</v>
      </c>
      <c r="C120" s="101" t="s">
        <v>1302</v>
      </c>
      <c r="D120" s="51" t="s">
        <v>688</v>
      </c>
      <c r="E120" s="51">
        <v>0</v>
      </c>
      <c r="F120" s="47"/>
      <c r="G120" s="47"/>
      <c r="H120" s="47" t="s">
        <v>664</v>
      </c>
      <c r="I120" s="57">
        <v>45912</v>
      </c>
      <c r="J120" s="57" t="str">
        <f>INDEX(_xlfn.TEXTSPLIT(tissage[[#This Row],[QR Fabrication]],"_"),1,1)</f>
        <v>OF246543</v>
      </c>
      <c r="K120" s="106" t="str">
        <f>INDEX(_xlfn.TEXTSPLIT(tissage[[#This Row],[QR Fabrication]],"_"),1,2)</f>
        <v>CL00296</v>
      </c>
      <c r="L120" s="47" t="str">
        <f>INDEX(_xlfn.TEXTSPLIT(tissage[[#This Row],[QR Fabrication]],"_"),1,3)</f>
        <v>CM-FT0108</v>
      </c>
      <c r="M120" s="47" t="str">
        <f>INDEX(_xlfn.TEXTSPLIT(tissage[[#This Row],[QR Fabrication]],"_"),1,4)</f>
        <v>EPMA0919-B15-02</v>
      </c>
      <c r="N120" s="47" t="str">
        <f>INDEX(_xlfn.TEXTSPLIT(tissage[[#This Row],[QR Fabrication]],"_"),1,5)</f>
        <v>MARINIERE</v>
      </c>
      <c r="O120" s="47" t="str">
        <f>_xlfn.TEXTAFTER(tissage[[#This Row],[QR Fabrication]],"_",5)</f>
        <v>0919</v>
      </c>
      <c r="P120" s="47" t="str">
        <f>IF(
   COUNTIFS($A$2:A120,A120,
             $C$2:C120,C120,
             $D$2:D120,D120,
             $B$2:B120,B120,
             $E$2:E120,E120,
             $I$2:I120,I120
               )&gt;1,
   "Doublon",
   "Correcte"
)</f>
        <v>Correcte</v>
      </c>
    </row>
    <row r="121" spans="1:16" ht="16.5" thickTop="1" thickBot="1" x14ac:dyDescent="0.3">
      <c r="A121" s="51" t="s">
        <v>678</v>
      </c>
      <c r="B121" s="107" t="s">
        <v>2542</v>
      </c>
      <c r="C121" s="102" t="s">
        <v>2557</v>
      </c>
      <c r="D121" s="51" t="s">
        <v>688</v>
      </c>
      <c r="E121" s="51">
        <v>0</v>
      </c>
      <c r="F121" s="51"/>
      <c r="G121" s="51"/>
      <c r="H121" s="47" t="s">
        <v>664</v>
      </c>
      <c r="I121" s="58">
        <v>45911</v>
      </c>
      <c r="J121" s="58" t="str">
        <f>INDEX(_xlfn.TEXTSPLIT(tissage[[#This Row],[QR Fabrication]],"_"),1,1)</f>
        <v>OF246544</v>
      </c>
      <c r="K121" s="107" t="str">
        <f>INDEX(_xlfn.TEXTSPLIT(tissage[[#This Row],[QR Fabrication]],"_"),1,2)</f>
        <v>CL00296</v>
      </c>
      <c r="L121" s="51" t="str">
        <f>INDEX(_xlfn.TEXTSPLIT(tissage[[#This Row],[QR Fabrication]],"_"),1,3)</f>
        <v>CM-FT0108</v>
      </c>
      <c r="M121" s="51" t="str">
        <f>INDEX(_xlfn.TEXTSPLIT(tissage[[#This Row],[QR Fabrication]],"_"),1,4)</f>
        <v>EPMA0919-B03-02</v>
      </c>
      <c r="N121" s="51" t="str">
        <f>INDEX(_xlfn.TEXTSPLIT(tissage[[#This Row],[QR Fabrication]],"_"),1,5)</f>
        <v>MARINIERE</v>
      </c>
      <c r="O121" s="51" t="str">
        <f>_xlfn.TEXTAFTER(tissage[[#This Row],[QR Fabrication]],"_",5)</f>
        <v>0919</v>
      </c>
      <c r="P121" s="47" t="str">
        <f>IF(
   COUNTIFS($A$2:A121,A121,
             $C$2:C121,C121,
             $D$2:D121,D121,
             $B$2:B121,B121,
             $E$2:E121,E121,
             $I$2:I121,I121
               )&gt;1,
   "Doublon",
   "Correcte"
)</f>
        <v>Correcte</v>
      </c>
    </row>
    <row r="122" spans="1:16" ht="16.5" thickTop="1" thickBot="1" x14ac:dyDescent="0.3">
      <c r="A122" s="47" t="s">
        <v>686</v>
      </c>
      <c r="B122" s="107" t="s">
        <v>2543</v>
      </c>
      <c r="C122" s="102" t="s">
        <v>1308</v>
      </c>
      <c r="D122" s="51" t="s">
        <v>688</v>
      </c>
      <c r="E122" s="51">
        <v>0</v>
      </c>
      <c r="F122" s="51"/>
      <c r="G122" s="51"/>
      <c r="H122" s="47" t="s">
        <v>664</v>
      </c>
      <c r="I122" s="58">
        <v>45908</v>
      </c>
      <c r="J122" s="58" t="str">
        <f>INDEX(_xlfn.TEXTSPLIT(tissage[[#This Row],[QR Fabrication]],"_"),1,1)</f>
        <v>OF246842</v>
      </c>
      <c r="K122" s="107" t="str">
        <f>INDEX(_xlfn.TEXTSPLIT(tissage[[#This Row],[QR Fabrication]],"_"),1,2)</f>
        <v>CL00300</v>
      </c>
      <c r="L122" s="51" t="str">
        <f>INDEX(_xlfn.TEXTSPLIT(tissage[[#This Row],[QR Fabrication]],"_"),1,3)</f>
        <v>CM-FT0116</v>
      </c>
      <c r="M122" s="51" t="str">
        <f>INDEX(_xlfn.TEXTSPLIT(tissage[[#This Row],[QR Fabrication]],"_"),1,4)</f>
        <v>AR2030-B11-16</v>
      </c>
      <c r="N122" s="51" t="str">
        <f>INDEX(_xlfn.TEXTSPLIT(tissage[[#This Row],[QR Fabrication]],"_"),1,5)</f>
        <v>ARTHUR</v>
      </c>
      <c r="O122" s="51" t="str">
        <f>_xlfn.TEXTAFTER(tissage[[#This Row],[QR Fabrication]],"_",5)</f>
        <v>2030</v>
      </c>
      <c r="P122" s="47" t="str">
        <f>IF(
   COUNTIFS($A$2:A122,A122,
             $C$2:C122,C122,
             $D$2:D122,D122,
             $B$2:B122,B122,
             $E$2:E122,E122,
             $I$2:I122,I122
               )&gt;1,
   "Doublon",
   "Correcte"
)</f>
        <v>Correcte</v>
      </c>
    </row>
    <row r="123" spans="1:16" ht="16.5" thickTop="1" thickBot="1" x14ac:dyDescent="0.3">
      <c r="A123" s="47" t="s">
        <v>684</v>
      </c>
      <c r="B123" s="106" t="s">
        <v>2544</v>
      </c>
      <c r="C123" s="101" t="s">
        <v>2461</v>
      </c>
      <c r="D123" s="51" t="s">
        <v>688</v>
      </c>
      <c r="E123" s="51">
        <v>0</v>
      </c>
      <c r="F123" s="47"/>
      <c r="G123" s="47"/>
      <c r="H123" s="47" t="s">
        <v>664</v>
      </c>
      <c r="I123" s="57">
        <v>45915</v>
      </c>
      <c r="J123" s="57" t="str">
        <f>INDEX(_xlfn.TEXTSPLIT(tissage[[#This Row],[QR Fabrication]],"_"),1,1)</f>
        <v>CA250044</v>
      </c>
      <c r="K123" s="106" t="str">
        <f>INDEX(_xlfn.TEXTSPLIT(tissage[[#This Row],[QR Fabrication]],"_"),1,2)</f>
        <v>All by Fouta</v>
      </c>
      <c r="L123" s="47" t="str">
        <f>INDEX(_xlfn.TEXTSPLIT(tissage[[#This Row],[QR Fabrication]],"_"),1,3)</f>
        <v>Stock</v>
      </c>
      <c r="M123" s="47" t="str">
        <f>INDEX(_xlfn.TEXTSPLIT(tissage[[#This Row],[QR Fabrication]],"_"),1,4)</f>
        <v>UNS1626-09</v>
      </c>
      <c r="N123" s="47" t="str">
        <f>INDEX(_xlfn.TEXTSPLIT(tissage[[#This Row],[QR Fabrication]],"_"),1,5)</f>
        <v>UNI SURPIQUE</v>
      </c>
      <c r="O123" s="47" t="str">
        <f>_xlfn.TEXTAFTER(tissage[[#This Row],[QR Fabrication]],"_",5)</f>
        <v>1626</v>
      </c>
      <c r="P123" s="47" t="str">
        <f>IF(
   COUNTIFS($A$2:A123,A123,
             $C$2:C123,C123,
             $D$2:D123,D123,
             $B$2:B123,B123,
             $E$2:E123,E123,
             $I$2:I123,I123
               )&gt;1,
   "Doublon",
   "Correcte"
)</f>
        <v>Correcte</v>
      </c>
    </row>
    <row r="124" spans="1:16" ht="16.5" thickTop="1" thickBot="1" x14ac:dyDescent="0.3">
      <c r="A124" s="51" t="s">
        <v>684</v>
      </c>
      <c r="B124" s="107" t="s">
        <v>2544</v>
      </c>
      <c r="C124" s="102" t="s">
        <v>2425</v>
      </c>
      <c r="D124" s="51" t="s">
        <v>688</v>
      </c>
      <c r="E124" s="51">
        <v>0</v>
      </c>
      <c r="F124" s="51"/>
      <c r="G124" s="51"/>
      <c r="H124" s="47" t="s">
        <v>664</v>
      </c>
      <c r="I124" s="58">
        <v>45918</v>
      </c>
      <c r="J124" s="58" t="str">
        <f>INDEX(_xlfn.TEXTSPLIT(tissage[[#This Row],[QR Fabrication]],"_"),1,1)</f>
        <v>CA250043</v>
      </c>
      <c r="K124" s="107" t="str">
        <f>INDEX(_xlfn.TEXTSPLIT(tissage[[#This Row],[QR Fabrication]],"_"),1,2)</f>
        <v>All by Fouta</v>
      </c>
      <c r="L124" s="51" t="str">
        <f>INDEX(_xlfn.TEXTSPLIT(tissage[[#This Row],[QR Fabrication]],"_"),1,3)</f>
        <v>Stock</v>
      </c>
      <c r="M124" s="51" t="str">
        <f>INDEX(_xlfn.TEXTSPLIT(tissage[[#This Row],[QR Fabrication]],"_"),1,4)</f>
        <v>UNS1626-06</v>
      </c>
      <c r="N124" s="51" t="str">
        <f>INDEX(_xlfn.TEXTSPLIT(tissage[[#This Row],[QR Fabrication]],"_"),1,5)</f>
        <v>UNI SURPIQUE</v>
      </c>
      <c r="O124" s="51" t="str">
        <f>_xlfn.TEXTAFTER(tissage[[#This Row],[QR Fabrication]],"_",5)</f>
        <v>1626</v>
      </c>
      <c r="P124" s="47" t="str">
        <f>IF(
   COUNTIFS($A$2:A124,A124,
             $C$2:C124,C124,
             $D$2:D124,D124,
             $B$2:B124,B124,
             $E$2:E124,E124,
             $I$2:I124,I124
               )&gt;1,
   "Doublon",
   "Correcte"
)</f>
        <v>Correcte</v>
      </c>
    </row>
    <row r="125" spans="1:16" ht="16.5" thickTop="1" thickBot="1" x14ac:dyDescent="0.3">
      <c r="A125" s="51" t="s">
        <v>684</v>
      </c>
      <c r="B125" s="107" t="s">
        <v>2541</v>
      </c>
      <c r="C125" s="102" t="s">
        <v>1300</v>
      </c>
      <c r="D125" s="51" t="s">
        <v>688</v>
      </c>
      <c r="E125" s="51">
        <v>0</v>
      </c>
      <c r="F125" s="51"/>
      <c r="G125" s="51"/>
      <c r="H125" s="47" t="s">
        <v>664</v>
      </c>
      <c r="I125" s="58">
        <v>45916</v>
      </c>
      <c r="J125" s="58" t="str">
        <f>INDEX(_xlfn.TEXTSPLIT(tissage[[#This Row],[QR Fabrication]],"_"),1,1)</f>
        <v>CA250004</v>
      </c>
      <c r="K125" s="107" t="str">
        <f>INDEX(_xlfn.TEXTSPLIT(tissage[[#This Row],[QR Fabrication]],"_"),1,2)</f>
        <v>All by Fouta</v>
      </c>
      <c r="L125" s="51" t="str">
        <f>INDEX(_xlfn.TEXTSPLIT(tissage[[#This Row],[QR Fabrication]],"_"),1,3)</f>
        <v>Stock</v>
      </c>
      <c r="M125" s="51" t="str">
        <f>INDEX(_xlfn.TEXTSPLIT(tissage[[#This Row],[QR Fabrication]],"_"),1,4)</f>
        <v>UNS1020-09</v>
      </c>
      <c r="N125" s="51" t="str">
        <f>INDEX(_xlfn.TEXTSPLIT(tissage[[#This Row],[QR Fabrication]],"_"),1,5)</f>
        <v>UNI SURPIQUE</v>
      </c>
      <c r="O125" s="51" t="str">
        <f>_xlfn.TEXTAFTER(tissage[[#This Row],[QR Fabrication]],"_",5)</f>
        <v>1020</v>
      </c>
      <c r="P125" s="47" t="str">
        <f>IF(
   COUNTIFS($A$2:A125,A125,
             $C$2:C125,C125,
             $D$2:D125,D125,
             $B$2:B125,B125,
             $E$2:E125,E125,
             $I$2:I125,I125
               )&gt;1,
   "Doublon",
   "Correcte"
)</f>
        <v>Correcte</v>
      </c>
    </row>
    <row r="126" spans="1:16" ht="16.5" thickTop="1" thickBot="1" x14ac:dyDescent="0.3">
      <c r="A126" s="51" t="s">
        <v>684</v>
      </c>
      <c r="B126" s="107" t="s">
        <v>2541</v>
      </c>
      <c r="C126" s="102" t="s">
        <v>2419</v>
      </c>
      <c r="D126" s="51" t="s">
        <v>688</v>
      </c>
      <c r="E126" s="51">
        <v>0</v>
      </c>
      <c r="F126" s="51"/>
      <c r="G126" s="51"/>
      <c r="H126" s="47" t="s">
        <v>664</v>
      </c>
      <c r="I126" s="58">
        <v>45910</v>
      </c>
      <c r="J126" s="58" t="str">
        <f>INDEX(_xlfn.TEXTSPLIT(tissage[[#This Row],[QR Fabrication]],"_"),1,1)</f>
        <v>CA250008</v>
      </c>
      <c r="K126" s="107" t="str">
        <f>INDEX(_xlfn.TEXTSPLIT(tissage[[#This Row],[QR Fabrication]],"_"),1,2)</f>
        <v>All by Fouta</v>
      </c>
      <c r="L126" s="51" t="str">
        <f>INDEX(_xlfn.TEXTSPLIT(tissage[[#This Row],[QR Fabrication]],"_"),1,3)</f>
        <v>Stock</v>
      </c>
      <c r="M126" s="51" t="str">
        <f>INDEX(_xlfn.TEXTSPLIT(tissage[[#This Row],[QR Fabrication]],"_"),1,4)</f>
        <v>UNS1020-15</v>
      </c>
      <c r="N126" s="51" t="str">
        <f>INDEX(_xlfn.TEXTSPLIT(tissage[[#This Row],[QR Fabrication]],"_"),1,5)</f>
        <v>UNI SURPIQUE</v>
      </c>
      <c r="O126" s="51" t="str">
        <f>_xlfn.TEXTAFTER(tissage[[#This Row],[QR Fabrication]],"_",5)</f>
        <v>1020</v>
      </c>
      <c r="P126" s="47" t="str">
        <f>IF(
   COUNTIFS($A$2:A126,A126,
             $C$2:C126,C126,
             $D$2:D126,D126,
             $B$2:B126,B126,
             $E$2:E126,E126,
             $I$2:I126,I126
               )&gt;1,
   "Doublon",
   "Correcte"
)</f>
        <v>Correcte</v>
      </c>
    </row>
    <row r="127" spans="1:16" ht="16.5" thickTop="1" thickBot="1" x14ac:dyDescent="0.3">
      <c r="A127" s="47" t="s">
        <v>684</v>
      </c>
      <c r="B127" s="106" t="s">
        <v>2544</v>
      </c>
      <c r="C127" s="101" t="s">
        <v>2442</v>
      </c>
      <c r="D127" s="51" t="s">
        <v>688</v>
      </c>
      <c r="E127" s="51">
        <v>0</v>
      </c>
      <c r="F127" s="47"/>
      <c r="G127" s="47"/>
      <c r="H127" s="47" t="s">
        <v>664</v>
      </c>
      <c r="I127" s="57">
        <v>45924</v>
      </c>
      <c r="J127" s="57" t="str">
        <f>INDEX(_xlfn.TEXTSPLIT(tissage[[#This Row],[QR Fabrication]],"_"),1,1)</f>
        <v>CA250059</v>
      </c>
      <c r="K127" s="106" t="str">
        <f>INDEX(_xlfn.TEXTSPLIT(tissage[[#This Row],[QR Fabrication]],"_"),1,2)</f>
        <v>All by Fouta</v>
      </c>
      <c r="L127" s="47" t="str">
        <f>INDEX(_xlfn.TEXTSPLIT(tissage[[#This Row],[QR Fabrication]],"_"),1,3)</f>
        <v>Stock</v>
      </c>
      <c r="M127" s="47" t="str">
        <f>INDEX(_xlfn.TEXTSPLIT(tissage[[#This Row],[QR Fabrication]],"_"),1,4)</f>
        <v>UNS1626-32</v>
      </c>
      <c r="N127" s="47" t="str">
        <f>INDEX(_xlfn.TEXTSPLIT(tissage[[#This Row],[QR Fabrication]],"_"),1,5)</f>
        <v>UNI SURPIQUE</v>
      </c>
      <c r="O127" s="47" t="str">
        <f>_xlfn.TEXTAFTER(tissage[[#This Row],[QR Fabrication]],"_",5)</f>
        <v>1626</v>
      </c>
      <c r="P127" s="47" t="str">
        <f>IF(
   COUNTIFS($A$2:A127,A127,
             $C$2:C127,C127,
             $D$2:D127,D127,
             $B$2:B127,B127,
             $E$2:E127,E127,
             $I$2:I127,I127
               )&gt;1,
   "Doublon",
   "Correcte"
)</f>
        <v>Correcte</v>
      </c>
    </row>
    <row r="128" spans="1:16" ht="16.5" thickTop="1" thickBot="1" x14ac:dyDescent="0.3">
      <c r="A128" s="47" t="s">
        <v>684</v>
      </c>
      <c r="B128" s="106" t="s">
        <v>2544</v>
      </c>
      <c r="C128" s="101" t="s">
        <v>2424</v>
      </c>
      <c r="D128" s="51" t="s">
        <v>688</v>
      </c>
      <c r="E128" s="51">
        <v>0</v>
      </c>
      <c r="F128" s="47"/>
      <c r="G128" s="47"/>
      <c r="H128" s="47" t="s">
        <v>664</v>
      </c>
      <c r="I128" s="57">
        <v>45919</v>
      </c>
      <c r="J128" s="57" t="str">
        <f>INDEX(_xlfn.TEXTSPLIT(tissage[[#This Row],[QR Fabrication]],"_"),1,1)</f>
        <v>CA250058</v>
      </c>
      <c r="K128" s="106" t="str">
        <f>INDEX(_xlfn.TEXTSPLIT(tissage[[#This Row],[QR Fabrication]],"_"),1,2)</f>
        <v>All by Fouta</v>
      </c>
      <c r="L128" s="47" t="str">
        <f>INDEX(_xlfn.TEXTSPLIT(tissage[[#This Row],[QR Fabrication]],"_"),1,3)</f>
        <v>Stock</v>
      </c>
      <c r="M128" s="47" t="str">
        <f>INDEX(_xlfn.TEXTSPLIT(tissage[[#This Row],[QR Fabrication]],"_"),1,4)</f>
        <v>UNS1626-31</v>
      </c>
      <c r="N128" s="47" t="str">
        <f>INDEX(_xlfn.TEXTSPLIT(tissage[[#This Row],[QR Fabrication]],"_"),1,5)</f>
        <v>UNI SURPIQUE</v>
      </c>
      <c r="O128" s="47" t="str">
        <f>_xlfn.TEXTAFTER(tissage[[#This Row],[QR Fabrication]],"_",5)</f>
        <v>1626</v>
      </c>
      <c r="P128" s="47" t="str">
        <f>IF(
   COUNTIFS($A$2:A128,A128,
             $C$2:C128,C128,
             $D$2:D128,D128,
             $B$2:B128,B128,
             $E$2:E128,E128,
             $I$2:I128,I128
               )&gt;1,
   "Doublon",
   "Correcte"
)</f>
        <v>Correcte</v>
      </c>
    </row>
    <row r="129" spans="1:16" ht="16.5" thickTop="1" thickBot="1" x14ac:dyDescent="0.3">
      <c r="A129" s="47" t="s">
        <v>684</v>
      </c>
      <c r="B129" s="106" t="s">
        <v>2544</v>
      </c>
      <c r="C129" s="101" t="s">
        <v>2558</v>
      </c>
      <c r="D129" s="51" t="s">
        <v>688</v>
      </c>
      <c r="E129" s="51">
        <v>0</v>
      </c>
      <c r="F129" s="47"/>
      <c r="G129" s="47"/>
      <c r="H129" s="47" t="s">
        <v>664</v>
      </c>
      <c r="I129" s="57">
        <v>45919</v>
      </c>
      <c r="J129" s="57" t="str">
        <f>INDEX(_xlfn.TEXTSPLIT(tissage[[#This Row],[QR Fabrication]],"_"),1,1)</f>
        <v>CA250057</v>
      </c>
      <c r="K129" s="106" t="str">
        <f>INDEX(_xlfn.TEXTSPLIT(tissage[[#This Row],[QR Fabrication]],"_"),1,2)</f>
        <v>All by Fouta</v>
      </c>
      <c r="L129" s="47" t="str">
        <f>INDEX(_xlfn.TEXTSPLIT(tissage[[#This Row],[QR Fabrication]],"_"),1,3)</f>
        <v>Stock</v>
      </c>
      <c r="M129" s="47" t="str">
        <f>INDEX(_xlfn.TEXTSPLIT(tissage[[#This Row],[QR Fabrication]],"_"),1,4)</f>
        <v>UNS1626-30</v>
      </c>
      <c r="N129" s="47" t="str">
        <f>INDEX(_xlfn.TEXTSPLIT(tissage[[#This Row],[QR Fabrication]],"_"),1,5)</f>
        <v>UNI SURPIQUE</v>
      </c>
      <c r="O129" s="47" t="str">
        <f>_xlfn.TEXTAFTER(tissage[[#This Row],[QR Fabrication]],"_",5)</f>
        <v>1626</v>
      </c>
      <c r="P129" s="47" t="str">
        <f>IF(
   COUNTIFS($A$2:A129,A129,
             $C$2:C129,C129,
             $D$2:D129,D129,
             $B$2:B129,B129,
             $E$2:E129,E129,
             $I$2:I129,I129
               )&gt;1,
   "Doublon",
   "Correcte"
)</f>
        <v>Correcte</v>
      </c>
    </row>
    <row r="130" spans="1:16" ht="16.5" thickTop="1" thickBot="1" x14ac:dyDescent="0.3">
      <c r="A130" s="47" t="s">
        <v>684</v>
      </c>
      <c r="B130" s="106" t="s">
        <v>2544</v>
      </c>
      <c r="C130" s="101" t="s">
        <v>2469</v>
      </c>
      <c r="D130" s="51" t="s">
        <v>688</v>
      </c>
      <c r="E130" s="51">
        <v>0</v>
      </c>
      <c r="F130" s="47"/>
      <c r="G130" s="47"/>
      <c r="H130" s="47" t="s">
        <v>664</v>
      </c>
      <c r="I130" s="57">
        <v>45931</v>
      </c>
      <c r="J130" s="57" t="str">
        <f>INDEX(_xlfn.TEXTSPLIT(tissage[[#This Row],[QR Fabrication]],"_"),1,1)</f>
        <v>CA250056</v>
      </c>
      <c r="K130" s="106" t="str">
        <f>INDEX(_xlfn.TEXTSPLIT(tissage[[#This Row],[QR Fabrication]],"_"),1,2)</f>
        <v>All by Fouta</v>
      </c>
      <c r="L130" s="47" t="str">
        <f>INDEX(_xlfn.TEXTSPLIT(tissage[[#This Row],[QR Fabrication]],"_"),1,3)</f>
        <v>Stock</v>
      </c>
      <c r="M130" s="47" t="str">
        <f>INDEX(_xlfn.TEXTSPLIT(tissage[[#This Row],[QR Fabrication]],"_"),1,4)</f>
        <v>UNS1626-27</v>
      </c>
      <c r="N130" s="47" t="str">
        <f>INDEX(_xlfn.TEXTSPLIT(tissage[[#This Row],[QR Fabrication]],"_"),1,5)</f>
        <v>UNI SURPIQUE</v>
      </c>
      <c r="O130" s="47" t="str">
        <f>_xlfn.TEXTAFTER(tissage[[#This Row],[QR Fabrication]],"_",5)</f>
        <v>1626</v>
      </c>
      <c r="P130" s="47" t="str">
        <f>IF(
   COUNTIFS($A$2:A130,A130,
             $C$2:C130,C130,
             $D$2:D130,D130,
             $B$2:B130,B130,
             $E$2:E130,E130,
             $I$2:I130,I130
               )&gt;1,
   "Doublon",
   "Correcte"
)</f>
        <v>Correcte</v>
      </c>
    </row>
    <row r="131" spans="1:16" ht="16.5" thickTop="1" thickBot="1" x14ac:dyDescent="0.3">
      <c r="A131" s="47" t="s">
        <v>684</v>
      </c>
      <c r="B131" s="106" t="s">
        <v>2544</v>
      </c>
      <c r="C131" s="101" t="s">
        <v>2408</v>
      </c>
      <c r="D131" s="51" t="s">
        <v>688</v>
      </c>
      <c r="E131" s="51">
        <v>0</v>
      </c>
      <c r="F131" s="47"/>
      <c r="G131" s="47"/>
      <c r="H131" s="47" t="s">
        <v>664</v>
      </c>
      <c r="I131" s="57">
        <v>45925</v>
      </c>
      <c r="J131" s="57" t="str">
        <f>INDEX(_xlfn.TEXTSPLIT(tissage[[#This Row],[QR Fabrication]],"_"),1,1)</f>
        <v>CA250055</v>
      </c>
      <c r="K131" s="106" t="str">
        <f>INDEX(_xlfn.TEXTSPLIT(tissage[[#This Row],[QR Fabrication]],"_"),1,2)</f>
        <v>All by Fouta</v>
      </c>
      <c r="L131" s="47" t="str">
        <f>INDEX(_xlfn.TEXTSPLIT(tissage[[#This Row],[QR Fabrication]],"_"),1,3)</f>
        <v>Stock</v>
      </c>
      <c r="M131" s="47" t="str">
        <f>INDEX(_xlfn.TEXTSPLIT(tissage[[#This Row],[QR Fabrication]],"_"),1,4)</f>
        <v>UNS1626-26</v>
      </c>
      <c r="N131" s="47" t="str">
        <f>INDEX(_xlfn.TEXTSPLIT(tissage[[#This Row],[QR Fabrication]],"_"),1,5)</f>
        <v>UNI SURPIQUE</v>
      </c>
      <c r="O131" s="47" t="str">
        <f>_xlfn.TEXTAFTER(tissage[[#This Row],[QR Fabrication]],"_",5)</f>
        <v>1626</v>
      </c>
      <c r="P131" s="47" t="str">
        <f>IF(
   COUNTIFS($A$2:A131,A131,
             $C$2:C131,C131,
             $D$2:D131,D131,
             $B$2:B131,B131,
             $E$2:E131,E131,
             $I$2:I131,I131
               )&gt;1,
   "Doublon",
   "Correcte"
)</f>
        <v>Correcte</v>
      </c>
    </row>
    <row r="132" spans="1:16" ht="16.5" thickTop="1" thickBot="1" x14ac:dyDescent="0.3">
      <c r="A132" s="47" t="s">
        <v>684</v>
      </c>
      <c r="B132" s="106" t="s">
        <v>2544</v>
      </c>
      <c r="C132" s="101" t="s">
        <v>2446</v>
      </c>
      <c r="D132" s="51" t="s">
        <v>688</v>
      </c>
      <c r="E132" s="51">
        <v>0</v>
      </c>
      <c r="F132" s="47"/>
      <c r="G132" s="47"/>
      <c r="H132" s="47" t="s">
        <v>664</v>
      </c>
      <c r="I132" s="57">
        <v>45924</v>
      </c>
      <c r="J132" s="57" t="str">
        <f>INDEX(_xlfn.TEXTSPLIT(tissage[[#This Row],[QR Fabrication]],"_"),1,1)</f>
        <v>CA250054</v>
      </c>
      <c r="K132" s="106" t="str">
        <f>INDEX(_xlfn.TEXTSPLIT(tissage[[#This Row],[QR Fabrication]],"_"),1,2)</f>
        <v>All by Fouta</v>
      </c>
      <c r="L132" s="47" t="str">
        <f>INDEX(_xlfn.TEXTSPLIT(tissage[[#This Row],[QR Fabrication]],"_"),1,3)</f>
        <v>Stock</v>
      </c>
      <c r="M132" s="47" t="str">
        <f>INDEX(_xlfn.TEXTSPLIT(tissage[[#This Row],[QR Fabrication]],"_"),1,4)</f>
        <v>UNS1626-24</v>
      </c>
      <c r="N132" s="47" t="str">
        <f>INDEX(_xlfn.TEXTSPLIT(tissage[[#This Row],[QR Fabrication]],"_"),1,5)</f>
        <v>UNI SURPIQUE</v>
      </c>
      <c r="O132" s="47" t="str">
        <f>_xlfn.TEXTAFTER(tissage[[#This Row],[QR Fabrication]],"_",5)</f>
        <v>1626</v>
      </c>
      <c r="P132" s="47" t="str">
        <f>IF(
   COUNTIFS($A$2:A132,A132,
             $C$2:C132,C132,
             $D$2:D132,D132,
             $B$2:B132,B132,
             $E$2:E132,E132,
             $I$2:I132,I132
               )&gt;1,
   "Doublon",
   "Correcte"
)</f>
        <v>Correcte</v>
      </c>
    </row>
    <row r="133" spans="1:16" ht="16.5" thickTop="1" thickBot="1" x14ac:dyDescent="0.3">
      <c r="A133" s="47" t="s">
        <v>684</v>
      </c>
      <c r="B133" s="106" t="s">
        <v>2544</v>
      </c>
      <c r="C133" s="101" t="s">
        <v>2464</v>
      </c>
      <c r="D133" s="51" t="s">
        <v>688</v>
      </c>
      <c r="E133" s="51">
        <v>0</v>
      </c>
      <c r="F133" s="47"/>
      <c r="G133" s="47"/>
      <c r="H133" s="47" t="s">
        <v>664</v>
      </c>
      <c r="I133" s="57">
        <v>45926</v>
      </c>
      <c r="J133" s="57" t="str">
        <f>INDEX(_xlfn.TEXTSPLIT(tissage[[#This Row],[QR Fabrication]],"_"),1,1)</f>
        <v>CA250053</v>
      </c>
      <c r="K133" s="106" t="str">
        <f>INDEX(_xlfn.TEXTSPLIT(tissage[[#This Row],[QR Fabrication]],"_"),1,2)</f>
        <v>All by Fouta</v>
      </c>
      <c r="L133" s="47" t="str">
        <f>INDEX(_xlfn.TEXTSPLIT(tissage[[#This Row],[QR Fabrication]],"_"),1,3)</f>
        <v>Stock</v>
      </c>
      <c r="M133" s="47" t="str">
        <f>INDEX(_xlfn.TEXTSPLIT(tissage[[#This Row],[QR Fabrication]],"_"),1,4)</f>
        <v>UNS1626-23</v>
      </c>
      <c r="N133" s="47" t="str">
        <f>INDEX(_xlfn.TEXTSPLIT(tissage[[#This Row],[QR Fabrication]],"_"),1,5)</f>
        <v>UNI SURPIQUE</v>
      </c>
      <c r="O133" s="47" t="str">
        <f>_xlfn.TEXTAFTER(tissage[[#This Row],[QR Fabrication]],"_",5)</f>
        <v>1626</v>
      </c>
      <c r="P133" s="47" t="str">
        <f>IF(
   COUNTIFS($A$2:A133,A133,
             $C$2:C133,C133,
             $D$2:D133,D133,
             $B$2:B133,B133,
             $E$2:E133,E133,
             $I$2:I133,I133
               )&gt;1,
   "Doublon",
   "Correcte"
)</f>
        <v>Correcte</v>
      </c>
    </row>
    <row r="134" spans="1:16" ht="16.5" thickTop="1" thickBot="1" x14ac:dyDescent="0.3">
      <c r="A134" s="47" t="s">
        <v>684</v>
      </c>
      <c r="B134" s="106" t="s">
        <v>2544</v>
      </c>
      <c r="C134" s="101" t="s">
        <v>2495</v>
      </c>
      <c r="D134" s="51" t="s">
        <v>688</v>
      </c>
      <c r="E134" s="51">
        <v>0</v>
      </c>
      <c r="F134" s="47"/>
      <c r="G134" s="47"/>
      <c r="H134" s="47" t="s">
        <v>664</v>
      </c>
      <c r="I134" s="57">
        <v>45931</v>
      </c>
      <c r="J134" s="57" t="str">
        <f>INDEX(_xlfn.TEXTSPLIT(tissage[[#This Row],[QR Fabrication]],"_"),1,1)</f>
        <v>CA250052</v>
      </c>
      <c r="K134" s="106" t="str">
        <f>INDEX(_xlfn.TEXTSPLIT(tissage[[#This Row],[QR Fabrication]],"_"),1,2)</f>
        <v>All by Fouta</v>
      </c>
      <c r="L134" s="47" t="str">
        <f>INDEX(_xlfn.TEXTSPLIT(tissage[[#This Row],[QR Fabrication]],"_"),1,3)</f>
        <v>Stock</v>
      </c>
      <c r="M134" s="47" t="str">
        <f>INDEX(_xlfn.TEXTSPLIT(tissage[[#This Row],[QR Fabrication]],"_"),1,4)</f>
        <v>UNS1626-20</v>
      </c>
      <c r="N134" s="47" t="str">
        <f>INDEX(_xlfn.TEXTSPLIT(tissage[[#This Row],[QR Fabrication]],"_"),1,5)</f>
        <v>UNI SURPIQUE</v>
      </c>
      <c r="O134" s="47" t="str">
        <f>_xlfn.TEXTAFTER(tissage[[#This Row],[QR Fabrication]],"_",5)</f>
        <v>1626</v>
      </c>
      <c r="P134" s="47" t="str">
        <f>IF(
   COUNTIFS($A$2:A134,A134,
             $C$2:C134,C134,
             $D$2:D134,D134,
             $B$2:B134,B134,
             $E$2:E134,E134,
             $I$2:I134,I134
               )&gt;1,
   "Doublon",
   "Correcte"
)</f>
        <v>Correcte</v>
      </c>
    </row>
    <row r="135" spans="1:16" ht="16.5" thickTop="1" thickBot="1" x14ac:dyDescent="0.3">
      <c r="A135" s="47" t="s">
        <v>684</v>
      </c>
      <c r="B135" s="106" t="s">
        <v>2544</v>
      </c>
      <c r="C135" s="101" t="s">
        <v>2436</v>
      </c>
      <c r="D135" s="51" t="s">
        <v>688</v>
      </c>
      <c r="E135" s="51">
        <v>0</v>
      </c>
      <c r="F135" s="47"/>
      <c r="G135" s="47"/>
      <c r="H135" s="47" t="s">
        <v>664</v>
      </c>
      <c r="I135" s="57">
        <v>45930</v>
      </c>
      <c r="J135" s="57" t="str">
        <f>INDEX(_xlfn.TEXTSPLIT(tissage[[#This Row],[QR Fabrication]],"_"),1,1)</f>
        <v>CA250051</v>
      </c>
      <c r="K135" s="106" t="str">
        <f>INDEX(_xlfn.TEXTSPLIT(tissage[[#This Row],[QR Fabrication]],"_"),1,2)</f>
        <v>All by Fouta</v>
      </c>
      <c r="L135" s="47" t="str">
        <f>INDEX(_xlfn.TEXTSPLIT(tissage[[#This Row],[QR Fabrication]],"_"),1,3)</f>
        <v>Stock</v>
      </c>
      <c r="M135" s="47" t="str">
        <f>INDEX(_xlfn.TEXTSPLIT(tissage[[#This Row],[QR Fabrication]],"_"),1,4)</f>
        <v>UNS1626-19</v>
      </c>
      <c r="N135" s="47" t="str">
        <f>INDEX(_xlfn.TEXTSPLIT(tissage[[#This Row],[QR Fabrication]],"_"),1,5)</f>
        <v>UNI SURPIQUE</v>
      </c>
      <c r="O135" s="47" t="str">
        <f>_xlfn.TEXTAFTER(tissage[[#This Row],[QR Fabrication]],"_",5)</f>
        <v>1626</v>
      </c>
      <c r="P135" s="47" t="str">
        <f>IF(
   COUNTIFS($A$2:A135,A135,
             $C$2:C135,C135,
             $D$2:D135,D135,
             $B$2:B135,B135,
             $E$2:E135,E135,
             $I$2:I135,I135
               )&gt;1,
   "Doublon",
   "Correcte"
)</f>
        <v>Correcte</v>
      </c>
    </row>
    <row r="136" spans="1:16" ht="16.5" thickTop="1" thickBot="1" x14ac:dyDescent="0.3">
      <c r="A136" s="47" t="s">
        <v>684</v>
      </c>
      <c r="B136" s="106" t="s">
        <v>2544</v>
      </c>
      <c r="C136" s="101" t="s">
        <v>2443</v>
      </c>
      <c r="D136" s="51" t="s">
        <v>688</v>
      </c>
      <c r="E136" s="51">
        <v>0</v>
      </c>
      <c r="F136" s="47"/>
      <c r="G136" s="47"/>
      <c r="H136" s="47" t="s">
        <v>664</v>
      </c>
      <c r="I136" s="57">
        <v>45923</v>
      </c>
      <c r="J136" s="57" t="str">
        <f>INDEX(_xlfn.TEXTSPLIT(tissage[[#This Row],[QR Fabrication]],"_"),1,1)</f>
        <v>CA250050</v>
      </c>
      <c r="K136" s="106" t="str">
        <f>INDEX(_xlfn.TEXTSPLIT(tissage[[#This Row],[QR Fabrication]],"_"),1,2)</f>
        <v>All by Fouta</v>
      </c>
      <c r="L136" s="47" t="str">
        <f>INDEX(_xlfn.TEXTSPLIT(tissage[[#This Row],[QR Fabrication]],"_"),1,3)</f>
        <v>Stock</v>
      </c>
      <c r="M136" s="47" t="str">
        <f>INDEX(_xlfn.TEXTSPLIT(tissage[[#This Row],[QR Fabrication]],"_"),1,4)</f>
        <v>UNS1626-18</v>
      </c>
      <c r="N136" s="47" t="str">
        <f>INDEX(_xlfn.TEXTSPLIT(tissage[[#This Row],[QR Fabrication]],"_"),1,5)</f>
        <v>UNI SURPIQUE</v>
      </c>
      <c r="O136" s="47" t="str">
        <f>_xlfn.TEXTAFTER(tissage[[#This Row],[QR Fabrication]],"_",5)</f>
        <v>1626</v>
      </c>
      <c r="P136" s="47" t="str">
        <f>IF(
   COUNTIFS($A$2:A136,A136,
             $C$2:C136,C136,
             $D$2:D136,D136,
             $B$2:B136,B136,
             $E$2:E136,E136,
             $I$2:I136,I136
               )&gt;1,
   "Doublon",
   "Correcte"
)</f>
        <v>Correcte</v>
      </c>
    </row>
    <row r="137" spans="1:16" ht="16.5" thickTop="1" thickBot="1" x14ac:dyDescent="0.3">
      <c r="A137" s="47" t="s">
        <v>684</v>
      </c>
      <c r="B137" s="106" t="s">
        <v>2544</v>
      </c>
      <c r="C137" s="101" t="s">
        <v>2430</v>
      </c>
      <c r="D137" s="51" t="s">
        <v>688</v>
      </c>
      <c r="E137" s="51">
        <v>0</v>
      </c>
      <c r="F137" s="47"/>
      <c r="G137" s="47"/>
      <c r="H137" s="47" t="s">
        <v>664</v>
      </c>
      <c r="I137" s="57">
        <v>45922</v>
      </c>
      <c r="J137" s="57" t="str">
        <f>INDEX(_xlfn.TEXTSPLIT(tissage[[#This Row],[QR Fabrication]],"_"),1,1)</f>
        <v>CA250049</v>
      </c>
      <c r="K137" s="106" t="str">
        <f>INDEX(_xlfn.TEXTSPLIT(tissage[[#This Row],[QR Fabrication]],"_"),1,2)</f>
        <v>All by Fouta</v>
      </c>
      <c r="L137" s="47" t="str">
        <f>INDEX(_xlfn.TEXTSPLIT(tissage[[#This Row],[QR Fabrication]],"_"),1,3)</f>
        <v>Stock</v>
      </c>
      <c r="M137" s="47" t="str">
        <f>INDEX(_xlfn.TEXTSPLIT(tissage[[#This Row],[QR Fabrication]],"_"),1,4)</f>
        <v>UNS1626-17</v>
      </c>
      <c r="N137" s="47" t="str">
        <f>INDEX(_xlfn.TEXTSPLIT(tissage[[#This Row],[QR Fabrication]],"_"),1,5)</f>
        <v>UNI SURPIQUE</v>
      </c>
      <c r="O137" s="47" t="str">
        <f>_xlfn.TEXTAFTER(tissage[[#This Row],[QR Fabrication]],"_",5)</f>
        <v>1626</v>
      </c>
      <c r="P137" s="47" t="str">
        <f>IF(
   COUNTIFS($A$2:A137,A137,
             $C$2:C137,C137,
             $D$2:D137,D137,
             $B$2:B137,B137,
             $E$2:E137,E137,
             $I$2:I137,I137
               )&gt;1,
   "Doublon",
   "Correcte"
)</f>
        <v>Correcte</v>
      </c>
    </row>
    <row r="138" spans="1:16" ht="16.5" thickTop="1" thickBot="1" x14ac:dyDescent="0.3">
      <c r="A138" s="47" t="s">
        <v>684</v>
      </c>
      <c r="B138" s="106" t="s">
        <v>2544</v>
      </c>
      <c r="C138" s="101" t="s">
        <v>2559</v>
      </c>
      <c r="D138" s="51" t="s">
        <v>688</v>
      </c>
      <c r="E138" s="51">
        <v>0</v>
      </c>
      <c r="F138" s="47"/>
      <c r="G138" s="47"/>
      <c r="H138" s="47" t="s">
        <v>664</v>
      </c>
      <c r="I138" s="57">
        <v>45918</v>
      </c>
      <c r="J138" s="57" t="str">
        <f>INDEX(_xlfn.TEXTSPLIT(tissage[[#This Row],[QR Fabrication]],"_"),1,1)</f>
        <v>CA250048</v>
      </c>
      <c r="K138" s="106" t="str">
        <f>INDEX(_xlfn.TEXTSPLIT(tissage[[#This Row],[QR Fabrication]],"_"),1,2)</f>
        <v>All by Fouta</v>
      </c>
      <c r="L138" s="47" t="str">
        <f>INDEX(_xlfn.TEXTSPLIT(tissage[[#This Row],[QR Fabrication]],"_"),1,3)</f>
        <v>Stock</v>
      </c>
      <c r="M138" s="47" t="str">
        <f>INDEX(_xlfn.TEXTSPLIT(tissage[[#This Row],[QR Fabrication]],"_"),1,4)</f>
        <v>UNS1626-15</v>
      </c>
      <c r="N138" s="47" t="str">
        <f>INDEX(_xlfn.TEXTSPLIT(tissage[[#This Row],[QR Fabrication]],"_"),1,5)</f>
        <v>UNI SURPIQUE</v>
      </c>
      <c r="O138" s="47" t="str">
        <f>_xlfn.TEXTAFTER(tissage[[#This Row],[QR Fabrication]],"_",5)</f>
        <v>1626</v>
      </c>
      <c r="P138" s="47" t="str">
        <f>IF(
   COUNTIFS($A$2:A138,A138,
             $C$2:C138,C138,
             $D$2:D138,D138,
             $B$2:B138,B138,
             $E$2:E138,E138,
             $I$2:I138,I138
               )&gt;1,
   "Doublon",
   "Correcte"
)</f>
        <v>Correcte</v>
      </c>
    </row>
    <row r="139" spans="1:16" ht="16.5" thickTop="1" thickBot="1" x14ac:dyDescent="0.3">
      <c r="A139" s="47" t="s">
        <v>684</v>
      </c>
      <c r="B139" s="106" t="s">
        <v>2544</v>
      </c>
      <c r="C139" s="101" t="s">
        <v>2494</v>
      </c>
      <c r="D139" s="51" t="s">
        <v>688</v>
      </c>
      <c r="E139" s="51">
        <v>0</v>
      </c>
      <c r="F139" s="47"/>
      <c r="G139" s="47"/>
      <c r="H139" s="47" t="s">
        <v>664</v>
      </c>
      <c r="I139" s="57">
        <v>45936</v>
      </c>
      <c r="J139" s="57" t="str">
        <f>INDEX(_xlfn.TEXTSPLIT(tissage[[#This Row],[QR Fabrication]],"_"),1,1)</f>
        <v>CA250047</v>
      </c>
      <c r="K139" s="106" t="str">
        <f>INDEX(_xlfn.TEXTSPLIT(tissage[[#This Row],[QR Fabrication]],"_"),1,2)</f>
        <v>All by Fouta</v>
      </c>
      <c r="L139" s="47" t="str">
        <f>INDEX(_xlfn.TEXTSPLIT(tissage[[#This Row],[QR Fabrication]],"_"),1,3)</f>
        <v>Stock</v>
      </c>
      <c r="M139" s="47" t="str">
        <f>INDEX(_xlfn.TEXTSPLIT(tissage[[#This Row],[QR Fabrication]],"_"),1,4)</f>
        <v>UNS1626-13</v>
      </c>
      <c r="N139" s="47" t="str">
        <f>INDEX(_xlfn.TEXTSPLIT(tissage[[#This Row],[QR Fabrication]],"_"),1,5)</f>
        <v>UNI SURPIQUE</v>
      </c>
      <c r="O139" s="47" t="str">
        <f>_xlfn.TEXTAFTER(tissage[[#This Row],[QR Fabrication]],"_",5)</f>
        <v>1626</v>
      </c>
      <c r="P139" s="47" t="str">
        <f>IF(
   COUNTIFS($A$2:A139,A139,
             $C$2:C139,C139,
             $D$2:D139,D139,
             $B$2:B139,B139,
             $E$2:E139,E139,
             $I$2:I139,I139
               )&gt;1,
   "Doublon",
   "Correcte"
)</f>
        <v>Correcte</v>
      </c>
    </row>
    <row r="140" spans="1:16" ht="16.5" thickTop="1" thickBot="1" x14ac:dyDescent="0.3">
      <c r="A140" s="51" t="s">
        <v>684</v>
      </c>
      <c r="B140" s="107" t="s">
        <v>2544</v>
      </c>
      <c r="C140" s="102" t="s">
        <v>2418</v>
      </c>
      <c r="D140" s="51" t="s">
        <v>688</v>
      </c>
      <c r="E140" s="51">
        <v>0</v>
      </c>
      <c r="F140" s="51"/>
      <c r="G140" s="51"/>
      <c r="H140" s="47" t="s">
        <v>664</v>
      </c>
      <c r="I140" s="58">
        <v>45916</v>
      </c>
      <c r="J140" s="58" t="str">
        <f>INDEX(_xlfn.TEXTSPLIT(tissage[[#This Row],[QR Fabrication]],"_"),1,1)</f>
        <v>CA250046</v>
      </c>
      <c r="K140" s="107" t="str">
        <f>INDEX(_xlfn.TEXTSPLIT(tissage[[#This Row],[QR Fabrication]],"_"),1,2)</f>
        <v>All by Fouta</v>
      </c>
      <c r="L140" s="51" t="str">
        <f>INDEX(_xlfn.TEXTSPLIT(tissage[[#This Row],[QR Fabrication]],"_"),1,3)</f>
        <v>Stock</v>
      </c>
      <c r="M140" s="51" t="str">
        <f>INDEX(_xlfn.TEXTSPLIT(tissage[[#This Row],[QR Fabrication]],"_"),1,4)</f>
        <v>UNS1626-12</v>
      </c>
      <c r="N140" s="51" t="str">
        <f>INDEX(_xlfn.TEXTSPLIT(tissage[[#This Row],[QR Fabrication]],"_"),1,5)</f>
        <v>UNI SURPIQUE</v>
      </c>
      <c r="O140" s="51" t="str">
        <f>_xlfn.TEXTAFTER(tissage[[#This Row],[QR Fabrication]],"_",5)</f>
        <v>1626</v>
      </c>
      <c r="P140" s="47" t="str">
        <f>IF(
   COUNTIFS($A$2:A140,A140,
             $C$2:C140,C140,
             $D$2:D140,D140,
             $B$2:B140,B140,
             $E$2:E140,E140,
             $I$2:I140,I140
               )&gt;1,
   "Doublon",
   "Correcte"
)</f>
        <v>Correcte</v>
      </c>
    </row>
    <row r="141" spans="1:16" ht="16.5" thickTop="1" thickBot="1" x14ac:dyDescent="0.3">
      <c r="A141" s="47" t="s">
        <v>686</v>
      </c>
      <c r="B141" s="107" t="s">
        <v>2545</v>
      </c>
      <c r="C141" s="102" t="s">
        <v>1310</v>
      </c>
      <c r="D141" s="51" t="s">
        <v>688</v>
      </c>
      <c r="E141" s="51">
        <v>0</v>
      </c>
      <c r="F141" s="51"/>
      <c r="G141" s="51"/>
      <c r="H141" s="47" t="s">
        <v>664</v>
      </c>
      <c r="I141" s="58">
        <v>45915</v>
      </c>
      <c r="J141" s="58" t="str">
        <f>INDEX(_xlfn.TEXTSPLIT(tissage[[#This Row],[QR Fabrication]],"_"),1,1)</f>
        <v>CA250392</v>
      </c>
      <c r="K141" s="107" t="str">
        <f>INDEX(_xlfn.TEXTSPLIT(tissage[[#This Row],[QR Fabrication]],"_"),1,2)</f>
        <v>All by Fouta</v>
      </c>
      <c r="L141" s="51" t="str">
        <f>INDEX(_xlfn.TEXTSPLIT(tissage[[#This Row],[QR Fabrication]],"_"),1,3)</f>
        <v>Stock</v>
      </c>
      <c r="M141" s="51" t="str">
        <f>INDEX(_xlfn.TEXTSPLIT(tissage[[#This Row],[QR Fabrication]],"_"),1,4)</f>
        <v>BE1020-Q26-13-01</v>
      </c>
      <c r="N141" s="51" t="str">
        <f>INDEX(_xlfn.TEXTSPLIT(tissage[[#This Row],[QR Fabrication]],"_"),1,5)</f>
        <v>BERBER</v>
      </c>
      <c r="O141" s="51" t="str">
        <f>_xlfn.TEXTAFTER(tissage[[#This Row],[QR Fabrication]],"_",5)</f>
        <v>1020</v>
      </c>
      <c r="P141" s="47" t="str">
        <f>IF(
   COUNTIFS($A$2:A141,A141,
             $C$2:C141,C141,
             $D$2:D141,D141,
             $B$2:B141,B141,
             $E$2:E141,E141,
             $I$2:I141,I141
               )&gt;1,
   "Doublon",
   "Correcte"
)</f>
        <v>Correcte</v>
      </c>
    </row>
    <row r="142" spans="1:16" ht="16.5" thickTop="1" thickBot="1" x14ac:dyDescent="0.3">
      <c r="A142" s="47" t="s">
        <v>686</v>
      </c>
      <c r="B142" s="107" t="s">
        <v>2543</v>
      </c>
      <c r="C142" s="102" t="s">
        <v>2462</v>
      </c>
      <c r="D142" s="51" t="s">
        <v>688</v>
      </c>
      <c r="E142" s="51">
        <v>0</v>
      </c>
      <c r="F142" s="51"/>
      <c r="G142" s="51"/>
      <c r="H142" s="47" t="s">
        <v>664</v>
      </c>
      <c r="I142" s="58">
        <v>45910</v>
      </c>
      <c r="J142" s="58" t="str">
        <f>INDEX(_xlfn.TEXTSPLIT(tissage[[#This Row],[QR Fabrication]],"_"),1,1)</f>
        <v>CA250022</v>
      </c>
      <c r="K142" s="107" t="str">
        <f>INDEX(_xlfn.TEXTSPLIT(tissage[[#This Row],[QR Fabrication]],"_"),1,2)</f>
        <v>All by Fouta</v>
      </c>
      <c r="L142" s="51" t="str">
        <f>INDEX(_xlfn.TEXTSPLIT(tissage[[#This Row],[QR Fabrication]],"_"),1,3)</f>
        <v>Stock</v>
      </c>
      <c r="M142" s="51" t="str">
        <f>INDEX(_xlfn.TEXTSPLIT(tissage[[#This Row],[QR Fabrication]],"_"),1,4)</f>
        <v>UNS2020-04</v>
      </c>
      <c r="N142" s="51" t="str">
        <f>INDEX(_xlfn.TEXTSPLIT(tissage[[#This Row],[QR Fabrication]],"_"),1,5)</f>
        <v>UNI SURPIQUE</v>
      </c>
      <c r="O142" s="51" t="str">
        <f>_xlfn.TEXTAFTER(tissage[[#This Row],[QR Fabrication]],"_",5)</f>
        <v>2020</v>
      </c>
      <c r="P142" s="47" t="str">
        <f>IF(
   COUNTIFS($A$2:A142,A142,
             $C$2:C142,C142,
             $D$2:D142,D142,
             $B$2:B142,B142,
             $E$2:E142,E142,
             $I$2:I142,I142
               )&gt;1,
   "Doublon",
   "Correcte"
)</f>
        <v>Correcte</v>
      </c>
    </row>
    <row r="143" spans="1:16" ht="16.5" thickTop="1" thickBot="1" x14ac:dyDescent="0.3">
      <c r="A143" s="47" t="s">
        <v>686</v>
      </c>
      <c r="B143" s="107" t="s">
        <v>2543</v>
      </c>
      <c r="C143" s="102" t="s">
        <v>2417</v>
      </c>
      <c r="D143" s="51" t="s">
        <v>688</v>
      </c>
      <c r="E143" s="51">
        <v>0</v>
      </c>
      <c r="F143" s="51"/>
      <c r="G143" s="51"/>
      <c r="H143" s="47" t="s">
        <v>664</v>
      </c>
      <c r="I143" s="58">
        <v>45909</v>
      </c>
      <c r="J143" s="58" t="str">
        <f>INDEX(_xlfn.TEXTSPLIT(tissage[[#This Row],[QR Fabrication]],"_"),1,1)</f>
        <v>CA250023</v>
      </c>
      <c r="K143" s="107" t="str">
        <f>INDEX(_xlfn.TEXTSPLIT(tissage[[#This Row],[QR Fabrication]],"_"),1,2)</f>
        <v>All by Fouta</v>
      </c>
      <c r="L143" s="51" t="str">
        <f>INDEX(_xlfn.TEXTSPLIT(tissage[[#This Row],[QR Fabrication]],"_"),1,3)</f>
        <v>Stock</v>
      </c>
      <c r="M143" s="51" t="str">
        <f>INDEX(_xlfn.TEXTSPLIT(tissage[[#This Row],[QR Fabrication]],"_"),1,4)</f>
        <v>UNS2020-06</v>
      </c>
      <c r="N143" s="51" t="str">
        <f>INDEX(_xlfn.TEXTSPLIT(tissage[[#This Row],[QR Fabrication]],"_"),1,5)</f>
        <v>UNI SURPIQUE</v>
      </c>
      <c r="O143" s="51" t="str">
        <f>_xlfn.TEXTAFTER(tissage[[#This Row],[QR Fabrication]],"_",5)</f>
        <v>2020</v>
      </c>
      <c r="P143" s="47" t="str">
        <f>IF(
   COUNTIFS($A$2:A143,A143,
             $C$2:C143,C143,
             $D$2:D143,D143,
             $B$2:B143,B143,
             $E$2:E143,E143,
             $I$2:I143,I143
               )&gt;1,
   "Doublon",
   "Correcte"
)</f>
        <v>Correcte</v>
      </c>
    </row>
    <row r="144" spans="1:16" ht="16.5" thickTop="1" thickBot="1" x14ac:dyDescent="0.3">
      <c r="A144" s="47" t="s">
        <v>686</v>
      </c>
      <c r="B144" s="106" t="s">
        <v>2546</v>
      </c>
      <c r="C144" s="101" t="s">
        <v>2426</v>
      </c>
      <c r="D144" s="51" t="s">
        <v>688</v>
      </c>
      <c r="E144" s="51">
        <v>0</v>
      </c>
      <c r="F144" s="47"/>
      <c r="G144" s="47"/>
      <c r="H144" s="47" t="s">
        <v>664</v>
      </c>
      <c r="I144" s="57">
        <v>45918</v>
      </c>
      <c r="J144" s="57" t="str">
        <f>INDEX(_xlfn.TEXTSPLIT(tissage[[#This Row],[QR Fabrication]],"_"),1,1)</f>
        <v>CA250076</v>
      </c>
      <c r="K144" s="106" t="str">
        <f>INDEX(_xlfn.TEXTSPLIT(tissage[[#This Row],[QR Fabrication]],"_"),1,2)</f>
        <v>All by Fouta</v>
      </c>
      <c r="L144" s="47" t="str">
        <f>INDEX(_xlfn.TEXTSPLIT(tissage[[#This Row],[QR Fabrication]],"_"),1,3)</f>
        <v>Stock</v>
      </c>
      <c r="M144" s="47" t="str">
        <f>INDEX(_xlfn.TEXTSPLIT(tissage[[#This Row],[QR Fabrication]],"_"),1,4)</f>
        <v>UNS2030-27</v>
      </c>
      <c r="N144" s="47" t="str">
        <f>INDEX(_xlfn.TEXTSPLIT(tissage[[#This Row],[QR Fabrication]],"_"),1,5)</f>
        <v>UNI SURPIQUE</v>
      </c>
      <c r="O144" s="47" t="str">
        <f>_xlfn.TEXTAFTER(tissage[[#This Row],[QR Fabrication]],"_",5)</f>
        <v>2030</v>
      </c>
      <c r="P144" s="47" t="str">
        <f>IF(
   COUNTIFS($A$2:A144,A144,
             $C$2:C144,C144,
             $D$2:D144,D144,
             $B$2:B144,B144,
             $E$2:E144,E144,
             $I$2:I144,I144
               )&gt;1,
   "Doublon",
   "Correcte"
)</f>
        <v>Correcte</v>
      </c>
    </row>
    <row r="145" spans="1:16" ht="16.5" thickTop="1" thickBot="1" x14ac:dyDescent="0.3">
      <c r="A145" s="47" t="s">
        <v>686</v>
      </c>
      <c r="B145" s="107" t="s">
        <v>2546</v>
      </c>
      <c r="C145" s="102" t="s">
        <v>2455</v>
      </c>
      <c r="D145" s="51" t="s">
        <v>688</v>
      </c>
      <c r="E145" s="51">
        <v>0</v>
      </c>
      <c r="F145" s="51"/>
      <c r="G145" s="51"/>
      <c r="H145" s="47" t="s">
        <v>664</v>
      </c>
      <c r="I145" s="58">
        <v>45908</v>
      </c>
      <c r="J145" s="58" t="str">
        <f>INDEX(_xlfn.TEXTSPLIT(tissage[[#This Row],[QR Fabrication]],"_"),1,1)</f>
        <v>CA250064</v>
      </c>
      <c r="K145" s="107" t="str">
        <f>INDEX(_xlfn.TEXTSPLIT(tissage[[#This Row],[QR Fabrication]],"_"),1,2)</f>
        <v>All by Fouta</v>
      </c>
      <c r="L145" s="51" t="str">
        <f>INDEX(_xlfn.TEXTSPLIT(tissage[[#This Row],[QR Fabrication]],"_"),1,3)</f>
        <v>Stock</v>
      </c>
      <c r="M145" s="51" t="str">
        <f>INDEX(_xlfn.TEXTSPLIT(tissage[[#This Row],[QR Fabrication]],"_"),1,4)</f>
        <v>UNS2030-09</v>
      </c>
      <c r="N145" s="51" t="str">
        <f>INDEX(_xlfn.TEXTSPLIT(tissage[[#This Row],[QR Fabrication]],"_"),1,5)</f>
        <v>UNI SURPIQUE</v>
      </c>
      <c r="O145" s="51" t="str">
        <f>_xlfn.TEXTAFTER(tissage[[#This Row],[QR Fabrication]],"_",5)</f>
        <v>2030</v>
      </c>
      <c r="P145" s="47" t="str">
        <f>IF(
   COUNTIFS($A$2:A145,A145,
             $C$2:C145,C145,
             $D$2:D145,D145,
             $B$2:B145,B145,
             $E$2:E145,E145,
             $I$2:I145,I145
               )&gt;1,
   "Doublon",
   "Correcte"
)</f>
        <v>Correcte</v>
      </c>
    </row>
    <row r="146" spans="1:16" ht="16.5" thickTop="1" thickBot="1" x14ac:dyDescent="0.3">
      <c r="A146" s="47" t="s">
        <v>686</v>
      </c>
      <c r="B146" s="107" t="s">
        <v>2546</v>
      </c>
      <c r="C146" s="102" t="s">
        <v>1306</v>
      </c>
      <c r="D146" s="51" t="s">
        <v>688</v>
      </c>
      <c r="E146" s="51">
        <v>0</v>
      </c>
      <c r="F146" s="51"/>
      <c r="G146" s="51"/>
      <c r="H146" s="47" t="s">
        <v>664</v>
      </c>
      <c r="I146" s="58">
        <v>45915</v>
      </c>
      <c r="J146" s="58" t="str">
        <f>INDEX(_xlfn.TEXTSPLIT(tissage[[#This Row],[QR Fabrication]],"_"),1,1)</f>
        <v>CA250068</v>
      </c>
      <c r="K146" s="107" t="str">
        <f>INDEX(_xlfn.TEXTSPLIT(tissage[[#This Row],[QR Fabrication]],"_"),1,2)</f>
        <v>All by Fouta</v>
      </c>
      <c r="L146" s="51" t="str">
        <f>INDEX(_xlfn.TEXTSPLIT(tissage[[#This Row],[QR Fabrication]],"_"),1,3)</f>
        <v>Stock</v>
      </c>
      <c r="M146" s="51" t="str">
        <f>INDEX(_xlfn.TEXTSPLIT(tissage[[#This Row],[QR Fabrication]],"_"),1,4)</f>
        <v>UNS2030-15</v>
      </c>
      <c r="N146" s="51" t="str">
        <f>INDEX(_xlfn.TEXTSPLIT(tissage[[#This Row],[QR Fabrication]],"_"),1,5)</f>
        <v>UNI SURPIQUE</v>
      </c>
      <c r="O146" s="51" t="str">
        <f>_xlfn.TEXTAFTER(tissage[[#This Row],[QR Fabrication]],"_",5)</f>
        <v>2030</v>
      </c>
      <c r="P146" s="47" t="str">
        <f>IF(
   COUNTIFS($A$2:A146,A146,
             $C$2:C146,C146,
             $D$2:D146,D146,
             $B$2:B146,B146,
             $E$2:E146,E146,
             $I$2:I146,I146
               )&gt;1,
   "Doublon",
   "Correcte"
)</f>
        <v>Correcte</v>
      </c>
    </row>
    <row r="147" spans="1:16" ht="16.5" thickTop="1" thickBot="1" x14ac:dyDescent="0.3">
      <c r="A147" s="47" t="s">
        <v>686</v>
      </c>
      <c r="B147" s="106" t="s">
        <v>2546</v>
      </c>
      <c r="C147" s="101" t="s">
        <v>1303</v>
      </c>
      <c r="D147" s="51" t="s">
        <v>688</v>
      </c>
      <c r="E147" s="51">
        <v>0</v>
      </c>
      <c r="F147" s="47"/>
      <c r="G147" s="47"/>
      <c r="H147" s="47" t="s">
        <v>664</v>
      </c>
      <c r="I147" s="57">
        <v>45913</v>
      </c>
      <c r="J147" s="57" t="str">
        <f>INDEX(_xlfn.TEXTSPLIT(tissage[[#This Row],[QR Fabrication]],"_"),1,1)</f>
        <v>CA250070</v>
      </c>
      <c r="K147" s="106" t="str">
        <f>INDEX(_xlfn.TEXTSPLIT(tissage[[#This Row],[QR Fabrication]],"_"),1,2)</f>
        <v>All by Fouta</v>
      </c>
      <c r="L147" s="47" t="str">
        <f>INDEX(_xlfn.TEXTSPLIT(tissage[[#This Row],[QR Fabrication]],"_"),1,3)</f>
        <v>Stock</v>
      </c>
      <c r="M147" s="47" t="str">
        <f>INDEX(_xlfn.TEXTSPLIT(tissage[[#This Row],[QR Fabrication]],"_"),1,4)</f>
        <v>UNS2030-18</v>
      </c>
      <c r="N147" s="47" t="str">
        <f>INDEX(_xlfn.TEXTSPLIT(tissage[[#This Row],[QR Fabrication]],"_"),1,5)</f>
        <v>UNI SURPIQUE</v>
      </c>
      <c r="O147" s="47" t="str">
        <f>_xlfn.TEXTAFTER(tissage[[#This Row],[QR Fabrication]],"_",5)</f>
        <v>2030</v>
      </c>
      <c r="P147" s="47" t="str">
        <f>IF(
   COUNTIFS($A$2:A147,A147,
             $C$2:C147,C147,
             $D$2:D147,D147,
             $B$2:B147,B147,
             $E$2:E147,E147,
             $I$2:I147,I147
               )&gt;1,
   "Doublon",
   "Correcte"
)</f>
        <v>Correcte</v>
      </c>
    </row>
    <row r="148" spans="1:16" ht="16.5" thickTop="1" thickBot="1" x14ac:dyDescent="0.3">
      <c r="A148" s="47" t="s">
        <v>686</v>
      </c>
      <c r="B148" s="106" t="s">
        <v>2546</v>
      </c>
      <c r="C148" s="101" t="s">
        <v>2434</v>
      </c>
      <c r="D148" s="51" t="s">
        <v>688</v>
      </c>
      <c r="E148" s="51">
        <v>0</v>
      </c>
      <c r="F148" s="47"/>
      <c r="G148" s="47"/>
      <c r="H148" s="47" t="s">
        <v>664</v>
      </c>
      <c r="I148" s="57">
        <v>45920</v>
      </c>
      <c r="J148" s="57" t="str">
        <f>INDEX(_xlfn.TEXTSPLIT(tissage[[#This Row],[QR Fabrication]],"_"),1,1)</f>
        <v>CA250071</v>
      </c>
      <c r="K148" s="106" t="str">
        <f>INDEX(_xlfn.TEXTSPLIT(tissage[[#This Row],[QR Fabrication]],"_"),1,2)</f>
        <v>All by Fouta</v>
      </c>
      <c r="L148" s="47" t="str">
        <f>INDEX(_xlfn.TEXTSPLIT(tissage[[#This Row],[QR Fabrication]],"_"),1,3)</f>
        <v>Stock</v>
      </c>
      <c r="M148" s="47" t="str">
        <f>INDEX(_xlfn.TEXTSPLIT(tissage[[#This Row],[QR Fabrication]],"_"),1,4)</f>
        <v>UNS2030-19</v>
      </c>
      <c r="N148" s="47" t="str">
        <f>INDEX(_xlfn.TEXTSPLIT(tissage[[#This Row],[QR Fabrication]],"_"),1,5)</f>
        <v>UNI SURPIQUE</v>
      </c>
      <c r="O148" s="47" t="str">
        <f>_xlfn.TEXTAFTER(tissage[[#This Row],[QR Fabrication]],"_",5)</f>
        <v>2030</v>
      </c>
      <c r="P148" s="47" t="str">
        <f>IF(
   COUNTIFS($A$2:A148,A148,
             $C$2:C148,C148,
             $D$2:D148,D148,
             $B$2:B148,B148,
             $E$2:E148,E148,
             $I$2:I148,I148
               )&gt;1,
   "Doublon",
   "Correcte"
)</f>
        <v>Correcte</v>
      </c>
    </row>
    <row r="149" spans="1:16" ht="16.5" thickTop="1" thickBot="1" x14ac:dyDescent="0.3">
      <c r="A149" s="47" t="s">
        <v>686</v>
      </c>
      <c r="B149" s="106" t="s">
        <v>2546</v>
      </c>
      <c r="C149" s="101" t="s">
        <v>2432</v>
      </c>
      <c r="D149" s="51" t="s">
        <v>688</v>
      </c>
      <c r="E149" s="51">
        <v>0</v>
      </c>
      <c r="F149" s="47"/>
      <c r="G149" s="47"/>
      <c r="H149" s="47" t="s">
        <v>664</v>
      </c>
      <c r="I149" s="57">
        <v>45922</v>
      </c>
      <c r="J149" s="57" t="str">
        <f>INDEX(_xlfn.TEXTSPLIT(tissage[[#This Row],[QR Fabrication]],"_"),1,1)</f>
        <v>CA250072</v>
      </c>
      <c r="K149" s="106" t="str">
        <f>INDEX(_xlfn.TEXTSPLIT(tissage[[#This Row],[QR Fabrication]],"_"),1,2)</f>
        <v>All by Fouta</v>
      </c>
      <c r="L149" s="47" t="str">
        <f>INDEX(_xlfn.TEXTSPLIT(tissage[[#This Row],[QR Fabrication]],"_"),1,3)</f>
        <v>Stock</v>
      </c>
      <c r="M149" s="47" t="str">
        <f>INDEX(_xlfn.TEXTSPLIT(tissage[[#This Row],[QR Fabrication]],"_"),1,4)</f>
        <v>UNS2030-20</v>
      </c>
      <c r="N149" s="47" t="str">
        <f>INDEX(_xlfn.TEXTSPLIT(tissage[[#This Row],[QR Fabrication]],"_"),1,5)</f>
        <v>UNI SURPIQUE</v>
      </c>
      <c r="O149" s="47" t="str">
        <f>_xlfn.TEXTAFTER(tissage[[#This Row],[QR Fabrication]],"_",5)</f>
        <v>2030</v>
      </c>
      <c r="P149" s="47" t="str">
        <f>IF(
   COUNTIFS($A$2:A149,A149,
             $C$2:C149,C149,
             $D$2:D149,D149,
             $B$2:B149,B149,
             $E$2:E149,E149,
             $I$2:I149,I149
               )&gt;1,
   "Doublon",
   "Correcte"
)</f>
        <v>Correcte</v>
      </c>
    </row>
    <row r="150" spans="1:16" ht="16.5" thickTop="1" thickBot="1" x14ac:dyDescent="0.3">
      <c r="A150" s="47" t="s">
        <v>686</v>
      </c>
      <c r="B150" s="106" t="s">
        <v>2546</v>
      </c>
      <c r="C150" s="101" t="s">
        <v>2441</v>
      </c>
      <c r="D150" s="51" t="s">
        <v>688</v>
      </c>
      <c r="E150" s="51">
        <v>0</v>
      </c>
      <c r="F150" s="47"/>
      <c r="G150" s="47"/>
      <c r="H150" s="47" t="s">
        <v>664</v>
      </c>
      <c r="I150" s="57">
        <v>45923</v>
      </c>
      <c r="J150" s="57" t="str">
        <f>INDEX(_xlfn.TEXTSPLIT(tissage[[#This Row],[QR Fabrication]],"_"),1,1)</f>
        <v>CA250073</v>
      </c>
      <c r="K150" s="106" t="str">
        <f>INDEX(_xlfn.TEXTSPLIT(tissage[[#This Row],[QR Fabrication]],"_"),1,2)</f>
        <v>All by Fouta</v>
      </c>
      <c r="L150" s="47" t="str">
        <f>INDEX(_xlfn.TEXTSPLIT(tissage[[#This Row],[QR Fabrication]],"_"),1,3)</f>
        <v>Stock</v>
      </c>
      <c r="M150" s="47" t="str">
        <f>INDEX(_xlfn.TEXTSPLIT(tissage[[#This Row],[QR Fabrication]],"_"),1,4)</f>
        <v>UNS2030-23</v>
      </c>
      <c r="N150" s="47" t="str">
        <f>INDEX(_xlfn.TEXTSPLIT(tissage[[#This Row],[QR Fabrication]],"_"),1,5)</f>
        <v>UNI SURPIQUE</v>
      </c>
      <c r="O150" s="47" t="str">
        <f>_xlfn.TEXTAFTER(tissage[[#This Row],[QR Fabrication]],"_",5)</f>
        <v>2030</v>
      </c>
      <c r="P150" s="47" t="str">
        <f>IF(
   COUNTIFS($A$2:A150,A150,
             $C$2:C150,C150,
             $D$2:D150,D150,
             $B$2:B150,B150,
             $E$2:E150,E150,
             $I$2:I150,I150
               )&gt;1,
   "Doublon",
   "Correcte"
)</f>
        <v>Correcte</v>
      </c>
    </row>
    <row r="151" spans="1:16" ht="16.5" thickTop="1" thickBot="1" x14ac:dyDescent="0.3">
      <c r="A151" s="47" t="s">
        <v>686</v>
      </c>
      <c r="B151" s="106" t="s">
        <v>2546</v>
      </c>
      <c r="C151" s="101" t="s">
        <v>2439</v>
      </c>
      <c r="D151" s="51" t="s">
        <v>688</v>
      </c>
      <c r="E151" s="51">
        <v>0</v>
      </c>
      <c r="F151" s="47"/>
      <c r="G151" s="47"/>
      <c r="H151" s="47" t="s">
        <v>664</v>
      </c>
      <c r="I151" s="57">
        <v>45923</v>
      </c>
      <c r="J151" s="57" t="str">
        <f>INDEX(_xlfn.TEXTSPLIT(tissage[[#This Row],[QR Fabrication]],"_"),1,1)</f>
        <v>CA250074</v>
      </c>
      <c r="K151" s="106" t="str">
        <f>INDEX(_xlfn.TEXTSPLIT(tissage[[#This Row],[QR Fabrication]],"_"),1,2)</f>
        <v>All by Fouta</v>
      </c>
      <c r="L151" s="47" t="str">
        <f>INDEX(_xlfn.TEXTSPLIT(tissage[[#This Row],[QR Fabrication]],"_"),1,3)</f>
        <v>Stock</v>
      </c>
      <c r="M151" s="47" t="str">
        <f>INDEX(_xlfn.TEXTSPLIT(tissage[[#This Row],[QR Fabrication]],"_"),1,4)</f>
        <v>UNS2030-24</v>
      </c>
      <c r="N151" s="47" t="str">
        <f>INDEX(_xlfn.TEXTSPLIT(tissage[[#This Row],[QR Fabrication]],"_"),1,5)</f>
        <v>UNI SURPIQUE</v>
      </c>
      <c r="O151" s="47" t="str">
        <f>_xlfn.TEXTAFTER(tissage[[#This Row],[QR Fabrication]],"_",5)</f>
        <v>2030</v>
      </c>
      <c r="P151" s="47" t="str">
        <f>IF(
   COUNTIFS($A$2:A151,A151,
             $C$2:C151,C151,
             $D$2:D151,D151,
             $B$2:B151,B151,
             $E$2:E151,E151,
             $I$2:I151,I151
               )&gt;1,
   "Doublon",
   "Correcte"
)</f>
        <v>Correcte</v>
      </c>
    </row>
    <row r="152" spans="1:16" ht="16.5" thickTop="1" thickBot="1" x14ac:dyDescent="0.3">
      <c r="A152" s="47" t="s">
        <v>686</v>
      </c>
      <c r="B152" s="106" t="s">
        <v>2546</v>
      </c>
      <c r="C152" s="101" t="s">
        <v>1312</v>
      </c>
      <c r="D152" s="51" t="s">
        <v>688</v>
      </c>
      <c r="E152" s="51">
        <v>0</v>
      </c>
      <c r="F152" s="47"/>
      <c r="G152" s="47"/>
      <c r="H152" s="47" t="s">
        <v>664</v>
      </c>
      <c r="I152" s="57">
        <v>45917</v>
      </c>
      <c r="J152" s="57" t="str">
        <f>INDEX(_xlfn.TEXTSPLIT(tissage[[#This Row],[QR Fabrication]],"_"),1,1)</f>
        <v>CA250075</v>
      </c>
      <c r="K152" s="106" t="str">
        <f>INDEX(_xlfn.TEXTSPLIT(tissage[[#This Row],[QR Fabrication]],"_"),1,2)</f>
        <v>All by Fouta</v>
      </c>
      <c r="L152" s="47" t="str">
        <f>INDEX(_xlfn.TEXTSPLIT(tissage[[#This Row],[QR Fabrication]],"_"),1,3)</f>
        <v>Stock</v>
      </c>
      <c r="M152" s="47" t="str">
        <f>INDEX(_xlfn.TEXTSPLIT(tissage[[#This Row],[QR Fabrication]],"_"),1,4)</f>
        <v>UNS2030-26</v>
      </c>
      <c r="N152" s="47" t="str">
        <f>INDEX(_xlfn.TEXTSPLIT(tissage[[#This Row],[QR Fabrication]],"_"),1,5)</f>
        <v>UNI SURPIQUE</v>
      </c>
      <c r="O152" s="47" t="str">
        <f>_xlfn.TEXTAFTER(tissage[[#This Row],[QR Fabrication]],"_",5)</f>
        <v>2030</v>
      </c>
      <c r="P152" s="47" t="str">
        <f>IF(
   COUNTIFS($A$2:A152,A152,
             $C$2:C152,C152,
             $D$2:D152,D152,
             $B$2:B152,B152,
             $E$2:E152,E152,
             $I$2:I152,I152
               )&gt;1,
   "Doublon",
   "Correcte"
)</f>
        <v>Correcte</v>
      </c>
    </row>
    <row r="153" spans="1:16" ht="16.5" thickTop="1" thickBot="1" x14ac:dyDescent="0.3">
      <c r="A153" s="47" t="s">
        <v>686</v>
      </c>
      <c r="B153" s="106" t="s">
        <v>2546</v>
      </c>
      <c r="C153" s="101" t="s">
        <v>1313</v>
      </c>
      <c r="D153" s="51" t="s">
        <v>688</v>
      </c>
      <c r="E153" s="51">
        <v>0</v>
      </c>
      <c r="F153" s="47"/>
      <c r="G153" s="47"/>
      <c r="H153" s="47" t="s">
        <v>664</v>
      </c>
      <c r="I153" s="57">
        <v>45916</v>
      </c>
      <c r="J153" s="57" t="str">
        <f>INDEX(_xlfn.TEXTSPLIT(tissage[[#This Row],[QR Fabrication]],"_"),1,1)</f>
        <v>CA250077</v>
      </c>
      <c r="K153" s="106" t="str">
        <f>INDEX(_xlfn.TEXTSPLIT(tissage[[#This Row],[QR Fabrication]],"_"),1,2)</f>
        <v>All by Fouta</v>
      </c>
      <c r="L153" s="47" t="str">
        <f>INDEX(_xlfn.TEXTSPLIT(tissage[[#This Row],[QR Fabrication]],"_"),1,3)</f>
        <v>Stock</v>
      </c>
      <c r="M153" s="47" t="str">
        <f>INDEX(_xlfn.TEXTSPLIT(tissage[[#This Row],[QR Fabrication]],"_"),1,4)</f>
        <v>UNS2030-30</v>
      </c>
      <c r="N153" s="47" t="str">
        <f>INDEX(_xlfn.TEXTSPLIT(tissage[[#This Row],[QR Fabrication]],"_"),1,5)</f>
        <v>UNI SURPIQUE</v>
      </c>
      <c r="O153" s="47" t="str">
        <f>_xlfn.TEXTAFTER(tissage[[#This Row],[QR Fabrication]],"_",5)</f>
        <v>2030</v>
      </c>
      <c r="P153" s="47" t="str">
        <f>IF(
   COUNTIFS($A$2:A153,A153,
             $C$2:C153,C153,
             $D$2:D153,D153,
             $B$2:B153,B153,
             $E$2:E153,E153,
             $I$2:I153,I153
               )&gt;1,
   "Doublon",
   "Correcte"
)</f>
        <v>Correcte</v>
      </c>
    </row>
    <row r="154" spans="1:16" ht="16.5" thickTop="1" thickBot="1" x14ac:dyDescent="0.3">
      <c r="A154" s="47" t="s">
        <v>686</v>
      </c>
      <c r="B154" s="106" t="s">
        <v>2546</v>
      </c>
      <c r="C154" s="101" t="s">
        <v>2440</v>
      </c>
      <c r="D154" s="51" t="s">
        <v>688</v>
      </c>
      <c r="E154" s="51">
        <v>0</v>
      </c>
      <c r="F154" s="47"/>
      <c r="G154" s="47"/>
      <c r="H154" s="47" t="s">
        <v>664</v>
      </c>
      <c r="I154" s="57">
        <v>45923</v>
      </c>
      <c r="J154" s="57" t="str">
        <f>INDEX(_xlfn.TEXTSPLIT(tissage[[#This Row],[QR Fabrication]],"_"),1,1)</f>
        <v>CA250078</v>
      </c>
      <c r="K154" s="106" t="str">
        <f>INDEX(_xlfn.TEXTSPLIT(tissage[[#This Row],[QR Fabrication]],"_"),1,2)</f>
        <v>All by Fouta</v>
      </c>
      <c r="L154" s="47" t="str">
        <f>INDEX(_xlfn.TEXTSPLIT(tissage[[#This Row],[QR Fabrication]],"_"),1,3)</f>
        <v>Stock</v>
      </c>
      <c r="M154" s="47" t="str">
        <f>INDEX(_xlfn.TEXTSPLIT(tissage[[#This Row],[QR Fabrication]],"_"),1,4)</f>
        <v>UNS2030-31</v>
      </c>
      <c r="N154" s="47" t="str">
        <f>INDEX(_xlfn.TEXTSPLIT(tissage[[#This Row],[QR Fabrication]],"_"),1,5)</f>
        <v>UNI SURPIQUE</v>
      </c>
      <c r="O154" s="47" t="str">
        <f>_xlfn.TEXTAFTER(tissage[[#This Row],[QR Fabrication]],"_",5)</f>
        <v>2030</v>
      </c>
      <c r="P154" s="47" t="str">
        <f>IF(
   COUNTIFS($A$2:A154,A154,
             $C$2:C154,C154,
             $D$2:D154,D154,
             $B$2:B154,B154,
             $E$2:E154,E154,
             $I$2:I154,I154
               )&gt;1,
   "Doublon",
   "Correcte"
)</f>
        <v>Correcte</v>
      </c>
    </row>
    <row r="155" spans="1:16" ht="16.5" thickTop="1" thickBot="1" x14ac:dyDescent="0.3">
      <c r="A155" s="47" t="s">
        <v>686</v>
      </c>
      <c r="B155" s="107" t="s">
        <v>2546</v>
      </c>
      <c r="C155" s="102" t="s">
        <v>2427</v>
      </c>
      <c r="D155" s="51" t="s">
        <v>688</v>
      </c>
      <c r="E155" s="51">
        <v>0</v>
      </c>
      <c r="F155" s="51"/>
      <c r="G155" s="51"/>
      <c r="H155" s="47" t="s">
        <v>664</v>
      </c>
      <c r="I155" s="58">
        <v>45919</v>
      </c>
      <c r="J155" s="58" t="str">
        <f>INDEX(_xlfn.TEXTSPLIT(tissage[[#This Row],[QR Fabrication]],"_"),1,1)</f>
        <v>CA250079</v>
      </c>
      <c r="K155" s="107" t="str">
        <f>INDEX(_xlfn.TEXTSPLIT(tissage[[#This Row],[QR Fabrication]],"_"),1,2)</f>
        <v>All by Fouta</v>
      </c>
      <c r="L155" s="51" t="str">
        <f>INDEX(_xlfn.TEXTSPLIT(tissage[[#This Row],[QR Fabrication]],"_"),1,3)</f>
        <v>Stock</v>
      </c>
      <c r="M155" s="51" t="str">
        <f>INDEX(_xlfn.TEXTSPLIT(tissage[[#This Row],[QR Fabrication]],"_"),1,4)</f>
        <v>UNS2030-32</v>
      </c>
      <c r="N155" s="51" t="str">
        <f>INDEX(_xlfn.TEXTSPLIT(tissage[[#This Row],[QR Fabrication]],"_"),1,5)</f>
        <v>UNI SURPIQUE</v>
      </c>
      <c r="O155" s="51" t="str">
        <f>_xlfn.TEXTAFTER(tissage[[#This Row],[QR Fabrication]],"_",5)</f>
        <v>2030</v>
      </c>
      <c r="P155" s="47" t="str">
        <f>IF(
   COUNTIFS($A$2:A155,A155,
             $C$2:C155,C155,
             $D$2:D155,D155,
             $B$2:B155,B155,
             $E$2:E155,E155,
             $I$2:I155,I155
               )&gt;1,
   "Doublon",
   "Correcte"
)</f>
        <v>Correcte</v>
      </c>
    </row>
    <row r="156" spans="1:16" ht="16.5" thickTop="1" thickBot="1" x14ac:dyDescent="0.3">
      <c r="A156" s="47" t="s">
        <v>686</v>
      </c>
      <c r="B156" s="106" t="s">
        <v>2543</v>
      </c>
      <c r="C156" s="101" t="s">
        <v>1305</v>
      </c>
      <c r="D156" s="51" t="s">
        <v>688</v>
      </c>
      <c r="E156" s="51">
        <v>0</v>
      </c>
      <c r="F156" s="47"/>
      <c r="G156" s="47"/>
      <c r="H156" s="47" t="s">
        <v>664</v>
      </c>
      <c r="I156" s="57">
        <v>45913</v>
      </c>
      <c r="J156" s="57" t="str">
        <f>INDEX(_xlfn.TEXTSPLIT(tissage[[#This Row],[QR Fabrication]],"_"),1,1)</f>
        <v>CA250025</v>
      </c>
      <c r="K156" s="106" t="str">
        <f>INDEX(_xlfn.TEXTSPLIT(tissage[[#This Row],[QR Fabrication]],"_"),1,2)</f>
        <v>All by Fouta</v>
      </c>
      <c r="L156" s="47" t="str">
        <f>INDEX(_xlfn.TEXTSPLIT(tissage[[#This Row],[QR Fabrication]],"_"),1,3)</f>
        <v>Stock</v>
      </c>
      <c r="M156" s="47" t="str">
        <f>INDEX(_xlfn.TEXTSPLIT(tissage[[#This Row],[QR Fabrication]],"_"),1,4)</f>
        <v>UNS2020-10</v>
      </c>
      <c r="N156" s="47" t="str">
        <f>INDEX(_xlfn.TEXTSPLIT(tissage[[#This Row],[QR Fabrication]],"_"),1,5)</f>
        <v>UNI SURPIQUE</v>
      </c>
      <c r="O156" s="47" t="str">
        <f>_xlfn.TEXTAFTER(tissage[[#This Row],[QR Fabrication]],"_",5)</f>
        <v>2020</v>
      </c>
      <c r="P156" s="47" t="str">
        <f>IF(
   COUNTIFS($A$2:A156,A156,
             $C$2:C156,C156,
             $D$2:D156,D156,
             $B$2:B156,B156,
             $E$2:E156,E156,
             $I$2:I156,I156
               )&gt;1,
   "Doublon",
   "Correcte"
)</f>
        <v>Correcte</v>
      </c>
    </row>
    <row r="157" spans="1:16" ht="16.5" thickTop="1" thickBot="1" x14ac:dyDescent="0.3">
      <c r="A157" s="47" t="s">
        <v>686</v>
      </c>
      <c r="B157" s="106" t="s">
        <v>2543</v>
      </c>
      <c r="C157" s="101" t="s">
        <v>2449</v>
      </c>
      <c r="D157" s="51" t="s">
        <v>688</v>
      </c>
      <c r="E157" s="51">
        <v>0</v>
      </c>
      <c r="F157" s="47"/>
      <c r="G157" s="47"/>
      <c r="H157" s="47" t="s">
        <v>664</v>
      </c>
      <c r="I157" s="57">
        <v>45926</v>
      </c>
      <c r="J157" s="57" t="str">
        <f>INDEX(_xlfn.TEXTSPLIT(tissage[[#This Row],[QR Fabrication]],"_"),1,1)</f>
        <v>CA250024</v>
      </c>
      <c r="K157" s="106" t="str">
        <f>INDEX(_xlfn.TEXTSPLIT(tissage[[#This Row],[QR Fabrication]],"_"),1,2)</f>
        <v>All by Fouta</v>
      </c>
      <c r="L157" s="47" t="str">
        <f>INDEX(_xlfn.TEXTSPLIT(tissage[[#This Row],[QR Fabrication]],"_"),1,3)</f>
        <v>Stock</v>
      </c>
      <c r="M157" s="47" t="str">
        <f>INDEX(_xlfn.TEXTSPLIT(tissage[[#This Row],[QR Fabrication]],"_"),1,4)</f>
        <v>UNS2020-09</v>
      </c>
      <c r="N157" s="47" t="str">
        <f>INDEX(_xlfn.TEXTSPLIT(tissage[[#This Row],[QR Fabrication]],"_"),1,5)</f>
        <v>UNI SURPIQUE</v>
      </c>
      <c r="O157" s="47" t="str">
        <f>_xlfn.TEXTAFTER(tissage[[#This Row],[QR Fabrication]],"_",5)</f>
        <v>2020</v>
      </c>
      <c r="P157" s="47" t="str">
        <f>IF(
   COUNTIFS($A$2:A157,A157,
             $C$2:C157,C157,
             $D$2:D157,D157,
             $B$2:B157,B157,
             $E$2:E157,E157,
             $I$2:I157,I157
               )&gt;1,
   "Doublon",
   "Correcte"
)</f>
        <v>Correcte</v>
      </c>
    </row>
    <row r="158" spans="1:16" ht="16.5" thickTop="1" thickBot="1" x14ac:dyDescent="0.3">
      <c r="A158" s="47" t="s">
        <v>686</v>
      </c>
      <c r="B158" s="106" t="s">
        <v>2543</v>
      </c>
      <c r="C158" s="101" t="s">
        <v>2435</v>
      </c>
      <c r="D158" s="51" t="s">
        <v>688</v>
      </c>
      <c r="E158" s="51">
        <v>0</v>
      </c>
      <c r="F158" s="47"/>
      <c r="G158" s="47"/>
      <c r="H158" s="47" t="s">
        <v>664</v>
      </c>
      <c r="I158" s="57">
        <v>45923</v>
      </c>
      <c r="J158" s="57" t="str">
        <f>INDEX(_xlfn.TEXTSPLIT(tissage[[#This Row],[QR Fabrication]],"_"),1,1)</f>
        <v>CA250039</v>
      </c>
      <c r="K158" s="106" t="str">
        <f>INDEX(_xlfn.TEXTSPLIT(tissage[[#This Row],[QR Fabrication]],"_"),1,2)</f>
        <v>All by Fouta</v>
      </c>
      <c r="L158" s="47" t="str">
        <f>INDEX(_xlfn.TEXTSPLIT(tissage[[#This Row],[QR Fabrication]],"_"),1,3)</f>
        <v>Stock</v>
      </c>
      <c r="M158" s="47" t="str">
        <f>INDEX(_xlfn.TEXTSPLIT(tissage[[#This Row],[QR Fabrication]],"_"),1,4)</f>
        <v>UNS2020-32</v>
      </c>
      <c r="N158" s="47" t="str">
        <f>INDEX(_xlfn.TEXTSPLIT(tissage[[#This Row],[QR Fabrication]],"_"),1,5)</f>
        <v>UNI SURPIQUE</v>
      </c>
      <c r="O158" s="47" t="str">
        <f>_xlfn.TEXTAFTER(tissage[[#This Row],[QR Fabrication]],"_",5)</f>
        <v>2020</v>
      </c>
      <c r="P158" s="47" t="str">
        <f>IF(
   COUNTIFS($A$2:A158,A158,
             $C$2:C158,C158,
             $D$2:D158,D158,
             $B$2:B158,B158,
             $E$2:E158,E158,
             $I$2:I158,I158
               )&gt;1,
   "Doublon",
   "Correcte"
)</f>
        <v>Correcte</v>
      </c>
    </row>
    <row r="159" spans="1:16" ht="16.5" thickTop="1" thickBot="1" x14ac:dyDescent="0.3">
      <c r="A159" s="47" t="s">
        <v>686</v>
      </c>
      <c r="B159" s="106" t="s">
        <v>2543</v>
      </c>
      <c r="C159" s="101" t="s">
        <v>2465</v>
      </c>
      <c r="D159" s="51" t="s">
        <v>688</v>
      </c>
      <c r="E159" s="51">
        <v>0</v>
      </c>
      <c r="F159" s="47"/>
      <c r="G159" s="47"/>
      <c r="H159" s="47" t="s">
        <v>664</v>
      </c>
      <c r="I159" s="57">
        <v>45929</v>
      </c>
      <c r="J159" s="57" t="str">
        <f>INDEX(_xlfn.TEXTSPLIT(tissage[[#This Row],[QR Fabrication]],"_"),1,1)</f>
        <v>CA250038</v>
      </c>
      <c r="K159" s="106" t="str">
        <f>INDEX(_xlfn.TEXTSPLIT(tissage[[#This Row],[QR Fabrication]],"_"),1,2)</f>
        <v>All by Fouta</v>
      </c>
      <c r="L159" s="47" t="str">
        <f>INDEX(_xlfn.TEXTSPLIT(tissage[[#This Row],[QR Fabrication]],"_"),1,3)</f>
        <v>Stock</v>
      </c>
      <c r="M159" s="47" t="str">
        <f>INDEX(_xlfn.TEXTSPLIT(tissage[[#This Row],[QR Fabrication]],"_"),1,4)</f>
        <v>UNS2020-31</v>
      </c>
      <c r="N159" s="47" t="str">
        <f>INDEX(_xlfn.TEXTSPLIT(tissage[[#This Row],[QR Fabrication]],"_"),1,5)</f>
        <v>UNI SURPIQUE</v>
      </c>
      <c r="O159" s="47" t="str">
        <f>_xlfn.TEXTAFTER(tissage[[#This Row],[QR Fabrication]],"_",5)</f>
        <v>2020</v>
      </c>
      <c r="P159" s="47" t="str">
        <f>IF(
   COUNTIFS($A$2:A159,A159,
             $C$2:C159,C159,
             $D$2:D159,D159,
             $B$2:B159,B159,
             $E$2:E159,E159,
             $I$2:I159,I159
               )&gt;1,
   "Doublon",
   "Correcte"
)</f>
        <v>Correcte</v>
      </c>
    </row>
    <row r="160" spans="1:16" ht="16.5" thickTop="1" thickBot="1" x14ac:dyDescent="0.3">
      <c r="A160" s="47" t="s">
        <v>686</v>
      </c>
      <c r="B160" s="106" t="s">
        <v>2543</v>
      </c>
      <c r="C160" s="101" t="s">
        <v>2470</v>
      </c>
      <c r="D160" s="51" t="s">
        <v>688</v>
      </c>
      <c r="E160" s="51">
        <v>0</v>
      </c>
      <c r="F160" s="47"/>
      <c r="G160" s="47"/>
      <c r="H160" s="47" t="s">
        <v>664</v>
      </c>
      <c r="I160" s="57">
        <v>45929</v>
      </c>
      <c r="J160" s="57" t="str">
        <f>INDEX(_xlfn.TEXTSPLIT(tissage[[#This Row],[QR Fabrication]],"_"),1,1)</f>
        <v>CA250037</v>
      </c>
      <c r="K160" s="106" t="str">
        <f>INDEX(_xlfn.TEXTSPLIT(tissage[[#This Row],[QR Fabrication]],"_"),1,2)</f>
        <v>All by Fouta</v>
      </c>
      <c r="L160" s="47" t="str">
        <f>INDEX(_xlfn.TEXTSPLIT(tissage[[#This Row],[QR Fabrication]],"_"),1,3)</f>
        <v>Stock</v>
      </c>
      <c r="M160" s="47" t="str">
        <f>INDEX(_xlfn.TEXTSPLIT(tissage[[#This Row],[QR Fabrication]],"_"),1,4)</f>
        <v>UNS2020-30</v>
      </c>
      <c r="N160" s="47" t="str">
        <f>INDEX(_xlfn.TEXTSPLIT(tissage[[#This Row],[QR Fabrication]],"_"),1,5)</f>
        <v>UNI SURPIQUE</v>
      </c>
      <c r="O160" s="47" t="str">
        <f>_xlfn.TEXTAFTER(tissage[[#This Row],[QR Fabrication]],"_",5)</f>
        <v>2020</v>
      </c>
      <c r="P160" s="47" t="str">
        <f>IF(
   COUNTIFS($A$2:A160,A160,
             $C$2:C160,C160,
             $D$2:D160,D160,
             $B$2:B160,B160,
             $E$2:E160,E160,
             $I$2:I160,I160
               )&gt;1,
   "Doublon",
   "Correcte"
)</f>
        <v>Correcte</v>
      </c>
    </row>
    <row r="161" spans="1:16" ht="16.5" thickTop="1" thickBot="1" x14ac:dyDescent="0.3">
      <c r="A161" s="47" t="s">
        <v>686</v>
      </c>
      <c r="B161" s="106" t="s">
        <v>2543</v>
      </c>
      <c r="C161" s="101" t="s">
        <v>2437</v>
      </c>
      <c r="D161" s="51" t="s">
        <v>688</v>
      </c>
      <c r="E161" s="51">
        <v>0</v>
      </c>
      <c r="F161" s="47"/>
      <c r="G161" s="47"/>
      <c r="H161" s="47" t="s">
        <v>664</v>
      </c>
      <c r="I161" s="57">
        <v>45934</v>
      </c>
      <c r="J161" s="57" t="str">
        <f>INDEX(_xlfn.TEXTSPLIT(tissage[[#This Row],[QR Fabrication]],"_"),1,1)</f>
        <v>CA250035</v>
      </c>
      <c r="K161" s="106" t="str">
        <f>INDEX(_xlfn.TEXTSPLIT(tissage[[#This Row],[QR Fabrication]],"_"),1,2)</f>
        <v>All by Fouta</v>
      </c>
      <c r="L161" s="47" t="str">
        <f>INDEX(_xlfn.TEXTSPLIT(tissage[[#This Row],[QR Fabrication]],"_"),1,3)</f>
        <v>Stock</v>
      </c>
      <c r="M161" s="47" t="str">
        <f>INDEX(_xlfn.TEXTSPLIT(tissage[[#This Row],[QR Fabrication]],"_"),1,4)</f>
        <v>UNS2020-26</v>
      </c>
      <c r="N161" s="47" t="str">
        <f>INDEX(_xlfn.TEXTSPLIT(tissage[[#This Row],[QR Fabrication]],"_"),1,5)</f>
        <v>UNI SURPIQUE</v>
      </c>
      <c r="O161" s="47" t="str">
        <f>_xlfn.TEXTAFTER(tissage[[#This Row],[QR Fabrication]],"_",5)</f>
        <v>2020</v>
      </c>
      <c r="P161" s="47" t="str">
        <f>IF(
   COUNTIFS($A$2:A161,A161,
             $C$2:C161,C161,
             $D$2:D161,D161,
             $B$2:B161,B161,
             $E$2:E161,E161,
             $I$2:I161,I161
               )&gt;1,
   "Doublon",
   "Correcte"
)</f>
        <v>Correcte</v>
      </c>
    </row>
    <row r="162" spans="1:16" ht="16.5" thickTop="1" thickBot="1" x14ac:dyDescent="0.3">
      <c r="A162" s="47" t="s">
        <v>686</v>
      </c>
      <c r="B162" s="106" t="s">
        <v>2543</v>
      </c>
      <c r="C162" s="101" t="s">
        <v>2438</v>
      </c>
      <c r="D162" s="51" t="s">
        <v>688</v>
      </c>
      <c r="E162" s="51">
        <v>0</v>
      </c>
      <c r="F162" s="47"/>
      <c r="G162" s="47"/>
      <c r="H162" s="47" t="s">
        <v>664</v>
      </c>
      <c r="I162" s="57">
        <v>45936</v>
      </c>
      <c r="J162" s="57" t="str">
        <f>INDEX(_xlfn.TEXTSPLIT(tissage[[#This Row],[QR Fabrication]],"_"),1,1)</f>
        <v>CA250034</v>
      </c>
      <c r="K162" s="106" t="str">
        <f>INDEX(_xlfn.TEXTSPLIT(tissage[[#This Row],[QR Fabrication]],"_"),1,2)</f>
        <v>All by Fouta</v>
      </c>
      <c r="L162" s="47" t="str">
        <f>INDEX(_xlfn.TEXTSPLIT(tissage[[#This Row],[QR Fabrication]],"_"),1,3)</f>
        <v>Stock</v>
      </c>
      <c r="M162" s="47" t="str">
        <f>INDEX(_xlfn.TEXTSPLIT(tissage[[#This Row],[QR Fabrication]],"_"),1,4)</f>
        <v>UNS2020-24</v>
      </c>
      <c r="N162" s="47" t="str">
        <f>INDEX(_xlfn.TEXTSPLIT(tissage[[#This Row],[QR Fabrication]],"_"),1,5)</f>
        <v>UNI SURPIQUE</v>
      </c>
      <c r="O162" s="47" t="str">
        <f>_xlfn.TEXTAFTER(tissage[[#This Row],[QR Fabrication]],"_",5)</f>
        <v>2020</v>
      </c>
      <c r="P162" s="47" t="str">
        <f>IF(
   COUNTIFS($A$2:A162,A162,
             $C$2:C162,C162,
             $D$2:D162,D162,
             $B$2:B162,B162,
             $E$2:E162,E162,
             $I$2:I162,I162
               )&gt;1,
   "Doublon",
   "Correcte"
)</f>
        <v>Correcte</v>
      </c>
    </row>
    <row r="163" spans="1:16" ht="16.5" thickTop="1" thickBot="1" x14ac:dyDescent="0.3">
      <c r="A163" s="47" t="s">
        <v>686</v>
      </c>
      <c r="B163" s="106" t="s">
        <v>2543</v>
      </c>
      <c r="C163" s="101" t="s">
        <v>2429</v>
      </c>
      <c r="D163" s="51" t="s">
        <v>688</v>
      </c>
      <c r="E163" s="51">
        <v>0</v>
      </c>
      <c r="F163" s="47"/>
      <c r="G163" s="47"/>
      <c r="H163" s="47" t="s">
        <v>664</v>
      </c>
      <c r="I163" s="57">
        <v>45919</v>
      </c>
      <c r="J163" s="57" t="str">
        <f>INDEX(_xlfn.TEXTSPLIT(tissage[[#This Row],[QR Fabrication]],"_"),1,1)</f>
        <v>CA250033</v>
      </c>
      <c r="K163" s="106" t="str">
        <f>INDEX(_xlfn.TEXTSPLIT(tissage[[#This Row],[QR Fabrication]],"_"),1,2)</f>
        <v>All by Fouta</v>
      </c>
      <c r="L163" s="47" t="str">
        <f>INDEX(_xlfn.TEXTSPLIT(tissage[[#This Row],[QR Fabrication]],"_"),1,3)</f>
        <v>Stock</v>
      </c>
      <c r="M163" s="47" t="str">
        <f>INDEX(_xlfn.TEXTSPLIT(tissage[[#This Row],[QR Fabrication]],"_"),1,4)</f>
        <v>UNS2020-23</v>
      </c>
      <c r="N163" s="47" t="str">
        <f>INDEX(_xlfn.TEXTSPLIT(tissage[[#This Row],[QR Fabrication]],"_"),1,5)</f>
        <v>UNI SURPIQUE</v>
      </c>
      <c r="O163" s="47" t="str">
        <f>_xlfn.TEXTAFTER(tissage[[#This Row],[QR Fabrication]],"_",5)</f>
        <v>2020</v>
      </c>
      <c r="P163" s="47" t="str">
        <f>IF(
   COUNTIFS($A$2:A163,A163,
             $C$2:C163,C163,
             $D$2:D163,D163,
             $B$2:B163,B163,
             $E$2:E163,E163,
             $I$2:I163,I163
               )&gt;1,
   "Doublon",
   "Correcte"
)</f>
        <v>Correcte</v>
      </c>
    </row>
    <row r="164" spans="1:16" ht="16.5" thickTop="1" thickBot="1" x14ac:dyDescent="0.3">
      <c r="A164" s="47" t="s">
        <v>686</v>
      </c>
      <c r="B164" s="106" t="s">
        <v>2543</v>
      </c>
      <c r="C164" s="101" t="s">
        <v>2433</v>
      </c>
      <c r="D164" s="51" t="s">
        <v>688</v>
      </c>
      <c r="E164" s="51">
        <v>0</v>
      </c>
      <c r="F164" s="47"/>
      <c r="G164" s="47"/>
      <c r="H164" s="47" t="s">
        <v>664</v>
      </c>
      <c r="I164" s="57">
        <v>45922</v>
      </c>
      <c r="J164" s="57" t="str">
        <f>INDEX(_xlfn.TEXTSPLIT(tissage[[#This Row],[QR Fabrication]],"_"),1,1)</f>
        <v>CA250032</v>
      </c>
      <c r="K164" s="106" t="str">
        <f>INDEX(_xlfn.TEXTSPLIT(tissage[[#This Row],[QR Fabrication]],"_"),1,2)</f>
        <v>All by Fouta</v>
      </c>
      <c r="L164" s="47" t="str">
        <f>INDEX(_xlfn.TEXTSPLIT(tissage[[#This Row],[QR Fabrication]],"_"),1,3)</f>
        <v>Stock</v>
      </c>
      <c r="M164" s="47" t="str">
        <f>INDEX(_xlfn.TEXTSPLIT(tissage[[#This Row],[QR Fabrication]],"_"),1,4)</f>
        <v>UNS2020-20</v>
      </c>
      <c r="N164" s="47" t="str">
        <f>INDEX(_xlfn.TEXTSPLIT(tissage[[#This Row],[QR Fabrication]],"_"),1,5)</f>
        <v>UNI SURPIQUE</v>
      </c>
      <c r="O164" s="47" t="str">
        <f>_xlfn.TEXTAFTER(tissage[[#This Row],[QR Fabrication]],"_",5)</f>
        <v>2020</v>
      </c>
      <c r="P164" s="47" t="str">
        <f>IF(
   COUNTIFS($A$2:A164,A164,
             $C$2:C164,C164,
             $D$2:D164,D164,
             $B$2:B164,B164,
             $E$2:E164,E164,
             $I$2:I164,I164
               )&gt;1,
   "Doublon",
   "Correcte"
)</f>
        <v>Correcte</v>
      </c>
    </row>
    <row r="165" spans="1:16" ht="16.5" thickTop="1" thickBot="1" x14ac:dyDescent="0.3">
      <c r="A165" s="47" t="s">
        <v>686</v>
      </c>
      <c r="B165" s="106" t="s">
        <v>2543</v>
      </c>
      <c r="C165" s="101" t="s">
        <v>2560</v>
      </c>
      <c r="D165" s="51" t="s">
        <v>688</v>
      </c>
      <c r="E165" s="51">
        <v>0</v>
      </c>
      <c r="F165" s="47"/>
      <c r="G165" s="47"/>
      <c r="H165" s="47" t="s">
        <v>664</v>
      </c>
      <c r="I165" s="57">
        <v>45918</v>
      </c>
      <c r="J165" s="57" t="str">
        <f>INDEX(_xlfn.TEXTSPLIT(tissage[[#This Row],[QR Fabrication]],"_"),1,1)</f>
        <v>CA250031</v>
      </c>
      <c r="K165" s="106" t="str">
        <f>INDEX(_xlfn.TEXTSPLIT(tissage[[#This Row],[QR Fabrication]],"_"),1,2)</f>
        <v>All by Fouta</v>
      </c>
      <c r="L165" s="47" t="str">
        <f>INDEX(_xlfn.TEXTSPLIT(tissage[[#This Row],[QR Fabrication]],"_"),1,3)</f>
        <v>Stock</v>
      </c>
      <c r="M165" s="47" t="str">
        <f>INDEX(_xlfn.TEXTSPLIT(tissage[[#This Row],[QR Fabrication]],"_"),1,4)</f>
        <v>UNS2020-19</v>
      </c>
      <c r="N165" s="47" t="str">
        <f>INDEX(_xlfn.TEXTSPLIT(tissage[[#This Row],[QR Fabrication]],"_"),1,5)</f>
        <v>UNI SURPIQUE</v>
      </c>
      <c r="O165" s="47" t="str">
        <f>_xlfn.TEXTAFTER(tissage[[#This Row],[QR Fabrication]],"_",5)</f>
        <v>2020</v>
      </c>
      <c r="P165" s="47" t="str">
        <f>IF(
   COUNTIFS($A$2:A165,A165,
             $C$2:C165,C165,
             $D$2:D165,D165,
             $B$2:B165,B165,
             $E$2:E165,E165,
             $I$2:I165,I165
               )&gt;1,
   "Doublon",
   "Correcte"
)</f>
        <v>Correcte</v>
      </c>
    </row>
    <row r="166" spans="1:16" ht="16.5" thickTop="1" thickBot="1" x14ac:dyDescent="0.3">
      <c r="A166" s="47" t="s">
        <v>686</v>
      </c>
      <c r="B166" s="106" t="s">
        <v>2543</v>
      </c>
      <c r="C166" s="101" t="s">
        <v>2407</v>
      </c>
      <c r="D166" s="51" t="s">
        <v>688</v>
      </c>
      <c r="E166" s="51">
        <v>0</v>
      </c>
      <c r="F166" s="47"/>
      <c r="G166" s="47"/>
      <c r="H166" s="47" t="s">
        <v>664</v>
      </c>
      <c r="I166" s="57">
        <v>45925</v>
      </c>
      <c r="J166" s="57" t="str">
        <f>INDEX(_xlfn.TEXTSPLIT(tissage[[#This Row],[QR Fabrication]],"_"),1,1)</f>
        <v>CA250030</v>
      </c>
      <c r="K166" s="106" t="str">
        <f>INDEX(_xlfn.TEXTSPLIT(tissage[[#This Row],[QR Fabrication]],"_"),1,2)</f>
        <v>All by Fouta</v>
      </c>
      <c r="L166" s="47" t="str">
        <f>INDEX(_xlfn.TEXTSPLIT(tissage[[#This Row],[QR Fabrication]],"_"),1,3)</f>
        <v>Stock</v>
      </c>
      <c r="M166" s="47" t="str">
        <f>INDEX(_xlfn.TEXTSPLIT(tissage[[#This Row],[QR Fabrication]],"_"),1,4)</f>
        <v>UNS2020-18</v>
      </c>
      <c r="N166" s="47" t="str">
        <f>INDEX(_xlfn.TEXTSPLIT(tissage[[#This Row],[QR Fabrication]],"_"),1,5)</f>
        <v>UNI SURPIQUE</v>
      </c>
      <c r="O166" s="47" t="str">
        <f>_xlfn.TEXTAFTER(tissage[[#This Row],[QR Fabrication]],"_",5)</f>
        <v>2020</v>
      </c>
      <c r="P166" s="47" t="str">
        <f>IF(
   COUNTIFS($A$2:A166,A166,
             $C$2:C166,C166,
             $D$2:D166,D166,
             $B$2:B166,B166,
             $E$2:E166,E166,
             $I$2:I166,I166
               )&gt;1,
   "Doublon",
   "Correcte"
)</f>
        <v>Correcte</v>
      </c>
    </row>
    <row r="167" spans="1:16" ht="16.5" thickTop="1" thickBot="1" x14ac:dyDescent="0.3">
      <c r="A167" s="47" t="s">
        <v>686</v>
      </c>
      <c r="B167" s="106" t="s">
        <v>2543</v>
      </c>
      <c r="C167" s="101" t="s">
        <v>2448</v>
      </c>
      <c r="D167" s="51" t="s">
        <v>688</v>
      </c>
      <c r="E167" s="51">
        <v>0</v>
      </c>
      <c r="F167" s="47"/>
      <c r="G167" s="47"/>
      <c r="H167" s="47" t="s">
        <v>664</v>
      </c>
      <c r="I167" s="57">
        <v>45924</v>
      </c>
      <c r="J167" s="57" t="str">
        <f>INDEX(_xlfn.TEXTSPLIT(tissage[[#This Row],[QR Fabrication]],"_"),1,1)</f>
        <v>CA250036</v>
      </c>
      <c r="K167" s="106" t="str">
        <f>INDEX(_xlfn.TEXTSPLIT(tissage[[#This Row],[QR Fabrication]],"_"),1,2)</f>
        <v>All by Fouta</v>
      </c>
      <c r="L167" s="47" t="str">
        <f>INDEX(_xlfn.TEXTSPLIT(tissage[[#This Row],[QR Fabrication]],"_"),1,3)</f>
        <v>Stock</v>
      </c>
      <c r="M167" s="47" t="str">
        <f>INDEX(_xlfn.TEXTSPLIT(tissage[[#This Row],[QR Fabrication]],"_"),1,4)</f>
        <v>UNS2020-27</v>
      </c>
      <c r="N167" s="47" t="str">
        <f>INDEX(_xlfn.TEXTSPLIT(tissage[[#This Row],[QR Fabrication]],"_"),1,5)</f>
        <v>UNI SURPIQUE</v>
      </c>
      <c r="O167" s="47" t="str">
        <f>_xlfn.TEXTAFTER(tissage[[#This Row],[QR Fabrication]],"_",5)</f>
        <v>2020</v>
      </c>
      <c r="P167" s="47" t="str">
        <f>IF(
   COUNTIFS($A$2:A167,A167,
             $C$2:C167,C167,
             $D$2:D167,D167,
             $B$2:B167,B167,
             $E$2:E167,E167,
             $I$2:I167,I167
               )&gt;1,
   "Doublon",
   "Correcte"
)</f>
        <v>Correcte</v>
      </c>
    </row>
    <row r="168" spans="1:16" ht="16.5" thickTop="1" thickBot="1" x14ac:dyDescent="0.3">
      <c r="A168" s="47" t="s">
        <v>686</v>
      </c>
      <c r="B168" s="107" t="s">
        <v>2543</v>
      </c>
      <c r="C168" s="102" t="s">
        <v>2561</v>
      </c>
      <c r="D168" s="51" t="s">
        <v>688</v>
      </c>
      <c r="E168" s="51">
        <v>0</v>
      </c>
      <c r="F168" s="51"/>
      <c r="G168" s="51"/>
      <c r="H168" s="47" t="s">
        <v>664</v>
      </c>
      <c r="I168" s="58">
        <v>45915</v>
      </c>
      <c r="J168" s="58" t="str">
        <f>INDEX(_xlfn.TEXTSPLIT(tissage[[#This Row],[QR Fabrication]],"_"),1,1)</f>
        <v>CA250029</v>
      </c>
      <c r="K168" s="107" t="str">
        <f>INDEX(_xlfn.TEXTSPLIT(tissage[[#This Row],[QR Fabrication]],"_"),1,2)</f>
        <v>All by Fouta</v>
      </c>
      <c r="L168" s="51" t="str">
        <f>INDEX(_xlfn.TEXTSPLIT(tissage[[#This Row],[QR Fabrication]],"_"),1,3)</f>
        <v>Stock</v>
      </c>
      <c r="M168" s="51" t="str">
        <f>INDEX(_xlfn.TEXTSPLIT(tissage[[#This Row],[QR Fabrication]],"_"),1,4)</f>
        <v>UNS2020-17</v>
      </c>
      <c r="N168" s="51" t="str">
        <f>INDEX(_xlfn.TEXTSPLIT(tissage[[#This Row],[QR Fabrication]],"_"),1,5)</f>
        <v>UNI SURPIQUE</v>
      </c>
      <c r="O168" s="51" t="str">
        <f>_xlfn.TEXTAFTER(tissage[[#This Row],[QR Fabrication]],"_",5)</f>
        <v>2020</v>
      </c>
      <c r="P168" s="47" t="str">
        <f>IF(
   COUNTIFS($A$2:A168,A168,
             $C$2:C168,C168,
             $D$2:D168,D168,
             $B$2:B168,B168,
             $E$2:E168,E168,
             $I$2:I168,I168
               )&gt;1,
   "Doublon",
   "Correcte"
)</f>
        <v>Correcte</v>
      </c>
    </row>
    <row r="169" spans="1:16" ht="16.5" thickTop="1" thickBot="1" x14ac:dyDescent="0.3">
      <c r="A169" s="51" t="s">
        <v>684</v>
      </c>
      <c r="B169" s="107" t="s">
        <v>2547</v>
      </c>
      <c r="C169" s="102" t="s">
        <v>2414</v>
      </c>
      <c r="D169" s="51" t="s">
        <v>688</v>
      </c>
      <c r="E169" s="51">
        <v>0</v>
      </c>
      <c r="F169" s="51"/>
      <c r="G169" s="51"/>
      <c r="H169" s="47" t="s">
        <v>664</v>
      </c>
      <c r="I169" s="58">
        <v>45923</v>
      </c>
      <c r="J169" s="58" t="str">
        <f>INDEX(_xlfn.TEXTSPLIT(tissage[[#This Row],[QR Fabrication]],"_"),1,1)</f>
        <v>CA250778</v>
      </c>
      <c r="K169" s="107" t="str">
        <f>INDEX(_xlfn.TEXTSPLIT(tissage[[#This Row],[QR Fabrication]],"_"),1,2)</f>
        <v>All by Fouta</v>
      </c>
      <c r="L169" s="51" t="str">
        <f>INDEX(_xlfn.TEXTSPLIT(tissage[[#This Row],[QR Fabrication]],"_"),1,3)</f>
        <v>Stock</v>
      </c>
      <c r="M169" s="51" t="str">
        <f>INDEX(_xlfn.TEXTSPLIT(tissage[[#This Row],[QR Fabrication]],"_"),1,4)</f>
        <v>PACKSICHI0507-Q10-29-01</v>
      </c>
      <c r="N169" s="51" t="str">
        <f>INDEX(_xlfn.TEXTSPLIT(tissage[[#This Row],[QR Fabrication]],"_"),1,5)</f>
        <v>PACK CHIC</v>
      </c>
      <c r="O169" s="51" t="str">
        <f>_xlfn.TEXTAFTER(tissage[[#This Row],[QR Fabrication]],"_",5)</f>
        <v>0507</v>
      </c>
      <c r="P169" s="47" t="str">
        <f>IF(
   COUNTIFS($A$2:A169,A169,
             $C$2:C169,C169,
             $D$2:D169,D169,
             $B$2:B169,B169,
             $E$2:E169,E169,
             $I$2:I169,I169
               )&gt;1,
   "Doublon",
   "Correcte"
)</f>
        <v>Correcte</v>
      </c>
    </row>
    <row r="170" spans="1:16" ht="16.5" thickTop="1" thickBot="1" x14ac:dyDescent="0.3">
      <c r="A170" s="51" t="s">
        <v>684</v>
      </c>
      <c r="B170" s="107" t="s">
        <v>2541</v>
      </c>
      <c r="C170" s="102" t="s">
        <v>2416</v>
      </c>
      <c r="D170" s="51" t="s">
        <v>688</v>
      </c>
      <c r="E170" s="51">
        <v>0</v>
      </c>
      <c r="F170" s="51"/>
      <c r="G170" s="51"/>
      <c r="H170" s="47" t="s">
        <v>664</v>
      </c>
      <c r="I170" s="58">
        <v>45909</v>
      </c>
      <c r="J170" s="58" t="str">
        <f>INDEX(_xlfn.TEXTSPLIT(tissage[[#This Row],[QR Fabrication]],"_"),1,1)</f>
        <v>CA250009</v>
      </c>
      <c r="K170" s="107" t="str">
        <f>INDEX(_xlfn.TEXTSPLIT(tissage[[#This Row],[QR Fabrication]],"_"),1,2)</f>
        <v>All by Fouta</v>
      </c>
      <c r="L170" s="51" t="str">
        <f>INDEX(_xlfn.TEXTSPLIT(tissage[[#This Row],[QR Fabrication]],"_"),1,3)</f>
        <v>Stock</v>
      </c>
      <c r="M170" s="51" t="str">
        <f>INDEX(_xlfn.TEXTSPLIT(tissage[[#This Row],[QR Fabrication]],"_"),1,4)</f>
        <v>UNS1020-17</v>
      </c>
      <c r="N170" s="51" t="str">
        <f>INDEX(_xlfn.TEXTSPLIT(tissage[[#This Row],[QR Fabrication]],"_"),1,5)</f>
        <v>UNI SURPIQUE</v>
      </c>
      <c r="O170" s="51" t="str">
        <f>_xlfn.TEXTAFTER(tissage[[#This Row],[QR Fabrication]],"_",5)</f>
        <v>1020</v>
      </c>
      <c r="P170" s="47" t="str">
        <f>IF(
   COUNTIFS($A$2:A170,A170,
             $C$2:C170,C170,
             $D$2:D170,D170,
             $B$2:B170,B170,
             $E$2:E170,E170,
             $I$2:I170,I170
               )&gt;1,
   "Doublon",
   "Correcte"
)</f>
        <v>Correcte</v>
      </c>
    </row>
    <row r="171" spans="1:16" ht="16.5" thickTop="1" thickBot="1" x14ac:dyDescent="0.3">
      <c r="A171" s="51" t="s">
        <v>684</v>
      </c>
      <c r="B171" s="107" t="s">
        <v>2548</v>
      </c>
      <c r="C171" s="102" t="s">
        <v>2420</v>
      </c>
      <c r="D171" s="51" t="s">
        <v>688</v>
      </c>
      <c r="E171" s="51">
        <v>0</v>
      </c>
      <c r="F171" s="51"/>
      <c r="G171" s="51"/>
      <c r="H171" s="47" t="s">
        <v>664</v>
      </c>
      <c r="I171" s="58">
        <v>45909</v>
      </c>
      <c r="J171" s="58" t="str">
        <f>INDEX(_xlfn.TEXTSPLIT(tissage[[#This Row],[QR Fabrication]],"_"),1,1)</f>
        <v>CA250469</v>
      </c>
      <c r="K171" s="107" t="str">
        <f>INDEX(_xlfn.TEXTSPLIT(tissage[[#This Row],[QR Fabrication]],"_"),1,2)</f>
        <v>All by Fouta</v>
      </c>
      <c r="L171" s="51" t="str">
        <f>INDEX(_xlfn.TEXTSPLIT(tissage[[#This Row],[QR Fabrication]],"_"),1,3)</f>
        <v>Stock</v>
      </c>
      <c r="M171" s="51" t="str">
        <f>INDEX(_xlfn.TEXTSPLIT(tissage[[#This Row],[QR Fabrication]],"_"),1,4)</f>
        <v>FAF1020-B04-02</v>
      </c>
      <c r="N171" s="51" t="str">
        <f>INDEX(_xlfn.TEXTSPLIT(tissage[[#This Row],[QR Fabrication]],"_"),1,5)</f>
        <v>FIL A FIL</v>
      </c>
      <c r="O171" s="51" t="str">
        <f>_xlfn.TEXTAFTER(tissage[[#This Row],[QR Fabrication]],"_",5)</f>
        <v>1020</v>
      </c>
      <c r="P171" s="47" t="str">
        <f>IF(
   COUNTIFS($A$2:A171,A171,
             $C$2:C171,C171,
             $D$2:D171,D171,
             $B$2:B171,B171,
             $E$2:E171,E171,
             $I$2:I171,I171
               )&gt;1,
   "Doublon",
   "Correcte"
)</f>
        <v>Correcte</v>
      </c>
    </row>
    <row r="172" spans="1:16" ht="16.5" thickTop="1" thickBot="1" x14ac:dyDescent="0.3">
      <c r="A172" s="47" t="s">
        <v>686</v>
      </c>
      <c r="B172" s="107" t="s">
        <v>2549</v>
      </c>
      <c r="C172" s="102" t="s">
        <v>2410</v>
      </c>
      <c r="D172" s="51" t="s">
        <v>688</v>
      </c>
      <c r="E172" s="51">
        <v>0</v>
      </c>
      <c r="F172" s="51"/>
      <c r="G172" s="51"/>
      <c r="H172" s="47" t="s">
        <v>664</v>
      </c>
      <c r="I172" s="58">
        <v>45910</v>
      </c>
      <c r="J172" s="58" t="str">
        <f>INDEX(_xlfn.TEXTSPLIT(tissage[[#This Row],[QR Fabrication]],"_"),1,1)</f>
        <v>OF249842</v>
      </c>
      <c r="K172" s="107" t="str">
        <f>INDEX(_xlfn.TEXTSPLIT(tissage[[#This Row],[QR Fabrication]],"_"),1,2)</f>
        <v>CL00884</v>
      </c>
      <c r="L172" s="51" t="str">
        <f>INDEX(_xlfn.TEXTSPLIT(tissage[[#This Row],[QR Fabrication]],"_"),1,3)</f>
        <v>CM-FT0119</v>
      </c>
      <c r="M172" s="51" t="str">
        <f>INDEX(_xlfn.TEXTSPLIT(tissage[[#This Row],[QR Fabrication]],"_"),1,4)</f>
        <v>FI1020-C28-25-24</v>
      </c>
      <c r="N172" s="51" t="str">
        <f>INDEX(_xlfn.TEXTSPLIT(tissage[[#This Row],[QR Fabrication]],"_"),1,5)</f>
        <v>FIVE</v>
      </c>
      <c r="O172" s="51" t="str">
        <f>_xlfn.TEXTAFTER(tissage[[#This Row],[QR Fabrication]],"_",5)</f>
        <v>1020</v>
      </c>
      <c r="P172" s="47" t="str">
        <f>IF(
   COUNTIFS($A$2:A172,A172,
             $C$2:C172,C172,
             $D$2:D172,D172,
             $B$2:B172,B172,
             $E$2:E172,E172,
             $I$2:I172,I172
               )&gt;1,
   "Doublon",
   "Correcte"
)</f>
        <v>Correcte</v>
      </c>
    </row>
    <row r="173" spans="1:16" ht="16.5" thickTop="1" thickBot="1" x14ac:dyDescent="0.3">
      <c r="A173" s="47" t="s">
        <v>684</v>
      </c>
      <c r="B173" s="106" t="s">
        <v>2548</v>
      </c>
      <c r="C173" s="101" t="s">
        <v>2454</v>
      </c>
      <c r="D173" s="51" t="s">
        <v>688</v>
      </c>
      <c r="E173" s="51">
        <v>0</v>
      </c>
      <c r="F173" s="47"/>
      <c r="G173" s="47"/>
      <c r="H173" s="47" t="s">
        <v>664</v>
      </c>
      <c r="I173" s="57">
        <v>45910</v>
      </c>
      <c r="J173" s="57" t="str">
        <f>INDEX(_xlfn.TEXTSPLIT(tissage[[#This Row],[QR Fabrication]],"_"),1,1)</f>
        <v>CA250473</v>
      </c>
      <c r="K173" s="106" t="str">
        <f>INDEX(_xlfn.TEXTSPLIT(tissage[[#This Row],[QR Fabrication]],"_"),1,2)</f>
        <v>All by Fouta</v>
      </c>
      <c r="L173" s="47" t="str">
        <f>INDEX(_xlfn.TEXTSPLIT(tissage[[#This Row],[QR Fabrication]],"_"),1,3)</f>
        <v>Stock</v>
      </c>
      <c r="M173" s="47" t="str">
        <f>INDEX(_xlfn.TEXTSPLIT(tissage[[#This Row],[QR Fabrication]],"_"),1,4)</f>
        <v>FAF1020-B18-19</v>
      </c>
      <c r="N173" s="47" t="str">
        <f>INDEX(_xlfn.TEXTSPLIT(tissage[[#This Row],[QR Fabrication]],"_"),1,5)</f>
        <v>FIL A FIL</v>
      </c>
      <c r="O173" s="47" t="str">
        <f>_xlfn.TEXTAFTER(tissage[[#This Row],[QR Fabrication]],"_",5)</f>
        <v>1020</v>
      </c>
      <c r="P173" s="47" t="str">
        <f>IF(
   COUNTIFS($A$2:A173,A173,
             $C$2:C173,C173,
             $D$2:D173,D173,
             $B$2:B173,B173,
             $E$2:E173,E173,
             $I$2:I173,I173
               )&gt;1,
   "Doublon",
   "Correcte"
)</f>
        <v>Correcte</v>
      </c>
    </row>
    <row r="174" spans="1:16" ht="16.5" thickTop="1" thickBot="1" x14ac:dyDescent="0.3">
      <c r="A174" s="47" t="s">
        <v>684</v>
      </c>
      <c r="B174" s="106" t="s">
        <v>2548</v>
      </c>
      <c r="C174" s="101" t="s">
        <v>2411</v>
      </c>
      <c r="D174" s="51" t="s">
        <v>688</v>
      </c>
      <c r="E174" s="51">
        <v>0</v>
      </c>
      <c r="F174" s="47"/>
      <c r="G174" s="47"/>
      <c r="H174" s="47" t="s">
        <v>664</v>
      </c>
      <c r="I174" s="57">
        <v>45912</v>
      </c>
      <c r="J174" s="57" t="str">
        <f>INDEX(_xlfn.TEXTSPLIT(tissage[[#This Row],[QR Fabrication]],"_"),1,1)</f>
        <v>CA250474</v>
      </c>
      <c r="K174" s="106" t="str">
        <f>INDEX(_xlfn.TEXTSPLIT(tissage[[#This Row],[QR Fabrication]],"_"),1,2)</f>
        <v>All by Fouta</v>
      </c>
      <c r="L174" s="47" t="str">
        <f>INDEX(_xlfn.TEXTSPLIT(tissage[[#This Row],[QR Fabrication]],"_"),1,3)</f>
        <v>Stock</v>
      </c>
      <c r="M174" s="47" t="str">
        <f>INDEX(_xlfn.TEXTSPLIT(tissage[[#This Row],[QR Fabrication]],"_"),1,4)</f>
        <v>FAF1020-B06-08</v>
      </c>
      <c r="N174" s="47" t="str">
        <f>INDEX(_xlfn.TEXTSPLIT(tissage[[#This Row],[QR Fabrication]],"_"),1,5)</f>
        <v>FIL A FIL</v>
      </c>
      <c r="O174" s="47" t="str">
        <f>_xlfn.TEXTAFTER(tissage[[#This Row],[QR Fabrication]],"_",5)</f>
        <v>1020</v>
      </c>
      <c r="P174" s="47" t="str">
        <f>IF(
   COUNTIFS($A$2:A174,A174,
             $C$2:C174,C174,
             $D$2:D174,D174,
             $B$2:B174,B174,
             $E$2:E174,E174,
             $I$2:I174,I174
               )&gt;1,
   "Doublon",
   "Correcte"
)</f>
        <v>Correcte</v>
      </c>
    </row>
    <row r="175" spans="1:16" ht="16.5" thickTop="1" thickBot="1" x14ac:dyDescent="0.3">
      <c r="A175" s="47" t="s">
        <v>684</v>
      </c>
      <c r="B175" s="106" t="s">
        <v>2541</v>
      </c>
      <c r="C175" s="101" t="s">
        <v>2423</v>
      </c>
      <c r="D175" s="51" t="s">
        <v>688</v>
      </c>
      <c r="E175" s="51">
        <v>0</v>
      </c>
      <c r="F175" s="47"/>
      <c r="G175" s="47"/>
      <c r="H175" s="47" t="s">
        <v>664</v>
      </c>
      <c r="I175" s="57">
        <v>45918</v>
      </c>
      <c r="J175" s="57" t="str">
        <f>INDEX(_xlfn.TEXTSPLIT(tissage[[#This Row],[QR Fabrication]],"_"),1,1)</f>
        <v>CA250012</v>
      </c>
      <c r="K175" s="106" t="str">
        <f>INDEX(_xlfn.TEXTSPLIT(tissage[[#This Row],[QR Fabrication]],"_"),1,2)</f>
        <v>All by Fouta</v>
      </c>
      <c r="L175" s="47" t="str">
        <f>INDEX(_xlfn.TEXTSPLIT(tissage[[#This Row],[QR Fabrication]],"_"),1,3)</f>
        <v>Stock</v>
      </c>
      <c r="M175" s="47" t="str">
        <f>INDEX(_xlfn.TEXTSPLIT(tissage[[#This Row],[QR Fabrication]],"_"),1,4)</f>
        <v>UNS1020-20</v>
      </c>
      <c r="N175" s="47" t="str">
        <f>INDEX(_xlfn.TEXTSPLIT(tissage[[#This Row],[QR Fabrication]],"_"),1,5)</f>
        <v>UNI SURPIQUE</v>
      </c>
      <c r="O175" s="47" t="str">
        <f>_xlfn.TEXTAFTER(tissage[[#This Row],[QR Fabrication]],"_",5)</f>
        <v>1020</v>
      </c>
      <c r="P175" s="47" t="str">
        <f>IF(
   COUNTIFS($A$2:A175,A175,
             $C$2:C175,C175,
             $D$2:D175,D175,
             $B$2:B175,B175,
             $E$2:E175,E175,
             $I$2:I175,I175
               )&gt;1,
   "Doublon",
   "Correcte"
)</f>
        <v>Correcte</v>
      </c>
    </row>
    <row r="176" spans="1:16" ht="16.5" thickTop="1" thickBot="1" x14ac:dyDescent="0.3">
      <c r="A176" s="47" t="s">
        <v>684</v>
      </c>
      <c r="B176" s="106" t="s">
        <v>2541</v>
      </c>
      <c r="C176" s="101" t="s">
        <v>1309</v>
      </c>
      <c r="D176" s="51" t="s">
        <v>688</v>
      </c>
      <c r="E176" s="51">
        <v>0</v>
      </c>
      <c r="F176" s="47"/>
      <c r="G176" s="47"/>
      <c r="H176" s="47" t="s">
        <v>664</v>
      </c>
      <c r="I176" s="57">
        <v>45916</v>
      </c>
      <c r="J176" s="57" t="str">
        <f>INDEX(_xlfn.TEXTSPLIT(tissage[[#This Row],[QR Fabrication]],"_"),1,1)</f>
        <v>CA250013</v>
      </c>
      <c r="K176" s="106" t="str">
        <f>INDEX(_xlfn.TEXTSPLIT(tissage[[#This Row],[QR Fabrication]],"_"),1,2)</f>
        <v>All by Fouta</v>
      </c>
      <c r="L176" s="47" t="str">
        <f>INDEX(_xlfn.TEXTSPLIT(tissage[[#This Row],[QR Fabrication]],"_"),1,3)</f>
        <v>Stock</v>
      </c>
      <c r="M176" s="47" t="str">
        <f>INDEX(_xlfn.TEXTSPLIT(tissage[[#This Row],[QR Fabrication]],"_"),1,4)</f>
        <v>UNS1020-23</v>
      </c>
      <c r="N176" s="47" t="str">
        <f>INDEX(_xlfn.TEXTSPLIT(tissage[[#This Row],[QR Fabrication]],"_"),1,5)</f>
        <v>UNI SURPIQUE</v>
      </c>
      <c r="O176" s="47" t="str">
        <f>_xlfn.TEXTAFTER(tissage[[#This Row],[QR Fabrication]],"_",5)</f>
        <v>1020</v>
      </c>
      <c r="P176" s="47" t="str">
        <f>IF(
   COUNTIFS($A$2:A176,A176,
             $C$2:C176,C176,
             $D$2:D176,D176,
             $B$2:B176,B176,
             $E$2:E176,E176,
             $I$2:I176,I176
               )&gt;1,
   "Doublon",
   "Correcte"
)</f>
        <v>Correcte</v>
      </c>
    </row>
    <row r="177" spans="1:16" ht="16.5" thickTop="1" thickBot="1" x14ac:dyDescent="0.3">
      <c r="A177" s="47" t="s">
        <v>684</v>
      </c>
      <c r="B177" s="106" t="s">
        <v>2541</v>
      </c>
      <c r="C177" s="101" t="s">
        <v>1307</v>
      </c>
      <c r="D177" s="51" t="s">
        <v>688</v>
      </c>
      <c r="E177" s="51">
        <v>0</v>
      </c>
      <c r="F177" s="47"/>
      <c r="G177" s="47"/>
      <c r="H177" s="47" t="s">
        <v>664</v>
      </c>
      <c r="I177" s="57">
        <v>45915</v>
      </c>
      <c r="J177" s="57" t="str">
        <f>INDEX(_xlfn.TEXTSPLIT(tissage[[#This Row],[QR Fabrication]],"_"),1,1)</f>
        <v>CA250014</v>
      </c>
      <c r="K177" s="106" t="str">
        <f>INDEX(_xlfn.TEXTSPLIT(tissage[[#This Row],[QR Fabrication]],"_"),1,2)</f>
        <v>All by Fouta</v>
      </c>
      <c r="L177" s="47" t="str">
        <f>INDEX(_xlfn.TEXTSPLIT(tissage[[#This Row],[QR Fabrication]],"_"),1,3)</f>
        <v>Stock</v>
      </c>
      <c r="M177" s="47" t="str">
        <f>INDEX(_xlfn.TEXTSPLIT(tissage[[#This Row],[QR Fabrication]],"_"),1,4)</f>
        <v>UNS1020-24</v>
      </c>
      <c r="N177" s="47" t="str">
        <f>INDEX(_xlfn.TEXTSPLIT(tissage[[#This Row],[QR Fabrication]],"_"),1,5)</f>
        <v>UNI SURPIQUE</v>
      </c>
      <c r="O177" s="47" t="str">
        <f>_xlfn.TEXTAFTER(tissage[[#This Row],[QR Fabrication]],"_",5)</f>
        <v>1020</v>
      </c>
      <c r="P177" s="47" t="str">
        <f>IF(
   COUNTIFS($A$2:A177,A177,
             $C$2:C177,C177,
             $D$2:D177,D177,
             $B$2:B177,B177,
             $E$2:E177,E177,
             $I$2:I177,I177
               )&gt;1,
   "Doublon",
   "Correcte"
)</f>
        <v>Correcte</v>
      </c>
    </row>
    <row r="178" spans="1:16" ht="16.5" thickTop="1" thickBot="1" x14ac:dyDescent="0.3">
      <c r="A178" s="47" t="s">
        <v>684</v>
      </c>
      <c r="B178" s="106" t="s">
        <v>2541</v>
      </c>
      <c r="C178" s="101" t="s">
        <v>2562</v>
      </c>
      <c r="D178" s="51" t="s">
        <v>688</v>
      </c>
      <c r="E178" s="51">
        <v>0</v>
      </c>
      <c r="F178" s="47"/>
      <c r="G178" s="47"/>
      <c r="H178" s="47" t="s">
        <v>664</v>
      </c>
      <c r="I178" s="57">
        <v>45919</v>
      </c>
      <c r="J178" s="57" t="str">
        <f>INDEX(_xlfn.TEXTSPLIT(tissage[[#This Row],[QR Fabrication]],"_"),1,1)</f>
        <v>CA250015</v>
      </c>
      <c r="K178" s="106" t="str">
        <f>INDEX(_xlfn.TEXTSPLIT(tissage[[#This Row],[QR Fabrication]],"_"),1,2)</f>
        <v>All by Fouta</v>
      </c>
      <c r="L178" s="47" t="str">
        <f>INDEX(_xlfn.TEXTSPLIT(tissage[[#This Row],[QR Fabrication]],"_"),1,3)</f>
        <v>Stock</v>
      </c>
      <c r="M178" s="47" t="str">
        <f>INDEX(_xlfn.TEXTSPLIT(tissage[[#This Row],[QR Fabrication]],"_"),1,4)</f>
        <v>UNS1020-26</v>
      </c>
      <c r="N178" s="47" t="str">
        <f>INDEX(_xlfn.TEXTSPLIT(tissage[[#This Row],[QR Fabrication]],"_"),1,5)</f>
        <v>UNI SURPIQUE</v>
      </c>
      <c r="O178" s="47" t="str">
        <f>_xlfn.TEXTAFTER(tissage[[#This Row],[QR Fabrication]],"_",5)</f>
        <v>1020</v>
      </c>
      <c r="P178" s="47" t="str">
        <f>IF(
   COUNTIFS($A$2:A178,A178,
             $C$2:C178,C178,
             $D$2:D178,D178,
             $B$2:B178,B178,
             $E$2:E178,E178,
             $I$2:I178,I178
               )&gt;1,
   "Doublon",
   "Correcte"
)</f>
        <v>Correcte</v>
      </c>
    </row>
    <row r="179" spans="1:16" ht="16.5" thickTop="1" thickBot="1" x14ac:dyDescent="0.3">
      <c r="A179" s="47" t="s">
        <v>684</v>
      </c>
      <c r="B179" s="106" t="s">
        <v>2541</v>
      </c>
      <c r="C179" s="101" t="s">
        <v>2563</v>
      </c>
      <c r="D179" s="51" t="s">
        <v>688</v>
      </c>
      <c r="E179" s="51">
        <v>0</v>
      </c>
      <c r="F179" s="47"/>
      <c r="G179" s="47"/>
      <c r="H179" s="47" t="s">
        <v>664</v>
      </c>
      <c r="I179" s="57">
        <v>45934</v>
      </c>
      <c r="J179" s="57" t="str">
        <f>INDEX(_xlfn.TEXTSPLIT(tissage[[#This Row],[QR Fabrication]],"_"),1,1)</f>
        <v>CA250016</v>
      </c>
      <c r="K179" s="106" t="str">
        <f>INDEX(_xlfn.TEXTSPLIT(tissage[[#This Row],[QR Fabrication]],"_"),1,2)</f>
        <v>All by Fouta</v>
      </c>
      <c r="L179" s="47" t="str">
        <f>INDEX(_xlfn.TEXTSPLIT(tissage[[#This Row],[QR Fabrication]],"_"),1,3)</f>
        <v>Stock</v>
      </c>
      <c r="M179" s="47" t="str">
        <f>INDEX(_xlfn.TEXTSPLIT(tissage[[#This Row],[QR Fabrication]],"_"),1,4)</f>
        <v>UNS1020-27</v>
      </c>
      <c r="N179" s="47" t="str">
        <f>INDEX(_xlfn.TEXTSPLIT(tissage[[#This Row],[QR Fabrication]],"_"),1,5)</f>
        <v>UNI SURPIQUE</v>
      </c>
      <c r="O179" s="47" t="str">
        <f>_xlfn.TEXTAFTER(tissage[[#This Row],[QR Fabrication]],"_",5)</f>
        <v>1020</v>
      </c>
      <c r="P179" s="47" t="str">
        <f>IF(
   COUNTIFS($A$2:A179,A179,
             $C$2:C179,C179,
             $D$2:D179,D179,
             $B$2:B179,B179,
             $E$2:E179,E179,
             $I$2:I179,I179
               )&gt;1,
   "Doublon",
   "Correcte"
)</f>
        <v>Correcte</v>
      </c>
    </row>
    <row r="180" spans="1:16" ht="16.5" thickTop="1" thickBot="1" x14ac:dyDescent="0.3">
      <c r="A180" s="47" t="s">
        <v>684</v>
      </c>
      <c r="B180" s="106" t="s">
        <v>2541</v>
      </c>
      <c r="C180" s="101" t="s">
        <v>2428</v>
      </c>
      <c r="D180" s="51" t="s">
        <v>688</v>
      </c>
      <c r="E180" s="51">
        <v>0</v>
      </c>
      <c r="F180" s="47"/>
      <c r="G180" s="47"/>
      <c r="H180" s="47" t="s">
        <v>664</v>
      </c>
      <c r="I180" s="57">
        <v>45922</v>
      </c>
      <c r="J180" s="57" t="str">
        <f>INDEX(_xlfn.TEXTSPLIT(tissage[[#This Row],[QR Fabrication]],"_"),1,1)</f>
        <v>CA250017</v>
      </c>
      <c r="K180" s="106" t="str">
        <f>INDEX(_xlfn.TEXTSPLIT(tissage[[#This Row],[QR Fabrication]],"_"),1,2)</f>
        <v>All by Fouta</v>
      </c>
      <c r="L180" s="47" t="str">
        <f>INDEX(_xlfn.TEXTSPLIT(tissage[[#This Row],[QR Fabrication]],"_"),1,3)</f>
        <v>Stock</v>
      </c>
      <c r="M180" s="47" t="str">
        <f>INDEX(_xlfn.TEXTSPLIT(tissage[[#This Row],[QR Fabrication]],"_"),1,4)</f>
        <v>UNS1020-30</v>
      </c>
      <c r="N180" s="47" t="str">
        <f>INDEX(_xlfn.TEXTSPLIT(tissage[[#This Row],[QR Fabrication]],"_"),1,5)</f>
        <v>UNI SURPIQUE</v>
      </c>
      <c r="O180" s="47" t="str">
        <f>_xlfn.TEXTAFTER(tissage[[#This Row],[QR Fabrication]],"_",5)</f>
        <v>1020</v>
      </c>
      <c r="P180" s="47" t="str">
        <f>IF(
   COUNTIFS($A$2:A180,A180,
             $C$2:C180,C180,
             $D$2:D180,D180,
             $B$2:B180,B180,
             $E$2:E180,E180,
             $I$2:I180,I180
               )&gt;1,
   "Doublon",
   "Correcte"
)</f>
        <v>Correcte</v>
      </c>
    </row>
    <row r="181" spans="1:16" ht="16.5" thickTop="1" thickBot="1" x14ac:dyDescent="0.3">
      <c r="A181" s="51" t="s">
        <v>684</v>
      </c>
      <c r="B181" s="107" t="s">
        <v>2541</v>
      </c>
      <c r="C181" s="102" t="s">
        <v>2463</v>
      </c>
      <c r="D181" s="51" t="s">
        <v>688</v>
      </c>
      <c r="E181" s="51">
        <v>0</v>
      </c>
      <c r="F181" s="51"/>
      <c r="G181" s="51"/>
      <c r="H181" s="47" t="s">
        <v>664</v>
      </c>
      <c r="I181" s="58">
        <v>45924</v>
      </c>
      <c r="J181" s="58" t="str">
        <f>INDEX(_xlfn.TEXTSPLIT(tissage[[#This Row],[QR Fabrication]],"_"),1,1)</f>
        <v>CA250018</v>
      </c>
      <c r="K181" s="107" t="str">
        <f>INDEX(_xlfn.TEXTSPLIT(tissage[[#This Row],[QR Fabrication]],"_"),1,2)</f>
        <v>All by Fouta</v>
      </c>
      <c r="L181" s="51" t="str">
        <f>INDEX(_xlfn.TEXTSPLIT(tissage[[#This Row],[QR Fabrication]],"_"),1,3)</f>
        <v>Stock</v>
      </c>
      <c r="M181" s="51" t="str">
        <f>INDEX(_xlfn.TEXTSPLIT(tissage[[#This Row],[QR Fabrication]],"_"),1,4)</f>
        <v>UNS1020-31</v>
      </c>
      <c r="N181" s="51" t="str">
        <f>INDEX(_xlfn.TEXTSPLIT(tissage[[#This Row],[QR Fabrication]],"_"),1,5)</f>
        <v>UNI SURPIQUE</v>
      </c>
      <c r="O181" s="51" t="str">
        <f>_xlfn.TEXTAFTER(tissage[[#This Row],[QR Fabrication]],"_",5)</f>
        <v>1020</v>
      </c>
      <c r="P181" s="47" t="str">
        <f>IF(
   COUNTIFS($A$2:A181,A181,
             $C$2:C181,C181,
             $D$2:D181,D181,
             $B$2:B181,B181,
             $E$2:E181,E181,
             $I$2:I181,I181
               )&gt;1,
   "Doublon",
   "Correcte"
)</f>
        <v>Correcte</v>
      </c>
    </row>
    <row r="182" spans="1:16" ht="16.5" thickTop="1" thickBot="1" x14ac:dyDescent="0.3">
      <c r="A182" s="47" t="s">
        <v>686</v>
      </c>
      <c r="B182" s="106" t="s">
        <v>2550</v>
      </c>
      <c r="C182" s="101" t="s">
        <v>2431</v>
      </c>
      <c r="D182" s="51" t="s">
        <v>688</v>
      </c>
      <c r="E182" s="51">
        <v>0</v>
      </c>
      <c r="F182" s="47"/>
      <c r="G182" s="47"/>
      <c r="H182" s="47" t="s">
        <v>664</v>
      </c>
      <c r="I182" s="57">
        <v>45920</v>
      </c>
      <c r="J182" s="57" t="str">
        <f>INDEX(_xlfn.TEXTSPLIT(tissage[[#This Row],[QR Fabrication]],"_"),1,1)</f>
        <v>OF249846</v>
      </c>
      <c r="K182" s="106" t="str">
        <f>INDEX(_xlfn.TEXTSPLIT(tissage[[#This Row],[QR Fabrication]],"_"),1,2)</f>
        <v>CL00884</v>
      </c>
      <c r="L182" s="47" t="str">
        <f>INDEX(_xlfn.TEXTSPLIT(tissage[[#This Row],[QR Fabrication]],"_"),1,3)</f>
        <v>CM-FT0119</v>
      </c>
      <c r="M182" s="47" t="str">
        <f>INDEX(_xlfn.TEXTSPLIT(tissage[[#This Row],[QR Fabrication]],"_"),1,4)</f>
        <v>ST1020-S28-25-24</v>
      </c>
      <c r="N182" s="47" t="str">
        <f>INDEX(_xlfn.TEXTSPLIT(tissage[[#This Row],[QR Fabrication]],"_"),1,5)</f>
        <v>ST TROPEZ</v>
      </c>
      <c r="O182" s="47" t="str">
        <f>_xlfn.TEXTAFTER(tissage[[#This Row],[QR Fabrication]],"_",5)</f>
        <v>1020</v>
      </c>
      <c r="P182" s="47" t="str">
        <f>IF(
   COUNTIFS($A$2:A182,A182,
             $C$2:C182,C182,
             $D$2:D182,D182,
             $B$2:B182,B182,
             $E$2:E182,E182,
             $I$2:I182,I182
               )&gt;1,
   "Doublon",
   "Correcte"
)</f>
        <v>Correcte</v>
      </c>
    </row>
    <row r="183" spans="1:16" ht="16.5" thickTop="1" thickBot="1" x14ac:dyDescent="0.3">
      <c r="A183" s="47" t="s">
        <v>686</v>
      </c>
      <c r="B183" s="106" t="s">
        <v>2543</v>
      </c>
      <c r="C183" s="101" t="s">
        <v>1304</v>
      </c>
      <c r="D183" s="51" t="s">
        <v>688</v>
      </c>
      <c r="E183" s="51">
        <v>0</v>
      </c>
      <c r="F183" s="47"/>
      <c r="G183" s="47"/>
      <c r="H183" s="47" t="s">
        <v>664</v>
      </c>
      <c r="I183" s="57">
        <v>45913</v>
      </c>
      <c r="J183" s="57" t="str">
        <f>INDEX(_xlfn.TEXTSPLIT(tissage[[#This Row],[QR Fabrication]],"_"),1,1)</f>
        <v>CA250026</v>
      </c>
      <c r="K183" s="106" t="str">
        <f>INDEX(_xlfn.TEXTSPLIT(tissage[[#This Row],[QR Fabrication]],"_"),1,2)</f>
        <v>All by Fouta</v>
      </c>
      <c r="L183" s="47" t="str">
        <f>INDEX(_xlfn.TEXTSPLIT(tissage[[#This Row],[QR Fabrication]],"_"),1,3)</f>
        <v>Stock</v>
      </c>
      <c r="M183" s="47" t="str">
        <f>INDEX(_xlfn.TEXTSPLIT(tissage[[#This Row],[QR Fabrication]],"_"),1,4)</f>
        <v>UNS2020-12</v>
      </c>
      <c r="N183" s="47" t="str">
        <f>INDEX(_xlfn.TEXTSPLIT(tissage[[#This Row],[QR Fabrication]],"_"),1,5)</f>
        <v>UNI SURPIQUE</v>
      </c>
      <c r="O183" s="47" t="str">
        <f>_xlfn.TEXTAFTER(tissage[[#This Row],[QR Fabrication]],"_",5)</f>
        <v>2020</v>
      </c>
      <c r="P183" s="47" t="str">
        <f>IF(
   COUNTIFS($A$2:A183,A183,
             $C$2:C183,C183,
             $D$2:D183,D183,
             $B$2:B183,B183,
             $E$2:E183,E183,
             $I$2:I183,I183
               )&gt;1,
   "Doublon",
   "Correcte"
)</f>
        <v>Correcte</v>
      </c>
    </row>
    <row r="184" spans="1:16" ht="16.5" thickTop="1" thickBot="1" x14ac:dyDescent="0.3">
      <c r="A184" s="47" t="s">
        <v>686</v>
      </c>
      <c r="B184" s="106" t="s">
        <v>2546</v>
      </c>
      <c r="C184" s="101" t="s">
        <v>1301</v>
      </c>
      <c r="D184" s="51" t="s">
        <v>688</v>
      </c>
      <c r="E184" s="51">
        <v>0</v>
      </c>
      <c r="F184" s="47"/>
      <c r="G184" s="47"/>
      <c r="H184" s="47" t="s">
        <v>664</v>
      </c>
      <c r="I184" s="57">
        <v>45912</v>
      </c>
      <c r="J184" s="57" t="str">
        <f>INDEX(_xlfn.TEXTSPLIT(tissage[[#This Row],[QR Fabrication]],"_"),1,1)</f>
        <v>CA250069</v>
      </c>
      <c r="K184" s="106" t="str">
        <f>INDEX(_xlfn.TEXTSPLIT(tissage[[#This Row],[QR Fabrication]],"_"),1,2)</f>
        <v>All by Fouta</v>
      </c>
      <c r="L184" s="47" t="str">
        <f>INDEX(_xlfn.TEXTSPLIT(tissage[[#This Row],[QR Fabrication]],"_"),1,3)</f>
        <v>Stock</v>
      </c>
      <c r="M184" s="47" t="str">
        <f>INDEX(_xlfn.TEXTSPLIT(tissage[[#This Row],[QR Fabrication]],"_"),1,4)</f>
        <v>UNS2030-17</v>
      </c>
      <c r="N184" s="47" t="str">
        <f>INDEX(_xlfn.TEXTSPLIT(tissage[[#This Row],[QR Fabrication]],"_"),1,5)</f>
        <v>UNI SURPIQUE</v>
      </c>
      <c r="O184" s="47" t="str">
        <f>_xlfn.TEXTAFTER(tissage[[#This Row],[QR Fabrication]],"_",5)</f>
        <v>2030</v>
      </c>
      <c r="P184" s="47" t="str">
        <f>IF(
   COUNTIFS($A$2:A184,A184,
             $C$2:C184,C184,
             $D$2:D184,D184,
             $B$2:B184,B184,
             $E$2:E184,E184,
             $I$2:I184,I184
               )&gt;1,
   "Doublon",
   "Correcte"
)</f>
        <v>Correcte</v>
      </c>
    </row>
    <row r="185" spans="1:16" ht="16.5" thickTop="1" thickBot="1" x14ac:dyDescent="0.3">
      <c r="A185" s="47" t="s">
        <v>687</v>
      </c>
      <c r="B185" s="106" t="s">
        <v>2551</v>
      </c>
      <c r="C185" s="101" t="s">
        <v>1315</v>
      </c>
      <c r="D185" s="51" t="s">
        <v>688</v>
      </c>
      <c r="E185" s="51">
        <v>0</v>
      </c>
      <c r="F185" s="47"/>
      <c r="G185" s="47"/>
      <c r="H185" s="47" t="s">
        <v>664</v>
      </c>
      <c r="I185" s="57">
        <v>45919</v>
      </c>
      <c r="J185" s="57" t="str">
        <f>INDEX(_xlfn.TEXTSPLIT(tissage[[#This Row],[QR Fabrication]],"_"),1,1)</f>
        <v>OF250129</v>
      </c>
      <c r="K185" s="106" t="str">
        <f>INDEX(_xlfn.TEXTSPLIT(tissage[[#This Row],[QR Fabrication]],"_"),1,2)</f>
        <v>CL00296</v>
      </c>
      <c r="L185" s="47" t="str">
        <f>INDEX(_xlfn.TEXTSPLIT(tissage[[#This Row],[QR Fabrication]],"_"),1,3)</f>
        <v>CM-FT0129</v>
      </c>
      <c r="M185" s="47" t="str">
        <f>INDEX(_xlfn.TEXTSPLIT(tissage[[#This Row],[QR Fabrication]],"_"),1,4)</f>
        <v>SACF0507-B09-14</v>
      </c>
      <c r="N185" s="47" t="str">
        <f>INDEX(_xlfn.TEXTSPLIT(tissage[[#This Row],[QR Fabrication]],"_"),1,5)</f>
        <v>SAC FOUTA</v>
      </c>
      <c r="O185" s="47" t="str">
        <f>_xlfn.TEXTAFTER(tissage[[#This Row],[QR Fabrication]],"_",5)</f>
        <v>0507</v>
      </c>
      <c r="P185" s="47" t="str">
        <f>IF(
   COUNTIFS($A$2:A185,A185,
             $C$2:C185,C185,
             $D$2:D185,D185,
             $B$2:B185,B185,
             $E$2:E185,E185,
             $I$2:I185,I185
               )&gt;1,
   "Doublon",
   "Correcte"
)</f>
        <v>Correcte</v>
      </c>
    </row>
    <row r="186" spans="1:16" ht="16.5" thickTop="1" thickBot="1" x14ac:dyDescent="0.3">
      <c r="A186" s="47" t="s">
        <v>686</v>
      </c>
      <c r="B186" s="107" t="s">
        <v>2552</v>
      </c>
      <c r="C186" s="102" t="s">
        <v>1311</v>
      </c>
      <c r="D186" s="51" t="s">
        <v>688</v>
      </c>
      <c r="E186" s="51">
        <v>0</v>
      </c>
      <c r="F186" s="51"/>
      <c r="G186" s="51"/>
      <c r="H186" s="47" t="s">
        <v>664</v>
      </c>
      <c r="I186" s="58">
        <v>45920</v>
      </c>
      <c r="J186" s="58" t="str">
        <f>INDEX(_xlfn.TEXTSPLIT(tissage[[#This Row],[QR Fabrication]],"_"),1,1)</f>
        <v>OF250128</v>
      </c>
      <c r="K186" s="107" t="str">
        <f>INDEX(_xlfn.TEXTSPLIT(tissage[[#This Row],[QR Fabrication]],"_"),1,2)</f>
        <v>CL00296</v>
      </c>
      <c r="L186" s="51" t="str">
        <f>INDEX(_xlfn.TEXTSPLIT(tissage[[#This Row],[QR Fabrication]],"_"),1,3)</f>
        <v>CM-FT0129</v>
      </c>
      <c r="M186" s="51" t="str">
        <f>INDEX(_xlfn.TEXTSPLIT(tissage[[#This Row],[QR Fabrication]],"_"),1,4)</f>
        <v>NDL1020-B09-14</v>
      </c>
      <c r="N186" s="51" t="str">
        <f>INDEX(_xlfn.TEXTSPLIT(tissage[[#This Row],[QR Fabrication]],"_"),1,5)</f>
        <v>ND LILI</v>
      </c>
      <c r="O186" s="51" t="str">
        <f>_xlfn.TEXTAFTER(tissage[[#This Row],[QR Fabrication]],"_",5)</f>
        <v>1020</v>
      </c>
      <c r="P186" s="47" t="str">
        <f>IF(
   COUNTIFS($A$2:A186,A186,
             $C$2:C186,C186,
             $D$2:D186,D186,
             $B$2:B186,B186,
             $E$2:E186,E186,
             $I$2:I186,I186
               )&gt;1,
   "Doublon",
   "Correcte"
)</f>
        <v>Correcte</v>
      </c>
    </row>
    <row r="187" spans="1:16" ht="16.5" thickTop="1" thickBot="1" x14ac:dyDescent="0.3">
      <c r="A187" s="51" t="s">
        <v>678</v>
      </c>
      <c r="B187" s="107" t="s">
        <v>2542</v>
      </c>
      <c r="C187" s="102" t="s">
        <v>2467</v>
      </c>
      <c r="D187" s="51" t="s">
        <v>688</v>
      </c>
      <c r="E187" s="51">
        <v>0</v>
      </c>
      <c r="F187" s="51"/>
      <c r="G187" s="51"/>
      <c r="H187" s="47" t="s">
        <v>664</v>
      </c>
      <c r="I187" s="58">
        <v>45916</v>
      </c>
      <c r="J187" s="58" t="str">
        <f>INDEX(_xlfn.TEXTSPLIT(tissage[[#This Row],[QR Fabrication]],"_"),1,1)</f>
        <v>CA250637</v>
      </c>
      <c r="K187" s="107" t="str">
        <f>INDEX(_xlfn.TEXTSPLIT(tissage[[#This Row],[QR Fabrication]],"_"),1,2)</f>
        <v>All by Fouta</v>
      </c>
      <c r="L187" s="51" t="str">
        <f>INDEX(_xlfn.TEXTSPLIT(tissage[[#This Row],[QR Fabrication]],"_"),1,3)</f>
        <v>Stock</v>
      </c>
      <c r="M187" s="51" t="str">
        <f>INDEX(_xlfn.TEXTSPLIT(tissage[[#This Row],[QR Fabrication]],"_"),1,4)</f>
        <v>EPMA0919-B26-02</v>
      </c>
      <c r="N187" s="51" t="str">
        <f>INDEX(_xlfn.TEXTSPLIT(tissage[[#This Row],[QR Fabrication]],"_"),1,5)</f>
        <v>MARINIERE</v>
      </c>
      <c r="O187" s="51" t="str">
        <f>_xlfn.TEXTAFTER(tissage[[#This Row],[QR Fabrication]],"_",5)</f>
        <v>0919</v>
      </c>
      <c r="P187" s="47" t="str">
        <f>IF(
   COUNTIFS($A$2:A187,A187,
             $C$2:C187,C187,
             $D$2:D187,D187,
             $B$2:B187,B187,
             $E$2:E187,E187,
             $I$2:I187,I187
               )&gt;1,
   "Doublon",
   "Correcte"
)</f>
        <v>Correcte</v>
      </c>
    </row>
    <row r="188" spans="1:16" ht="16.5" thickTop="1" thickBot="1" x14ac:dyDescent="0.3">
      <c r="A188" s="47" t="s">
        <v>684</v>
      </c>
      <c r="B188" s="106" t="s">
        <v>2547</v>
      </c>
      <c r="C188" s="101" t="s">
        <v>2473</v>
      </c>
      <c r="D188" s="51" t="s">
        <v>688</v>
      </c>
      <c r="E188" s="51">
        <v>0</v>
      </c>
      <c r="F188" s="47"/>
      <c r="G188" s="47"/>
      <c r="H188" s="47" t="s">
        <v>664</v>
      </c>
      <c r="I188" s="57">
        <v>45924</v>
      </c>
      <c r="J188" s="57" t="str">
        <f>INDEX(_xlfn.TEXTSPLIT(tissage[[#This Row],[QR Fabrication]],"_"),1,1)</f>
        <v>CA250751</v>
      </c>
      <c r="K188" s="106" t="str">
        <f>INDEX(_xlfn.TEXTSPLIT(tissage[[#This Row],[QR Fabrication]],"_"),1,2)</f>
        <v>All by Fouta</v>
      </c>
      <c r="L188" s="47" t="str">
        <f>INDEX(_xlfn.TEXTSPLIT(tissage[[#This Row],[QR Fabrication]],"_"),1,3)</f>
        <v>Stock</v>
      </c>
      <c r="M188" s="47" t="str">
        <f>INDEX(_xlfn.TEXTSPLIT(tissage[[#This Row],[QR Fabrication]],"_"),1,4)</f>
        <v>PACKSICL0507-B04-02</v>
      </c>
      <c r="N188" s="47" t="str">
        <f>INDEX(_xlfn.TEXTSPLIT(tissage[[#This Row],[QR Fabrication]],"_"),1,5)</f>
        <v>PACK CLASSIQUE</v>
      </c>
      <c r="O188" s="47" t="str">
        <f>_xlfn.TEXTAFTER(tissage[[#This Row],[QR Fabrication]],"_",5)</f>
        <v>0507</v>
      </c>
      <c r="P188" s="47" t="str">
        <f>IF(
   COUNTIFS($A$2:A188,A188,
             $C$2:C188,C188,
             $D$2:D188,D188,
             $B$2:B188,B188,
             $E$2:E188,E188,
             $I$2:I188,I188
               )&gt;1,
   "Doublon",
   "Correcte"
)</f>
        <v>Correcte</v>
      </c>
    </row>
    <row r="189" spans="1:16" ht="16.5" thickTop="1" thickBot="1" x14ac:dyDescent="0.3">
      <c r="A189" s="47" t="s">
        <v>684</v>
      </c>
      <c r="B189" s="106" t="s">
        <v>2547</v>
      </c>
      <c r="C189" s="101" t="s">
        <v>2459</v>
      </c>
      <c r="D189" s="51" t="s">
        <v>688</v>
      </c>
      <c r="E189" s="51">
        <v>0</v>
      </c>
      <c r="F189" s="47"/>
      <c r="G189" s="47"/>
      <c r="H189" s="47" t="s">
        <v>664</v>
      </c>
      <c r="I189" s="57">
        <v>45919</v>
      </c>
      <c r="J189" s="57" t="str">
        <f>INDEX(_xlfn.TEXTSPLIT(tissage[[#This Row],[QR Fabrication]],"_"),1,1)</f>
        <v>CA250752</v>
      </c>
      <c r="K189" s="106" t="str">
        <f>INDEX(_xlfn.TEXTSPLIT(tissage[[#This Row],[QR Fabrication]],"_"),1,2)</f>
        <v>All by Fouta</v>
      </c>
      <c r="L189" s="47" t="str">
        <f>INDEX(_xlfn.TEXTSPLIT(tissage[[#This Row],[QR Fabrication]],"_"),1,3)</f>
        <v>Stock</v>
      </c>
      <c r="M189" s="47" t="str">
        <f>INDEX(_xlfn.TEXTSPLIT(tissage[[#This Row],[QR Fabrication]],"_"),1,4)</f>
        <v>PACKSICL0507-B05-03</v>
      </c>
      <c r="N189" s="47" t="str">
        <f>INDEX(_xlfn.TEXTSPLIT(tissage[[#This Row],[QR Fabrication]],"_"),1,5)</f>
        <v>PACK CLASSIQUE</v>
      </c>
      <c r="O189" s="47" t="str">
        <f>_xlfn.TEXTAFTER(tissage[[#This Row],[QR Fabrication]],"_",5)</f>
        <v>0507</v>
      </c>
      <c r="P189" s="47" t="str">
        <f>IF(
   COUNTIFS($A$2:A189,A189,
             $C$2:C189,C189,
             $D$2:D189,D189,
             $B$2:B189,B189,
             $E$2:E189,E189,
             $I$2:I189,I189
               )&gt;1,
   "Doublon",
   "Correcte"
)</f>
        <v>Correcte</v>
      </c>
    </row>
    <row r="190" spans="1:16" ht="16.5" thickTop="1" thickBot="1" x14ac:dyDescent="0.3">
      <c r="A190" s="51" t="s">
        <v>684</v>
      </c>
      <c r="B190" s="107" t="s">
        <v>2547</v>
      </c>
      <c r="C190" s="102" t="s">
        <v>2458</v>
      </c>
      <c r="D190" s="51" t="s">
        <v>688</v>
      </c>
      <c r="E190" s="51">
        <v>0</v>
      </c>
      <c r="F190" s="51"/>
      <c r="G190" s="51"/>
      <c r="H190" s="47" t="s">
        <v>664</v>
      </c>
      <c r="I190" s="58">
        <v>45922</v>
      </c>
      <c r="J190" s="58" t="str">
        <f>INDEX(_xlfn.TEXTSPLIT(tissage[[#This Row],[QR Fabrication]],"_"),1,1)</f>
        <v>CA250753</v>
      </c>
      <c r="K190" s="107" t="str">
        <f>INDEX(_xlfn.TEXTSPLIT(tissage[[#This Row],[QR Fabrication]],"_"),1,2)</f>
        <v>All by Fouta</v>
      </c>
      <c r="L190" s="51" t="str">
        <f>INDEX(_xlfn.TEXTSPLIT(tissage[[#This Row],[QR Fabrication]],"_"),1,3)</f>
        <v>Stock</v>
      </c>
      <c r="M190" s="51" t="str">
        <f>INDEX(_xlfn.TEXTSPLIT(tissage[[#This Row],[QR Fabrication]],"_"),1,4)</f>
        <v>PACKSICL0507-B06-08</v>
      </c>
      <c r="N190" s="51" t="str">
        <f>INDEX(_xlfn.TEXTSPLIT(tissage[[#This Row],[QR Fabrication]],"_"),1,5)</f>
        <v>PACK CLASSIQUE</v>
      </c>
      <c r="O190" s="51" t="str">
        <f>_xlfn.TEXTAFTER(tissage[[#This Row],[QR Fabrication]],"_",5)</f>
        <v>0507</v>
      </c>
      <c r="P190" s="47" t="str">
        <f>IF(
   COUNTIFS($A$2:A190,A190,
             $C$2:C190,C190,
             $D$2:D190,D190,
             $B$2:B190,B190,
             $E$2:E190,E190,
             $I$2:I190,I190
               )&gt;1,
   "Doublon",
   "Correcte"
)</f>
        <v>Correcte</v>
      </c>
    </row>
    <row r="191" spans="1:16" ht="16.5" thickTop="1" thickBot="1" x14ac:dyDescent="0.3">
      <c r="A191" s="47" t="s">
        <v>684</v>
      </c>
      <c r="B191" s="106" t="s">
        <v>2547</v>
      </c>
      <c r="C191" s="101" t="s">
        <v>2474</v>
      </c>
      <c r="D191" s="51" t="s">
        <v>688</v>
      </c>
      <c r="E191" s="51">
        <v>0</v>
      </c>
      <c r="F191" s="47"/>
      <c r="G191" s="47"/>
      <c r="H191" s="47" t="s">
        <v>664</v>
      </c>
      <c r="I191" s="57">
        <v>45926</v>
      </c>
      <c r="J191" s="57" t="str">
        <f>INDEX(_xlfn.TEXTSPLIT(tissage[[#This Row],[QR Fabrication]],"_"),1,1)</f>
        <v>CA250755</v>
      </c>
      <c r="K191" s="106" t="str">
        <f>INDEX(_xlfn.TEXTSPLIT(tissage[[#This Row],[QR Fabrication]],"_"),1,2)</f>
        <v>All by Fouta</v>
      </c>
      <c r="L191" s="47" t="str">
        <f>INDEX(_xlfn.TEXTSPLIT(tissage[[#This Row],[QR Fabrication]],"_"),1,3)</f>
        <v>Stock</v>
      </c>
      <c r="M191" s="47" t="str">
        <f>INDEX(_xlfn.TEXTSPLIT(tissage[[#This Row],[QR Fabrication]],"_"),1,4)</f>
        <v>PACKSICL0507-B07-17</v>
      </c>
      <c r="N191" s="47" t="str">
        <f>INDEX(_xlfn.TEXTSPLIT(tissage[[#This Row],[QR Fabrication]],"_"),1,5)</f>
        <v>PACK CLASSIQUE</v>
      </c>
      <c r="O191" s="47" t="str">
        <f>_xlfn.TEXTAFTER(tissage[[#This Row],[QR Fabrication]],"_",5)</f>
        <v>0507</v>
      </c>
      <c r="P191" s="47" t="str">
        <f>IF(
   COUNTIFS($A$2:A191,A191,
             $C$2:C191,C191,
             $D$2:D191,D191,
             $B$2:B191,B191,
             $E$2:E191,E191,
             $I$2:I191,I191
               )&gt;1,
   "Doublon",
   "Correcte"
)</f>
        <v>Correcte</v>
      </c>
    </row>
    <row r="192" spans="1:16" ht="16.5" thickTop="1" thickBot="1" x14ac:dyDescent="0.3">
      <c r="A192" s="47" t="s">
        <v>684</v>
      </c>
      <c r="B192" s="106" t="s">
        <v>2547</v>
      </c>
      <c r="C192" s="101" t="s">
        <v>2499</v>
      </c>
      <c r="D192" s="51" t="s">
        <v>688</v>
      </c>
      <c r="E192" s="51">
        <v>0</v>
      </c>
      <c r="F192" s="47"/>
      <c r="G192" s="47"/>
      <c r="H192" s="47" t="s">
        <v>664</v>
      </c>
      <c r="I192" s="57">
        <v>45937</v>
      </c>
      <c r="J192" s="57" t="str">
        <f>INDEX(_xlfn.TEXTSPLIT(tissage[[#This Row],[QR Fabrication]],"_"),1,1)</f>
        <v>CA250756</v>
      </c>
      <c r="K192" s="106" t="str">
        <f>INDEX(_xlfn.TEXTSPLIT(tissage[[#This Row],[QR Fabrication]],"_"),1,2)</f>
        <v>All by Fouta</v>
      </c>
      <c r="L192" s="47" t="str">
        <f>INDEX(_xlfn.TEXTSPLIT(tissage[[#This Row],[QR Fabrication]],"_"),1,3)</f>
        <v>Stock</v>
      </c>
      <c r="M192" s="47" t="str">
        <f>INDEX(_xlfn.TEXTSPLIT(tissage[[#This Row],[QR Fabrication]],"_"),1,4)</f>
        <v>PACKSICL0507-B10-25</v>
      </c>
      <c r="N192" s="47" t="str">
        <f>INDEX(_xlfn.TEXTSPLIT(tissage[[#This Row],[QR Fabrication]],"_"),1,5)</f>
        <v>PACK CLASSIQUE</v>
      </c>
      <c r="O192" s="47" t="str">
        <f>_xlfn.TEXTAFTER(tissage[[#This Row],[QR Fabrication]],"_",5)</f>
        <v>0507</v>
      </c>
      <c r="P192" s="47" t="str">
        <f>IF(
   COUNTIFS($A$2:A192,A192,
             $C$2:C192,C192,
             $D$2:D192,D192,
             $B$2:B192,B192,
             $E$2:E192,E192,
             $I$2:I192,I192
               )&gt;1,
   "Doublon",
   "Correcte"
)</f>
        <v>Correcte</v>
      </c>
    </row>
    <row r="193" spans="1:16" ht="16.5" thickTop="1" thickBot="1" x14ac:dyDescent="0.3">
      <c r="A193" s="47" t="s">
        <v>684</v>
      </c>
      <c r="B193" s="106" t="s">
        <v>2547</v>
      </c>
      <c r="C193" s="101" t="s">
        <v>2502</v>
      </c>
      <c r="D193" s="51" t="s">
        <v>688</v>
      </c>
      <c r="E193" s="51">
        <v>0</v>
      </c>
      <c r="F193" s="47"/>
      <c r="G193" s="47"/>
      <c r="H193" s="47" t="s">
        <v>664</v>
      </c>
      <c r="I193" s="57">
        <v>45938</v>
      </c>
      <c r="J193" s="57" t="str">
        <f>INDEX(_xlfn.TEXTSPLIT(tissage[[#This Row],[QR Fabrication]],"_"),1,1)</f>
        <v>CA250757</v>
      </c>
      <c r="K193" s="106" t="str">
        <f>INDEX(_xlfn.TEXTSPLIT(tissage[[#This Row],[QR Fabrication]],"_"),1,2)</f>
        <v>All by Fouta</v>
      </c>
      <c r="L193" s="47" t="str">
        <f>INDEX(_xlfn.TEXTSPLIT(tissage[[#This Row],[QR Fabrication]],"_"),1,3)</f>
        <v>Stock</v>
      </c>
      <c r="M193" s="47" t="str">
        <f>INDEX(_xlfn.TEXTSPLIT(tissage[[#This Row],[QR Fabrication]],"_"),1,4)</f>
        <v>PACKSICL0507-B20-24</v>
      </c>
      <c r="N193" s="47" t="str">
        <f>INDEX(_xlfn.TEXTSPLIT(tissage[[#This Row],[QR Fabrication]],"_"),1,5)</f>
        <v>PACK CLASSIQUE</v>
      </c>
      <c r="O193" s="47" t="str">
        <f>_xlfn.TEXTAFTER(tissage[[#This Row],[QR Fabrication]],"_",5)</f>
        <v>0507</v>
      </c>
      <c r="P193" s="47" t="str">
        <f>IF(
   COUNTIFS($A$2:A193,A193,
             $C$2:C193,C193,
             $D$2:D193,D193,
             $B$2:B193,B193,
             $E$2:E193,E193,
             $I$2:I193,I193
               )&gt;1,
   "Doublon",
   "Correcte"
)</f>
        <v>Correcte</v>
      </c>
    </row>
    <row r="194" spans="1:16" ht="16.5" thickTop="1" thickBot="1" x14ac:dyDescent="0.3">
      <c r="A194" s="47" t="s">
        <v>684</v>
      </c>
      <c r="B194" s="106" t="s">
        <v>2547</v>
      </c>
      <c r="C194" s="101" t="s">
        <v>2475</v>
      </c>
      <c r="D194" s="51" t="s">
        <v>688</v>
      </c>
      <c r="E194" s="51">
        <v>0</v>
      </c>
      <c r="F194" s="47"/>
      <c r="G194" s="47"/>
      <c r="H194" s="47" t="s">
        <v>664</v>
      </c>
      <c r="I194" s="57">
        <v>45930</v>
      </c>
      <c r="J194" s="57" t="str">
        <f>INDEX(_xlfn.TEXTSPLIT(tissage[[#This Row],[QR Fabrication]],"_"),1,1)</f>
        <v>CA250758</v>
      </c>
      <c r="K194" s="106" t="str">
        <f>INDEX(_xlfn.TEXTSPLIT(tissage[[#This Row],[QR Fabrication]],"_"),1,2)</f>
        <v>All by Fouta</v>
      </c>
      <c r="L194" s="47" t="str">
        <f>INDEX(_xlfn.TEXTSPLIT(tissage[[#This Row],[QR Fabrication]],"_"),1,3)</f>
        <v>Stock</v>
      </c>
      <c r="M194" s="47" t="str">
        <f>INDEX(_xlfn.TEXTSPLIT(tissage[[#This Row],[QR Fabrication]],"_"),1,4)</f>
        <v>PACKSICL0507-B15-02</v>
      </c>
      <c r="N194" s="47" t="str">
        <f>INDEX(_xlfn.TEXTSPLIT(tissage[[#This Row],[QR Fabrication]],"_"),1,5)</f>
        <v>PACK CLASSIQUE</v>
      </c>
      <c r="O194" s="47" t="str">
        <f>_xlfn.TEXTAFTER(tissage[[#This Row],[QR Fabrication]],"_",5)</f>
        <v>0507</v>
      </c>
      <c r="P194" s="47" t="str">
        <f>IF(
   COUNTIFS($A$2:A194,A194,
             $C$2:C194,C194,
             $D$2:D194,D194,
             $B$2:B194,B194,
             $E$2:E194,E194,
             $I$2:I194,I194
               )&gt;1,
   "Doublon",
   "Correcte"
)</f>
        <v>Correcte</v>
      </c>
    </row>
    <row r="195" spans="1:16" ht="16.5" thickTop="1" thickBot="1" x14ac:dyDescent="0.3">
      <c r="A195" s="51" t="s">
        <v>684</v>
      </c>
      <c r="B195" s="107" t="s">
        <v>2547</v>
      </c>
      <c r="C195" s="102" t="s">
        <v>2497</v>
      </c>
      <c r="D195" s="51" t="s">
        <v>688</v>
      </c>
      <c r="E195" s="51">
        <v>0</v>
      </c>
      <c r="F195" s="51"/>
      <c r="G195" s="51"/>
      <c r="H195" s="47" t="s">
        <v>664</v>
      </c>
      <c r="I195" s="58">
        <v>45938</v>
      </c>
      <c r="J195" s="58" t="str">
        <f>INDEX(_xlfn.TEXTSPLIT(tissage[[#This Row],[QR Fabrication]],"_"),1,1)</f>
        <v>CA250759</v>
      </c>
      <c r="K195" s="107" t="str">
        <f>INDEX(_xlfn.TEXTSPLIT(tissage[[#This Row],[QR Fabrication]],"_"),1,2)</f>
        <v>All by Fouta</v>
      </c>
      <c r="L195" s="51" t="str">
        <f>INDEX(_xlfn.TEXTSPLIT(tissage[[#This Row],[QR Fabrication]],"_"),1,3)</f>
        <v>Stock</v>
      </c>
      <c r="M195" s="51" t="str">
        <f>INDEX(_xlfn.TEXTSPLIT(tissage[[#This Row],[QR Fabrication]],"_"),1,4)</f>
        <v>PACKSICL0507-B14-13</v>
      </c>
      <c r="N195" s="51" t="str">
        <f>INDEX(_xlfn.TEXTSPLIT(tissage[[#This Row],[QR Fabrication]],"_"),1,5)</f>
        <v>PACK CLASSIQUE</v>
      </c>
      <c r="O195" s="51" t="str">
        <f>_xlfn.TEXTAFTER(tissage[[#This Row],[QR Fabrication]],"_",5)</f>
        <v>0507</v>
      </c>
      <c r="P195" s="47" t="str">
        <f>IF(
   COUNTIFS($A$2:A195,A195,
             $C$2:C195,C195,
             $D$2:D195,D195,
             $B$2:B195,B195,
             $E$2:E195,E195,
             $I$2:I195,I195
               )&gt;1,
   "Doublon",
   "Correcte"
)</f>
        <v>Correcte</v>
      </c>
    </row>
    <row r="196" spans="1:16" ht="16.5" thickTop="1" thickBot="1" x14ac:dyDescent="0.3">
      <c r="A196" s="51" t="s">
        <v>684</v>
      </c>
      <c r="B196" s="107" t="s">
        <v>2547</v>
      </c>
      <c r="C196" s="102" t="s">
        <v>2496</v>
      </c>
      <c r="D196" s="51" t="s">
        <v>688</v>
      </c>
      <c r="E196" s="51">
        <v>0</v>
      </c>
      <c r="F196" s="51"/>
      <c r="G196" s="51"/>
      <c r="H196" s="47" t="s">
        <v>664</v>
      </c>
      <c r="I196" s="58">
        <v>45938</v>
      </c>
      <c r="J196" s="58" t="str">
        <f>INDEX(_xlfn.TEXTSPLIT(tissage[[#This Row],[QR Fabrication]],"_"),1,1)</f>
        <v>CA250761</v>
      </c>
      <c r="K196" s="107" t="str">
        <f>INDEX(_xlfn.TEXTSPLIT(tissage[[#This Row],[QR Fabrication]],"_"),1,2)</f>
        <v>All by Fouta</v>
      </c>
      <c r="L196" s="51" t="str">
        <f>INDEX(_xlfn.TEXTSPLIT(tissage[[#This Row],[QR Fabrication]],"_"),1,3)</f>
        <v>Stock</v>
      </c>
      <c r="M196" s="51" t="str">
        <f>INDEX(_xlfn.TEXTSPLIT(tissage[[#This Row],[QR Fabrication]],"_"),1,4)</f>
        <v>PACKSICL0507-B24-10</v>
      </c>
      <c r="N196" s="51" t="str">
        <f>INDEX(_xlfn.TEXTSPLIT(tissage[[#This Row],[QR Fabrication]],"_"),1,5)</f>
        <v>PACK CLASSIQUE</v>
      </c>
      <c r="O196" s="51" t="str">
        <f>_xlfn.TEXTAFTER(tissage[[#This Row],[QR Fabrication]],"_",5)</f>
        <v>0507</v>
      </c>
      <c r="P196" s="47" t="str">
        <f>IF(
   COUNTIFS($A$2:A196,A196,
             $C$2:C196,C196,
             $D$2:D196,D196,
             $B$2:B196,B196,
             $E$2:E196,E196,
             $I$2:I196,I196
               )&gt;1,
   "Doublon",
   "Correcte"
)</f>
        <v>Correcte</v>
      </c>
    </row>
    <row r="197" spans="1:16" ht="16.5" thickTop="1" thickBot="1" x14ac:dyDescent="0.3">
      <c r="A197" s="51" t="s">
        <v>684</v>
      </c>
      <c r="B197" s="107" t="s">
        <v>2547</v>
      </c>
      <c r="C197" s="102" t="s">
        <v>2482</v>
      </c>
      <c r="D197" s="51" t="s">
        <v>688</v>
      </c>
      <c r="E197" s="51">
        <v>0</v>
      </c>
      <c r="F197" s="51"/>
      <c r="G197" s="51"/>
      <c r="H197" s="47" t="s">
        <v>664</v>
      </c>
      <c r="I197" s="58">
        <v>45931</v>
      </c>
      <c r="J197" s="58" t="str">
        <f>INDEX(_xlfn.TEXTSPLIT(tissage[[#This Row],[QR Fabrication]],"_"),1,1)</f>
        <v>CA250763</v>
      </c>
      <c r="K197" s="107" t="str">
        <f>INDEX(_xlfn.TEXTSPLIT(tissage[[#This Row],[QR Fabrication]],"_"),1,2)</f>
        <v>All by Fouta</v>
      </c>
      <c r="L197" s="51" t="str">
        <f>INDEX(_xlfn.TEXTSPLIT(tissage[[#This Row],[QR Fabrication]],"_"),1,3)</f>
        <v>Stock</v>
      </c>
      <c r="M197" s="51" t="str">
        <f>INDEX(_xlfn.TEXTSPLIT(tissage[[#This Row],[QR Fabrication]],"_"),1,4)</f>
        <v>PACKSICL0507-B07-16</v>
      </c>
      <c r="N197" s="51" t="str">
        <f>INDEX(_xlfn.TEXTSPLIT(tissage[[#This Row],[QR Fabrication]],"_"),1,5)</f>
        <v>PACK CLASSIQUE</v>
      </c>
      <c r="O197" s="51" t="str">
        <f>_xlfn.TEXTAFTER(tissage[[#This Row],[QR Fabrication]],"_",5)</f>
        <v>0507</v>
      </c>
      <c r="P197" s="47" t="str">
        <f>IF(
   COUNTIFS($A$2:A197,A197,
             $C$2:C197,C197,
             $D$2:D197,D197,
             $B$2:B197,B197,
             $E$2:E197,E197,
             $I$2:I197,I197
               )&gt;1,
   "Doublon",
   "Correcte"
)</f>
        <v>Correcte</v>
      </c>
    </row>
    <row r="198" spans="1:16" ht="16.5" thickTop="1" thickBot="1" x14ac:dyDescent="0.3">
      <c r="A198" s="47" t="s">
        <v>686</v>
      </c>
      <c r="B198" s="107" t="s">
        <v>2550</v>
      </c>
      <c r="C198" s="102" t="s">
        <v>2457</v>
      </c>
      <c r="D198" s="51" t="s">
        <v>688</v>
      </c>
      <c r="E198" s="51">
        <v>0</v>
      </c>
      <c r="F198" s="51"/>
      <c r="G198" s="51"/>
      <c r="H198" s="47" t="s">
        <v>664</v>
      </c>
      <c r="I198" s="58">
        <v>45927</v>
      </c>
      <c r="J198" s="58" t="str">
        <f>INDEX(_xlfn.TEXTSPLIT(tissage[[#This Row],[QR Fabrication]],"_"),1,1)</f>
        <v>OF249849</v>
      </c>
      <c r="K198" s="107" t="str">
        <f>INDEX(_xlfn.TEXTSPLIT(tissage[[#This Row],[QR Fabrication]],"_"),1,2)</f>
        <v>CL00884</v>
      </c>
      <c r="L198" s="51" t="str">
        <f>INDEX(_xlfn.TEXTSPLIT(tissage[[#This Row],[QR Fabrication]],"_"),1,3)</f>
        <v>CM-FT0119</v>
      </c>
      <c r="M198" s="51" t="str">
        <f>INDEX(_xlfn.TEXTSPLIT(tissage[[#This Row],[QR Fabrication]],"_"),1,4)</f>
        <v>ST1020-S20-24-17</v>
      </c>
      <c r="N198" s="51" t="str">
        <f>INDEX(_xlfn.TEXTSPLIT(tissage[[#This Row],[QR Fabrication]],"_"),1,5)</f>
        <v>ST TROPEZ</v>
      </c>
      <c r="O198" s="51" t="str">
        <f>_xlfn.TEXTAFTER(tissage[[#This Row],[QR Fabrication]],"_",5)</f>
        <v>1020</v>
      </c>
      <c r="P198" s="47" t="str">
        <f>IF(
   COUNTIFS($A$2:A198,A198,
             $C$2:C198,C198,
             $D$2:D198,D198,
             $B$2:B198,B198,
             $E$2:E198,E198,
             $I$2:I198,I198
               )&gt;1,
   "Doublon",
   "Correcte"
)</f>
        <v>Correcte</v>
      </c>
    </row>
    <row r="199" spans="1:16" ht="16.5" thickTop="1" thickBot="1" x14ac:dyDescent="0.3">
      <c r="A199" s="47" t="s">
        <v>686</v>
      </c>
      <c r="B199" s="107" t="s">
        <v>2549</v>
      </c>
      <c r="C199" s="102" t="s">
        <v>2460</v>
      </c>
      <c r="D199" s="51" t="s">
        <v>688</v>
      </c>
      <c r="E199" s="51">
        <v>0</v>
      </c>
      <c r="F199" s="51"/>
      <c r="G199" s="51"/>
      <c r="H199" s="47" t="s">
        <v>664</v>
      </c>
      <c r="I199" s="58">
        <v>45933</v>
      </c>
      <c r="J199" s="58" t="str">
        <f>INDEX(_xlfn.TEXTSPLIT(tissage[[#This Row],[QR Fabrication]],"_"),1,1)</f>
        <v>OF249940</v>
      </c>
      <c r="K199" s="107" t="str">
        <f>INDEX(_xlfn.TEXTSPLIT(tissage[[#This Row],[QR Fabrication]],"_"),1,2)</f>
        <v>CL00884</v>
      </c>
      <c r="L199" s="51" t="str">
        <f>INDEX(_xlfn.TEXTSPLIT(tissage[[#This Row],[QR Fabrication]],"_"),1,3)</f>
        <v>CM-FT0120</v>
      </c>
      <c r="M199" s="51" t="str">
        <f>INDEX(_xlfn.TEXTSPLIT(tissage[[#This Row],[QR Fabrication]],"_"),1,4)</f>
        <v>FI1020-C28-25-24</v>
      </c>
      <c r="N199" s="51" t="str">
        <f>INDEX(_xlfn.TEXTSPLIT(tissage[[#This Row],[QR Fabrication]],"_"),1,5)</f>
        <v>FIVE</v>
      </c>
      <c r="O199" s="51" t="str">
        <f>_xlfn.TEXTAFTER(tissage[[#This Row],[QR Fabrication]],"_",5)</f>
        <v>1020</v>
      </c>
      <c r="P199" s="47" t="str">
        <f>IF(
   COUNTIFS($A$2:A199,A199,
             $C$2:C199,C199,
             $D$2:D199,D199,
             $B$2:B199,B199,
             $E$2:E199,E199,
             $I$2:I199,I199
               )&gt;1,
   "Doublon",
   "Correcte"
)</f>
        <v>Correcte</v>
      </c>
    </row>
    <row r="200" spans="1:16" ht="16.5" thickTop="1" thickBot="1" x14ac:dyDescent="0.3">
      <c r="A200" s="47" t="s">
        <v>684</v>
      </c>
      <c r="B200" s="106" t="s">
        <v>2553</v>
      </c>
      <c r="C200" s="101" t="s">
        <v>2471</v>
      </c>
      <c r="D200" s="51" t="s">
        <v>688</v>
      </c>
      <c r="E200" s="51">
        <v>0</v>
      </c>
      <c r="F200" s="47"/>
      <c r="G200" s="47"/>
      <c r="H200" s="47" t="s">
        <v>664</v>
      </c>
      <c r="I200" s="57">
        <v>45930</v>
      </c>
      <c r="J200" s="57" t="str">
        <f>INDEX(_xlfn.TEXTSPLIT(tissage[[#This Row],[QR Fabrication]],"_"),1,1)</f>
        <v>OF249798</v>
      </c>
      <c r="K200" s="106" t="str">
        <f>INDEX(_xlfn.TEXTSPLIT(tissage[[#This Row],[QR Fabrication]],"_"),1,2)</f>
        <v>CL00884</v>
      </c>
      <c r="L200" s="47" t="str">
        <f>INDEX(_xlfn.TEXTSPLIT(tissage[[#This Row],[QR Fabrication]],"_"),1,3)</f>
        <v>CM-FT0119</v>
      </c>
      <c r="M200" s="47" t="str">
        <f>INDEX(_xlfn.TEXTSPLIT(tissage[[#This Row],[QR Fabrication]],"_"),1,4)</f>
        <v>LI1020-B28-01</v>
      </c>
      <c r="N200" s="47" t="str">
        <f>INDEX(_xlfn.TEXTSPLIT(tissage[[#This Row],[QR Fabrication]],"_"),1,5)</f>
        <v>LILI</v>
      </c>
      <c r="O200" s="47" t="str">
        <f>_xlfn.TEXTAFTER(tissage[[#This Row],[QR Fabrication]],"_",5)</f>
        <v>1020</v>
      </c>
      <c r="P200" s="47" t="str">
        <f>IF(
   COUNTIFS($A$2:A200,A200,
             $C$2:C200,C200,
             $D$2:D200,D200,
             $B$2:B200,B200,
             $E$2:E200,E200,
             $I$2:I200,I200
               )&gt;1,
   "Doublon",
   "Correcte"
)</f>
        <v>Correcte</v>
      </c>
    </row>
    <row r="201" spans="1:16" ht="16.5" thickTop="1" thickBot="1" x14ac:dyDescent="0.3">
      <c r="A201" s="47" t="s">
        <v>686</v>
      </c>
      <c r="B201" s="106" t="s">
        <v>2552</v>
      </c>
      <c r="C201" s="101" t="s">
        <v>2472</v>
      </c>
      <c r="D201" s="51" t="s">
        <v>688</v>
      </c>
      <c r="E201" s="51">
        <v>0</v>
      </c>
      <c r="F201" s="47"/>
      <c r="G201" s="47"/>
      <c r="H201" s="47" t="s">
        <v>664</v>
      </c>
      <c r="I201" s="57">
        <v>45930</v>
      </c>
      <c r="J201" s="57" t="str">
        <f>INDEX(_xlfn.TEXTSPLIT(tissage[[#This Row],[QR Fabrication]],"_"),1,1)</f>
        <v>OF249782</v>
      </c>
      <c r="K201" s="106" t="str">
        <f>INDEX(_xlfn.TEXTSPLIT(tissage[[#This Row],[QR Fabrication]],"_"),1,2)</f>
        <v>CL00884</v>
      </c>
      <c r="L201" s="47" t="str">
        <f>INDEX(_xlfn.TEXTSPLIT(tissage[[#This Row],[QR Fabrication]],"_"),1,3)</f>
        <v>CM-FT0119</v>
      </c>
      <c r="M201" s="47" t="str">
        <f>INDEX(_xlfn.TEXTSPLIT(tissage[[#This Row],[QR Fabrication]],"_"),1,4)</f>
        <v>IB1020-B24-01</v>
      </c>
      <c r="N201" s="47" t="str">
        <f>INDEX(_xlfn.TEXTSPLIT(tissage[[#This Row],[QR Fabrication]],"_"),1,5)</f>
        <v>IBIZA</v>
      </c>
      <c r="O201" s="47" t="str">
        <f>_xlfn.TEXTAFTER(tissage[[#This Row],[QR Fabrication]],"_",5)</f>
        <v>1020</v>
      </c>
      <c r="P201" s="47" t="str">
        <f>IF(
   COUNTIFS($A$2:A201,A201,
             $C$2:C201,C201,
             $D$2:D201,D201,
             $B$2:B201,B201,
             $E$2:E201,E201,
             $I$2:I201,I201
               )&gt;1,
   "Doublon",
   "Correcte"
)</f>
        <v>Correcte</v>
      </c>
    </row>
    <row r="202" spans="1:16" ht="16.5" thickTop="1" thickBot="1" x14ac:dyDescent="0.3">
      <c r="A202" s="47" t="s">
        <v>687</v>
      </c>
      <c r="B202" s="106" t="s">
        <v>2554</v>
      </c>
      <c r="C202" s="101" t="s">
        <v>2479</v>
      </c>
      <c r="D202" s="51" t="s">
        <v>688</v>
      </c>
      <c r="E202" s="51">
        <v>0</v>
      </c>
      <c r="F202" s="47"/>
      <c r="G202" s="47"/>
      <c r="H202" s="47" t="s">
        <v>664</v>
      </c>
      <c r="I202" s="57">
        <v>45929</v>
      </c>
      <c r="J202" s="57" t="str">
        <f>INDEX(_xlfn.TEXTSPLIT(tissage[[#This Row],[QR Fabrication]],"_"),1,1)</f>
        <v>OF250130</v>
      </c>
      <c r="K202" s="106" t="str">
        <f>INDEX(_xlfn.TEXTSPLIT(tissage[[#This Row],[QR Fabrication]],"_"),1,2)</f>
        <v>CL00162</v>
      </c>
      <c r="L202" s="47" t="str">
        <f>INDEX(_xlfn.TEXTSPLIT(tissage[[#This Row],[QR Fabrication]],"_"),1,3)</f>
        <v>CM-FT0130</v>
      </c>
      <c r="M202" s="47" t="str">
        <f>INDEX(_xlfn.TEXTSPLIT(tissage[[#This Row],[QR Fabrication]],"_"),1,4)</f>
        <v>GIN2426-B03-02</v>
      </c>
      <c r="N202" s="47" t="str">
        <f>INDEX(_xlfn.TEXTSPLIT(tissage[[#This Row],[QR Fabrication]],"_"),1,5)</f>
        <v>GINKO</v>
      </c>
      <c r="O202" s="47" t="str">
        <f>_xlfn.TEXTAFTER(tissage[[#This Row],[QR Fabrication]],"_",5)</f>
        <v>2426</v>
      </c>
      <c r="P202" s="47" t="str">
        <f>IF(
   COUNTIFS($A$2:A202,A202,
             $C$2:C202,C202,
             $D$2:D202,D202,
             $B$2:B202,B202,
             $E$2:E202,E202,
             $I$2:I202,I202
               )&gt;1,
   "Doublon",
   "Correcte"
)</f>
        <v>Correcte</v>
      </c>
    </row>
    <row r="203" spans="1:16" ht="16.5" thickTop="1" thickBot="1" x14ac:dyDescent="0.3">
      <c r="A203" s="47" t="s">
        <v>687</v>
      </c>
      <c r="B203" s="106" t="s">
        <v>2554</v>
      </c>
      <c r="C203" s="101" t="s">
        <v>2481</v>
      </c>
      <c r="D203" s="51" t="s">
        <v>688</v>
      </c>
      <c r="E203" s="51">
        <v>0</v>
      </c>
      <c r="F203" s="47"/>
      <c r="G203" s="47"/>
      <c r="H203" s="47" t="s">
        <v>664</v>
      </c>
      <c r="I203" s="57">
        <v>45927</v>
      </c>
      <c r="J203" s="57" t="str">
        <f>INDEX(_xlfn.TEXTSPLIT(tissage[[#This Row],[QR Fabrication]],"_"),1,1)</f>
        <v>OF250131</v>
      </c>
      <c r="K203" s="106" t="str">
        <f>INDEX(_xlfn.TEXTSPLIT(tissage[[#This Row],[QR Fabrication]],"_"),1,2)</f>
        <v>CL00162</v>
      </c>
      <c r="L203" s="47" t="str">
        <f>INDEX(_xlfn.TEXTSPLIT(tissage[[#This Row],[QR Fabrication]],"_"),1,3)</f>
        <v>CM-FT0130</v>
      </c>
      <c r="M203" s="47" t="str">
        <f>INDEX(_xlfn.TEXTSPLIT(tissage[[#This Row],[QR Fabrication]],"_"),1,4)</f>
        <v>GIN2426-B12-03</v>
      </c>
      <c r="N203" s="47" t="str">
        <f>INDEX(_xlfn.TEXTSPLIT(tissage[[#This Row],[QR Fabrication]],"_"),1,5)</f>
        <v>GINKO</v>
      </c>
      <c r="O203" s="47" t="str">
        <f>_xlfn.TEXTAFTER(tissage[[#This Row],[QR Fabrication]],"_",5)</f>
        <v>2426</v>
      </c>
      <c r="P203" s="47" t="str">
        <f>IF(
   COUNTIFS($A$2:A203,A203,
             $C$2:C203,C203,
             $D$2:D203,D203,
             $B$2:B203,B203,
             $E$2:E203,E203,
             $I$2:I203,I203
               )&gt;1,
   "Doublon",
   "Correcte"
)</f>
        <v>Correcte</v>
      </c>
    </row>
    <row r="204" spans="1:16" ht="16.5" thickTop="1" thickBot="1" x14ac:dyDescent="0.3">
      <c r="A204" s="47" t="s">
        <v>687</v>
      </c>
      <c r="B204" s="106" t="s">
        <v>2554</v>
      </c>
      <c r="C204" s="101" t="s">
        <v>2477</v>
      </c>
      <c r="D204" s="51" t="s">
        <v>688</v>
      </c>
      <c r="E204" s="51">
        <v>0</v>
      </c>
      <c r="F204" s="47"/>
      <c r="G204" s="47"/>
      <c r="H204" s="47" t="s">
        <v>664</v>
      </c>
      <c r="I204" s="57">
        <v>45927</v>
      </c>
      <c r="J204" s="57" t="str">
        <f>INDEX(_xlfn.TEXTSPLIT(tissage[[#This Row],[QR Fabrication]],"_"),1,1)</f>
        <v>OF250132</v>
      </c>
      <c r="K204" s="106" t="str">
        <f>INDEX(_xlfn.TEXTSPLIT(tissage[[#This Row],[QR Fabrication]],"_"),1,2)</f>
        <v>CL00162</v>
      </c>
      <c r="L204" s="47" t="str">
        <f>INDEX(_xlfn.TEXTSPLIT(tissage[[#This Row],[QR Fabrication]],"_"),1,3)</f>
        <v>CM-FT0130</v>
      </c>
      <c r="M204" s="47" t="str">
        <f>INDEX(_xlfn.TEXTSPLIT(tissage[[#This Row],[QR Fabrication]],"_"),1,4)</f>
        <v>GIN2426-B19-03</v>
      </c>
      <c r="N204" s="47" t="str">
        <f>INDEX(_xlfn.TEXTSPLIT(tissage[[#This Row],[QR Fabrication]],"_"),1,5)</f>
        <v>GINKO</v>
      </c>
      <c r="O204" s="47" t="str">
        <f>_xlfn.TEXTAFTER(tissage[[#This Row],[QR Fabrication]],"_",5)</f>
        <v>2426</v>
      </c>
      <c r="P204" s="47" t="str">
        <f>IF(
   COUNTIFS($A$2:A204,A204,
             $C$2:C204,C204,
             $D$2:D204,D204,
             $B$2:B204,B204,
             $E$2:E204,E204,
             $I$2:I204,I204
               )&gt;1,
   "Doublon",
   "Correcte"
)</f>
        <v>Correcte</v>
      </c>
    </row>
    <row r="205" spans="1:16" ht="16.5" thickTop="1" thickBot="1" x14ac:dyDescent="0.3">
      <c r="A205" s="47" t="s">
        <v>687</v>
      </c>
      <c r="B205" s="106" t="s">
        <v>2554</v>
      </c>
      <c r="C205" s="101" t="s">
        <v>2478</v>
      </c>
      <c r="D205" s="51" t="s">
        <v>688</v>
      </c>
      <c r="E205" s="51">
        <v>0</v>
      </c>
      <c r="F205" s="47"/>
      <c r="G205" s="47"/>
      <c r="H205" s="47" t="s">
        <v>664</v>
      </c>
      <c r="I205" s="57">
        <v>45925</v>
      </c>
      <c r="J205" s="57" t="str">
        <f>INDEX(_xlfn.TEXTSPLIT(tissage[[#This Row],[QR Fabrication]],"_"),1,1)</f>
        <v>OF250134</v>
      </c>
      <c r="K205" s="106" t="str">
        <f>INDEX(_xlfn.TEXTSPLIT(tissage[[#This Row],[QR Fabrication]],"_"),1,2)</f>
        <v>CL00162</v>
      </c>
      <c r="L205" s="47" t="str">
        <f>INDEX(_xlfn.TEXTSPLIT(tissage[[#This Row],[QR Fabrication]],"_"),1,3)</f>
        <v>CM-FT0130</v>
      </c>
      <c r="M205" s="47" t="str">
        <f>INDEX(_xlfn.TEXTSPLIT(tissage[[#This Row],[QR Fabrication]],"_"),1,4)</f>
        <v>OLI2426-B18-19</v>
      </c>
      <c r="N205" s="47" t="str">
        <f>INDEX(_xlfn.TEXTSPLIT(tissage[[#This Row],[QR Fabrication]],"_"),1,5)</f>
        <v>OLIVIER</v>
      </c>
      <c r="O205" s="47" t="str">
        <f>_xlfn.TEXTAFTER(tissage[[#This Row],[QR Fabrication]],"_",5)</f>
        <v>2426</v>
      </c>
      <c r="P205" s="47" t="str">
        <f>IF(
   COUNTIFS($A$2:A205,A205,
             $C$2:C205,C205,
             $D$2:D205,D205,
             $B$2:B205,B205,
             $E$2:E205,E205,
             $I$2:I205,I205
               )&gt;1,
   "Doublon",
   "Correcte"
)</f>
        <v>Correcte</v>
      </c>
    </row>
    <row r="206" spans="1:16" ht="16.5" thickTop="1" thickBot="1" x14ac:dyDescent="0.3">
      <c r="A206" s="47" t="s">
        <v>686</v>
      </c>
      <c r="B206" s="106" t="s">
        <v>2545</v>
      </c>
      <c r="C206" s="101" t="s">
        <v>2480</v>
      </c>
      <c r="D206" s="51" t="s">
        <v>688</v>
      </c>
      <c r="E206" s="51">
        <v>0</v>
      </c>
      <c r="F206" s="47"/>
      <c r="G206" s="47"/>
      <c r="H206" s="47" t="s">
        <v>664</v>
      </c>
      <c r="I206" s="57">
        <v>45936</v>
      </c>
      <c r="J206" s="57" t="str">
        <f>INDEX(_xlfn.TEXTSPLIT(tissage[[#This Row],[QR Fabrication]],"_"),1,1)</f>
        <v>OF249816</v>
      </c>
      <c r="K206" s="106" t="str">
        <f>INDEX(_xlfn.TEXTSPLIT(tissage[[#This Row],[QR Fabrication]],"_"),1,2)</f>
        <v>CL00884</v>
      </c>
      <c r="L206" s="47" t="str">
        <f>INDEX(_xlfn.TEXTSPLIT(tissage[[#This Row],[QR Fabrication]],"_"),1,3)</f>
        <v>CM-FT0119</v>
      </c>
      <c r="M206" s="47" t="str">
        <f>INDEX(_xlfn.TEXTSPLIT(tissage[[#This Row],[QR Fabrication]],"_"),1,4)</f>
        <v>SO1020-Q29-11-14</v>
      </c>
      <c r="N206" s="47" t="str">
        <f>INDEX(_xlfn.TEXTSPLIT(tissage[[#This Row],[QR Fabrication]],"_"),1,5)</f>
        <v>SOUSSE</v>
      </c>
      <c r="O206" s="47" t="str">
        <f>_xlfn.TEXTAFTER(tissage[[#This Row],[QR Fabrication]],"_",5)</f>
        <v>1020</v>
      </c>
      <c r="P206" s="47" t="str">
        <f>IF(
   COUNTIFS($A$2:A206,A206,
             $C$2:C206,C206,
             $D$2:D206,D206,
             $B$2:B206,B206,
             $E$2:E206,E206,
             $I$2:I206,I206
               )&gt;1,
   "Doublon",
   "Correcte"
)</f>
        <v>Correcte</v>
      </c>
    </row>
    <row r="207" spans="1:16" ht="16.5" thickTop="1" thickBot="1" x14ac:dyDescent="0.3">
      <c r="A207" s="47" t="s">
        <v>686</v>
      </c>
      <c r="B207" s="107" t="s">
        <v>2546</v>
      </c>
      <c r="C207" s="102" t="s">
        <v>2476</v>
      </c>
      <c r="D207" s="51" t="s">
        <v>688</v>
      </c>
      <c r="E207" s="51">
        <v>0</v>
      </c>
      <c r="F207" s="51"/>
      <c r="G207" s="51"/>
      <c r="H207" s="47" t="s">
        <v>664</v>
      </c>
      <c r="I207" s="58">
        <v>45929</v>
      </c>
      <c r="J207" s="58" t="str">
        <f>INDEX(_xlfn.TEXTSPLIT(tissage[[#This Row],[QR Fabrication]],"_"),1,1)</f>
        <v>OF249859</v>
      </c>
      <c r="K207" s="107" t="str">
        <f>INDEX(_xlfn.TEXTSPLIT(tissage[[#This Row],[QR Fabrication]],"_"),1,2)</f>
        <v>CL00884</v>
      </c>
      <c r="L207" s="51" t="str">
        <f>INDEX(_xlfn.TEXTSPLIT(tissage[[#This Row],[QR Fabrication]],"_"),1,3)</f>
        <v>CM-FT0119</v>
      </c>
      <c r="M207" s="51" t="str">
        <f>INDEX(_xlfn.TEXTSPLIT(tissage[[#This Row],[QR Fabrication]],"_"),1,4)</f>
        <v>AR2020-B29-01</v>
      </c>
      <c r="N207" s="51" t="str">
        <f>INDEX(_xlfn.TEXTSPLIT(tissage[[#This Row],[QR Fabrication]],"_"),1,5)</f>
        <v>ARTHUR</v>
      </c>
      <c r="O207" s="51" t="str">
        <f>_xlfn.TEXTAFTER(tissage[[#This Row],[QR Fabrication]],"_",5)</f>
        <v>2020</v>
      </c>
      <c r="P207" s="47" t="str">
        <f>IF(
   COUNTIFS($A$2:A207,A207,
             $C$2:C207,C207,
             $D$2:D207,D207,
             $B$2:B207,B207,
             $E$2:E207,E207,
             $I$2:I207,I207
               )&gt;1,
   "Doublon",
   "Correcte"
)</f>
        <v>Correcte</v>
      </c>
    </row>
    <row r="208" spans="1:16" ht="16.5" thickTop="1" thickBot="1" x14ac:dyDescent="0.3">
      <c r="A208" s="47" t="s">
        <v>684</v>
      </c>
      <c r="B208" s="106" t="s">
        <v>2547</v>
      </c>
      <c r="C208" s="101" t="s">
        <v>2483</v>
      </c>
      <c r="D208" s="51" t="s">
        <v>688</v>
      </c>
      <c r="E208" s="51">
        <v>0</v>
      </c>
      <c r="F208" s="47"/>
      <c r="G208" s="47"/>
      <c r="H208" s="47" t="s">
        <v>664</v>
      </c>
      <c r="I208" s="57">
        <v>45927</v>
      </c>
      <c r="J208" s="57" t="str">
        <f>INDEX(_xlfn.TEXTSPLIT(tissage[[#This Row],[QR Fabrication]],"_"),1,1)</f>
        <v>OF250199</v>
      </c>
      <c r="K208" s="106" t="str">
        <f>INDEX(_xlfn.TEXTSPLIT(tissage[[#This Row],[QR Fabrication]],"_"),1,2)</f>
        <v>CL00844</v>
      </c>
      <c r="L208" s="47" t="str">
        <f>INDEX(_xlfn.TEXTSPLIT(tissage[[#This Row],[QR Fabrication]],"_"),1,3)</f>
        <v>CM-FT0136</v>
      </c>
      <c r="M208" s="47" t="str">
        <f>INDEX(_xlfn.TEXTSPLIT(tissage[[#This Row],[QR Fabrication]],"_"),1,4)</f>
        <v>PACKSICL0507-B03-02</v>
      </c>
      <c r="N208" s="47" t="str">
        <f>INDEX(_xlfn.TEXTSPLIT(tissage[[#This Row],[QR Fabrication]],"_"),1,5)</f>
        <v>PACK CLASSIQUE</v>
      </c>
      <c r="O208" s="47" t="str">
        <f>_xlfn.TEXTAFTER(tissage[[#This Row],[QR Fabrication]],"_",5)</f>
        <v>0507</v>
      </c>
      <c r="P208" s="47" t="str">
        <f>IF(
   COUNTIFS($A$2:A208,A208,
             $C$2:C208,C208,
             $D$2:D208,D208,
             $B$2:B208,B208,
             $E$2:E208,E208,
             $I$2:I208,I208
               )&gt;1,
   "Doublon",
   "Correcte"
)</f>
        <v>Correcte</v>
      </c>
    </row>
    <row r="209" spans="1:16" ht="16.5" thickTop="1" thickBot="1" x14ac:dyDescent="0.3">
      <c r="A209" s="47" t="s">
        <v>686</v>
      </c>
      <c r="B209" s="106" t="s">
        <v>2550</v>
      </c>
      <c r="C209" s="101" t="s">
        <v>2491</v>
      </c>
      <c r="D209" s="51" t="s">
        <v>688</v>
      </c>
      <c r="E209" s="51">
        <v>0</v>
      </c>
      <c r="F209" s="47"/>
      <c r="G209" s="47"/>
      <c r="H209" s="47" t="s">
        <v>664</v>
      </c>
      <c r="I209" s="57">
        <v>45936</v>
      </c>
      <c r="J209" s="57" t="str">
        <f>INDEX(_xlfn.TEXTSPLIT(tissage[[#This Row],[QR Fabrication]],"_"),1,1)</f>
        <v>OF249946</v>
      </c>
      <c r="K209" s="106" t="str">
        <f>INDEX(_xlfn.TEXTSPLIT(tissage[[#This Row],[QR Fabrication]],"_"),1,2)</f>
        <v>CL00884</v>
      </c>
      <c r="L209" s="47" t="str">
        <f>INDEX(_xlfn.TEXTSPLIT(tissage[[#This Row],[QR Fabrication]],"_"),1,3)</f>
        <v>CM-FT0120</v>
      </c>
      <c r="M209" s="47" t="str">
        <f>INDEX(_xlfn.TEXTSPLIT(tissage[[#This Row],[QR Fabrication]],"_"),1,4)</f>
        <v>ST1020-S14-16-17</v>
      </c>
      <c r="N209" s="47" t="str">
        <f>INDEX(_xlfn.TEXTSPLIT(tissage[[#This Row],[QR Fabrication]],"_"),1,5)</f>
        <v>ST TROPEZ</v>
      </c>
      <c r="O209" s="47" t="str">
        <f>_xlfn.TEXTAFTER(tissage[[#This Row],[QR Fabrication]],"_",5)</f>
        <v>1020</v>
      </c>
      <c r="P209" s="47" t="str">
        <f>IF(
   COUNTIFS($A$2:A209,A209,
             $C$2:C209,C209,
             $D$2:D209,D209,
             $B$2:B209,B209,
             $E$2:E209,E209,
             $I$2:I209,I209
               )&gt;1,
   "Doublon",
   "Correcte"
)</f>
        <v>Correcte</v>
      </c>
    </row>
    <row r="210" spans="1:16" ht="16.5" thickTop="1" thickBot="1" x14ac:dyDescent="0.3">
      <c r="A210" s="47" t="s">
        <v>702</v>
      </c>
      <c r="B210" s="106" t="s">
        <v>2550</v>
      </c>
      <c r="C210" s="101" t="s">
        <v>2490</v>
      </c>
      <c r="D210" s="51" t="s">
        <v>688</v>
      </c>
      <c r="E210" s="51">
        <v>0</v>
      </c>
      <c r="F210" s="47"/>
      <c r="G210" s="47"/>
      <c r="H210" s="47" t="s">
        <v>664</v>
      </c>
      <c r="I210" s="57">
        <v>45936</v>
      </c>
      <c r="J210" s="57" t="str">
        <f>INDEX(_xlfn.TEXTSPLIT(tissage[[#This Row],[QR Fabrication]],"_"),1,1)</f>
        <v>OF249848</v>
      </c>
      <c r="K210" s="106" t="str">
        <f>INDEX(_xlfn.TEXTSPLIT(tissage[[#This Row],[QR Fabrication]],"_"),1,2)</f>
        <v>CL00884</v>
      </c>
      <c r="L210" s="47" t="str">
        <f>INDEX(_xlfn.TEXTSPLIT(tissage[[#This Row],[QR Fabrication]],"_"),1,3)</f>
        <v>CM-FT0119</v>
      </c>
      <c r="M210" s="47" t="str">
        <f>INDEX(_xlfn.TEXTSPLIT(tissage[[#This Row],[QR Fabrication]],"_"),1,4)</f>
        <v>ST1020-S14-16-17</v>
      </c>
      <c r="N210" s="47" t="str">
        <f>INDEX(_xlfn.TEXTSPLIT(tissage[[#This Row],[QR Fabrication]],"_"),1,5)</f>
        <v>ST TROPEZ</v>
      </c>
      <c r="O210" s="47" t="str">
        <f>_xlfn.TEXTAFTER(tissage[[#This Row],[QR Fabrication]],"_",5)</f>
        <v>1020</v>
      </c>
      <c r="P210" s="47" t="str">
        <f>IF(
   COUNTIFS($A$2:A210,A210,
             $C$2:C210,C210,
             $D$2:D210,D210,
             $B$2:B210,B210,
             $E$2:E210,E210,
             $I$2:I210,I210
               )&gt;1,
   "Doublon",
   "Correcte"
)</f>
        <v>Correcte</v>
      </c>
    </row>
    <row r="211" spans="1:16" ht="16.5" thickTop="1" thickBot="1" x14ac:dyDescent="0.3">
      <c r="A211" s="47" t="s">
        <v>686</v>
      </c>
      <c r="B211" s="106" t="s">
        <v>2549</v>
      </c>
      <c r="C211" s="101" t="s">
        <v>2493</v>
      </c>
      <c r="D211" s="51" t="s">
        <v>688</v>
      </c>
      <c r="E211" s="51">
        <v>0</v>
      </c>
      <c r="F211" s="47"/>
      <c r="G211" s="47"/>
      <c r="H211" s="47" t="s">
        <v>664</v>
      </c>
      <c r="I211" s="57">
        <v>45939</v>
      </c>
      <c r="J211" s="57" t="str">
        <f>INDEX(_xlfn.TEXTSPLIT(tissage[[#This Row],[QR Fabrication]],"_"),1,1)</f>
        <v>OF249836</v>
      </c>
      <c r="K211" s="106" t="str">
        <f>INDEX(_xlfn.TEXTSPLIT(tissage[[#This Row],[QR Fabrication]],"_"),1,2)</f>
        <v>CL00884</v>
      </c>
      <c r="L211" s="47" t="str">
        <f>INDEX(_xlfn.TEXTSPLIT(tissage[[#This Row],[QR Fabrication]],"_"),1,3)</f>
        <v>CM-FT0119</v>
      </c>
      <c r="M211" s="47" t="str">
        <f>INDEX(_xlfn.TEXTSPLIT(tissage[[#This Row],[QR Fabrication]],"_"),1,4)</f>
        <v>FI1020-C02-28-29</v>
      </c>
      <c r="N211" s="47" t="str">
        <f>INDEX(_xlfn.TEXTSPLIT(tissage[[#This Row],[QR Fabrication]],"_"),1,5)</f>
        <v>FIVE</v>
      </c>
      <c r="O211" s="47" t="str">
        <f>_xlfn.TEXTAFTER(tissage[[#This Row],[QR Fabrication]],"_",5)</f>
        <v>1020</v>
      </c>
      <c r="P211" s="47" t="str">
        <f>IF(
   COUNTIFS($A$2:A211,A211,
             $C$2:C211,C211,
             $D$2:D211,D211,
             $B$2:B211,B211,
             $E$2:E211,E211,
             $I$2:I211,I211
               )&gt;1,
   "Doublon",
   "Correcte"
)</f>
        <v>Correcte</v>
      </c>
    </row>
    <row r="212" spans="1:16" ht="16.5" thickTop="1" thickBot="1" x14ac:dyDescent="0.3">
      <c r="A212" s="51" t="s">
        <v>684</v>
      </c>
      <c r="B212" s="107" t="s">
        <v>2548</v>
      </c>
      <c r="C212" s="102" t="s">
        <v>2445</v>
      </c>
      <c r="D212" s="51" t="s">
        <v>688</v>
      </c>
      <c r="E212" s="51">
        <v>0</v>
      </c>
      <c r="F212" s="51"/>
      <c r="G212" s="51"/>
      <c r="H212" s="47" t="s">
        <v>664</v>
      </c>
      <c r="I212" s="58">
        <v>45931</v>
      </c>
      <c r="J212" s="58" t="str">
        <f>INDEX(_xlfn.TEXTSPLIT(tissage[[#This Row],[QR Fabrication]],"_"),1,1)</f>
        <v>OF249809</v>
      </c>
      <c r="K212" s="107" t="str">
        <f>INDEX(_xlfn.TEXTSPLIT(tissage[[#This Row],[QR Fabrication]],"_"),1,2)</f>
        <v>CL00884</v>
      </c>
      <c r="L212" s="51" t="str">
        <f>INDEX(_xlfn.TEXTSPLIT(tissage[[#This Row],[QR Fabrication]],"_"),1,3)</f>
        <v>CM-FT0119</v>
      </c>
      <c r="M212" s="51" t="str">
        <f>INDEX(_xlfn.TEXTSPLIT(tissage[[#This Row],[QR Fabrication]],"_"),1,4)</f>
        <v>IS1020-B14-01</v>
      </c>
      <c r="N212" s="51" t="str">
        <f>INDEX(_xlfn.TEXTSPLIT(tissage[[#This Row],[QR Fabrication]],"_"),1,5)</f>
        <v>ISTANBUL</v>
      </c>
      <c r="O212" s="51" t="str">
        <f>_xlfn.TEXTAFTER(tissage[[#This Row],[QR Fabrication]],"_",5)</f>
        <v>1020</v>
      </c>
      <c r="P212" s="47" t="str">
        <f>IF(
   COUNTIFS($A$2:A212,A212,
             $C$2:C212,C212,
             $D$2:D212,D212,
             $B$2:B212,B212,
             $E$2:E212,E212,
             $I$2:I212,I212
               )&gt;1,
   "Doublon",
   "Correcte"
)</f>
        <v>Correcte</v>
      </c>
    </row>
    <row r="213" spans="1:16" ht="16.5" thickTop="1" thickBot="1" x14ac:dyDescent="0.3">
      <c r="A213" s="51" t="s">
        <v>687</v>
      </c>
      <c r="B213" s="107" t="s">
        <v>2547</v>
      </c>
      <c r="C213" s="102" t="s">
        <v>2516</v>
      </c>
      <c r="D213" s="51" t="s">
        <v>688</v>
      </c>
      <c r="E213" s="51">
        <v>0</v>
      </c>
      <c r="F213" s="51"/>
      <c r="G213" s="51"/>
      <c r="H213" s="47" t="s">
        <v>664</v>
      </c>
      <c r="I213" s="58">
        <v>45941</v>
      </c>
      <c r="J213" s="58" t="str">
        <f>INDEX(_xlfn.TEXTSPLIT(tissage[[#This Row],[QR Fabrication]],"_"),1,1)</f>
        <v>CA250766</v>
      </c>
      <c r="K213" s="107" t="str">
        <f>INDEX(_xlfn.TEXTSPLIT(tissage[[#This Row],[QR Fabrication]],"_"),1,2)</f>
        <v>All by Fouta</v>
      </c>
      <c r="L213" s="51" t="str">
        <f>INDEX(_xlfn.TEXTSPLIT(tissage[[#This Row],[QR Fabrication]],"_"),1,3)</f>
        <v>Stock</v>
      </c>
      <c r="M213" s="51" t="str">
        <f>INDEX(_xlfn.TEXTSPLIT(tissage[[#This Row],[QR Fabrication]],"_"),1,4)</f>
        <v>PACKSILO0507-T12-06-32</v>
      </c>
      <c r="N213" s="51" t="str">
        <f>INDEX(_xlfn.TEXTSPLIT(tissage[[#This Row],[QR Fabrication]],"_"),1,5)</f>
        <v>PACK LONDON</v>
      </c>
      <c r="O213" s="51" t="str">
        <f>_xlfn.TEXTAFTER(tissage[[#This Row],[QR Fabrication]],"_",5)</f>
        <v>0507</v>
      </c>
      <c r="P213" s="47" t="str">
        <f>IF(
   COUNTIFS($A$2:A213,A213,
             $C$2:C213,C213,
             $D$2:D213,D213,
             $B$2:B213,B213,
             $E$2:E213,E213,
             $I$2:I213,I213
               )&gt;1,
   "Doublon",
   "Correcte"
)</f>
        <v>Correcte</v>
      </c>
    </row>
    <row r="214" spans="1:16" ht="16.5" thickTop="1" thickBot="1" x14ac:dyDescent="0.3">
      <c r="A214" s="47" t="s">
        <v>702</v>
      </c>
      <c r="B214" s="107" t="s">
        <v>2552</v>
      </c>
      <c r="C214" s="102" t="s">
        <v>2531</v>
      </c>
      <c r="D214" s="51" t="s">
        <v>688</v>
      </c>
      <c r="E214" s="51">
        <v>0</v>
      </c>
      <c r="F214" s="51"/>
      <c r="G214" s="51"/>
      <c r="H214" s="47" t="s">
        <v>664</v>
      </c>
      <c r="I214" s="58">
        <v>45941</v>
      </c>
      <c r="J214" s="58" t="str">
        <f>INDEX(_xlfn.TEXTSPLIT(tissage[[#This Row],[QR Fabrication]],"_"),1,1)</f>
        <v>CA250215</v>
      </c>
      <c r="K214" s="107" t="str">
        <f>INDEX(_xlfn.TEXTSPLIT(tissage[[#This Row],[QR Fabrication]],"_"),1,2)</f>
        <v>All by Fouta</v>
      </c>
      <c r="L214" s="51" t="str">
        <f>INDEX(_xlfn.TEXTSPLIT(tissage[[#This Row],[QR Fabrication]],"_"),1,3)</f>
        <v>Stock</v>
      </c>
      <c r="M214" s="51" t="str">
        <f>INDEX(_xlfn.TEXTSPLIT(tissage[[#This Row],[QR Fabrication]],"_"),1,4)</f>
        <v>AR1020-T03-04-17</v>
      </c>
      <c r="N214" s="51" t="str">
        <f>INDEX(_xlfn.TEXTSPLIT(tissage[[#This Row],[QR Fabrication]],"_"),1,5)</f>
        <v>ARTHUR</v>
      </c>
      <c r="O214" s="51" t="str">
        <f>_xlfn.TEXTAFTER(tissage[[#This Row],[QR Fabrication]],"_",5)</f>
        <v>1020</v>
      </c>
      <c r="P214" s="47" t="str">
        <f>IF(
   COUNTIFS($A$2:A214,A214,
             $C$2:C214,C214,
             $D$2:D214,D214,
             $B$2:B214,B214,
             $E$2:E214,E214,
             $I$2:I214,I214
               )&gt;1,
   "Doublon",
   "Correcte"
)</f>
        <v>Correcte</v>
      </c>
    </row>
    <row r="215" spans="1:16" ht="16.5" thickTop="1" thickBot="1" x14ac:dyDescent="0.3">
      <c r="A215" s="47" t="s">
        <v>686</v>
      </c>
      <c r="B215" s="107" t="s">
        <v>2552</v>
      </c>
      <c r="C215" s="102" t="s">
        <v>2530</v>
      </c>
      <c r="D215" s="51" t="s">
        <v>688</v>
      </c>
      <c r="E215" s="51">
        <v>0</v>
      </c>
      <c r="F215" s="51"/>
      <c r="G215" s="51"/>
      <c r="H215" s="47" t="s">
        <v>664</v>
      </c>
      <c r="I215" s="58">
        <v>45940</v>
      </c>
      <c r="J215" s="58" t="str">
        <f>INDEX(_xlfn.TEXTSPLIT(tissage[[#This Row],[QR Fabrication]],"_"),1,1)</f>
        <v>CA250217</v>
      </c>
      <c r="K215" s="107" t="str">
        <f>INDEX(_xlfn.TEXTSPLIT(tissage[[#This Row],[QR Fabrication]],"_"),1,2)</f>
        <v>All by Fouta</v>
      </c>
      <c r="L215" s="51" t="str">
        <f>INDEX(_xlfn.TEXTSPLIT(tissage[[#This Row],[QR Fabrication]],"_"),1,3)</f>
        <v>Stock</v>
      </c>
      <c r="M215" s="51" t="str">
        <f>INDEX(_xlfn.TEXTSPLIT(tissage[[#This Row],[QR Fabrication]],"_"),1,4)</f>
        <v>AR1020-T10-14-25</v>
      </c>
      <c r="N215" s="51" t="str">
        <f>INDEX(_xlfn.TEXTSPLIT(tissage[[#This Row],[QR Fabrication]],"_"),1,5)</f>
        <v>ARTHUR</v>
      </c>
      <c r="O215" s="51" t="str">
        <f>_xlfn.TEXTAFTER(tissage[[#This Row],[QR Fabrication]],"_",5)</f>
        <v>1020</v>
      </c>
      <c r="P215" s="47" t="str">
        <f>IF(
   COUNTIFS($A$2:A215,A215,
             $C$2:C215,C215,
             $D$2:D215,D215,
             $B$2:B215,B215,
             $E$2:E215,E215,
             $I$2:I215,I215
               )&gt;1,
   "Doublon",
   "Correcte"
)</f>
        <v>Correcte</v>
      </c>
    </row>
    <row r="216" spans="1:16" ht="16.5" thickTop="1" thickBot="1" x14ac:dyDescent="0.3">
      <c r="A216" s="47" t="s">
        <v>702</v>
      </c>
      <c r="B216" s="107" t="s">
        <v>2546</v>
      </c>
      <c r="C216" s="101" t="s">
        <v>2508</v>
      </c>
      <c r="D216" s="51" t="s">
        <v>688</v>
      </c>
      <c r="E216" s="51">
        <v>0</v>
      </c>
      <c r="F216" s="47"/>
      <c r="G216" s="47"/>
      <c r="H216" s="47" t="s">
        <v>664</v>
      </c>
      <c r="I216" s="57">
        <v>45938</v>
      </c>
      <c r="J216" s="58" t="str">
        <f>INDEX(_xlfn.TEXTSPLIT(tissage[[#This Row],[QR Fabrication]],"_"),1,1)</f>
        <v>CA250237</v>
      </c>
      <c r="K216" s="106" t="str">
        <f>INDEX(_xlfn.TEXTSPLIT(tissage[[#This Row],[QR Fabrication]],"_"),1,2)</f>
        <v>All by Fouta</v>
      </c>
      <c r="L216" s="47" t="str">
        <f>INDEX(_xlfn.TEXTSPLIT(tissage[[#This Row],[QR Fabrication]],"_"),1,3)</f>
        <v>Stock</v>
      </c>
      <c r="M216" s="47" t="str">
        <f>INDEX(_xlfn.TEXTSPLIT(tissage[[#This Row],[QR Fabrication]],"_"),1,4)</f>
        <v>AR2020-B07-17</v>
      </c>
      <c r="N216" s="47" t="str">
        <f>INDEX(_xlfn.TEXTSPLIT(tissage[[#This Row],[QR Fabrication]],"_"),1,5)</f>
        <v>ARTHUR</v>
      </c>
      <c r="O216" s="47" t="str">
        <f>_xlfn.TEXTAFTER(tissage[[#This Row],[QR Fabrication]],"_",5)</f>
        <v>2020</v>
      </c>
      <c r="P216" s="47" t="str">
        <f>IF(
   COUNTIFS($A$2:A216,A216,
             $C$2:C216,C216,
             $D$2:D216,D216,
             $B$2:B216,B216,
             $E$2:E216,E216,
             $I$2:I216,I216
               )&gt;1,
   "Doublon",
   "Correcte"
)</f>
        <v>Correcte</v>
      </c>
    </row>
    <row r="217" spans="1:16" ht="16.5" thickTop="1" thickBot="1" x14ac:dyDescent="0.3">
      <c r="A217" s="47" t="s">
        <v>702</v>
      </c>
      <c r="B217" s="107" t="s">
        <v>2546</v>
      </c>
      <c r="C217" s="102" t="s">
        <v>2522</v>
      </c>
      <c r="D217" s="51" t="s">
        <v>688</v>
      </c>
      <c r="E217" s="51">
        <v>0</v>
      </c>
      <c r="F217" s="51"/>
      <c r="G217" s="51"/>
      <c r="H217" s="47" t="s">
        <v>664</v>
      </c>
      <c r="I217" s="58">
        <v>45940</v>
      </c>
      <c r="J217" s="58" t="str">
        <f>INDEX(_xlfn.TEXTSPLIT(tissage[[#This Row],[QR Fabrication]],"_"),1,1)</f>
        <v>CA250238</v>
      </c>
      <c r="K217" s="107" t="str">
        <f>INDEX(_xlfn.TEXTSPLIT(tissage[[#This Row],[QR Fabrication]],"_"),1,2)</f>
        <v>All by Fouta</v>
      </c>
      <c r="L217" s="51" t="str">
        <f>INDEX(_xlfn.TEXTSPLIT(tissage[[#This Row],[QR Fabrication]],"_"),1,3)</f>
        <v>Stock</v>
      </c>
      <c r="M217" s="51" t="str">
        <f>INDEX(_xlfn.TEXTSPLIT(tissage[[#This Row],[QR Fabrication]],"_"),1,4)</f>
        <v>AR2020-B11-25</v>
      </c>
      <c r="N217" s="51" t="str">
        <f>INDEX(_xlfn.TEXTSPLIT(tissage[[#This Row],[QR Fabrication]],"_"),1,5)</f>
        <v>ARTHUR</v>
      </c>
      <c r="O217" s="51" t="str">
        <f>_xlfn.TEXTAFTER(tissage[[#This Row],[QR Fabrication]],"_",5)</f>
        <v>2020</v>
      </c>
      <c r="P217" s="47" t="str">
        <f>IF(
   COUNTIFS($A$2:A217,A217,
             $C$2:C217,C217,
             $D$2:D217,D217,
             $B$2:B217,B217,
             $E$2:E217,E217,
             $I$2:I217,I217
               )&gt;1,
   "Doublon",
   "Correcte"
)</f>
        <v>Correcte</v>
      </c>
    </row>
    <row r="218" spans="1:16" ht="16.5" thickTop="1" thickBot="1" x14ac:dyDescent="0.3">
      <c r="A218" s="47" t="s">
        <v>702</v>
      </c>
      <c r="B218" s="107" t="s">
        <v>2546</v>
      </c>
      <c r="C218" s="102" t="s">
        <v>2514</v>
      </c>
      <c r="D218" s="51" t="s">
        <v>688</v>
      </c>
      <c r="E218" s="51">
        <v>0</v>
      </c>
      <c r="F218" s="51"/>
      <c r="G218" s="51"/>
      <c r="H218" s="47" t="s">
        <v>664</v>
      </c>
      <c r="I218" s="58">
        <v>45939</v>
      </c>
      <c r="J218" s="58" t="str">
        <f>INDEX(_xlfn.TEXTSPLIT(tissage[[#This Row],[QR Fabrication]],"_"),1,1)</f>
        <v>CA250245</v>
      </c>
      <c r="K218" s="107" t="str">
        <f>INDEX(_xlfn.TEXTSPLIT(tissage[[#This Row],[QR Fabrication]],"_"),1,2)</f>
        <v>All by Fouta</v>
      </c>
      <c r="L218" s="51" t="str">
        <f>INDEX(_xlfn.TEXTSPLIT(tissage[[#This Row],[QR Fabrication]],"_"),1,3)</f>
        <v>Stock</v>
      </c>
      <c r="M218" s="51" t="str">
        <f>INDEX(_xlfn.TEXTSPLIT(tissage[[#This Row],[QR Fabrication]],"_"),1,4)</f>
        <v>AR2020-T03-04-17</v>
      </c>
      <c r="N218" s="51" t="str">
        <f>INDEX(_xlfn.TEXTSPLIT(tissage[[#This Row],[QR Fabrication]],"_"),1,5)</f>
        <v>ARTHUR</v>
      </c>
      <c r="O218" s="51" t="str">
        <f>_xlfn.TEXTAFTER(tissage[[#This Row],[QR Fabrication]],"_",5)</f>
        <v>2020</v>
      </c>
      <c r="P218" s="47" t="str">
        <f>IF(
   COUNTIFS($A$2:A218,A218,
             $C$2:C218,C218,
             $D$2:D218,D218,
             $B$2:B218,B218,
             $E$2:E218,E218,
             $I$2:I218,I218
               )&gt;1,
   "Doublon",
   "Correcte"
)</f>
        <v>Correcte</v>
      </c>
    </row>
    <row r="219" spans="1:16" ht="16.5" thickTop="1" thickBot="1" x14ac:dyDescent="0.3">
      <c r="A219" s="51" t="s">
        <v>684</v>
      </c>
      <c r="B219" s="107" t="s">
        <v>2541</v>
      </c>
      <c r="C219" s="102" t="s">
        <v>2503</v>
      </c>
      <c r="D219" s="51" t="s">
        <v>688</v>
      </c>
      <c r="E219" s="51">
        <v>0</v>
      </c>
      <c r="F219" s="51"/>
      <c r="G219" s="51"/>
      <c r="H219" s="47" t="s">
        <v>664</v>
      </c>
      <c r="I219" s="58">
        <v>45939</v>
      </c>
      <c r="J219" s="58" t="str">
        <f>INDEX(_xlfn.TEXTSPLIT(tissage[[#This Row],[QR Fabrication]],"_"),1,1)</f>
        <v>CA250157</v>
      </c>
      <c r="K219" s="107" t="str">
        <f>INDEX(_xlfn.TEXTSPLIT(tissage[[#This Row],[QR Fabrication]],"_"),1,2)</f>
        <v>All by Fouta</v>
      </c>
      <c r="L219" s="51" t="str">
        <f>INDEX(_xlfn.TEXTSPLIT(tissage[[#This Row],[QR Fabrication]],"_"),1,3)</f>
        <v>Stock</v>
      </c>
      <c r="M219" s="51" t="str">
        <f>INDEX(_xlfn.TEXTSPLIT(tissage[[#This Row],[QR Fabrication]],"_"),1,4)</f>
        <v>IB1020-B07-17</v>
      </c>
      <c r="N219" s="51" t="str">
        <f>INDEX(_xlfn.TEXTSPLIT(tissage[[#This Row],[QR Fabrication]],"_"),1,5)</f>
        <v>IBIZA</v>
      </c>
      <c r="O219" s="51" t="str">
        <f>_xlfn.TEXTAFTER(tissage[[#This Row],[QR Fabrication]],"_",5)</f>
        <v>1020</v>
      </c>
      <c r="P219" s="47" t="str">
        <f>IF(
   COUNTIFS($A$2:A219,A219,
             $C$2:C219,C219,
             $D$2:D219,D219,
             $B$2:B219,B219,
             $E$2:E219,E219,
             $I$2:I219,I219
               )&gt;1,
   "Doublon",
   "Correcte"
)</f>
        <v>Correcte</v>
      </c>
    </row>
    <row r="220" spans="1:16" ht="16.5" thickTop="1" thickBot="1" x14ac:dyDescent="0.3">
      <c r="A220" s="47" t="s">
        <v>684</v>
      </c>
      <c r="B220" s="107" t="s">
        <v>2553</v>
      </c>
      <c r="C220" s="101" t="s">
        <v>2505</v>
      </c>
      <c r="D220" s="51" t="s">
        <v>688</v>
      </c>
      <c r="E220" s="51">
        <v>0</v>
      </c>
      <c r="F220" s="47"/>
      <c r="G220" s="47"/>
      <c r="H220" s="47" t="s">
        <v>664</v>
      </c>
      <c r="I220" s="57">
        <v>45939</v>
      </c>
      <c r="J220" s="58" t="str">
        <f>INDEX(_xlfn.TEXTSPLIT(tissage[[#This Row],[QR Fabrication]],"_"),1,1)</f>
        <v>CA250163</v>
      </c>
      <c r="K220" s="106" t="str">
        <f>INDEX(_xlfn.TEXTSPLIT(tissage[[#This Row],[QR Fabrication]],"_"),1,2)</f>
        <v>All by Fouta</v>
      </c>
      <c r="L220" s="47" t="str">
        <f>INDEX(_xlfn.TEXTSPLIT(tissage[[#This Row],[QR Fabrication]],"_"),1,3)</f>
        <v>Stock</v>
      </c>
      <c r="M220" s="47" t="str">
        <f>INDEX(_xlfn.TEXTSPLIT(tissage[[#This Row],[QR Fabrication]],"_"),1,4)</f>
        <v>IB1020-B20-24</v>
      </c>
      <c r="N220" s="47" t="str">
        <f>INDEX(_xlfn.TEXTSPLIT(tissage[[#This Row],[QR Fabrication]],"_"),1,5)</f>
        <v>IBIZA</v>
      </c>
      <c r="O220" s="47" t="str">
        <f>_xlfn.TEXTAFTER(tissage[[#This Row],[QR Fabrication]],"_",5)</f>
        <v>1020</v>
      </c>
      <c r="P220" s="47" t="str">
        <f>IF(
   COUNTIFS($A$2:A220,A220,
             $C$2:C220,C220,
             $D$2:D220,D220,
             $B$2:B220,B220,
             $E$2:E220,E220,
             $I$2:I220,I220
               )&gt;1,
   "Doublon",
   "Correcte"
)</f>
        <v>Correcte</v>
      </c>
    </row>
    <row r="221" spans="1:16" ht="16.5" thickTop="1" thickBot="1" x14ac:dyDescent="0.3">
      <c r="A221" s="47" t="s">
        <v>686</v>
      </c>
      <c r="B221" s="107" t="s">
        <v>2552</v>
      </c>
      <c r="C221" s="102" t="s">
        <v>2506</v>
      </c>
      <c r="D221" s="51" t="s">
        <v>688</v>
      </c>
      <c r="E221" s="51">
        <v>0</v>
      </c>
      <c r="F221" s="51"/>
      <c r="G221" s="51"/>
      <c r="H221" s="47" t="s">
        <v>664</v>
      </c>
      <c r="I221" s="58">
        <v>45940</v>
      </c>
      <c r="J221" s="58" t="str">
        <f>INDEX(_xlfn.TEXTSPLIT(tissage[[#This Row],[QR Fabrication]],"_"),1,1)</f>
        <v>CA250208</v>
      </c>
      <c r="K221" s="107" t="str">
        <f>INDEX(_xlfn.TEXTSPLIT(tissage[[#This Row],[QR Fabrication]],"_"),1,2)</f>
        <v>All by Fouta</v>
      </c>
      <c r="L221" s="51" t="str">
        <f>INDEX(_xlfn.TEXTSPLIT(tissage[[#This Row],[QR Fabrication]],"_"),1,3)</f>
        <v>Stock</v>
      </c>
      <c r="M221" s="51" t="str">
        <f>INDEX(_xlfn.TEXTSPLIT(tissage[[#This Row],[QR Fabrication]],"_"),1,4)</f>
        <v>AR1020-B11-25</v>
      </c>
      <c r="N221" s="51" t="str">
        <f>INDEX(_xlfn.TEXTSPLIT(tissage[[#This Row],[QR Fabrication]],"_"),1,5)</f>
        <v>ARTHUR</v>
      </c>
      <c r="O221" s="51" t="str">
        <f>_xlfn.TEXTAFTER(tissage[[#This Row],[QR Fabrication]],"_",5)</f>
        <v>1020</v>
      </c>
      <c r="P221" s="47" t="str">
        <f>IF(
   COUNTIFS($A$2:A221,A221,
             $C$2:C221,C221,
             $D$2:D221,D221,
             $B$2:B221,B221,
             $E$2:E221,E221,
             $I$2:I221,I221
               )&gt;1,
   "Doublon",
   "Correcte"
)</f>
        <v>Correcte</v>
      </c>
    </row>
    <row r="222" spans="1:16" ht="16.5" thickTop="1" thickBot="1" x14ac:dyDescent="0.3">
      <c r="A222" s="47" t="s">
        <v>687</v>
      </c>
      <c r="B222" s="107" t="s">
        <v>2548</v>
      </c>
      <c r="C222" s="101" t="s">
        <v>2509</v>
      </c>
      <c r="D222" s="51" t="s">
        <v>688</v>
      </c>
      <c r="E222" s="51">
        <v>0</v>
      </c>
      <c r="F222" s="47"/>
      <c r="G222" s="47"/>
      <c r="H222" s="47" t="s">
        <v>664</v>
      </c>
      <c r="I222" s="57">
        <v>45939</v>
      </c>
      <c r="J222" s="58" t="str">
        <f>INDEX(_xlfn.TEXTSPLIT(tissage[[#This Row],[QR Fabrication]],"_"),1,1)</f>
        <v>CA250156</v>
      </c>
      <c r="K222" s="106" t="str">
        <f>INDEX(_xlfn.TEXTSPLIT(tissage[[#This Row],[QR Fabrication]],"_"),1,2)</f>
        <v>All by Fouta</v>
      </c>
      <c r="L222" s="47" t="str">
        <f>INDEX(_xlfn.TEXTSPLIT(tissage[[#This Row],[QR Fabrication]],"_"),1,3)</f>
        <v>Stock</v>
      </c>
      <c r="M222" s="47" t="str">
        <f>INDEX(_xlfn.TEXTSPLIT(tissage[[#This Row],[QR Fabrication]],"_"),1,4)</f>
        <v>IB1020-B06-08</v>
      </c>
      <c r="N222" s="47" t="str">
        <f>INDEX(_xlfn.TEXTSPLIT(tissage[[#This Row],[QR Fabrication]],"_"),1,5)</f>
        <v>IBIZA</v>
      </c>
      <c r="O222" s="47" t="str">
        <f>_xlfn.TEXTAFTER(tissage[[#This Row],[QR Fabrication]],"_",5)</f>
        <v>1020</v>
      </c>
      <c r="P222" s="47" t="str">
        <f>IF(
   COUNTIFS($A$2:A222,A222,
             $C$2:C222,C222,
             $D$2:D222,D222,
             $B$2:B222,B222,
             $E$2:E222,E222,
             $I$2:I222,I222
               )&gt;1,
   "Doublon",
   "Correcte"
)</f>
        <v>Correcte</v>
      </c>
    </row>
    <row r="223" spans="1:16" ht="16.5" thickTop="1" thickBot="1" x14ac:dyDescent="0.3">
      <c r="A223" s="47" t="s">
        <v>684</v>
      </c>
      <c r="B223" s="107" t="s">
        <v>2541</v>
      </c>
      <c r="C223" s="101" t="s">
        <v>2510</v>
      </c>
      <c r="D223" s="51" t="s">
        <v>688</v>
      </c>
      <c r="E223" s="51">
        <v>0</v>
      </c>
      <c r="F223" s="47"/>
      <c r="G223" s="47"/>
      <c r="H223" s="47" t="s">
        <v>664</v>
      </c>
      <c r="I223" s="57">
        <v>45939</v>
      </c>
      <c r="J223" s="58" t="str">
        <f>INDEX(_xlfn.TEXTSPLIT(tissage[[#This Row],[QR Fabrication]],"_"),1,1)</f>
        <v>CA250158</v>
      </c>
      <c r="K223" s="106" t="str">
        <f>INDEX(_xlfn.TEXTSPLIT(tissage[[#This Row],[QR Fabrication]],"_"),1,2)</f>
        <v>All by Fouta</v>
      </c>
      <c r="L223" s="47" t="str">
        <f>INDEX(_xlfn.TEXTSPLIT(tissage[[#This Row],[QR Fabrication]],"_"),1,3)</f>
        <v>Stock</v>
      </c>
      <c r="M223" s="47" t="str">
        <f>INDEX(_xlfn.TEXTSPLIT(tissage[[#This Row],[QR Fabrication]],"_"),1,4)</f>
        <v>IB1020-B11-25</v>
      </c>
      <c r="N223" s="47" t="str">
        <f>INDEX(_xlfn.TEXTSPLIT(tissage[[#This Row],[QR Fabrication]],"_"),1,5)</f>
        <v>IBIZA</v>
      </c>
      <c r="O223" s="47" t="str">
        <f>_xlfn.TEXTAFTER(tissage[[#This Row],[QR Fabrication]],"_",5)</f>
        <v>1020</v>
      </c>
      <c r="P223" s="47" t="str">
        <f>IF(
   COUNTIFS($A$2:A223,A223,
             $C$2:C223,C223,
             $D$2:D223,D223,
             $B$2:B223,B223,
             $E$2:E223,E223,
             $I$2:I223,I223
               )&gt;1,
   "Doublon",
   "Correcte"
)</f>
        <v>Correcte</v>
      </c>
    </row>
    <row r="224" spans="1:16" ht="16.5" thickTop="1" thickBot="1" x14ac:dyDescent="0.3">
      <c r="A224" s="47" t="s">
        <v>687</v>
      </c>
      <c r="B224" s="107" t="s">
        <v>2553</v>
      </c>
      <c r="C224" s="101" t="s">
        <v>2513</v>
      </c>
      <c r="D224" s="51" t="s">
        <v>688</v>
      </c>
      <c r="E224" s="51">
        <v>0</v>
      </c>
      <c r="F224" s="47"/>
      <c r="G224" s="47"/>
      <c r="H224" s="47" t="s">
        <v>664</v>
      </c>
      <c r="I224" s="57">
        <v>45940</v>
      </c>
      <c r="J224" s="58" t="str">
        <f>INDEX(_xlfn.TEXTSPLIT(tissage[[#This Row],[QR Fabrication]],"_"),1,1)</f>
        <v>CA250162</v>
      </c>
      <c r="K224" s="106" t="str">
        <f>INDEX(_xlfn.TEXTSPLIT(tissage[[#This Row],[QR Fabrication]],"_"),1,2)</f>
        <v>All by Fouta</v>
      </c>
      <c r="L224" s="47" t="str">
        <f>INDEX(_xlfn.TEXTSPLIT(tissage[[#This Row],[QR Fabrication]],"_"),1,3)</f>
        <v>Stock</v>
      </c>
      <c r="M224" s="47" t="str">
        <f>INDEX(_xlfn.TEXTSPLIT(tissage[[#This Row],[QR Fabrication]],"_"),1,4)</f>
        <v>IB1020-B17-07</v>
      </c>
      <c r="N224" s="47" t="str">
        <f>INDEX(_xlfn.TEXTSPLIT(tissage[[#This Row],[QR Fabrication]],"_"),1,5)</f>
        <v>IBIZA</v>
      </c>
      <c r="O224" s="47" t="str">
        <f>_xlfn.TEXTAFTER(tissage[[#This Row],[QR Fabrication]],"_",5)</f>
        <v>1020</v>
      </c>
      <c r="P224" s="47" t="str">
        <f>IF(
   COUNTIFS($A$2:A224,A224,
             $C$2:C224,C224,
             $D$2:D224,D224,
             $B$2:B224,B224,
             $E$2:E224,E224,
             $I$2:I224,I224
               )&gt;1,
   "Doublon",
   "Correcte"
)</f>
        <v>Correcte</v>
      </c>
    </row>
    <row r="225" spans="1:16" ht="16.5" thickTop="1" thickBot="1" x14ac:dyDescent="0.3">
      <c r="A225" s="47" t="s">
        <v>702</v>
      </c>
      <c r="B225" s="107" t="s">
        <v>2543</v>
      </c>
      <c r="C225" s="101" t="s">
        <v>2515</v>
      </c>
      <c r="D225" s="51" t="s">
        <v>688</v>
      </c>
      <c r="E225" s="51">
        <v>0</v>
      </c>
      <c r="F225" s="47"/>
      <c r="G225" s="47"/>
      <c r="H225" s="47" t="s">
        <v>664</v>
      </c>
      <c r="I225" s="57">
        <v>45939</v>
      </c>
      <c r="J225" s="58" t="str">
        <f>INDEX(_xlfn.TEXTSPLIT(tissage[[#This Row],[QR Fabrication]],"_"),1,1)</f>
        <v>CA250183</v>
      </c>
      <c r="K225" s="106" t="str">
        <f>INDEX(_xlfn.TEXTSPLIT(tissage[[#This Row],[QR Fabrication]],"_"),1,2)</f>
        <v>All by Fouta</v>
      </c>
      <c r="L225" s="47" t="str">
        <f>INDEX(_xlfn.TEXTSPLIT(tissage[[#This Row],[QR Fabrication]],"_"),1,3)</f>
        <v>Stock</v>
      </c>
      <c r="M225" s="47" t="str">
        <f>INDEX(_xlfn.TEXTSPLIT(tissage[[#This Row],[QR Fabrication]],"_"),1,4)</f>
        <v>IB2020-B06-08</v>
      </c>
      <c r="N225" s="47" t="str">
        <f>INDEX(_xlfn.TEXTSPLIT(tissage[[#This Row],[QR Fabrication]],"_"),1,5)</f>
        <v>IBIZA</v>
      </c>
      <c r="O225" s="47" t="str">
        <f>_xlfn.TEXTAFTER(tissage[[#This Row],[QR Fabrication]],"_",5)</f>
        <v>2020</v>
      </c>
      <c r="P225" s="47" t="str">
        <f>IF(
   COUNTIFS($A$2:A225,A225,
             $C$2:C225,C225,
             $D$2:D225,D225,
             $B$2:B225,B225,
             $E$2:E225,E225,
             $I$2:I225,I225
               )&gt;1,
   "Doublon",
   "Correcte"
)</f>
        <v>Correcte</v>
      </c>
    </row>
    <row r="226" spans="1:16" ht="16.5" thickTop="1" thickBot="1" x14ac:dyDescent="0.3">
      <c r="A226" s="47" t="s">
        <v>687</v>
      </c>
      <c r="B226" s="107" t="s">
        <v>2541</v>
      </c>
      <c r="C226" s="101" t="s">
        <v>2518</v>
      </c>
      <c r="D226" s="51" t="s">
        <v>688</v>
      </c>
      <c r="E226" s="51">
        <v>0</v>
      </c>
      <c r="F226" s="47"/>
      <c r="G226" s="47"/>
      <c r="H226" s="47" t="s">
        <v>664</v>
      </c>
      <c r="I226" s="57">
        <v>45940</v>
      </c>
      <c r="J226" s="58" t="str">
        <f>INDEX(_xlfn.TEXTSPLIT(tissage[[#This Row],[QR Fabrication]],"_"),1,1)</f>
        <v>CA250159</v>
      </c>
      <c r="K226" s="106" t="str">
        <f>INDEX(_xlfn.TEXTSPLIT(tissage[[#This Row],[QR Fabrication]],"_"),1,2)</f>
        <v>All by Fouta</v>
      </c>
      <c r="L226" s="47" t="str">
        <f>INDEX(_xlfn.TEXTSPLIT(tissage[[#This Row],[QR Fabrication]],"_"),1,3)</f>
        <v>Stock</v>
      </c>
      <c r="M226" s="47" t="str">
        <f>INDEX(_xlfn.TEXTSPLIT(tissage[[#This Row],[QR Fabrication]],"_"),1,4)</f>
        <v>IB1020-B11-14</v>
      </c>
      <c r="N226" s="47" t="str">
        <f>INDEX(_xlfn.TEXTSPLIT(tissage[[#This Row],[QR Fabrication]],"_"),1,5)</f>
        <v>IBIZA</v>
      </c>
      <c r="O226" s="47" t="str">
        <f>_xlfn.TEXTAFTER(tissage[[#This Row],[QR Fabrication]],"_",5)</f>
        <v>1020</v>
      </c>
      <c r="P226" s="47" t="str">
        <f>IF(
   COUNTIFS($A$2:A226,A226,
             $C$2:C226,C226,
             $D$2:D226,D226,
             $B$2:B226,B226,
             $E$2:E226,E226,
             $I$2:I226,I226
               )&gt;1,
   "Doublon",
   "Correcte"
)</f>
        <v>Correcte</v>
      </c>
    </row>
    <row r="227" spans="1:16" ht="16.5" thickTop="1" thickBot="1" x14ac:dyDescent="0.3">
      <c r="A227" s="47" t="s">
        <v>686</v>
      </c>
      <c r="B227" s="107" t="s">
        <v>2543</v>
      </c>
      <c r="C227" s="101" t="s">
        <v>2520</v>
      </c>
      <c r="D227" s="51" t="s">
        <v>688</v>
      </c>
      <c r="E227" s="51">
        <v>0</v>
      </c>
      <c r="F227" s="47"/>
      <c r="G227" s="47"/>
      <c r="H227" s="47" t="s">
        <v>664</v>
      </c>
      <c r="I227" s="57">
        <v>45939</v>
      </c>
      <c r="J227" s="58" t="str">
        <f>INDEX(_xlfn.TEXTSPLIT(tissage[[#This Row],[QR Fabrication]],"_"),1,1)</f>
        <v>CA250186</v>
      </c>
      <c r="K227" s="106" t="str">
        <f>INDEX(_xlfn.TEXTSPLIT(tissage[[#This Row],[QR Fabrication]],"_"),1,2)</f>
        <v>All by Fouta</v>
      </c>
      <c r="L227" s="47" t="str">
        <f>INDEX(_xlfn.TEXTSPLIT(tissage[[#This Row],[QR Fabrication]],"_"),1,3)</f>
        <v>Stock</v>
      </c>
      <c r="M227" s="47" t="str">
        <f>INDEX(_xlfn.TEXTSPLIT(tissage[[#This Row],[QR Fabrication]],"_"),1,4)</f>
        <v>IB2020-B11-14</v>
      </c>
      <c r="N227" s="47" t="str">
        <f>INDEX(_xlfn.TEXTSPLIT(tissage[[#This Row],[QR Fabrication]],"_"),1,5)</f>
        <v>IBIZA</v>
      </c>
      <c r="O227" s="47" t="str">
        <f>_xlfn.TEXTAFTER(tissage[[#This Row],[QR Fabrication]],"_",5)</f>
        <v>2020</v>
      </c>
      <c r="P227" s="47" t="str">
        <f>IF(
   COUNTIFS($A$2:A227,A227,
             $C$2:C227,C227,
             $D$2:D227,D227,
             $B$2:B227,B227,
             $E$2:E227,E227,
             $I$2:I227,I227
               )&gt;1,
   "Doublon",
   "Correcte"
)</f>
        <v>Correcte</v>
      </c>
    </row>
    <row r="228" spans="1:16" ht="16.5" thickTop="1" thickBot="1" x14ac:dyDescent="0.3">
      <c r="A228" s="47" t="s">
        <v>702</v>
      </c>
      <c r="B228" s="107" t="s">
        <v>2543</v>
      </c>
      <c r="C228" s="101" t="s">
        <v>2521</v>
      </c>
      <c r="D228" s="51" t="s">
        <v>688</v>
      </c>
      <c r="E228" s="51">
        <v>0</v>
      </c>
      <c r="F228" s="47"/>
      <c r="G228" s="47"/>
      <c r="H228" s="47" t="s">
        <v>664</v>
      </c>
      <c r="I228" s="57">
        <v>45940</v>
      </c>
      <c r="J228" s="58" t="str">
        <f>INDEX(_xlfn.TEXTSPLIT(tissage[[#This Row],[QR Fabrication]],"_"),1,1)</f>
        <v>CA250185</v>
      </c>
      <c r="K228" s="106" t="str">
        <f>INDEX(_xlfn.TEXTSPLIT(tissage[[#This Row],[QR Fabrication]],"_"),1,2)</f>
        <v>All by Fouta</v>
      </c>
      <c r="L228" s="47" t="str">
        <f>INDEX(_xlfn.TEXTSPLIT(tissage[[#This Row],[QR Fabrication]],"_"),1,3)</f>
        <v>Stock</v>
      </c>
      <c r="M228" s="47" t="str">
        <f>INDEX(_xlfn.TEXTSPLIT(tissage[[#This Row],[QR Fabrication]],"_"),1,4)</f>
        <v>IB2020-B11-25</v>
      </c>
      <c r="N228" s="47" t="str">
        <f>INDEX(_xlfn.TEXTSPLIT(tissage[[#This Row],[QR Fabrication]],"_"),1,5)</f>
        <v>IBIZA</v>
      </c>
      <c r="O228" s="47" t="str">
        <f>_xlfn.TEXTAFTER(tissage[[#This Row],[QR Fabrication]],"_",5)</f>
        <v>2020</v>
      </c>
      <c r="P228" s="47" t="str">
        <f>IF(
   COUNTIFS($A$2:A228,A228,
             $C$2:C228,C228,
             $D$2:D228,D228,
             $B$2:B228,B228,
             $E$2:E228,E228,
             $I$2:I228,I228
               )&gt;1,
   "Doublon",
   "Correcte"
)</f>
        <v>Correcte</v>
      </c>
    </row>
    <row r="229" spans="1:16" ht="16.5" thickTop="1" thickBot="1" x14ac:dyDescent="0.3">
      <c r="A229" s="51" t="s">
        <v>687</v>
      </c>
      <c r="B229" s="107" t="s">
        <v>2541</v>
      </c>
      <c r="C229" s="102" t="s">
        <v>2523</v>
      </c>
      <c r="D229" s="51" t="s">
        <v>688</v>
      </c>
      <c r="E229" s="51">
        <v>0</v>
      </c>
      <c r="F229" s="51"/>
      <c r="G229" s="51"/>
      <c r="H229" s="47" t="s">
        <v>664</v>
      </c>
      <c r="I229" s="58">
        <v>45940</v>
      </c>
      <c r="J229" s="58" t="str">
        <f>INDEX(_xlfn.TEXTSPLIT(tissage[[#This Row],[QR Fabrication]],"_"),1,1)</f>
        <v>CA250160</v>
      </c>
      <c r="K229" s="107" t="str">
        <f>INDEX(_xlfn.TEXTSPLIT(tissage[[#This Row],[QR Fabrication]],"_"),1,2)</f>
        <v>All by Fouta</v>
      </c>
      <c r="L229" s="51" t="str">
        <f>INDEX(_xlfn.TEXTSPLIT(tissage[[#This Row],[QR Fabrication]],"_"),1,3)</f>
        <v>Stock</v>
      </c>
      <c r="M229" s="51" t="str">
        <f>INDEX(_xlfn.TEXTSPLIT(tissage[[#This Row],[QR Fabrication]],"_"),1,4)</f>
        <v>IB1020-B12-32</v>
      </c>
      <c r="N229" s="51" t="str">
        <f>INDEX(_xlfn.TEXTSPLIT(tissage[[#This Row],[QR Fabrication]],"_"),1,5)</f>
        <v>IBIZA</v>
      </c>
      <c r="O229" s="51" t="str">
        <f>_xlfn.TEXTAFTER(tissage[[#This Row],[QR Fabrication]],"_",5)</f>
        <v>1020</v>
      </c>
      <c r="P229" s="47" t="str">
        <f>IF(
   COUNTIFS($A$2:A229,A229,
             $C$2:C229,C229,
             $D$2:D229,D229,
             $B$2:B229,B229,
             $E$2:E229,E229,
             $I$2:I229,I229
               )&gt;1,
   "Doublon",
   "Correcte"
)</f>
        <v>Correcte</v>
      </c>
    </row>
    <row r="230" spans="1:16" ht="16.5" thickTop="1" thickBot="1" x14ac:dyDescent="0.3">
      <c r="A230" s="47" t="s">
        <v>686</v>
      </c>
      <c r="B230" s="107" t="s">
        <v>2543</v>
      </c>
      <c r="C230" s="101" t="s">
        <v>2528</v>
      </c>
      <c r="D230" s="51" t="s">
        <v>688</v>
      </c>
      <c r="E230" s="51">
        <v>0</v>
      </c>
      <c r="F230" s="47"/>
      <c r="G230" s="47"/>
      <c r="H230" s="47" t="s">
        <v>664</v>
      </c>
      <c r="I230" s="57">
        <v>45940</v>
      </c>
      <c r="J230" s="58" t="str">
        <f>INDEX(_xlfn.TEXTSPLIT(tissage[[#This Row],[QR Fabrication]],"_"),1,1)</f>
        <v>CA250187</v>
      </c>
      <c r="K230" s="106" t="str">
        <f>INDEX(_xlfn.TEXTSPLIT(tissage[[#This Row],[QR Fabrication]],"_"),1,2)</f>
        <v>All by Fouta</v>
      </c>
      <c r="L230" s="47" t="str">
        <f>INDEX(_xlfn.TEXTSPLIT(tissage[[#This Row],[QR Fabrication]],"_"),1,3)</f>
        <v>Stock</v>
      </c>
      <c r="M230" s="47" t="str">
        <f>INDEX(_xlfn.TEXTSPLIT(tissage[[#This Row],[QR Fabrication]],"_"),1,4)</f>
        <v>IB2020-B12-32</v>
      </c>
      <c r="N230" s="47" t="str">
        <f>INDEX(_xlfn.TEXTSPLIT(tissage[[#This Row],[QR Fabrication]],"_"),1,5)</f>
        <v>IBIZA</v>
      </c>
      <c r="O230" s="47" t="str">
        <f>_xlfn.TEXTAFTER(tissage[[#This Row],[QR Fabrication]],"_",5)</f>
        <v>2020</v>
      </c>
      <c r="P230" s="47" t="str">
        <f>IF(
   COUNTIFS($A$2:A230,A230,
             $C$2:C230,C230,
             $D$2:D230,D230,
             $B$2:B230,B230,
             $E$2:E230,E230,
             $I$2:I230,I230
               )&gt;1,
   "Doublon",
   "Correcte"
)</f>
        <v>Correcte</v>
      </c>
    </row>
    <row r="231" spans="1:16" ht="16.5" thickTop="1" thickBot="1" x14ac:dyDescent="0.3">
      <c r="A231" s="47" t="s">
        <v>702</v>
      </c>
      <c r="B231" s="107" t="s">
        <v>2543</v>
      </c>
      <c r="C231" s="102" t="s">
        <v>2529</v>
      </c>
      <c r="D231" s="51" t="s">
        <v>688</v>
      </c>
      <c r="E231" s="51">
        <v>0</v>
      </c>
      <c r="F231" s="51"/>
      <c r="G231" s="51"/>
      <c r="H231" s="47" t="s">
        <v>664</v>
      </c>
      <c r="I231" s="58">
        <v>45941</v>
      </c>
      <c r="J231" s="58" t="str">
        <f>INDEX(_xlfn.TEXTSPLIT(tissage[[#This Row],[QR Fabrication]],"_"),1,1)</f>
        <v>CA250184</v>
      </c>
      <c r="K231" s="107" t="str">
        <f>INDEX(_xlfn.TEXTSPLIT(tissage[[#This Row],[QR Fabrication]],"_"),1,2)</f>
        <v>All by Fouta</v>
      </c>
      <c r="L231" s="51" t="str">
        <f>INDEX(_xlfn.TEXTSPLIT(tissage[[#This Row],[QR Fabrication]],"_"),1,3)</f>
        <v>Stock</v>
      </c>
      <c r="M231" s="51" t="str">
        <f>INDEX(_xlfn.TEXTSPLIT(tissage[[#This Row],[QR Fabrication]],"_"),1,4)</f>
        <v>IB2020-B07-17</v>
      </c>
      <c r="N231" s="51" t="str">
        <f>INDEX(_xlfn.TEXTSPLIT(tissage[[#This Row],[QR Fabrication]],"_"),1,5)</f>
        <v>IBIZA</v>
      </c>
      <c r="O231" s="51" t="str">
        <f>_xlfn.TEXTAFTER(tissage[[#This Row],[QR Fabrication]],"_",5)</f>
        <v>2020</v>
      </c>
      <c r="P231" s="51" t="str">
        <f>IF(
   COUNTIFS($A$2:A231,A231,
             $C$2:C231,C231,
             $D$2:D231,D231,
             $B$2:B231,B231,
             $E$2:E231,E231,
             $I$2:I231,I231
               )&gt;1,
   "Doublon",
   "Correcte"
)</f>
        <v>Correcte</v>
      </c>
    </row>
    <row r="232" spans="1:16" ht="15.75" thickTop="1" x14ac:dyDescent="0.25"/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B7AE-4B9E-4FEC-9312-2F269FF9C28C}">
  <dimension ref="A1:V280"/>
  <sheetViews>
    <sheetView workbookViewId="0">
      <selection activeCell="O3" sqref="O3"/>
    </sheetView>
  </sheetViews>
  <sheetFormatPr baseColWidth="10" defaultColWidth="11.42578125" defaultRowHeight="15" x14ac:dyDescent="0.25"/>
  <cols>
    <col min="1" max="1" width="9.140625" bestFit="1" customWidth="1"/>
    <col min="2" max="2" width="10" bestFit="1" customWidth="1"/>
    <col min="3" max="3" width="13" customWidth="1"/>
    <col min="4" max="4" width="6" bestFit="1" customWidth="1"/>
    <col min="5" max="5" width="10.5703125" bestFit="1" customWidth="1"/>
    <col min="6" max="6" width="9.140625" bestFit="1" customWidth="1"/>
    <col min="7" max="7" width="12.140625" bestFit="1" customWidth="1"/>
    <col min="8" max="8" width="8.85546875" bestFit="1" customWidth="1"/>
    <col min="9" max="9" width="13.28515625" bestFit="1" customWidth="1"/>
    <col min="10" max="10" width="8.42578125" bestFit="1" customWidth="1"/>
    <col min="11" max="11" width="10.5703125" bestFit="1" customWidth="1"/>
    <col min="12" max="12" width="13.140625" bestFit="1" customWidth="1"/>
    <col min="13" max="13" width="14.85546875" bestFit="1" customWidth="1"/>
    <col min="14" max="15" width="14.85546875" customWidth="1"/>
    <col min="16" max="16" width="12.85546875" customWidth="1"/>
    <col min="17" max="17" width="22.85546875" bestFit="1" customWidth="1"/>
    <col min="18" max="18" width="17.5703125" bestFit="1" customWidth="1"/>
    <col min="19" max="19" width="11.85546875" bestFit="1" customWidth="1"/>
    <col min="20" max="21" width="11.85546875" customWidth="1"/>
    <col min="22" max="22" width="13.85546875" customWidth="1"/>
  </cols>
  <sheetData>
    <row r="1" spans="1:22" s="5" customFormat="1" ht="25.5" thickBot="1" x14ac:dyDescent="0.3">
      <c r="A1" s="6" t="s">
        <v>1297</v>
      </c>
      <c r="B1" s="7" t="s">
        <v>689</v>
      </c>
      <c r="C1" s="7" t="s">
        <v>1228</v>
      </c>
      <c r="D1" s="7" t="s">
        <v>690</v>
      </c>
      <c r="E1" s="7" t="s">
        <v>691</v>
      </c>
      <c r="F1" s="7" t="s">
        <v>692</v>
      </c>
      <c r="G1" s="8" t="s">
        <v>693</v>
      </c>
      <c r="H1" s="9" t="s">
        <v>694</v>
      </c>
      <c r="I1" s="7" t="s">
        <v>695</v>
      </c>
      <c r="J1" s="7" t="s">
        <v>696</v>
      </c>
      <c r="K1" s="7" t="s">
        <v>586</v>
      </c>
      <c r="L1" s="7" t="s">
        <v>659</v>
      </c>
      <c r="M1" s="7" t="s">
        <v>652</v>
      </c>
      <c r="N1" s="98" t="s">
        <v>0</v>
      </c>
      <c r="O1" s="7" t="s">
        <v>2</v>
      </c>
      <c r="P1" s="7" t="s">
        <v>1</v>
      </c>
      <c r="Q1" s="7" t="s">
        <v>3</v>
      </c>
      <c r="R1" s="7" t="s">
        <v>4</v>
      </c>
      <c r="S1" s="7" t="s">
        <v>5</v>
      </c>
      <c r="T1" s="7" t="s">
        <v>3795</v>
      </c>
      <c r="U1" s="7" t="s">
        <v>3796</v>
      </c>
      <c r="V1" s="7" t="s">
        <v>1227</v>
      </c>
    </row>
    <row r="2" spans="1:22" ht="15.75" thickTop="1" x14ac:dyDescent="0.25">
      <c r="A2" s="99" t="s">
        <v>1299</v>
      </c>
      <c r="B2" s="16" t="s">
        <v>678</v>
      </c>
      <c r="C2" s="68">
        <v>45907</v>
      </c>
      <c r="D2" s="17">
        <v>46</v>
      </c>
      <c r="E2" s="17">
        <v>0</v>
      </c>
      <c r="F2" s="17">
        <v>1</v>
      </c>
      <c r="G2" s="17">
        <v>0</v>
      </c>
      <c r="H2" s="17">
        <v>0</v>
      </c>
      <c r="I2" s="16"/>
      <c r="J2" s="16"/>
      <c r="K2" s="16" t="s">
        <v>664</v>
      </c>
      <c r="L2" s="68">
        <v>45908</v>
      </c>
      <c r="M2" s="68" t="str">
        <f t="shared" ref="M2:M65" si="0">"Coupe"</f>
        <v>Coupe</v>
      </c>
      <c r="N2" s="68" t="str">
        <f>INDEX(_xlfn.TEXTSPLIT(coupe[[#This Row],[QR Fabrication]],"_"),1,1)</f>
        <v>OF246533</v>
      </c>
      <c r="O2" s="68" t="str">
        <f>INDEX(_xlfn.TEXTSPLIT(coupe[[#This Row],[QR Fabrication]],"_"),1,2)</f>
        <v>CL00296</v>
      </c>
      <c r="P2" s="16" t="str">
        <f>INDEX(_xlfn.TEXTSPLIT(coupe[[#This Row],[QR Fabrication]],"_"),1,3)</f>
        <v>CM-FT0108</v>
      </c>
      <c r="Q2" s="16" t="str">
        <f>INDEX(_xlfn.TEXTSPLIT(coupe[[#This Row],[QR Fabrication]],"_"),1,4)</f>
        <v>EPMA0919-B15-02</v>
      </c>
      <c r="R2" s="16" t="str">
        <f>INDEX(_xlfn.TEXTSPLIT(coupe[[#This Row],[QR Fabrication]],"_"),1,5)</f>
        <v>MARINIERE</v>
      </c>
      <c r="S2" s="16" t="str">
        <f>_xlfn.TEXTAFTER(coupe[[#This Row],[QR Fabrication]],"_",5)</f>
        <v>0919</v>
      </c>
      <c r="T2" s="82" t="e">
        <f>_xlfn.XLOOKUP(coupe[[#This Row],[Num OF]],#REF!,#REF!,0)</f>
        <v>#REF!</v>
      </c>
      <c r="U2" s="82" t="e">
        <f>_xlfn.XLOOKUP(coupe[[#This Row],[Num OF]],#REF!,#REF!,0)</f>
        <v>#REF!</v>
      </c>
      <c r="V2" s="82" t="str">
        <f>IF(
   COUNTIFS($A$2:A2,A2,
             $B$2:B2,B2,
             $D$2:D2,D2,
             $E$2:E2,E2,
             $F$2:F2,F2,
             $G$2:G2,G2,
             $H$2:H2,H2,
             $L$2:L2,L2)&gt;1,
   "Doublon",
   "Correcte"
)</f>
        <v>Correcte</v>
      </c>
    </row>
    <row r="3" spans="1:22" x14ac:dyDescent="0.25">
      <c r="A3" s="99" t="s">
        <v>2420</v>
      </c>
      <c r="B3" s="16" t="s">
        <v>684</v>
      </c>
      <c r="C3" s="68">
        <v>45908</v>
      </c>
      <c r="D3" s="17">
        <v>38</v>
      </c>
      <c r="E3" s="17">
        <v>0</v>
      </c>
      <c r="F3" s="17">
        <v>0</v>
      </c>
      <c r="G3" s="17">
        <v>0</v>
      </c>
      <c r="H3" s="17">
        <v>0</v>
      </c>
      <c r="I3" s="16"/>
      <c r="J3" s="16"/>
      <c r="K3" s="16" t="s">
        <v>664</v>
      </c>
      <c r="L3" s="68">
        <v>45909</v>
      </c>
      <c r="M3" s="68" t="str">
        <f t="shared" si="0"/>
        <v>Coupe</v>
      </c>
      <c r="N3" s="68" t="str">
        <f>INDEX(_xlfn.TEXTSPLIT(coupe[[#This Row],[QR Fabrication]],"_"),1,1)</f>
        <v>CA250469</v>
      </c>
      <c r="O3" s="68" t="str">
        <f>INDEX(_xlfn.TEXTSPLIT(coupe[[#This Row],[QR Fabrication]],"_"),1,2)</f>
        <v>All by Fouta</v>
      </c>
      <c r="P3" s="16" t="str">
        <f>INDEX(_xlfn.TEXTSPLIT(coupe[[#This Row],[QR Fabrication]],"_"),1,3)</f>
        <v>Stock</v>
      </c>
      <c r="Q3" s="16" t="str">
        <f>INDEX(_xlfn.TEXTSPLIT(coupe[[#This Row],[QR Fabrication]],"_"),1,4)</f>
        <v>FAF1020-B04-02</v>
      </c>
      <c r="R3" s="16" t="str">
        <f>INDEX(_xlfn.TEXTSPLIT(coupe[[#This Row],[QR Fabrication]],"_"),1,5)</f>
        <v>FIL A FIL</v>
      </c>
      <c r="S3" s="16" t="str">
        <f>_xlfn.TEXTAFTER(coupe[[#This Row],[QR Fabrication]],"_",5)</f>
        <v>1020</v>
      </c>
      <c r="T3" s="82" t="e">
        <f>_xlfn.XLOOKUP(coupe[[#This Row],[Num OF]],#REF!,#REF!,0)</f>
        <v>#REF!</v>
      </c>
      <c r="U3" s="82" t="e">
        <f>_xlfn.XLOOKUP(coupe[[#This Row],[Num OF]],#REF!,#REF!,0)</f>
        <v>#REF!</v>
      </c>
      <c r="V3" s="82" t="str">
        <f>IF(
   COUNTIFS($A$2:A3,A3,
             $B$2:B3,B3,
             $D$2:D3,D3,
             $E$2:E3,E3,
             $F$2:F3,F3,
             $G$2:G3,G3,
             $H$2:H3,H3,
             $L$2:L3,L3)&gt;1,
   "Doublon",
   "Correcte"
)</f>
        <v>Correcte</v>
      </c>
    </row>
    <row r="4" spans="1:22" x14ac:dyDescent="0.25">
      <c r="A4" s="99" t="s">
        <v>2417</v>
      </c>
      <c r="B4" s="16" t="s">
        <v>686</v>
      </c>
      <c r="C4" s="68">
        <v>45908</v>
      </c>
      <c r="D4" s="17">
        <v>15</v>
      </c>
      <c r="E4" s="17">
        <v>0</v>
      </c>
      <c r="F4" s="17">
        <v>0</v>
      </c>
      <c r="G4" s="17">
        <v>0</v>
      </c>
      <c r="H4" s="17">
        <v>0</v>
      </c>
      <c r="I4" s="16"/>
      <c r="J4" s="16"/>
      <c r="K4" s="16" t="s">
        <v>664</v>
      </c>
      <c r="L4" s="68">
        <v>45909</v>
      </c>
      <c r="M4" s="68" t="str">
        <f t="shared" si="0"/>
        <v>Coupe</v>
      </c>
      <c r="N4" s="68" t="str">
        <f>INDEX(_xlfn.TEXTSPLIT(coupe[[#This Row],[QR Fabrication]],"_"),1,1)</f>
        <v>CA250023</v>
      </c>
      <c r="O4" s="68" t="str">
        <f>INDEX(_xlfn.TEXTSPLIT(coupe[[#This Row],[QR Fabrication]],"_"),1,2)</f>
        <v>All by Fouta</v>
      </c>
      <c r="P4" s="16" t="str">
        <f>INDEX(_xlfn.TEXTSPLIT(coupe[[#This Row],[QR Fabrication]],"_"),1,3)</f>
        <v>Stock</v>
      </c>
      <c r="Q4" s="16" t="str">
        <f>INDEX(_xlfn.TEXTSPLIT(coupe[[#This Row],[QR Fabrication]],"_"),1,4)</f>
        <v>UNS2020-06</v>
      </c>
      <c r="R4" s="16" t="str">
        <f>INDEX(_xlfn.TEXTSPLIT(coupe[[#This Row],[QR Fabrication]],"_"),1,5)</f>
        <v>UNI SURPIQUE</v>
      </c>
      <c r="S4" s="16" t="str">
        <f>_xlfn.TEXTAFTER(coupe[[#This Row],[QR Fabrication]],"_",5)</f>
        <v>2020</v>
      </c>
      <c r="T4" s="82" t="e">
        <f>_xlfn.XLOOKUP(coupe[[#This Row],[Num OF]],#REF!,#REF!,0)</f>
        <v>#REF!</v>
      </c>
      <c r="U4" s="82" t="e">
        <f>_xlfn.XLOOKUP(coupe[[#This Row],[Num OF]],#REF!,#REF!,0)</f>
        <v>#REF!</v>
      </c>
      <c r="V4" s="82" t="str">
        <f>IF(
   COUNTIFS($A$2:A4,A4,
             $B$2:B4,B4,
             $D$2:D4,D4,
             $E$2:E4,E4,
             $F$2:F4,F4,
             $G$2:G4,G4,
             $H$2:H4,H4,
             $L$2:L4,L4)&gt;1,
   "Doublon",
   "Correcte"
)</f>
        <v>Correcte</v>
      </c>
    </row>
    <row r="5" spans="1:22" x14ac:dyDescent="0.25">
      <c r="A5" s="99" t="s">
        <v>2416</v>
      </c>
      <c r="B5" s="16" t="s">
        <v>684</v>
      </c>
      <c r="C5" s="68">
        <v>45908</v>
      </c>
      <c r="D5" s="17">
        <v>45</v>
      </c>
      <c r="E5" s="17">
        <v>0</v>
      </c>
      <c r="F5" s="17">
        <v>1</v>
      </c>
      <c r="G5" s="17">
        <v>0</v>
      </c>
      <c r="H5" s="17">
        <v>0</v>
      </c>
      <c r="I5" s="16"/>
      <c r="J5" s="16"/>
      <c r="K5" s="16" t="s">
        <v>664</v>
      </c>
      <c r="L5" s="68">
        <v>45909</v>
      </c>
      <c r="M5" s="68" t="str">
        <f t="shared" si="0"/>
        <v>Coupe</v>
      </c>
      <c r="N5" s="68" t="str">
        <f>INDEX(_xlfn.TEXTSPLIT(coupe[[#This Row],[QR Fabrication]],"_"),1,1)</f>
        <v>CA250009</v>
      </c>
      <c r="O5" s="68" t="str">
        <f>INDEX(_xlfn.TEXTSPLIT(coupe[[#This Row],[QR Fabrication]],"_"),1,2)</f>
        <v>All by Fouta</v>
      </c>
      <c r="P5" s="16" t="str">
        <f>INDEX(_xlfn.TEXTSPLIT(coupe[[#This Row],[QR Fabrication]],"_"),1,3)</f>
        <v>Stock</v>
      </c>
      <c r="Q5" s="16" t="str">
        <f>INDEX(_xlfn.TEXTSPLIT(coupe[[#This Row],[QR Fabrication]],"_"),1,4)</f>
        <v>UNS1020-17</v>
      </c>
      <c r="R5" s="16" t="str">
        <f>INDEX(_xlfn.TEXTSPLIT(coupe[[#This Row],[QR Fabrication]],"_"),1,5)</f>
        <v>UNI SURPIQUE</v>
      </c>
      <c r="S5" s="16" t="str">
        <f>_xlfn.TEXTAFTER(coupe[[#This Row],[QR Fabrication]],"_",5)</f>
        <v>1020</v>
      </c>
      <c r="T5" s="82" t="e">
        <f>_xlfn.XLOOKUP(coupe[[#This Row],[Num OF]],#REF!,#REF!,0)</f>
        <v>#REF!</v>
      </c>
      <c r="U5" s="82" t="e">
        <f>_xlfn.XLOOKUP(coupe[[#This Row],[Num OF]],#REF!,#REF!,0)</f>
        <v>#REF!</v>
      </c>
      <c r="V5" s="82" t="str">
        <f>IF(
   COUNTIFS($A$2:A5,A5,
             $B$2:B5,B5,
             $D$2:D5,D5,
             $E$2:E5,E5,
             $F$2:F5,F5,
             $G$2:G5,G5,
             $H$2:H5,H5,
             $L$2:L5,L5)&gt;1,
   "Doublon",
   "Correcte"
)</f>
        <v>Correcte</v>
      </c>
    </row>
    <row r="6" spans="1:22" x14ac:dyDescent="0.25">
      <c r="A6" s="99" t="s">
        <v>2556</v>
      </c>
      <c r="B6" s="16" t="s">
        <v>678</v>
      </c>
      <c r="C6" s="68">
        <v>45908</v>
      </c>
      <c r="D6" s="17">
        <v>75</v>
      </c>
      <c r="E6" s="17">
        <v>0</v>
      </c>
      <c r="F6" s="17">
        <v>0</v>
      </c>
      <c r="G6" s="17">
        <v>0</v>
      </c>
      <c r="H6" s="17">
        <v>0</v>
      </c>
      <c r="I6" s="16"/>
      <c r="J6" s="16"/>
      <c r="K6" s="16" t="s">
        <v>664</v>
      </c>
      <c r="L6" s="68">
        <v>45909</v>
      </c>
      <c r="M6" s="68" t="str">
        <f t="shared" si="0"/>
        <v>Coupe</v>
      </c>
      <c r="N6" s="68" t="str">
        <f>INDEX(_xlfn.TEXTSPLIT(coupe[[#This Row],[QR Fabrication]],"_"),1,1)</f>
        <v>OF246535</v>
      </c>
      <c r="O6" s="68" t="str">
        <f>INDEX(_xlfn.TEXTSPLIT(coupe[[#This Row],[QR Fabrication]],"_"),1,2)</f>
        <v>CL00296</v>
      </c>
      <c r="P6" s="16" t="str">
        <f>INDEX(_xlfn.TEXTSPLIT(coupe[[#This Row],[QR Fabrication]],"_"),1,3)</f>
        <v>CM-FT0108</v>
      </c>
      <c r="Q6" s="16" t="str">
        <f>INDEX(_xlfn.TEXTSPLIT(coupe[[#This Row],[QR Fabrication]],"_"),1,4)</f>
        <v>EPMA0919-B03-02</v>
      </c>
      <c r="R6" s="16" t="str">
        <f>INDEX(_xlfn.TEXTSPLIT(coupe[[#This Row],[QR Fabrication]],"_"),1,5)</f>
        <v>MARINIERE</v>
      </c>
      <c r="S6" s="16" t="str">
        <f>_xlfn.TEXTAFTER(coupe[[#This Row],[QR Fabrication]],"_",5)</f>
        <v>0919</v>
      </c>
      <c r="T6" s="82" t="e">
        <f>_xlfn.XLOOKUP(coupe[[#This Row],[Num OF]],#REF!,#REF!,0)</f>
        <v>#REF!</v>
      </c>
      <c r="U6" s="82" t="e">
        <f>_xlfn.XLOOKUP(coupe[[#This Row],[Num OF]],#REF!,#REF!,0)</f>
        <v>#REF!</v>
      </c>
      <c r="V6" s="82" t="str">
        <f>IF(
   COUNTIFS($A$2:A6,A6,
             $B$2:B6,B6,
             $D$2:D6,D6,
             $E$2:E6,E6,
             $F$2:F6,F6,
             $G$2:G6,G6,
             $H$2:H6,H6,
             $L$2:L6,L6)&gt;1,
   "Doublon",
   "Correcte"
)</f>
        <v>Correcte</v>
      </c>
    </row>
    <row r="7" spans="1:22" x14ac:dyDescent="0.25">
      <c r="A7" s="99" t="s">
        <v>2455</v>
      </c>
      <c r="B7" s="16" t="s">
        <v>686</v>
      </c>
      <c r="C7" s="68">
        <v>45909</v>
      </c>
      <c r="D7" s="17">
        <v>5</v>
      </c>
      <c r="E7" s="17">
        <v>0</v>
      </c>
      <c r="F7" s="17">
        <v>1</v>
      </c>
      <c r="G7" s="17">
        <v>0</v>
      </c>
      <c r="H7" s="17">
        <v>0</v>
      </c>
      <c r="I7" s="16"/>
      <c r="J7" s="16"/>
      <c r="K7" s="16" t="s">
        <v>664</v>
      </c>
      <c r="L7" s="68">
        <v>45910</v>
      </c>
      <c r="M7" s="68" t="str">
        <f t="shared" si="0"/>
        <v>Coupe</v>
      </c>
      <c r="N7" s="68" t="str">
        <f>INDEX(_xlfn.TEXTSPLIT(coupe[[#This Row],[QR Fabrication]],"_"),1,1)</f>
        <v>CA250064</v>
      </c>
      <c r="O7" s="68" t="str">
        <f>INDEX(_xlfn.TEXTSPLIT(coupe[[#This Row],[QR Fabrication]],"_"),1,2)</f>
        <v>All by Fouta</v>
      </c>
      <c r="P7" s="16" t="str">
        <f>INDEX(_xlfn.TEXTSPLIT(coupe[[#This Row],[QR Fabrication]],"_"),1,3)</f>
        <v>Stock</v>
      </c>
      <c r="Q7" s="16" t="str">
        <f>INDEX(_xlfn.TEXTSPLIT(coupe[[#This Row],[QR Fabrication]],"_"),1,4)</f>
        <v>UNS2030-09</v>
      </c>
      <c r="R7" s="16" t="str">
        <f>INDEX(_xlfn.TEXTSPLIT(coupe[[#This Row],[QR Fabrication]],"_"),1,5)</f>
        <v>UNI SURPIQUE</v>
      </c>
      <c r="S7" s="16" t="str">
        <f>_xlfn.TEXTAFTER(coupe[[#This Row],[QR Fabrication]],"_",5)</f>
        <v>2030</v>
      </c>
      <c r="T7" s="82" t="e">
        <f>_xlfn.XLOOKUP(coupe[[#This Row],[Num OF]],#REF!,#REF!,0)</f>
        <v>#REF!</v>
      </c>
      <c r="U7" s="82" t="e">
        <f>_xlfn.XLOOKUP(coupe[[#This Row],[Num OF]],#REF!,#REF!,0)</f>
        <v>#REF!</v>
      </c>
      <c r="V7" s="82" t="str">
        <f>IF(
   COUNTIFS($A$2:A7,A7,
             $B$2:B7,B7,
             $D$2:D7,D7,
             $E$2:E7,E7,
             $F$2:F7,F7,
             $G$2:G7,G7,
             $H$2:H7,H7,
             $L$2:L7,L7)&gt;1,
   "Doublon",
   "Correcte"
)</f>
        <v>Correcte</v>
      </c>
    </row>
    <row r="8" spans="1:22" x14ac:dyDescent="0.25">
      <c r="A8" s="99" t="s">
        <v>2410</v>
      </c>
      <c r="B8" s="16" t="s">
        <v>686</v>
      </c>
      <c r="C8" s="68">
        <v>45909</v>
      </c>
      <c r="D8" s="17">
        <v>76</v>
      </c>
      <c r="E8" s="17">
        <v>0</v>
      </c>
      <c r="F8" s="17">
        <v>0</v>
      </c>
      <c r="G8" s="17">
        <v>0</v>
      </c>
      <c r="H8" s="17">
        <v>0</v>
      </c>
      <c r="I8" s="16"/>
      <c r="J8" s="16"/>
      <c r="K8" s="16" t="s">
        <v>664</v>
      </c>
      <c r="L8" s="68">
        <v>45910</v>
      </c>
      <c r="M8" s="68" t="str">
        <f t="shared" si="0"/>
        <v>Coupe</v>
      </c>
      <c r="N8" s="68" t="str">
        <f>INDEX(_xlfn.TEXTSPLIT(coupe[[#This Row],[QR Fabrication]],"_"),1,1)</f>
        <v>OF249842</v>
      </c>
      <c r="O8" s="68" t="str">
        <f>INDEX(_xlfn.TEXTSPLIT(coupe[[#This Row],[QR Fabrication]],"_"),1,2)</f>
        <v>CL00884</v>
      </c>
      <c r="P8" s="16" t="str">
        <f>INDEX(_xlfn.TEXTSPLIT(coupe[[#This Row],[QR Fabrication]],"_"),1,3)</f>
        <v>CM-FT0119</v>
      </c>
      <c r="Q8" s="16" t="str">
        <f>INDEX(_xlfn.TEXTSPLIT(coupe[[#This Row],[QR Fabrication]],"_"),1,4)</f>
        <v>FI1020-C28-25-24</v>
      </c>
      <c r="R8" s="16" t="str">
        <f>INDEX(_xlfn.TEXTSPLIT(coupe[[#This Row],[QR Fabrication]],"_"),1,5)</f>
        <v>FIVE</v>
      </c>
      <c r="S8" s="16" t="str">
        <f>_xlfn.TEXTAFTER(coupe[[#This Row],[QR Fabrication]],"_",5)</f>
        <v>1020</v>
      </c>
      <c r="T8" s="82" t="e">
        <f>_xlfn.XLOOKUP(coupe[[#This Row],[Num OF]],#REF!,#REF!,0)</f>
        <v>#REF!</v>
      </c>
      <c r="U8" s="82" t="e">
        <f>_xlfn.XLOOKUP(coupe[[#This Row],[Num OF]],#REF!,#REF!,0)</f>
        <v>#REF!</v>
      </c>
      <c r="V8" s="82" t="str">
        <f>IF(
   COUNTIFS($A$2:A8,A8,
             $B$2:B8,B8,
             $D$2:D8,D8,
             $E$2:E8,E8,
             $F$2:F8,F8,
             $G$2:G8,G8,
             $H$2:H8,H8,
             $L$2:L8,L8)&gt;1,
   "Doublon",
   "Correcte"
)</f>
        <v>Correcte</v>
      </c>
    </row>
    <row r="9" spans="1:22" x14ac:dyDescent="0.25">
      <c r="A9" s="99" t="s">
        <v>1299</v>
      </c>
      <c r="B9" s="16" t="s">
        <v>678</v>
      </c>
      <c r="C9" s="68">
        <v>45910</v>
      </c>
      <c r="D9" s="17">
        <v>29</v>
      </c>
      <c r="E9" s="17">
        <v>2</v>
      </c>
      <c r="F9" s="17">
        <v>0</v>
      </c>
      <c r="G9" s="17">
        <v>0</v>
      </c>
      <c r="H9" s="17">
        <v>0</v>
      </c>
      <c r="I9" s="16"/>
      <c r="J9" s="16"/>
      <c r="K9" s="16" t="s">
        <v>664</v>
      </c>
      <c r="L9" s="68">
        <v>45911</v>
      </c>
      <c r="M9" s="68" t="str">
        <f t="shared" si="0"/>
        <v>Coupe</v>
      </c>
      <c r="N9" s="68" t="str">
        <f>INDEX(_xlfn.TEXTSPLIT(coupe[[#This Row],[QR Fabrication]],"_"),1,1)</f>
        <v>OF246533</v>
      </c>
      <c r="O9" s="68" t="str">
        <f>INDEX(_xlfn.TEXTSPLIT(coupe[[#This Row],[QR Fabrication]],"_"),1,2)</f>
        <v>CL00296</v>
      </c>
      <c r="P9" s="16" t="str">
        <f>INDEX(_xlfn.TEXTSPLIT(coupe[[#This Row],[QR Fabrication]],"_"),1,3)</f>
        <v>CM-FT0108</v>
      </c>
      <c r="Q9" s="16" t="str">
        <f>INDEX(_xlfn.TEXTSPLIT(coupe[[#This Row],[QR Fabrication]],"_"),1,4)</f>
        <v>EPMA0919-B15-02</v>
      </c>
      <c r="R9" s="16" t="str">
        <f>INDEX(_xlfn.TEXTSPLIT(coupe[[#This Row],[QR Fabrication]],"_"),1,5)</f>
        <v>MARINIERE</v>
      </c>
      <c r="S9" s="16" t="str">
        <f>_xlfn.TEXTAFTER(coupe[[#This Row],[QR Fabrication]],"_",5)</f>
        <v>0919</v>
      </c>
      <c r="T9" s="82" t="e">
        <f>_xlfn.XLOOKUP(coupe[[#This Row],[Num OF]],#REF!,#REF!,0)</f>
        <v>#REF!</v>
      </c>
      <c r="U9" s="82" t="e">
        <f>_xlfn.XLOOKUP(coupe[[#This Row],[Num OF]],#REF!,#REF!,0)</f>
        <v>#REF!</v>
      </c>
      <c r="V9" s="82" t="str">
        <f>IF(
   COUNTIFS($A$2:A9,A9,
             $B$2:B9,B9,
             $D$2:D9,D9,
             $E$2:E9,E9,
             $F$2:F9,F9,
             $G$2:G9,G9,
             $H$2:H9,H9,
             $L$2:L9,L9)&gt;1,
   "Doublon",
   "Correcte"
)</f>
        <v>Correcte</v>
      </c>
    </row>
    <row r="10" spans="1:22" x14ac:dyDescent="0.25">
      <c r="A10" s="99" t="s">
        <v>2557</v>
      </c>
      <c r="B10" s="16" t="s">
        <v>678</v>
      </c>
      <c r="C10" s="68">
        <v>45910</v>
      </c>
      <c r="D10" s="17">
        <v>72</v>
      </c>
      <c r="E10" s="17">
        <v>0</v>
      </c>
      <c r="F10" s="17">
        <v>0</v>
      </c>
      <c r="G10" s="17">
        <v>0</v>
      </c>
      <c r="H10" s="17">
        <v>0</v>
      </c>
      <c r="I10" s="16"/>
      <c r="J10" s="16"/>
      <c r="K10" s="16" t="s">
        <v>664</v>
      </c>
      <c r="L10" s="68">
        <v>45911</v>
      </c>
      <c r="M10" s="68" t="str">
        <f t="shared" si="0"/>
        <v>Coupe</v>
      </c>
      <c r="N10" s="68" t="str">
        <f>INDEX(_xlfn.TEXTSPLIT(coupe[[#This Row],[QR Fabrication]],"_"),1,1)</f>
        <v>OF246544</v>
      </c>
      <c r="O10" s="68" t="str">
        <f>INDEX(_xlfn.TEXTSPLIT(coupe[[#This Row],[QR Fabrication]],"_"),1,2)</f>
        <v>CL00296</v>
      </c>
      <c r="P10" s="16" t="str">
        <f>INDEX(_xlfn.TEXTSPLIT(coupe[[#This Row],[QR Fabrication]],"_"),1,3)</f>
        <v>CM-FT0108</v>
      </c>
      <c r="Q10" s="16" t="str">
        <f>INDEX(_xlfn.TEXTSPLIT(coupe[[#This Row],[QR Fabrication]],"_"),1,4)</f>
        <v>EPMA0919-B03-02</v>
      </c>
      <c r="R10" s="16" t="str">
        <f>INDEX(_xlfn.TEXTSPLIT(coupe[[#This Row],[QR Fabrication]],"_"),1,5)</f>
        <v>MARINIERE</v>
      </c>
      <c r="S10" s="16" t="str">
        <f>_xlfn.TEXTAFTER(coupe[[#This Row],[QR Fabrication]],"_",5)</f>
        <v>0919</v>
      </c>
      <c r="T10" s="82" t="e">
        <f>_xlfn.XLOOKUP(coupe[[#This Row],[Num OF]],#REF!,#REF!,0)</f>
        <v>#REF!</v>
      </c>
      <c r="U10" s="82" t="e">
        <f>_xlfn.XLOOKUP(coupe[[#This Row],[Num OF]],#REF!,#REF!,0)</f>
        <v>#REF!</v>
      </c>
      <c r="V10" s="82" t="str">
        <f>IF(
   COUNTIFS($A$2:A10,A10,
             $B$2:B10,B10,
             $D$2:D10,D10,
             $E$2:E10,E10,
             $F$2:F10,F10,
             $G$2:G10,G10,
             $H$2:H10,H10,
             $L$2:L10,L10)&gt;1,
   "Doublon",
   "Correcte"
)</f>
        <v>Correcte</v>
      </c>
    </row>
    <row r="11" spans="1:22" x14ac:dyDescent="0.25">
      <c r="A11" s="99" t="s">
        <v>2454</v>
      </c>
      <c r="B11" s="16" t="s">
        <v>684</v>
      </c>
      <c r="C11" s="68">
        <v>45910</v>
      </c>
      <c r="D11" s="17">
        <v>61</v>
      </c>
      <c r="E11" s="17">
        <v>0</v>
      </c>
      <c r="F11" s="17">
        <v>0</v>
      </c>
      <c r="G11" s="17">
        <v>0</v>
      </c>
      <c r="H11" s="17">
        <v>0</v>
      </c>
      <c r="I11" s="16"/>
      <c r="J11" s="16"/>
      <c r="K11" s="16" t="s">
        <v>664</v>
      </c>
      <c r="L11" s="68">
        <v>45911</v>
      </c>
      <c r="M11" s="68" t="str">
        <f t="shared" si="0"/>
        <v>Coupe</v>
      </c>
      <c r="N11" s="68" t="str">
        <f>INDEX(_xlfn.TEXTSPLIT(coupe[[#This Row],[QR Fabrication]],"_"),1,1)</f>
        <v>CA250473</v>
      </c>
      <c r="O11" s="68" t="str">
        <f>INDEX(_xlfn.TEXTSPLIT(coupe[[#This Row],[QR Fabrication]],"_"),1,2)</f>
        <v>All by Fouta</v>
      </c>
      <c r="P11" s="16" t="str">
        <f>INDEX(_xlfn.TEXTSPLIT(coupe[[#This Row],[QR Fabrication]],"_"),1,3)</f>
        <v>Stock</v>
      </c>
      <c r="Q11" s="16" t="str">
        <f>INDEX(_xlfn.TEXTSPLIT(coupe[[#This Row],[QR Fabrication]],"_"),1,4)</f>
        <v>FAF1020-B18-19</v>
      </c>
      <c r="R11" s="16" t="str">
        <f>INDEX(_xlfn.TEXTSPLIT(coupe[[#This Row],[QR Fabrication]],"_"),1,5)</f>
        <v>FIL A FIL</v>
      </c>
      <c r="S11" s="16" t="str">
        <f>_xlfn.TEXTAFTER(coupe[[#This Row],[QR Fabrication]],"_",5)</f>
        <v>1020</v>
      </c>
      <c r="T11" s="82" t="e">
        <f>_xlfn.XLOOKUP(coupe[[#This Row],[Num OF]],#REF!,#REF!,0)</f>
        <v>#REF!</v>
      </c>
      <c r="U11" s="82" t="e">
        <f>_xlfn.XLOOKUP(coupe[[#This Row],[Num OF]],#REF!,#REF!,0)</f>
        <v>#REF!</v>
      </c>
      <c r="V11" s="82" t="str">
        <f>IF(
   COUNTIFS($A$2:A11,A11,
             $B$2:B11,B11,
             $D$2:D11,D11,
             $E$2:E11,E11,
             $F$2:F11,F11,
             $G$2:G11,G11,
             $H$2:H11,H11,
             $L$2:L11,L11)&gt;1,
   "Doublon",
   "Correcte"
)</f>
        <v>Correcte</v>
      </c>
    </row>
    <row r="12" spans="1:22" x14ac:dyDescent="0.25">
      <c r="A12" s="99" t="s">
        <v>2420</v>
      </c>
      <c r="B12" s="16" t="s">
        <v>684</v>
      </c>
      <c r="C12" s="68">
        <v>45910</v>
      </c>
      <c r="D12" s="17">
        <v>24</v>
      </c>
      <c r="E12" s="17">
        <v>0</v>
      </c>
      <c r="F12" s="17">
        <v>0</v>
      </c>
      <c r="G12" s="17">
        <v>0</v>
      </c>
      <c r="H12" s="17">
        <v>0</v>
      </c>
      <c r="I12" s="16"/>
      <c r="J12" s="16"/>
      <c r="K12" s="16" t="s">
        <v>664</v>
      </c>
      <c r="L12" s="68">
        <v>45911</v>
      </c>
      <c r="M12" s="68" t="str">
        <f t="shared" si="0"/>
        <v>Coupe</v>
      </c>
      <c r="N12" s="68" t="str">
        <f>INDEX(_xlfn.TEXTSPLIT(coupe[[#This Row],[QR Fabrication]],"_"),1,1)</f>
        <v>CA250469</v>
      </c>
      <c r="O12" s="68" t="str">
        <f>INDEX(_xlfn.TEXTSPLIT(coupe[[#This Row],[QR Fabrication]],"_"),1,2)</f>
        <v>All by Fouta</v>
      </c>
      <c r="P12" s="16" t="str">
        <f>INDEX(_xlfn.TEXTSPLIT(coupe[[#This Row],[QR Fabrication]],"_"),1,3)</f>
        <v>Stock</v>
      </c>
      <c r="Q12" s="16" t="str">
        <f>INDEX(_xlfn.TEXTSPLIT(coupe[[#This Row],[QR Fabrication]],"_"),1,4)</f>
        <v>FAF1020-B04-02</v>
      </c>
      <c r="R12" s="16" t="str">
        <f>INDEX(_xlfn.TEXTSPLIT(coupe[[#This Row],[QR Fabrication]],"_"),1,5)</f>
        <v>FIL A FIL</v>
      </c>
      <c r="S12" s="16" t="str">
        <f>_xlfn.TEXTAFTER(coupe[[#This Row],[QR Fabrication]],"_",5)</f>
        <v>1020</v>
      </c>
      <c r="T12" s="82" t="e">
        <f>_xlfn.XLOOKUP(coupe[[#This Row],[Num OF]],#REF!,#REF!,0)</f>
        <v>#REF!</v>
      </c>
      <c r="U12" s="82" t="e">
        <f>_xlfn.XLOOKUP(coupe[[#This Row],[Num OF]],#REF!,#REF!,0)</f>
        <v>#REF!</v>
      </c>
      <c r="V12" s="82" t="str">
        <f>IF(
   COUNTIFS($A$2:A12,A12,
             $B$2:B12,B12,
             $D$2:D12,D12,
             $E$2:E12,E12,
             $F$2:F12,F12,
             $G$2:G12,G12,
             $H$2:H12,H12,
             $L$2:L12,L12)&gt;1,
   "Doublon",
   "Correcte"
)</f>
        <v>Correcte</v>
      </c>
    </row>
    <row r="13" spans="1:22" x14ac:dyDescent="0.25">
      <c r="A13" s="99" t="s">
        <v>2462</v>
      </c>
      <c r="B13" s="16" t="s">
        <v>686</v>
      </c>
      <c r="C13" s="68">
        <v>45910</v>
      </c>
      <c r="D13" s="17">
        <v>31</v>
      </c>
      <c r="E13" s="17">
        <v>0</v>
      </c>
      <c r="F13" s="17">
        <v>1</v>
      </c>
      <c r="G13" s="17">
        <v>0</v>
      </c>
      <c r="H13" s="17">
        <v>0</v>
      </c>
      <c r="I13" s="16"/>
      <c r="J13" s="16"/>
      <c r="K13" s="16" t="s">
        <v>664</v>
      </c>
      <c r="L13" s="68">
        <v>45911</v>
      </c>
      <c r="M13" s="68" t="str">
        <f t="shared" si="0"/>
        <v>Coupe</v>
      </c>
      <c r="N13" s="68" t="str">
        <f>INDEX(_xlfn.TEXTSPLIT(coupe[[#This Row],[QR Fabrication]],"_"),1,1)</f>
        <v>CA250022</v>
      </c>
      <c r="O13" s="68" t="str">
        <f>INDEX(_xlfn.TEXTSPLIT(coupe[[#This Row],[QR Fabrication]],"_"),1,2)</f>
        <v>All by Fouta</v>
      </c>
      <c r="P13" s="16" t="str">
        <f>INDEX(_xlfn.TEXTSPLIT(coupe[[#This Row],[QR Fabrication]],"_"),1,3)</f>
        <v>Stock</v>
      </c>
      <c r="Q13" s="16" t="str">
        <f>INDEX(_xlfn.TEXTSPLIT(coupe[[#This Row],[QR Fabrication]],"_"),1,4)</f>
        <v>UNS2020-04</v>
      </c>
      <c r="R13" s="16" t="str">
        <f>INDEX(_xlfn.TEXTSPLIT(coupe[[#This Row],[QR Fabrication]],"_"),1,5)</f>
        <v>UNI SURPIQUE</v>
      </c>
      <c r="S13" s="16" t="str">
        <f>_xlfn.TEXTAFTER(coupe[[#This Row],[QR Fabrication]],"_",5)</f>
        <v>2020</v>
      </c>
      <c r="T13" s="82" t="e">
        <f>_xlfn.XLOOKUP(coupe[[#This Row],[Num OF]],#REF!,#REF!,0)</f>
        <v>#REF!</v>
      </c>
      <c r="U13" s="82" t="e">
        <f>_xlfn.XLOOKUP(coupe[[#This Row],[Num OF]],#REF!,#REF!,0)</f>
        <v>#REF!</v>
      </c>
      <c r="V13" s="82" t="str">
        <f>IF(
   COUNTIFS($A$2:A13,A13,
             $B$2:B13,B13,
             $D$2:D13,D13,
             $E$2:E13,E13,
             $F$2:F13,F13,
             $G$2:G13,G13,
             $H$2:H13,H13,
             $L$2:L13,L13)&gt;1,
   "Doublon",
   "Correcte"
)</f>
        <v>Correcte</v>
      </c>
    </row>
    <row r="14" spans="1:22" x14ac:dyDescent="0.25">
      <c r="A14" s="99" t="s">
        <v>2410</v>
      </c>
      <c r="B14" s="16" t="s">
        <v>686</v>
      </c>
      <c r="C14" s="68">
        <v>45910</v>
      </c>
      <c r="D14" s="17">
        <v>9</v>
      </c>
      <c r="E14" s="17">
        <v>0</v>
      </c>
      <c r="F14" s="17">
        <v>0</v>
      </c>
      <c r="G14" s="17">
        <v>0</v>
      </c>
      <c r="H14" s="17">
        <v>0</v>
      </c>
      <c r="I14" s="16"/>
      <c r="J14" s="16"/>
      <c r="K14" s="16" t="s">
        <v>664</v>
      </c>
      <c r="L14" s="68">
        <v>45911</v>
      </c>
      <c r="M14" s="68" t="str">
        <f t="shared" si="0"/>
        <v>Coupe</v>
      </c>
      <c r="N14" s="68" t="str">
        <f>INDEX(_xlfn.TEXTSPLIT(coupe[[#This Row],[QR Fabrication]],"_"),1,1)</f>
        <v>OF249842</v>
      </c>
      <c r="O14" s="68" t="str">
        <f>INDEX(_xlfn.TEXTSPLIT(coupe[[#This Row],[QR Fabrication]],"_"),1,2)</f>
        <v>CL00884</v>
      </c>
      <c r="P14" s="16" t="str">
        <f>INDEX(_xlfn.TEXTSPLIT(coupe[[#This Row],[QR Fabrication]],"_"),1,3)</f>
        <v>CM-FT0119</v>
      </c>
      <c r="Q14" s="16" t="str">
        <f>INDEX(_xlfn.TEXTSPLIT(coupe[[#This Row],[QR Fabrication]],"_"),1,4)</f>
        <v>FI1020-C28-25-24</v>
      </c>
      <c r="R14" s="16" t="str">
        <f>INDEX(_xlfn.TEXTSPLIT(coupe[[#This Row],[QR Fabrication]],"_"),1,5)</f>
        <v>FIVE</v>
      </c>
      <c r="S14" s="16" t="str">
        <f>_xlfn.TEXTAFTER(coupe[[#This Row],[QR Fabrication]],"_",5)</f>
        <v>1020</v>
      </c>
      <c r="T14" s="82" t="e">
        <f>_xlfn.XLOOKUP(coupe[[#This Row],[Num OF]],#REF!,#REF!,0)</f>
        <v>#REF!</v>
      </c>
      <c r="U14" s="82" t="e">
        <f>_xlfn.XLOOKUP(coupe[[#This Row],[Num OF]],#REF!,#REF!,0)</f>
        <v>#REF!</v>
      </c>
      <c r="V14" s="82" t="str">
        <f>IF(
   COUNTIFS($A$2:A14,A14,
             $B$2:B14,B14,
             $D$2:D14,D14,
             $E$2:E14,E14,
             $F$2:F14,F14,
             $G$2:G14,G14,
             $H$2:H14,H14,
             $L$2:L14,L14)&gt;1,
   "Doublon",
   "Correcte"
)</f>
        <v>Correcte</v>
      </c>
    </row>
    <row r="15" spans="1:22" x14ac:dyDescent="0.25">
      <c r="A15" s="99" t="s">
        <v>2417</v>
      </c>
      <c r="B15" s="16" t="s">
        <v>686</v>
      </c>
      <c r="C15" s="68">
        <v>45910</v>
      </c>
      <c r="D15" s="17">
        <v>13</v>
      </c>
      <c r="E15" s="17">
        <v>0</v>
      </c>
      <c r="F15" s="17">
        <v>2</v>
      </c>
      <c r="G15" s="17">
        <v>0</v>
      </c>
      <c r="H15" s="17">
        <v>0</v>
      </c>
      <c r="I15" s="16"/>
      <c r="J15" s="16"/>
      <c r="K15" s="16" t="s">
        <v>664</v>
      </c>
      <c r="L15" s="68">
        <v>45911</v>
      </c>
      <c r="M15" s="68" t="str">
        <f t="shared" si="0"/>
        <v>Coupe</v>
      </c>
      <c r="N15" s="68" t="str">
        <f>INDEX(_xlfn.TEXTSPLIT(coupe[[#This Row],[QR Fabrication]],"_"),1,1)</f>
        <v>CA250023</v>
      </c>
      <c r="O15" s="68" t="str">
        <f>INDEX(_xlfn.TEXTSPLIT(coupe[[#This Row],[QR Fabrication]],"_"),1,2)</f>
        <v>All by Fouta</v>
      </c>
      <c r="P15" s="16" t="str">
        <f>INDEX(_xlfn.TEXTSPLIT(coupe[[#This Row],[QR Fabrication]],"_"),1,3)</f>
        <v>Stock</v>
      </c>
      <c r="Q15" s="16" t="str">
        <f>INDEX(_xlfn.TEXTSPLIT(coupe[[#This Row],[QR Fabrication]],"_"),1,4)</f>
        <v>UNS2020-06</v>
      </c>
      <c r="R15" s="16" t="str">
        <f>INDEX(_xlfn.TEXTSPLIT(coupe[[#This Row],[QR Fabrication]],"_"),1,5)</f>
        <v>UNI SURPIQUE</v>
      </c>
      <c r="S15" s="16" t="str">
        <f>_xlfn.TEXTAFTER(coupe[[#This Row],[QR Fabrication]],"_",5)</f>
        <v>2020</v>
      </c>
      <c r="T15" s="82" t="e">
        <f>_xlfn.XLOOKUP(coupe[[#This Row],[Num OF]],#REF!,#REF!,0)</f>
        <v>#REF!</v>
      </c>
      <c r="U15" s="82" t="e">
        <f>_xlfn.XLOOKUP(coupe[[#This Row],[Num OF]],#REF!,#REF!,0)</f>
        <v>#REF!</v>
      </c>
      <c r="V15" s="82" t="str">
        <f>IF(
   COUNTIFS($A$2:A15,A15,
             $B$2:B15,B15,
             $D$2:D15,D15,
             $E$2:E15,E15,
             $F$2:F15,F15,
             $G$2:G15,G15,
             $H$2:H15,H15,
             $L$2:L15,L15)&gt;1,
   "Doublon",
   "Correcte"
)</f>
        <v>Correcte</v>
      </c>
    </row>
    <row r="16" spans="1:22" x14ac:dyDescent="0.25">
      <c r="A16" s="99" t="s">
        <v>1300</v>
      </c>
      <c r="B16" s="16" t="s">
        <v>684</v>
      </c>
      <c r="C16" s="68">
        <v>45911</v>
      </c>
      <c r="D16" s="17">
        <v>58</v>
      </c>
      <c r="E16" s="17">
        <v>2</v>
      </c>
      <c r="F16" s="17">
        <v>1</v>
      </c>
      <c r="G16" s="17">
        <v>0</v>
      </c>
      <c r="H16" s="17">
        <v>0</v>
      </c>
      <c r="I16" s="16"/>
      <c r="J16" s="16"/>
      <c r="K16" s="16" t="s">
        <v>664</v>
      </c>
      <c r="L16" s="68">
        <v>45912</v>
      </c>
      <c r="M16" s="68" t="str">
        <f t="shared" si="0"/>
        <v>Coupe</v>
      </c>
      <c r="N16" s="68" t="str">
        <f>INDEX(_xlfn.TEXTSPLIT(coupe[[#This Row],[QR Fabrication]],"_"),1,1)</f>
        <v>CA250004</v>
      </c>
      <c r="O16" s="68" t="str">
        <f>INDEX(_xlfn.TEXTSPLIT(coupe[[#This Row],[QR Fabrication]],"_"),1,2)</f>
        <v>All by Fouta</v>
      </c>
      <c r="P16" s="16" t="str">
        <f>INDEX(_xlfn.TEXTSPLIT(coupe[[#This Row],[QR Fabrication]],"_"),1,3)</f>
        <v>Stock</v>
      </c>
      <c r="Q16" s="16" t="str">
        <f>INDEX(_xlfn.TEXTSPLIT(coupe[[#This Row],[QR Fabrication]],"_"),1,4)</f>
        <v>UNS1020-09</v>
      </c>
      <c r="R16" s="16" t="str">
        <f>INDEX(_xlfn.TEXTSPLIT(coupe[[#This Row],[QR Fabrication]],"_"),1,5)</f>
        <v>UNI SURPIQUE</v>
      </c>
      <c r="S16" s="16" t="str">
        <f>_xlfn.TEXTAFTER(coupe[[#This Row],[QR Fabrication]],"_",5)</f>
        <v>1020</v>
      </c>
      <c r="T16" s="82" t="e">
        <f>_xlfn.XLOOKUP(coupe[[#This Row],[Num OF]],#REF!,#REF!,0)</f>
        <v>#REF!</v>
      </c>
      <c r="U16" s="82" t="e">
        <f>_xlfn.XLOOKUP(coupe[[#This Row],[Num OF]],#REF!,#REF!,0)</f>
        <v>#REF!</v>
      </c>
      <c r="V16" s="82" t="str">
        <f>IF(
   COUNTIFS($A$2:A16,A16,
             $B$2:B16,B16,
             $D$2:D16,D16,
             $E$2:E16,E16,
             $F$2:F16,F16,
             $G$2:G16,G16,
             $H$2:H16,H16,
             $L$2:L16,L16)&gt;1,
   "Doublon",
   "Correcte"
)</f>
        <v>Correcte</v>
      </c>
    </row>
    <row r="17" spans="1:22" x14ac:dyDescent="0.25">
      <c r="A17" s="99" t="s">
        <v>2411</v>
      </c>
      <c r="B17" s="16" t="s">
        <v>684</v>
      </c>
      <c r="C17" s="68">
        <v>45911</v>
      </c>
      <c r="D17" s="17">
        <v>37</v>
      </c>
      <c r="E17" s="17">
        <v>0</v>
      </c>
      <c r="F17" s="17">
        <v>2</v>
      </c>
      <c r="G17" s="17">
        <v>0</v>
      </c>
      <c r="H17" s="17">
        <v>0</v>
      </c>
      <c r="I17" s="16"/>
      <c r="J17" s="16"/>
      <c r="K17" s="16" t="s">
        <v>664</v>
      </c>
      <c r="L17" s="68">
        <v>45912</v>
      </c>
      <c r="M17" s="68" t="str">
        <f t="shared" si="0"/>
        <v>Coupe</v>
      </c>
      <c r="N17" s="68" t="str">
        <f>INDEX(_xlfn.TEXTSPLIT(coupe[[#This Row],[QR Fabrication]],"_"),1,1)</f>
        <v>CA250474</v>
      </c>
      <c r="O17" s="68" t="str">
        <f>INDEX(_xlfn.TEXTSPLIT(coupe[[#This Row],[QR Fabrication]],"_"),1,2)</f>
        <v>All by Fouta</v>
      </c>
      <c r="P17" s="16" t="str">
        <f>INDEX(_xlfn.TEXTSPLIT(coupe[[#This Row],[QR Fabrication]],"_"),1,3)</f>
        <v>Stock</v>
      </c>
      <c r="Q17" s="16" t="str">
        <f>INDEX(_xlfn.TEXTSPLIT(coupe[[#This Row],[QR Fabrication]],"_"),1,4)</f>
        <v>FAF1020-B06-08</v>
      </c>
      <c r="R17" s="16" t="str">
        <f>INDEX(_xlfn.TEXTSPLIT(coupe[[#This Row],[QR Fabrication]],"_"),1,5)</f>
        <v>FIL A FIL</v>
      </c>
      <c r="S17" s="16" t="str">
        <f>_xlfn.TEXTAFTER(coupe[[#This Row],[QR Fabrication]],"_",5)</f>
        <v>1020</v>
      </c>
      <c r="T17" s="82" t="e">
        <f>_xlfn.XLOOKUP(coupe[[#This Row],[Num OF]],#REF!,#REF!,0)</f>
        <v>#REF!</v>
      </c>
      <c r="U17" s="82" t="e">
        <f>_xlfn.XLOOKUP(coupe[[#This Row],[Num OF]],#REF!,#REF!,0)</f>
        <v>#REF!</v>
      </c>
      <c r="V17" s="82" t="str">
        <f>IF(
   COUNTIFS($A$2:A17,A17,
             $B$2:B17,B17,
             $D$2:D17,D17,
             $E$2:E17,E17,
             $F$2:F17,F17,
             $G$2:G17,G17,
             $H$2:H17,H17,
             $L$2:L17,L17)&gt;1,
   "Doublon",
   "Correcte"
)</f>
        <v>Correcte</v>
      </c>
    </row>
    <row r="18" spans="1:22" x14ac:dyDescent="0.25">
      <c r="A18" s="99" t="s">
        <v>1301</v>
      </c>
      <c r="B18" s="16" t="s">
        <v>686</v>
      </c>
      <c r="C18" s="68">
        <v>45911</v>
      </c>
      <c r="D18" s="17">
        <v>21</v>
      </c>
      <c r="E18" s="17">
        <v>0</v>
      </c>
      <c r="F18" s="17">
        <v>0</v>
      </c>
      <c r="G18" s="17">
        <v>0</v>
      </c>
      <c r="H18" s="17">
        <v>0</v>
      </c>
      <c r="I18" s="16"/>
      <c r="J18" s="16"/>
      <c r="K18" s="16" t="s">
        <v>664</v>
      </c>
      <c r="L18" s="68">
        <v>45912</v>
      </c>
      <c r="M18" s="68" t="str">
        <f t="shared" si="0"/>
        <v>Coupe</v>
      </c>
      <c r="N18" s="68" t="str">
        <f>INDEX(_xlfn.TEXTSPLIT(coupe[[#This Row],[QR Fabrication]],"_"),1,1)</f>
        <v>CA250069</v>
      </c>
      <c r="O18" s="68" t="str">
        <f>INDEX(_xlfn.TEXTSPLIT(coupe[[#This Row],[QR Fabrication]],"_"),1,2)</f>
        <v>All by Fouta</v>
      </c>
      <c r="P18" s="16" t="str">
        <f>INDEX(_xlfn.TEXTSPLIT(coupe[[#This Row],[QR Fabrication]],"_"),1,3)</f>
        <v>Stock</v>
      </c>
      <c r="Q18" s="16" t="str">
        <f>INDEX(_xlfn.TEXTSPLIT(coupe[[#This Row],[QR Fabrication]],"_"),1,4)</f>
        <v>UNS2030-17</v>
      </c>
      <c r="R18" s="16" t="str">
        <f>INDEX(_xlfn.TEXTSPLIT(coupe[[#This Row],[QR Fabrication]],"_"),1,5)</f>
        <v>UNI SURPIQUE</v>
      </c>
      <c r="S18" s="16" t="str">
        <f>_xlfn.TEXTAFTER(coupe[[#This Row],[QR Fabrication]],"_",5)</f>
        <v>2030</v>
      </c>
      <c r="T18" s="82" t="e">
        <f>_xlfn.XLOOKUP(coupe[[#This Row],[Num OF]],#REF!,#REF!,0)</f>
        <v>#REF!</v>
      </c>
      <c r="U18" s="82" t="e">
        <f>_xlfn.XLOOKUP(coupe[[#This Row],[Num OF]],#REF!,#REF!,0)</f>
        <v>#REF!</v>
      </c>
      <c r="V18" s="82" t="str">
        <f>IF(
   COUNTIFS($A$2:A18,A18,
             $B$2:B18,B18,
             $D$2:D18,D18,
             $E$2:E18,E18,
             $F$2:F18,F18,
             $G$2:G18,G18,
             $H$2:H18,H18,
             $L$2:L18,L18)&gt;1,
   "Doublon",
   "Correcte"
)</f>
        <v>Correcte</v>
      </c>
    </row>
    <row r="19" spans="1:22" x14ac:dyDescent="0.25">
      <c r="A19" s="99" t="s">
        <v>2455</v>
      </c>
      <c r="B19" s="16" t="s">
        <v>686</v>
      </c>
      <c r="C19" s="68">
        <v>45911</v>
      </c>
      <c r="D19" s="17">
        <v>1</v>
      </c>
      <c r="E19" s="17">
        <v>0</v>
      </c>
      <c r="F19" s="17">
        <v>0</v>
      </c>
      <c r="G19" s="17">
        <v>0</v>
      </c>
      <c r="H19" s="17">
        <v>0</v>
      </c>
      <c r="I19" s="16"/>
      <c r="J19" s="16"/>
      <c r="K19" s="16" t="s">
        <v>664</v>
      </c>
      <c r="L19" s="68">
        <v>45912</v>
      </c>
      <c r="M19" s="68" t="str">
        <f t="shared" si="0"/>
        <v>Coupe</v>
      </c>
      <c r="N19" s="68" t="str">
        <f>INDEX(_xlfn.TEXTSPLIT(coupe[[#This Row],[QR Fabrication]],"_"),1,1)</f>
        <v>CA250064</v>
      </c>
      <c r="O19" s="68" t="str">
        <f>INDEX(_xlfn.TEXTSPLIT(coupe[[#This Row],[QR Fabrication]],"_"),1,2)</f>
        <v>All by Fouta</v>
      </c>
      <c r="P19" s="16" t="str">
        <f>INDEX(_xlfn.TEXTSPLIT(coupe[[#This Row],[QR Fabrication]],"_"),1,3)</f>
        <v>Stock</v>
      </c>
      <c r="Q19" s="16" t="str">
        <f>INDEX(_xlfn.TEXTSPLIT(coupe[[#This Row],[QR Fabrication]],"_"),1,4)</f>
        <v>UNS2030-09</v>
      </c>
      <c r="R19" s="16" t="str">
        <f>INDEX(_xlfn.TEXTSPLIT(coupe[[#This Row],[QR Fabrication]],"_"),1,5)</f>
        <v>UNI SURPIQUE</v>
      </c>
      <c r="S19" s="16" t="str">
        <f>_xlfn.TEXTAFTER(coupe[[#This Row],[QR Fabrication]],"_",5)</f>
        <v>2030</v>
      </c>
      <c r="T19" s="82" t="e">
        <f>_xlfn.XLOOKUP(coupe[[#This Row],[Num OF]],#REF!,#REF!,0)</f>
        <v>#REF!</v>
      </c>
      <c r="U19" s="82" t="e">
        <f>_xlfn.XLOOKUP(coupe[[#This Row],[Num OF]],#REF!,#REF!,0)</f>
        <v>#REF!</v>
      </c>
      <c r="V19" s="82" t="str">
        <f>IF(
   COUNTIFS($A$2:A19,A19,
             $B$2:B19,B19,
             $D$2:D19,D19,
             $E$2:E19,E19,
             $F$2:F19,F19,
             $G$2:G19,G19,
             $H$2:H19,H19,
             $L$2:L19,L19)&gt;1,
   "Doublon",
   "Correcte"
)</f>
        <v>Correcte</v>
      </c>
    </row>
    <row r="20" spans="1:22" x14ac:dyDescent="0.25">
      <c r="A20" s="99" t="s">
        <v>2419</v>
      </c>
      <c r="B20" s="16" t="s">
        <v>684</v>
      </c>
      <c r="C20" s="68">
        <v>45911</v>
      </c>
      <c r="D20" s="17">
        <v>60</v>
      </c>
      <c r="E20" s="17">
        <v>0</v>
      </c>
      <c r="F20" s="17">
        <v>3</v>
      </c>
      <c r="G20" s="17">
        <v>0</v>
      </c>
      <c r="H20" s="17">
        <v>0</v>
      </c>
      <c r="I20" s="16"/>
      <c r="J20" s="16"/>
      <c r="K20" s="16" t="s">
        <v>664</v>
      </c>
      <c r="L20" s="68">
        <v>45912</v>
      </c>
      <c r="M20" s="68" t="str">
        <f t="shared" si="0"/>
        <v>Coupe</v>
      </c>
      <c r="N20" s="68" t="str">
        <f>INDEX(_xlfn.TEXTSPLIT(coupe[[#This Row],[QR Fabrication]],"_"),1,1)</f>
        <v>CA250008</v>
      </c>
      <c r="O20" s="68" t="str">
        <f>INDEX(_xlfn.TEXTSPLIT(coupe[[#This Row],[QR Fabrication]],"_"),1,2)</f>
        <v>All by Fouta</v>
      </c>
      <c r="P20" s="16" t="str">
        <f>INDEX(_xlfn.TEXTSPLIT(coupe[[#This Row],[QR Fabrication]],"_"),1,3)</f>
        <v>Stock</v>
      </c>
      <c r="Q20" s="16" t="str">
        <f>INDEX(_xlfn.TEXTSPLIT(coupe[[#This Row],[QR Fabrication]],"_"),1,4)</f>
        <v>UNS1020-15</v>
      </c>
      <c r="R20" s="16" t="str">
        <f>INDEX(_xlfn.TEXTSPLIT(coupe[[#This Row],[QR Fabrication]],"_"),1,5)</f>
        <v>UNI SURPIQUE</v>
      </c>
      <c r="S20" s="16" t="str">
        <f>_xlfn.TEXTAFTER(coupe[[#This Row],[QR Fabrication]],"_",5)</f>
        <v>1020</v>
      </c>
      <c r="T20" s="82" t="e">
        <f>_xlfn.XLOOKUP(coupe[[#This Row],[Num OF]],#REF!,#REF!,0)</f>
        <v>#REF!</v>
      </c>
      <c r="U20" s="82" t="e">
        <f>_xlfn.XLOOKUP(coupe[[#This Row],[Num OF]],#REF!,#REF!,0)</f>
        <v>#REF!</v>
      </c>
      <c r="V20" s="82" t="str">
        <f>IF(
   COUNTIFS($A$2:A20,A20,
             $B$2:B20,B20,
             $D$2:D20,D20,
             $E$2:E20,E20,
             $F$2:F20,F20,
             $G$2:G20,G20,
             $H$2:H20,H20,
             $L$2:L20,L20)&gt;1,
   "Doublon",
   "Correcte"
)</f>
        <v>Correcte</v>
      </c>
    </row>
    <row r="21" spans="1:22" x14ac:dyDescent="0.25">
      <c r="A21" s="99" t="s">
        <v>2416</v>
      </c>
      <c r="B21" s="16" t="s">
        <v>684</v>
      </c>
      <c r="C21" s="68">
        <v>45911</v>
      </c>
      <c r="D21" s="17">
        <v>13</v>
      </c>
      <c r="E21" s="17">
        <v>0</v>
      </c>
      <c r="F21" s="17">
        <v>2</v>
      </c>
      <c r="G21" s="17">
        <v>0</v>
      </c>
      <c r="H21" s="17">
        <v>0</v>
      </c>
      <c r="I21" s="16"/>
      <c r="J21" s="16"/>
      <c r="K21" s="16" t="s">
        <v>664</v>
      </c>
      <c r="L21" s="68">
        <v>45912</v>
      </c>
      <c r="M21" s="68" t="str">
        <f t="shared" si="0"/>
        <v>Coupe</v>
      </c>
      <c r="N21" s="68" t="str">
        <f>INDEX(_xlfn.TEXTSPLIT(coupe[[#This Row],[QR Fabrication]],"_"),1,1)</f>
        <v>CA250009</v>
      </c>
      <c r="O21" s="68" t="str">
        <f>INDEX(_xlfn.TEXTSPLIT(coupe[[#This Row],[QR Fabrication]],"_"),1,2)</f>
        <v>All by Fouta</v>
      </c>
      <c r="P21" s="16" t="str">
        <f>INDEX(_xlfn.TEXTSPLIT(coupe[[#This Row],[QR Fabrication]],"_"),1,3)</f>
        <v>Stock</v>
      </c>
      <c r="Q21" s="16" t="str">
        <f>INDEX(_xlfn.TEXTSPLIT(coupe[[#This Row],[QR Fabrication]],"_"),1,4)</f>
        <v>UNS1020-17</v>
      </c>
      <c r="R21" s="16" t="str">
        <f>INDEX(_xlfn.TEXTSPLIT(coupe[[#This Row],[QR Fabrication]],"_"),1,5)</f>
        <v>UNI SURPIQUE</v>
      </c>
      <c r="S21" s="16" t="str">
        <f>_xlfn.TEXTAFTER(coupe[[#This Row],[QR Fabrication]],"_",5)</f>
        <v>1020</v>
      </c>
      <c r="T21" s="82" t="e">
        <f>_xlfn.XLOOKUP(coupe[[#This Row],[Num OF]],#REF!,#REF!,0)</f>
        <v>#REF!</v>
      </c>
      <c r="U21" s="82" t="e">
        <f>_xlfn.XLOOKUP(coupe[[#This Row],[Num OF]],#REF!,#REF!,0)</f>
        <v>#REF!</v>
      </c>
      <c r="V21" s="82" t="str">
        <f>IF(
   COUNTIFS($A$2:A21,A21,
             $B$2:B21,B21,
             $D$2:D21,D21,
             $E$2:E21,E21,
             $F$2:F21,F21,
             $G$2:G21,G21,
             $H$2:H21,H21,
             $L$2:L21,L21)&gt;1,
   "Doublon",
   "Correcte"
)</f>
        <v>Correcte</v>
      </c>
    </row>
    <row r="22" spans="1:22" x14ac:dyDescent="0.25">
      <c r="A22" s="99" t="s">
        <v>1302</v>
      </c>
      <c r="B22" s="16" t="s">
        <v>678</v>
      </c>
      <c r="C22" s="68">
        <v>45911</v>
      </c>
      <c r="D22" s="17">
        <v>80</v>
      </c>
      <c r="E22" s="17">
        <v>0</v>
      </c>
      <c r="F22" s="17">
        <v>0</v>
      </c>
      <c r="G22" s="17">
        <v>0</v>
      </c>
      <c r="H22" s="17">
        <v>0</v>
      </c>
      <c r="I22" s="16"/>
      <c r="J22" s="16"/>
      <c r="K22" s="16" t="s">
        <v>664</v>
      </c>
      <c r="L22" s="68">
        <v>45912</v>
      </c>
      <c r="M22" s="68" t="str">
        <f t="shared" si="0"/>
        <v>Coupe</v>
      </c>
      <c r="N22" s="68" t="str">
        <f>INDEX(_xlfn.TEXTSPLIT(coupe[[#This Row],[QR Fabrication]],"_"),1,1)</f>
        <v>OF246543</v>
      </c>
      <c r="O22" s="68" t="str">
        <f>INDEX(_xlfn.TEXTSPLIT(coupe[[#This Row],[QR Fabrication]],"_"),1,2)</f>
        <v>CL00296</v>
      </c>
      <c r="P22" s="16" t="str">
        <f>INDEX(_xlfn.TEXTSPLIT(coupe[[#This Row],[QR Fabrication]],"_"),1,3)</f>
        <v>CM-FT0108</v>
      </c>
      <c r="Q22" s="16" t="str">
        <f>INDEX(_xlfn.TEXTSPLIT(coupe[[#This Row],[QR Fabrication]],"_"),1,4)</f>
        <v>EPMA0919-B15-02</v>
      </c>
      <c r="R22" s="16" t="str">
        <f>INDEX(_xlfn.TEXTSPLIT(coupe[[#This Row],[QR Fabrication]],"_"),1,5)</f>
        <v>MARINIERE</v>
      </c>
      <c r="S22" s="16" t="str">
        <f>_xlfn.TEXTAFTER(coupe[[#This Row],[QR Fabrication]],"_",5)</f>
        <v>0919</v>
      </c>
      <c r="T22" s="82" t="e">
        <f>_xlfn.XLOOKUP(coupe[[#This Row],[Num OF]],#REF!,#REF!,0)</f>
        <v>#REF!</v>
      </c>
      <c r="U22" s="82" t="e">
        <f>_xlfn.XLOOKUP(coupe[[#This Row],[Num OF]],#REF!,#REF!,0)</f>
        <v>#REF!</v>
      </c>
      <c r="V22" s="82" t="str">
        <f>IF(
   COUNTIFS($A$2:A22,A22,
             $B$2:B22,B22,
             $D$2:D22,D22,
             $E$2:E22,E22,
             $F$2:F22,F22,
             $G$2:G22,G22,
             $H$2:H22,H22,
             $L$2:L22,L22)&gt;1,
   "Doublon",
   "Correcte"
)</f>
        <v>Correcte</v>
      </c>
    </row>
    <row r="23" spans="1:22" x14ac:dyDescent="0.25">
      <c r="A23" s="99" t="s">
        <v>1301</v>
      </c>
      <c r="B23" s="16" t="s">
        <v>686</v>
      </c>
      <c r="C23" s="68">
        <v>45912</v>
      </c>
      <c r="D23" s="17">
        <v>9</v>
      </c>
      <c r="E23" s="17">
        <v>0</v>
      </c>
      <c r="F23" s="17">
        <v>0</v>
      </c>
      <c r="G23" s="17">
        <v>0</v>
      </c>
      <c r="H23" s="17">
        <v>0</v>
      </c>
      <c r="I23" s="16"/>
      <c r="J23" s="16"/>
      <c r="K23" s="16" t="s">
        <v>664</v>
      </c>
      <c r="L23" s="68">
        <v>45913</v>
      </c>
      <c r="M23" s="68" t="str">
        <f t="shared" si="0"/>
        <v>Coupe</v>
      </c>
      <c r="N23" s="68" t="str">
        <f>INDEX(_xlfn.TEXTSPLIT(coupe[[#This Row],[QR Fabrication]],"_"),1,1)</f>
        <v>CA250069</v>
      </c>
      <c r="O23" s="68" t="str">
        <f>INDEX(_xlfn.TEXTSPLIT(coupe[[#This Row],[QR Fabrication]],"_"),1,2)</f>
        <v>All by Fouta</v>
      </c>
      <c r="P23" s="16" t="str">
        <f>INDEX(_xlfn.TEXTSPLIT(coupe[[#This Row],[QR Fabrication]],"_"),1,3)</f>
        <v>Stock</v>
      </c>
      <c r="Q23" s="16" t="str">
        <f>INDEX(_xlfn.TEXTSPLIT(coupe[[#This Row],[QR Fabrication]],"_"),1,4)</f>
        <v>UNS2030-17</v>
      </c>
      <c r="R23" s="16" t="str">
        <f>INDEX(_xlfn.TEXTSPLIT(coupe[[#This Row],[QR Fabrication]],"_"),1,5)</f>
        <v>UNI SURPIQUE</v>
      </c>
      <c r="S23" s="16" t="str">
        <f>_xlfn.TEXTAFTER(coupe[[#This Row],[QR Fabrication]],"_",5)</f>
        <v>2030</v>
      </c>
      <c r="T23" s="82" t="e">
        <f>_xlfn.XLOOKUP(coupe[[#This Row],[Num OF]],#REF!,#REF!,0)</f>
        <v>#REF!</v>
      </c>
      <c r="U23" s="82" t="e">
        <f>_xlfn.XLOOKUP(coupe[[#This Row],[Num OF]],#REF!,#REF!,0)</f>
        <v>#REF!</v>
      </c>
      <c r="V23" s="82" t="str">
        <f>IF(
   COUNTIFS($A$2:A23,A23,
             $B$2:B23,B23,
             $D$2:D23,D23,
             $E$2:E23,E23,
             $F$2:F23,F23,
             $G$2:G23,G23,
             $H$2:H23,H23,
             $L$2:L23,L23)&gt;1,
   "Doublon",
   "Correcte"
)</f>
        <v>Correcte</v>
      </c>
    </row>
    <row r="24" spans="1:22" x14ac:dyDescent="0.25">
      <c r="A24" s="99" t="s">
        <v>1303</v>
      </c>
      <c r="B24" s="16" t="s">
        <v>686</v>
      </c>
      <c r="C24" s="68">
        <v>45912</v>
      </c>
      <c r="D24" s="17">
        <v>15</v>
      </c>
      <c r="E24" s="17">
        <v>0</v>
      </c>
      <c r="F24" s="17">
        <v>1</v>
      </c>
      <c r="G24" s="17">
        <v>0</v>
      </c>
      <c r="H24" s="17">
        <v>0</v>
      </c>
      <c r="I24" s="16"/>
      <c r="J24" s="16"/>
      <c r="K24" s="16" t="s">
        <v>664</v>
      </c>
      <c r="L24" s="68">
        <v>45913</v>
      </c>
      <c r="M24" s="68" t="str">
        <f t="shared" si="0"/>
        <v>Coupe</v>
      </c>
      <c r="N24" s="68" t="str">
        <f>INDEX(_xlfn.TEXTSPLIT(coupe[[#This Row],[QR Fabrication]],"_"),1,1)</f>
        <v>CA250070</v>
      </c>
      <c r="O24" s="68" t="str">
        <f>INDEX(_xlfn.TEXTSPLIT(coupe[[#This Row],[QR Fabrication]],"_"),1,2)</f>
        <v>All by Fouta</v>
      </c>
      <c r="P24" s="16" t="str">
        <f>INDEX(_xlfn.TEXTSPLIT(coupe[[#This Row],[QR Fabrication]],"_"),1,3)</f>
        <v>Stock</v>
      </c>
      <c r="Q24" s="16" t="str">
        <f>INDEX(_xlfn.TEXTSPLIT(coupe[[#This Row],[QR Fabrication]],"_"),1,4)</f>
        <v>UNS2030-18</v>
      </c>
      <c r="R24" s="16" t="str">
        <f>INDEX(_xlfn.TEXTSPLIT(coupe[[#This Row],[QR Fabrication]],"_"),1,5)</f>
        <v>UNI SURPIQUE</v>
      </c>
      <c r="S24" s="16" t="str">
        <f>_xlfn.TEXTAFTER(coupe[[#This Row],[QR Fabrication]],"_",5)</f>
        <v>2030</v>
      </c>
      <c r="T24" s="82" t="e">
        <f>_xlfn.XLOOKUP(coupe[[#This Row],[Num OF]],#REF!,#REF!,0)</f>
        <v>#REF!</v>
      </c>
      <c r="U24" s="82" t="e">
        <f>_xlfn.XLOOKUP(coupe[[#This Row],[Num OF]],#REF!,#REF!,0)</f>
        <v>#REF!</v>
      </c>
      <c r="V24" s="82" t="str">
        <f>IF(
   COUNTIFS($A$2:A24,A24,
             $B$2:B24,B24,
             $D$2:D24,D24,
             $E$2:E24,E24,
             $F$2:F24,F24,
             $G$2:G24,G24,
             $H$2:H24,H24,
             $L$2:L24,L24)&gt;1,
   "Doublon",
   "Correcte"
)</f>
        <v>Correcte</v>
      </c>
    </row>
    <row r="25" spans="1:22" x14ac:dyDescent="0.25">
      <c r="A25" s="99" t="s">
        <v>1304</v>
      </c>
      <c r="B25" s="16" t="s">
        <v>686</v>
      </c>
      <c r="C25" s="68">
        <v>45912</v>
      </c>
      <c r="D25" s="17">
        <v>15</v>
      </c>
      <c r="E25" s="17">
        <v>0</v>
      </c>
      <c r="F25" s="17">
        <v>0</v>
      </c>
      <c r="G25" s="17">
        <v>0</v>
      </c>
      <c r="H25" s="17">
        <v>0</v>
      </c>
      <c r="I25" s="16"/>
      <c r="J25" s="16"/>
      <c r="K25" s="16" t="s">
        <v>664</v>
      </c>
      <c r="L25" s="68">
        <v>45913</v>
      </c>
      <c r="M25" s="68" t="str">
        <f t="shared" si="0"/>
        <v>Coupe</v>
      </c>
      <c r="N25" s="68" t="str">
        <f>INDEX(_xlfn.TEXTSPLIT(coupe[[#This Row],[QR Fabrication]],"_"),1,1)</f>
        <v>CA250026</v>
      </c>
      <c r="O25" s="68" t="str">
        <f>INDEX(_xlfn.TEXTSPLIT(coupe[[#This Row],[QR Fabrication]],"_"),1,2)</f>
        <v>All by Fouta</v>
      </c>
      <c r="P25" s="16" t="str">
        <f>INDEX(_xlfn.TEXTSPLIT(coupe[[#This Row],[QR Fabrication]],"_"),1,3)</f>
        <v>Stock</v>
      </c>
      <c r="Q25" s="16" t="str">
        <f>INDEX(_xlfn.TEXTSPLIT(coupe[[#This Row],[QR Fabrication]],"_"),1,4)</f>
        <v>UNS2020-12</v>
      </c>
      <c r="R25" s="16" t="str">
        <f>INDEX(_xlfn.TEXTSPLIT(coupe[[#This Row],[QR Fabrication]],"_"),1,5)</f>
        <v>UNI SURPIQUE</v>
      </c>
      <c r="S25" s="16" t="str">
        <f>_xlfn.TEXTAFTER(coupe[[#This Row],[QR Fabrication]],"_",5)</f>
        <v>2020</v>
      </c>
      <c r="T25" s="82" t="e">
        <f>_xlfn.XLOOKUP(coupe[[#This Row],[Num OF]],#REF!,#REF!,0)</f>
        <v>#REF!</v>
      </c>
      <c r="U25" s="82" t="e">
        <f>_xlfn.XLOOKUP(coupe[[#This Row],[Num OF]],#REF!,#REF!,0)</f>
        <v>#REF!</v>
      </c>
      <c r="V25" s="82" t="str">
        <f>IF(
   COUNTIFS($A$2:A25,A25,
             $B$2:B25,B25,
             $D$2:D25,D25,
             $E$2:E25,E25,
             $F$2:F25,F25,
             $G$2:G25,G25,
             $H$2:H25,H25,
             $L$2:L25,L25)&gt;1,
   "Doublon",
   "Correcte"
)</f>
        <v>Correcte</v>
      </c>
    </row>
    <row r="26" spans="1:22" x14ac:dyDescent="0.25">
      <c r="A26" s="99" t="s">
        <v>1305</v>
      </c>
      <c r="B26" s="16" t="s">
        <v>686</v>
      </c>
      <c r="C26" s="68">
        <v>45912</v>
      </c>
      <c r="D26" s="17">
        <v>24</v>
      </c>
      <c r="E26" s="17">
        <v>0</v>
      </c>
      <c r="F26" s="17">
        <v>1</v>
      </c>
      <c r="G26" s="17">
        <v>0</v>
      </c>
      <c r="H26" s="17">
        <v>0</v>
      </c>
      <c r="I26" s="16"/>
      <c r="J26" s="16"/>
      <c r="K26" s="16" t="s">
        <v>664</v>
      </c>
      <c r="L26" s="68">
        <v>45913</v>
      </c>
      <c r="M26" s="68" t="str">
        <f t="shared" si="0"/>
        <v>Coupe</v>
      </c>
      <c r="N26" s="68" t="str">
        <f>INDEX(_xlfn.TEXTSPLIT(coupe[[#This Row],[QR Fabrication]],"_"),1,1)</f>
        <v>CA250025</v>
      </c>
      <c r="O26" s="68" t="str">
        <f>INDEX(_xlfn.TEXTSPLIT(coupe[[#This Row],[QR Fabrication]],"_"),1,2)</f>
        <v>All by Fouta</v>
      </c>
      <c r="P26" s="16" t="str">
        <f>INDEX(_xlfn.TEXTSPLIT(coupe[[#This Row],[QR Fabrication]],"_"),1,3)</f>
        <v>Stock</v>
      </c>
      <c r="Q26" s="16" t="str">
        <f>INDEX(_xlfn.TEXTSPLIT(coupe[[#This Row],[QR Fabrication]],"_"),1,4)</f>
        <v>UNS2020-10</v>
      </c>
      <c r="R26" s="16" t="str">
        <f>INDEX(_xlfn.TEXTSPLIT(coupe[[#This Row],[QR Fabrication]],"_"),1,5)</f>
        <v>UNI SURPIQUE</v>
      </c>
      <c r="S26" s="16" t="str">
        <f>_xlfn.TEXTAFTER(coupe[[#This Row],[QR Fabrication]],"_",5)</f>
        <v>2020</v>
      </c>
      <c r="T26" s="82" t="e">
        <f>_xlfn.XLOOKUP(coupe[[#This Row],[Num OF]],#REF!,#REF!,0)</f>
        <v>#REF!</v>
      </c>
      <c r="U26" s="82" t="e">
        <f>_xlfn.XLOOKUP(coupe[[#This Row],[Num OF]],#REF!,#REF!,0)</f>
        <v>#REF!</v>
      </c>
      <c r="V26" s="82" t="str">
        <f>IF(
   COUNTIFS($A$2:A26,A26,
             $B$2:B26,B26,
             $D$2:D26,D26,
             $E$2:E26,E26,
             $F$2:F26,F26,
             $G$2:G26,G26,
             $H$2:H26,H26,
             $L$2:L26,L26)&gt;1,
   "Doublon",
   "Correcte"
)</f>
        <v>Correcte</v>
      </c>
    </row>
    <row r="27" spans="1:22" x14ac:dyDescent="0.25">
      <c r="A27" s="99" t="s">
        <v>2417</v>
      </c>
      <c r="B27" s="16" t="s">
        <v>686</v>
      </c>
      <c r="C27" s="68">
        <v>45912</v>
      </c>
      <c r="D27" s="17">
        <v>2</v>
      </c>
      <c r="E27" s="17">
        <v>0</v>
      </c>
      <c r="F27" s="17">
        <v>0</v>
      </c>
      <c r="G27" s="17">
        <v>0</v>
      </c>
      <c r="H27" s="17">
        <v>0</v>
      </c>
      <c r="I27" s="16"/>
      <c r="J27" s="16"/>
      <c r="K27" s="16" t="s">
        <v>664</v>
      </c>
      <c r="L27" s="68">
        <v>45913</v>
      </c>
      <c r="M27" s="68" t="str">
        <f t="shared" si="0"/>
        <v>Coupe</v>
      </c>
      <c r="N27" s="68" t="str">
        <f>INDEX(_xlfn.TEXTSPLIT(coupe[[#This Row],[QR Fabrication]],"_"),1,1)</f>
        <v>CA250023</v>
      </c>
      <c r="O27" s="68" t="str">
        <f>INDEX(_xlfn.TEXTSPLIT(coupe[[#This Row],[QR Fabrication]],"_"),1,2)</f>
        <v>All by Fouta</v>
      </c>
      <c r="P27" s="16" t="str">
        <f>INDEX(_xlfn.TEXTSPLIT(coupe[[#This Row],[QR Fabrication]],"_"),1,3)</f>
        <v>Stock</v>
      </c>
      <c r="Q27" s="16" t="str">
        <f>INDEX(_xlfn.TEXTSPLIT(coupe[[#This Row],[QR Fabrication]],"_"),1,4)</f>
        <v>UNS2020-06</v>
      </c>
      <c r="R27" s="16" t="str">
        <f>INDEX(_xlfn.TEXTSPLIT(coupe[[#This Row],[QR Fabrication]],"_"),1,5)</f>
        <v>UNI SURPIQUE</v>
      </c>
      <c r="S27" s="16" t="str">
        <f>_xlfn.TEXTAFTER(coupe[[#This Row],[QR Fabrication]],"_",5)</f>
        <v>2020</v>
      </c>
      <c r="T27" s="82" t="e">
        <f>_xlfn.XLOOKUP(coupe[[#This Row],[Num OF]],#REF!,#REF!,0)</f>
        <v>#REF!</v>
      </c>
      <c r="U27" s="82" t="e">
        <f>_xlfn.XLOOKUP(coupe[[#This Row],[Num OF]],#REF!,#REF!,0)</f>
        <v>#REF!</v>
      </c>
      <c r="V27" s="82" t="str">
        <f>IF(
   COUNTIFS($A$2:A27,A27,
             $B$2:B27,B27,
             $D$2:D27,D27,
             $E$2:E27,E27,
             $F$2:F27,F27,
             $G$2:G27,G27,
             $H$2:H27,H27,
             $L$2:L27,L27)&gt;1,
   "Doublon",
   "Correcte"
)</f>
        <v>Correcte</v>
      </c>
    </row>
    <row r="28" spans="1:22" x14ac:dyDescent="0.25">
      <c r="A28" s="99" t="s">
        <v>1302</v>
      </c>
      <c r="B28" s="16" t="s">
        <v>678</v>
      </c>
      <c r="C28" s="68">
        <v>45912</v>
      </c>
      <c r="D28" s="17">
        <v>33</v>
      </c>
      <c r="E28" s="17">
        <v>0</v>
      </c>
      <c r="F28" s="17">
        <v>0</v>
      </c>
      <c r="G28" s="17">
        <v>0</v>
      </c>
      <c r="H28" s="17">
        <v>0</v>
      </c>
      <c r="I28" s="16"/>
      <c r="J28" s="16"/>
      <c r="K28" s="16" t="s">
        <v>664</v>
      </c>
      <c r="L28" s="68">
        <v>45913</v>
      </c>
      <c r="M28" s="68" t="str">
        <f t="shared" si="0"/>
        <v>Coupe</v>
      </c>
      <c r="N28" s="68" t="str">
        <f>INDEX(_xlfn.TEXTSPLIT(coupe[[#This Row],[QR Fabrication]],"_"),1,1)</f>
        <v>OF246543</v>
      </c>
      <c r="O28" s="68" t="str">
        <f>INDEX(_xlfn.TEXTSPLIT(coupe[[#This Row],[QR Fabrication]],"_"),1,2)</f>
        <v>CL00296</v>
      </c>
      <c r="P28" s="16" t="str">
        <f>INDEX(_xlfn.TEXTSPLIT(coupe[[#This Row],[QR Fabrication]],"_"),1,3)</f>
        <v>CM-FT0108</v>
      </c>
      <c r="Q28" s="16" t="str">
        <f>INDEX(_xlfn.TEXTSPLIT(coupe[[#This Row],[QR Fabrication]],"_"),1,4)</f>
        <v>EPMA0919-B15-02</v>
      </c>
      <c r="R28" s="16" t="str">
        <f>INDEX(_xlfn.TEXTSPLIT(coupe[[#This Row],[QR Fabrication]],"_"),1,5)</f>
        <v>MARINIERE</v>
      </c>
      <c r="S28" s="16" t="str">
        <f>_xlfn.TEXTAFTER(coupe[[#This Row],[QR Fabrication]],"_",5)</f>
        <v>0919</v>
      </c>
      <c r="T28" s="82" t="e">
        <f>_xlfn.XLOOKUP(coupe[[#This Row],[Num OF]],#REF!,#REF!,0)</f>
        <v>#REF!</v>
      </c>
      <c r="U28" s="82" t="e">
        <f>_xlfn.XLOOKUP(coupe[[#This Row],[Num OF]],#REF!,#REF!,0)</f>
        <v>#REF!</v>
      </c>
      <c r="V28" s="82" t="str">
        <f>IF(
   COUNTIFS($A$2:A28,A28,
             $B$2:B28,B28,
             $D$2:D28,D28,
             $E$2:E28,E28,
             $F$2:F28,F28,
             $G$2:G28,G28,
             $H$2:H28,H28,
             $L$2:L28,L28)&gt;1,
   "Doublon",
   "Correcte"
)</f>
        <v>Correcte</v>
      </c>
    </row>
    <row r="29" spans="1:22" x14ac:dyDescent="0.25">
      <c r="A29" s="99" t="s">
        <v>1305</v>
      </c>
      <c r="B29" s="16" t="s">
        <v>686</v>
      </c>
      <c r="C29" s="68">
        <v>45912</v>
      </c>
      <c r="D29" s="17">
        <v>6</v>
      </c>
      <c r="E29" s="17">
        <v>0</v>
      </c>
      <c r="F29" s="17">
        <v>0</v>
      </c>
      <c r="G29" s="17">
        <v>0</v>
      </c>
      <c r="H29" s="17">
        <v>0</v>
      </c>
      <c r="I29" s="16"/>
      <c r="J29" s="16"/>
      <c r="K29" s="16" t="s">
        <v>664</v>
      </c>
      <c r="L29" s="68">
        <v>45913</v>
      </c>
      <c r="M29" s="68" t="str">
        <f t="shared" si="0"/>
        <v>Coupe</v>
      </c>
      <c r="N29" s="68" t="str">
        <f>INDEX(_xlfn.TEXTSPLIT(coupe[[#This Row],[QR Fabrication]],"_"),1,1)</f>
        <v>CA250025</v>
      </c>
      <c r="O29" s="68" t="str">
        <f>INDEX(_xlfn.TEXTSPLIT(coupe[[#This Row],[QR Fabrication]],"_"),1,2)</f>
        <v>All by Fouta</v>
      </c>
      <c r="P29" s="16" t="str">
        <f>INDEX(_xlfn.TEXTSPLIT(coupe[[#This Row],[QR Fabrication]],"_"),1,3)</f>
        <v>Stock</v>
      </c>
      <c r="Q29" s="16" t="str">
        <f>INDEX(_xlfn.TEXTSPLIT(coupe[[#This Row],[QR Fabrication]],"_"),1,4)</f>
        <v>UNS2020-10</v>
      </c>
      <c r="R29" s="16" t="str">
        <f>INDEX(_xlfn.TEXTSPLIT(coupe[[#This Row],[QR Fabrication]],"_"),1,5)</f>
        <v>UNI SURPIQUE</v>
      </c>
      <c r="S29" s="16" t="str">
        <f>_xlfn.TEXTAFTER(coupe[[#This Row],[QR Fabrication]],"_",5)</f>
        <v>2020</v>
      </c>
      <c r="T29" s="82" t="e">
        <f>_xlfn.XLOOKUP(coupe[[#This Row],[Num OF]],#REF!,#REF!,0)</f>
        <v>#REF!</v>
      </c>
      <c r="U29" s="82" t="e">
        <f>_xlfn.XLOOKUP(coupe[[#This Row],[Num OF]],#REF!,#REF!,0)</f>
        <v>#REF!</v>
      </c>
      <c r="V29" s="82" t="str">
        <f>IF(
   COUNTIFS($A$2:A29,A29,
             $B$2:B29,B29,
             $D$2:D29,D29,
             $E$2:E29,E29,
             $F$2:F29,F29,
             $G$2:G29,G29,
             $H$2:H29,H29,
             $L$2:L29,L29)&gt;1,
   "Doublon",
   "Correcte"
)</f>
        <v>Correcte</v>
      </c>
    </row>
    <row r="30" spans="1:22" x14ac:dyDescent="0.25">
      <c r="A30" s="99" t="s">
        <v>1304</v>
      </c>
      <c r="B30" s="16" t="s">
        <v>686</v>
      </c>
      <c r="C30" s="68">
        <v>45912</v>
      </c>
      <c r="D30" s="17">
        <v>14</v>
      </c>
      <c r="E30" s="17">
        <v>0</v>
      </c>
      <c r="F30" s="17">
        <v>0</v>
      </c>
      <c r="G30" s="17">
        <v>0</v>
      </c>
      <c r="H30" s="17">
        <v>0</v>
      </c>
      <c r="I30" s="16"/>
      <c r="J30" s="16"/>
      <c r="K30" s="16" t="s">
        <v>664</v>
      </c>
      <c r="L30" s="68">
        <v>45913</v>
      </c>
      <c r="M30" s="68" t="str">
        <f t="shared" si="0"/>
        <v>Coupe</v>
      </c>
      <c r="N30" s="68" t="str">
        <f>INDEX(_xlfn.TEXTSPLIT(coupe[[#This Row],[QR Fabrication]],"_"),1,1)</f>
        <v>CA250026</v>
      </c>
      <c r="O30" s="68" t="str">
        <f>INDEX(_xlfn.TEXTSPLIT(coupe[[#This Row],[QR Fabrication]],"_"),1,2)</f>
        <v>All by Fouta</v>
      </c>
      <c r="P30" s="16" t="str">
        <f>INDEX(_xlfn.TEXTSPLIT(coupe[[#This Row],[QR Fabrication]],"_"),1,3)</f>
        <v>Stock</v>
      </c>
      <c r="Q30" s="16" t="str">
        <f>INDEX(_xlfn.TEXTSPLIT(coupe[[#This Row],[QR Fabrication]],"_"),1,4)</f>
        <v>UNS2020-12</v>
      </c>
      <c r="R30" s="16" t="str">
        <f>INDEX(_xlfn.TEXTSPLIT(coupe[[#This Row],[QR Fabrication]],"_"),1,5)</f>
        <v>UNI SURPIQUE</v>
      </c>
      <c r="S30" s="16" t="str">
        <f>_xlfn.TEXTAFTER(coupe[[#This Row],[QR Fabrication]],"_",5)</f>
        <v>2020</v>
      </c>
      <c r="T30" s="82" t="e">
        <f>_xlfn.XLOOKUP(coupe[[#This Row],[Num OF]],#REF!,#REF!,0)</f>
        <v>#REF!</v>
      </c>
      <c r="U30" s="82" t="e">
        <f>_xlfn.XLOOKUP(coupe[[#This Row],[Num OF]],#REF!,#REF!,0)</f>
        <v>#REF!</v>
      </c>
      <c r="V30" s="82" t="str">
        <f>IF(
   COUNTIFS($A$2:A30,A30,
             $B$2:B30,B30,
             $D$2:D30,D30,
             $E$2:E30,E30,
             $F$2:F30,F30,
             $G$2:G30,G30,
             $H$2:H30,H30,
             $L$2:L30,L30)&gt;1,
   "Doublon",
   "Correcte"
)</f>
        <v>Correcte</v>
      </c>
    </row>
    <row r="31" spans="1:22" x14ac:dyDescent="0.25">
      <c r="A31" s="99" t="s">
        <v>1306</v>
      </c>
      <c r="B31" s="16" t="s">
        <v>686</v>
      </c>
      <c r="C31" s="68">
        <v>45914</v>
      </c>
      <c r="D31" s="17">
        <v>18</v>
      </c>
      <c r="E31" s="17">
        <v>0</v>
      </c>
      <c r="F31" s="17">
        <v>3</v>
      </c>
      <c r="G31" s="17">
        <v>0</v>
      </c>
      <c r="H31" s="17">
        <v>0</v>
      </c>
      <c r="I31" s="16"/>
      <c r="J31" s="16"/>
      <c r="K31" s="16" t="s">
        <v>664</v>
      </c>
      <c r="L31" s="68">
        <v>45915</v>
      </c>
      <c r="M31" s="68" t="str">
        <f t="shared" si="0"/>
        <v>Coupe</v>
      </c>
      <c r="N31" s="68" t="str">
        <f>INDEX(_xlfn.TEXTSPLIT(coupe[[#This Row],[QR Fabrication]],"_"),1,1)</f>
        <v>CA250068</v>
      </c>
      <c r="O31" s="68" t="str">
        <f>INDEX(_xlfn.TEXTSPLIT(coupe[[#This Row],[QR Fabrication]],"_"),1,2)</f>
        <v>All by Fouta</v>
      </c>
      <c r="P31" s="16" t="str">
        <f>INDEX(_xlfn.TEXTSPLIT(coupe[[#This Row],[QR Fabrication]],"_"),1,3)</f>
        <v>Stock</v>
      </c>
      <c r="Q31" s="16" t="str">
        <f>INDEX(_xlfn.TEXTSPLIT(coupe[[#This Row],[QR Fabrication]],"_"),1,4)</f>
        <v>UNS2030-15</v>
      </c>
      <c r="R31" s="16" t="str">
        <f>INDEX(_xlfn.TEXTSPLIT(coupe[[#This Row],[QR Fabrication]],"_"),1,5)</f>
        <v>UNI SURPIQUE</v>
      </c>
      <c r="S31" s="16" t="str">
        <f>_xlfn.TEXTAFTER(coupe[[#This Row],[QR Fabrication]],"_",5)</f>
        <v>2030</v>
      </c>
      <c r="T31" s="82" t="e">
        <f>_xlfn.XLOOKUP(coupe[[#This Row],[Num OF]],#REF!,#REF!,0)</f>
        <v>#REF!</v>
      </c>
      <c r="U31" s="82" t="e">
        <f>_xlfn.XLOOKUP(coupe[[#This Row],[Num OF]],#REF!,#REF!,0)</f>
        <v>#REF!</v>
      </c>
      <c r="V31" s="82" t="str">
        <f>IF(
   COUNTIFS($A$2:A31,A31,
             $B$2:B31,B31,
             $D$2:D31,D31,
             $E$2:E31,E31,
             $F$2:F31,F31,
             $G$2:G31,G31,
             $H$2:H31,H31,
             $L$2:L31,L31)&gt;1,
   "Doublon",
   "Correcte"
)</f>
        <v>Correcte</v>
      </c>
    </row>
    <row r="32" spans="1:22" x14ac:dyDescent="0.25">
      <c r="A32" s="99" t="s">
        <v>2488</v>
      </c>
      <c r="B32" s="16" t="s">
        <v>678</v>
      </c>
      <c r="C32" s="68">
        <v>45914</v>
      </c>
      <c r="D32" s="17">
        <v>70</v>
      </c>
      <c r="E32" s="17">
        <v>6</v>
      </c>
      <c r="F32" s="17">
        <v>0</v>
      </c>
      <c r="G32" s="17">
        <v>0</v>
      </c>
      <c r="H32" s="17">
        <v>0</v>
      </c>
      <c r="I32" s="16"/>
      <c r="J32" s="16"/>
      <c r="K32" s="16" t="s">
        <v>664</v>
      </c>
      <c r="L32" s="68">
        <v>45915</v>
      </c>
      <c r="M32" s="68" t="str">
        <f t="shared" si="0"/>
        <v>Coupe</v>
      </c>
      <c r="N32" s="68" t="str">
        <f>INDEX(_xlfn.TEXTSPLIT(coupe[[#This Row],[QR Fabrication]],"_"),1,1)</f>
        <v>OF243177</v>
      </c>
      <c r="O32" s="68" t="str">
        <f>INDEX(_xlfn.TEXTSPLIT(coupe[[#This Row],[QR Fabrication]],"_"),1,2)</f>
        <v>All By Fouta</v>
      </c>
      <c r="P32" s="16" t="str">
        <f>INDEX(_xlfn.TEXTSPLIT(coupe[[#This Row],[QR Fabrication]],"_"),1,3)</f>
        <v>Stock</v>
      </c>
      <c r="Q32" s="16" t="str">
        <f>INDEX(_xlfn.TEXTSPLIT(coupe[[#This Row],[QR Fabrication]],"_"),1,4)</f>
        <v>PONADU-B16-10</v>
      </c>
      <c r="R32" s="16" t="str">
        <f>INDEX(_xlfn.TEXTSPLIT(coupe[[#This Row],[QR Fabrication]],"_"),1,5)</f>
        <v>PONCHO BICOULEUR</v>
      </c>
      <c r="S32" s="16" t="str">
        <f>_xlfn.TEXTAFTER(coupe[[#This Row],[QR Fabrication]],"_",5)</f>
        <v>ADU</v>
      </c>
      <c r="T32" s="82" t="e">
        <f>_xlfn.XLOOKUP(coupe[[#This Row],[Num OF]],#REF!,#REF!,0)</f>
        <v>#REF!</v>
      </c>
      <c r="U32" s="82" t="e">
        <f>_xlfn.XLOOKUP(coupe[[#This Row],[Num OF]],#REF!,#REF!,0)</f>
        <v>#REF!</v>
      </c>
      <c r="V32" s="82" t="str">
        <f>IF(
   COUNTIFS($A$2:A32,A32,
             $B$2:B32,B32,
             $D$2:D32,D32,
             $E$2:E32,E32,
             $F$2:F32,F32,
             $G$2:G32,G32,
             $H$2:H32,H32,
             $L$2:L32,L32)&gt;1,
   "Doublon",
   "Correcte"
)</f>
        <v>Correcte</v>
      </c>
    </row>
    <row r="33" spans="1:22" x14ac:dyDescent="0.25">
      <c r="A33" s="99" t="s">
        <v>2411</v>
      </c>
      <c r="B33" s="16" t="s">
        <v>684</v>
      </c>
      <c r="C33" s="68">
        <v>45914</v>
      </c>
      <c r="D33" s="17">
        <v>25</v>
      </c>
      <c r="E33" s="17">
        <v>0</v>
      </c>
      <c r="F33" s="17">
        <v>0</v>
      </c>
      <c r="G33" s="17">
        <v>0</v>
      </c>
      <c r="H33" s="17">
        <v>0</v>
      </c>
      <c r="I33" s="16"/>
      <c r="J33" s="16"/>
      <c r="K33" s="16" t="s">
        <v>664</v>
      </c>
      <c r="L33" s="68">
        <v>45915</v>
      </c>
      <c r="M33" s="68" t="str">
        <f t="shared" si="0"/>
        <v>Coupe</v>
      </c>
      <c r="N33" s="68" t="str">
        <f>INDEX(_xlfn.TEXTSPLIT(coupe[[#This Row],[QR Fabrication]],"_"),1,1)</f>
        <v>CA250474</v>
      </c>
      <c r="O33" s="68" t="str">
        <f>INDEX(_xlfn.TEXTSPLIT(coupe[[#This Row],[QR Fabrication]],"_"),1,2)</f>
        <v>All by Fouta</v>
      </c>
      <c r="P33" s="16" t="str">
        <f>INDEX(_xlfn.TEXTSPLIT(coupe[[#This Row],[QR Fabrication]],"_"),1,3)</f>
        <v>Stock</v>
      </c>
      <c r="Q33" s="16" t="str">
        <f>INDEX(_xlfn.TEXTSPLIT(coupe[[#This Row],[QR Fabrication]],"_"),1,4)</f>
        <v>FAF1020-B06-08</v>
      </c>
      <c r="R33" s="16" t="str">
        <f>INDEX(_xlfn.TEXTSPLIT(coupe[[#This Row],[QR Fabrication]],"_"),1,5)</f>
        <v>FIL A FIL</v>
      </c>
      <c r="S33" s="16" t="str">
        <f>_xlfn.TEXTAFTER(coupe[[#This Row],[QR Fabrication]],"_",5)</f>
        <v>1020</v>
      </c>
      <c r="T33" s="82" t="e">
        <f>_xlfn.XLOOKUP(coupe[[#This Row],[Num OF]],#REF!,#REF!,0)</f>
        <v>#REF!</v>
      </c>
      <c r="U33" s="82" t="e">
        <f>_xlfn.XLOOKUP(coupe[[#This Row],[Num OF]],#REF!,#REF!,0)</f>
        <v>#REF!</v>
      </c>
      <c r="V33" s="82" t="str">
        <f>IF(
   COUNTIFS($A$2:A33,A33,
             $B$2:B33,B33,
             $D$2:D33,D33,
             $E$2:E33,E33,
             $F$2:F33,F33,
             $G$2:G33,G33,
             $H$2:H33,H33,
             $L$2:L33,L33)&gt;1,
   "Doublon",
   "Correcte"
)</f>
        <v>Correcte</v>
      </c>
    </row>
    <row r="34" spans="1:22" x14ac:dyDescent="0.25">
      <c r="A34" s="99" t="s">
        <v>2431</v>
      </c>
      <c r="B34" s="16" t="s">
        <v>686</v>
      </c>
      <c r="C34" s="68">
        <v>45914</v>
      </c>
      <c r="D34" s="17">
        <v>45</v>
      </c>
      <c r="E34" s="17">
        <v>0</v>
      </c>
      <c r="F34" s="17">
        <v>12</v>
      </c>
      <c r="G34" s="17">
        <v>0</v>
      </c>
      <c r="H34" s="17">
        <v>0</v>
      </c>
      <c r="I34" s="16"/>
      <c r="J34" s="16"/>
      <c r="K34" s="16" t="s">
        <v>664</v>
      </c>
      <c r="L34" s="68">
        <v>45915</v>
      </c>
      <c r="M34" s="68" t="str">
        <f t="shared" si="0"/>
        <v>Coupe</v>
      </c>
      <c r="N34" s="68" t="str">
        <f>INDEX(_xlfn.TEXTSPLIT(coupe[[#This Row],[QR Fabrication]],"_"),1,1)</f>
        <v>OF249846</v>
      </c>
      <c r="O34" s="68" t="str">
        <f>INDEX(_xlfn.TEXTSPLIT(coupe[[#This Row],[QR Fabrication]],"_"),1,2)</f>
        <v>CL00884</v>
      </c>
      <c r="P34" s="16" t="str">
        <f>INDEX(_xlfn.TEXTSPLIT(coupe[[#This Row],[QR Fabrication]],"_"),1,3)</f>
        <v>CM-FT0119</v>
      </c>
      <c r="Q34" s="16" t="str">
        <f>INDEX(_xlfn.TEXTSPLIT(coupe[[#This Row],[QR Fabrication]],"_"),1,4)</f>
        <v>ST1020-S28-25-24</v>
      </c>
      <c r="R34" s="16" t="str">
        <f>INDEX(_xlfn.TEXTSPLIT(coupe[[#This Row],[QR Fabrication]],"_"),1,5)</f>
        <v>ST TROPEZ</v>
      </c>
      <c r="S34" s="16" t="str">
        <f>_xlfn.TEXTAFTER(coupe[[#This Row],[QR Fabrication]],"_",5)</f>
        <v>1020</v>
      </c>
      <c r="T34" s="82" t="e">
        <f>_xlfn.XLOOKUP(coupe[[#This Row],[Num OF]],#REF!,#REF!,0)</f>
        <v>#REF!</v>
      </c>
      <c r="U34" s="82" t="e">
        <f>_xlfn.XLOOKUP(coupe[[#This Row],[Num OF]],#REF!,#REF!,0)</f>
        <v>#REF!</v>
      </c>
      <c r="V34" s="82" t="str">
        <f>IF(
   COUNTIFS($A$2:A34,A34,
             $B$2:B34,B34,
             $D$2:D34,D34,
             $E$2:E34,E34,
             $F$2:F34,F34,
             $G$2:G34,G34,
             $H$2:H34,H34,
             $L$2:L34,L34)&gt;1,
   "Doublon",
   "Correcte"
)</f>
        <v>Correcte</v>
      </c>
    </row>
    <row r="35" spans="1:22" x14ac:dyDescent="0.25">
      <c r="A35" s="99" t="s">
        <v>1307</v>
      </c>
      <c r="B35" s="16" t="s">
        <v>684</v>
      </c>
      <c r="C35" s="68">
        <v>45914</v>
      </c>
      <c r="D35" s="17">
        <v>53</v>
      </c>
      <c r="E35" s="17">
        <v>1</v>
      </c>
      <c r="F35" s="17">
        <v>1</v>
      </c>
      <c r="G35" s="17">
        <v>0</v>
      </c>
      <c r="H35" s="17">
        <v>0</v>
      </c>
      <c r="I35" s="16"/>
      <c r="J35" s="16"/>
      <c r="K35" s="16" t="s">
        <v>664</v>
      </c>
      <c r="L35" s="68">
        <v>45915</v>
      </c>
      <c r="M35" s="68" t="str">
        <f t="shared" si="0"/>
        <v>Coupe</v>
      </c>
      <c r="N35" s="68" t="str">
        <f>INDEX(_xlfn.TEXTSPLIT(coupe[[#This Row],[QR Fabrication]],"_"),1,1)</f>
        <v>CA250014</v>
      </c>
      <c r="O35" s="68" t="str">
        <f>INDEX(_xlfn.TEXTSPLIT(coupe[[#This Row],[QR Fabrication]],"_"),1,2)</f>
        <v>All by Fouta</v>
      </c>
      <c r="P35" s="16" t="str">
        <f>INDEX(_xlfn.TEXTSPLIT(coupe[[#This Row],[QR Fabrication]],"_"),1,3)</f>
        <v>Stock</v>
      </c>
      <c r="Q35" s="16" t="str">
        <f>INDEX(_xlfn.TEXTSPLIT(coupe[[#This Row],[QR Fabrication]],"_"),1,4)</f>
        <v>UNS1020-24</v>
      </c>
      <c r="R35" s="16" t="str">
        <f>INDEX(_xlfn.TEXTSPLIT(coupe[[#This Row],[QR Fabrication]],"_"),1,5)</f>
        <v>UNI SURPIQUE</v>
      </c>
      <c r="S35" s="16" t="str">
        <f>_xlfn.TEXTAFTER(coupe[[#This Row],[QR Fabrication]],"_",5)</f>
        <v>1020</v>
      </c>
      <c r="T35" s="82" t="e">
        <f>_xlfn.XLOOKUP(coupe[[#This Row],[Num OF]],#REF!,#REF!,0)</f>
        <v>#REF!</v>
      </c>
      <c r="U35" s="82" t="e">
        <f>_xlfn.XLOOKUP(coupe[[#This Row],[Num OF]],#REF!,#REF!,0)</f>
        <v>#REF!</v>
      </c>
      <c r="V35" s="82" t="str">
        <f>IF(
   COUNTIFS($A$2:A35,A35,
             $B$2:B35,B35,
             $D$2:D35,D35,
             $E$2:E35,E35,
             $F$2:F35,F35,
             $G$2:G35,G35,
             $H$2:H35,H35,
             $L$2:L35,L35)&gt;1,
   "Doublon",
   "Correcte"
)</f>
        <v>Correcte</v>
      </c>
    </row>
    <row r="36" spans="1:22" x14ac:dyDescent="0.25">
      <c r="A36" s="99" t="s">
        <v>1308</v>
      </c>
      <c r="B36" s="16" t="s">
        <v>686</v>
      </c>
      <c r="C36" s="68">
        <v>45914</v>
      </c>
      <c r="D36" s="17">
        <v>7</v>
      </c>
      <c r="E36" s="17">
        <v>0</v>
      </c>
      <c r="F36" s="17">
        <v>0</v>
      </c>
      <c r="G36" s="17">
        <v>0</v>
      </c>
      <c r="H36" s="17">
        <v>0</v>
      </c>
      <c r="I36" s="16"/>
      <c r="J36" s="16"/>
      <c r="K36" s="16" t="s">
        <v>664</v>
      </c>
      <c r="L36" s="68">
        <v>45915</v>
      </c>
      <c r="M36" s="68" t="str">
        <f t="shared" si="0"/>
        <v>Coupe</v>
      </c>
      <c r="N36" s="68" t="str">
        <f>INDEX(_xlfn.TEXTSPLIT(coupe[[#This Row],[QR Fabrication]],"_"),1,1)</f>
        <v>OF246842</v>
      </c>
      <c r="O36" s="68" t="str">
        <f>INDEX(_xlfn.TEXTSPLIT(coupe[[#This Row],[QR Fabrication]],"_"),1,2)</f>
        <v>CL00300</v>
      </c>
      <c r="P36" s="16" t="str">
        <f>INDEX(_xlfn.TEXTSPLIT(coupe[[#This Row],[QR Fabrication]],"_"),1,3)</f>
        <v>CM-FT0116</v>
      </c>
      <c r="Q36" s="16" t="str">
        <f>INDEX(_xlfn.TEXTSPLIT(coupe[[#This Row],[QR Fabrication]],"_"),1,4)</f>
        <v>AR2030-B11-16</v>
      </c>
      <c r="R36" s="16" t="str">
        <f>INDEX(_xlfn.TEXTSPLIT(coupe[[#This Row],[QR Fabrication]],"_"),1,5)</f>
        <v>ARTHUR</v>
      </c>
      <c r="S36" s="16" t="str">
        <f>_xlfn.TEXTAFTER(coupe[[#This Row],[QR Fabrication]],"_",5)</f>
        <v>2030</v>
      </c>
      <c r="T36" s="82" t="e">
        <f>_xlfn.XLOOKUP(coupe[[#This Row],[Num OF]],#REF!,#REF!,0)</f>
        <v>#REF!</v>
      </c>
      <c r="U36" s="82" t="e">
        <f>_xlfn.XLOOKUP(coupe[[#This Row],[Num OF]],#REF!,#REF!,0)</f>
        <v>#REF!</v>
      </c>
      <c r="V36" s="82" t="str">
        <f>IF(
   COUNTIFS($A$2:A36,A36,
             $B$2:B36,B36,
             $D$2:D36,D36,
             $E$2:E36,E36,
             $F$2:F36,F36,
             $G$2:G36,G36,
             $H$2:H36,H36,
             $L$2:L36,L36)&gt;1,
   "Doublon",
   "Correcte"
)</f>
        <v>Correcte</v>
      </c>
    </row>
    <row r="37" spans="1:22" x14ac:dyDescent="0.25">
      <c r="A37" s="99" t="s">
        <v>2564</v>
      </c>
      <c r="B37" s="16" t="s">
        <v>686</v>
      </c>
      <c r="C37" s="68">
        <v>45915</v>
      </c>
      <c r="D37" s="17">
        <v>12</v>
      </c>
      <c r="E37" s="17">
        <v>0</v>
      </c>
      <c r="F37" s="17">
        <v>0</v>
      </c>
      <c r="G37" s="17">
        <v>0</v>
      </c>
      <c r="H37" s="17">
        <v>0</v>
      </c>
      <c r="I37" s="16"/>
      <c r="J37" s="16"/>
      <c r="K37" s="16" t="s">
        <v>664</v>
      </c>
      <c r="L37" s="68">
        <v>45916</v>
      </c>
      <c r="M37" s="68" t="str">
        <f t="shared" si="0"/>
        <v>Coupe</v>
      </c>
      <c r="N37" s="68" t="str">
        <f>INDEX(_xlfn.TEXTSPLIT(coupe[[#This Row],[QR Fabrication]],"_"),1,1)</f>
        <v>CA250021</v>
      </c>
      <c r="O37" s="68" t="str">
        <f>INDEX(_xlfn.TEXTSPLIT(coupe[[#This Row],[QR Fabrication]],"_"),1,2)</f>
        <v>All by Fouta</v>
      </c>
      <c r="P37" s="16" t="str">
        <f>INDEX(_xlfn.TEXTSPLIT(coupe[[#This Row],[QR Fabrication]],"_"),1,3)</f>
        <v>Stock</v>
      </c>
      <c r="Q37" s="16" t="str">
        <f>INDEX(_xlfn.TEXTSPLIT(coupe[[#This Row],[QR Fabrication]],"_"),1,4)</f>
        <v>UNS2020-03</v>
      </c>
      <c r="R37" s="16" t="str">
        <f>INDEX(_xlfn.TEXTSPLIT(coupe[[#This Row],[QR Fabrication]],"_"),1,5)</f>
        <v>UNI SURPIQUE</v>
      </c>
      <c r="S37" s="16" t="str">
        <f>_xlfn.TEXTAFTER(coupe[[#This Row],[QR Fabrication]],"_",5)</f>
        <v>2020</v>
      </c>
      <c r="T37" s="82" t="e">
        <f>_xlfn.XLOOKUP(coupe[[#This Row],[Num OF]],#REF!,#REF!,0)</f>
        <v>#REF!</v>
      </c>
      <c r="U37" s="82" t="e">
        <f>_xlfn.XLOOKUP(coupe[[#This Row],[Num OF]],#REF!,#REF!,0)</f>
        <v>#REF!</v>
      </c>
      <c r="V37" s="82" t="str">
        <f>IF(
   COUNTIFS($A$2:A37,A37,
             $B$2:B37,B37,
             $D$2:D37,D37,
             $E$2:E37,E37,
             $F$2:F37,F37,
             $G$2:G37,G37,
             $H$2:H37,H37,
             $L$2:L37,L37)&gt;1,
   "Doublon",
   "Correcte"
)</f>
        <v>Correcte</v>
      </c>
    </row>
    <row r="38" spans="1:22" x14ac:dyDescent="0.25">
      <c r="A38" s="99" t="s">
        <v>1303</v>
      </c>
      <c r="B38" s="16" t="s">
        <v>686</v>
      </c>
      <c r="C38" s="68">
        <v>45915</v>
      </c>
      <c r="D38" s="17">
        <v>4</v>
      </c>
      <c r="E38" s="17">
        <v>0</v>
      </c>
      <c r="F38" s="17">
        <v>0</v>
      </c>
      <c r="G38" s="17">
        <v>0</v>
      </c>
      <c r="H38" s="17">
        <v>0</v>
      </c>
      <c r="I38" s="16"/>
      <c r="J38" s="16"/>
      <c r="K38" s="16" t="s">
        <v>664</v>
      </c>
      <c r="L38" s="68">
        <v>45916</v>
      </c>
      <c r="M38" s="68" t="str">
        <f t="shared" si="0"/>
        <v>Coupe</v>
      </c>
      <c r="N38" s="68" t="str">
        <f>INDEX(_xlfn.TEXTSPLIT(coupe[[#This Row],[QR Fabrication]],"_"),1,1)</f>
        <v>CA250070</v>
      </c>
      <c r="O38" s="68" t="str">
        <f>INDEX(_xlfn.TEXTSPLIT(coupe[[#This Row],[QR Fabrication]],"_"),1,2)</f>
        <v>All by Fouta</v>
      </c>
      <c r="P38" s="16" t="str">
        <f>INDEX(_xlfn.TEXTSPLIT(coupe[[#This Row],[QR Fabrication]],"_"),1,3)</f>
        <v>Stock</v>
      </c>
      <c r="Q38" s="16" t="str">
        <f>INDEX(_xlfn.TEXTSPLIT(coupe[[#This Row],[QR Fabrication]],"_"),1,4)</f>
        <v>UNS2030-18</v>
      </c>
      <c r="R38" s="16" t="str">
        <f>INDEX(_xlfn.TEXTSPLIT(coupe[[#This Row],[QR Fabrication]],"_"),1,5)</f>
        <v>UNI SURPIQUE</v>
      </c>
      <c r="S38" s="16" t="str">
        <f>_xlfn.TEXTAFTER(coupe[[#This Row],[QR Fabrication]],"_",5)</f>
        <v>2030</v>
      </c>
      <c r="T38" s="82" t="e">
        <f>_xlfn.XLOOKUP(coupe[[#This Row],[Num OF]],#REF!,#REF!,0)</f>
        <v>#REF!</v>
      </c>
      <c r="U38" s="82" t="e">
        <f>_xlfn.XLOOKUP(coupe[[#This Row],[Num OF]],#REF!,#REF!,0)</f>
        <v>#REF!</v>
      </c>
      <c r="V38" s="82" t="str">
        <f>IF(
   COUNTIFS($A$2:A38,A38,
             $B$2:B38,B38,
             $D$2:D38,D38,
             $E$2:E38,E38,
             $F$2:F38,F38,
             $G$2:G38,G38,
             $H$2:H38,H38,
             $L$2:L38,L38)&gt;1,
   "Doublon",
   "Correcte"
)</f>
        <v>Correcte</v>
      </c>
    </row>
    <row r="39" spans="1:22" x14ac:dyDescent="0.25">
      <c r="A39" s="99" t="s">
        <v>1307</v>
      </c>
      <c r="B39" s="16" t="s">
        <v>684</v>
      </c>
      <c r="C39" s="68">
        <v>45915</v>
      </c>
      <c r="D39" s="17">
        <v>6</v>
      </c>
      <c r="E39" s="17">
        <v>0</v>
      </c>
      <c r="F39" s="17">
        <v>0</v>
      </c>
      <c r="G39" s="17">
        <v>0</v>
      </c>
      <c r="H39" s="17">
        <v>0</v>
      </c>
      <c r="I39" s="16"/>
      <c r="J39" s="16"/>
      <c r="K39" s="16" t="s">
        <v>664</v>
      </c>
      <c r="L39" s="68">
        <v>45916</v>
      </c>
      <c r="M39" s="68" t="str">
        <f t="shared" si="0"/>
        <v>Coupe</v>
      </c>
      <c r="N39" s="68" t="str">
        <f>INDEX(_xlfn.TEXTSPLIT(coupe[[#This Row],[QR Fabrication]],"_"),1,1)</f>
        <v>CA250014</v>
      </c>
      <c r="O39" s="68" t="str">
        <f>INDEX(_xlfn.TEXTSPLIT(coupe[[#This Row],[QR Fabrication]],"_"),1,2)</f>
        <v>All by Fouta</v>
      </c>
      <c r="P39" s="16" t="str">
        <f>INDEX(_xlfn.TEXTSPLIT(coupe[[#This Row],[QR Fabrication]],"_"),1,3)</f>
        <v>Stock</v>
      </c>
      <c r="Q39" s="16" t="str">
        <f>INDEX(_xlfn.TEXTSPLIT(coupe[[#This Row],[QR Fabrication]],"_"),1,4)</f>
        <v>UNS1020-24</v>
      </c>
      <c r="R39" s="16" t="str">
        <f>INDEX(_xlfn.TEXTSPLIT(coupe[[#This Row],[QR Fabrication]],"_"),1,5)</f>
        <v>UNI SURPIQUE</v>
      </c>
      <c r="S39" s="16" t="str">
        <f>_xlfn.TEXTAFTER(coupe[[#This Row],[QR Fabrication]],"_",5)</f>
        <v>1020</v>
      </c>
      <c r="T39" s="82" t="e">
        <f>_xlfn.XLOOKUP(coupe[[#This Row],[Num OF]],#REF!,#REF!,0)</f>
        <v>#REF!</v>
      </c>
      <c r="U39" s="82" t="e">
        <f>_xlfn.XLOOKUP(coupe[[#This Row],[Num OF]],#REF!,#REF!,0)</f>
        <v>#REF!</v>
      </c>
      <c r="V39" s="82" t="str">
        <f>IF(
   COUNTIFS($A$2:A39,A39,
             $B$2:B39,B39,
             $D$2:D39,D39,
             $E$2:E39,E39,
             $F$2:F39,F39,
             $G$2:G39,G39,
             $H$2:H39,H39,
             $L$2:L39,L39)&gt;1,
   "Doublon",
   "Correcte"
)</f>
        <v>Correcte</v>
      </c>
    </row>
    <row r="40" spans="1:22" x14ac:dyDescent="0.25">
      <c r="A40" s="99" t="s">
        <v>2561</v>
      </c>
      <c r="B40" s="16" t="s">
        <v>686</v>
      </c>
      <c r="C40" s="68">
        <v>45915</v>
      </c>
      <c r="D40" s="17">
        <v>31</v>
      </c>
      <c r="E40" s="17">
        <v>0</v>
      </c>
      <c r="F40" s="17">
        <v>0</v>
      </c>
      <c r="G40" s="17">
        <v>0</v>
      </c>
      <c r="H40" s="17">
        <v>0</v>
      </c>
      <c r="I40" s="16"/>
      <c r="J40" s="16"/>
      <c r="K40" s="16" t="s">
        <v>664</v>
      </c>
      <c r="L40" s="68">
        <v>45916</v>
      </c>
      <c r="M40" s="68" t="str">
        <f t="shared" si="0"/>
        <v>Coupe</v>
      </c>
      <c r="N40" s="68" t="str">
        <f>INDEX(_xlfn.TEXTSPLIT(coupe[[#This Row],[QR Fabrication]],"_"),1,1)</f>
        <v>CA250029</v>
      </c>
      <c r="O40" s="68" t="str">
        <f>INDEX(_xlfn.TEXTSPLIT(coupe[[#This Row],[QR Fabrication]],"_"),1,2)</f>
        <v>All by Fouta</v>
      </c>
      <c r="P40" s="16" t="str">
        <f>INDEX(_xlfn.TEXTSPLIT(coupe[[#This Row],[QR Fabrication]],"_"),1,3)</f>
        <v>Stock</v>
      </c>
      <c r="Q40" s="16" t="str">
        <f>INDEX(_xlfn.TEXTSPLIT(coupe[[#This Row],[QR Fabrication]],"_"),1,4)</f>
        <v>UNS2020-17</v>
      </c>
      <c r="R40" s="16" t="str">
        <f>INDEX(_xlfn.TEXTSPLIT(coupe[[#This Row],[QR Fabrication]],"_"),1,5)</f>
        <v>UNI SURPIQUE</v>
      </c>
      <c r="S40" s="16" t="str">
        <f>_xlfn.TEXTAFTER(coupe[[#This Row],[QR Fabrication]],"_",5)</f>
        <v>2020</v>
      </c>
      <c r="T40" s="82" t="e">
        <f>_xlfn.XLOOKUP(coupe[[#This Row],[Num OF]],#REF!,#REF!,0)</f>
        <v>#REF!</v>
      </c>
      <c r="U40" s="82" t="e">
        <f>_xlfn.XLOOKUP(coupe[[#This Row],[Num OF]],#REF!,#REF!,0)</f>
        <v>#REF!</v>
      </c>
      <c r="V40" s="82" t="str">
        <f>IF(
   COUNTIFS($A$2:A40,A40,
             $B$2:B40,B40,
             $D$2:D40,D40,
             $E$2:E40,E40,
             $F$2:F40,F40,
             $G$2:G40,G40,
             $H$2:H40,H40,
             $L$2:L40,L40)&gt;1,
   "Doublon",
   "Correcte"
)</f>
        <v>Correcte</v>
      </c>
    </row>
    <row r="41" spans="1:22" x14ac:dyDescent="0.25">
      <c r="A41" s="99" t="s">
        <v>2431</v>
      </c>
      <c r="B41" s="16" t="s">
        <v>686</v>
      </c>
      <c r="C41" s="68">
        <v>45915</v>
      </c>
      <c r="D41" s="17">
        <v>45</v>
      </c>
      <c r="E41" s="17">
        <v>2</v>
      </c>
      <c r="F41" s="17">
        <v>10</v>
      </c>
      <c r="G41" s="17">
        <v>0</v>
      </c>
      <c r="H41" s="17">
        <v>0</v>
      </c>
      <c r="I41" s="16"/>
      <c r="J41" s="16"/>
      <c r="K41" s="16" t="s">
        <v>664</v>
      </c>
      <c r="L41" s="68">
        <v>45916</v>
      </c>
      <c r="M41" s="68" t="str">
        <f t="shared" si="0"/>
        <v>Coupe</v>
      </c>
      <c r="N41" s="68" t="str">
        <f>INDEX(_xlfn.TEXTSPLIT(coupe[[#This Row],[QR Fabrication]],"_"),1,1)</f>
        <v>OF249846</v>
      </c>
      <c r="O41" s="68" t="str">
        <f>INDEX(_xlfn.TEXTSPLIT(coupe[[#This Row],[QR Fabrication]],"_"),1,2)</f>
        <v>CL00884</v>
      </c>
      <c r="P41" s="16" t="str">
        <f>INDEX(_xlfn.TEXTSPLIT(coupe[[#This Row],[QR Fabrication]],"_"),1,3)</f>
        <v>CM-FT0119</v>
      </c>
      <c r="Q41" s="16" t="str">
        <f>INDEX(_xlfn.TEXTSPLIT(coupe[[#This Row],[QR Fabrication]],"_"),1,4)</f>
        <v>ST1020-S28-25-24</v>
      </c>
      <c r="R41" s="16" t="str">
        <f>INDEX(_xlfn.TEXTSPLIT(coupe[[#This Row],[QR Fabrication]],"_"),1,5)</f>
        <v>ST TROPEZ</v>
      </c>
      <c r="S41" s="16" t="str">
        <f>_xlfn.TEXTAFTER(coupe[[#This Row],[QR Fabrication]],"_",5)</f>
        <v>1020</v>
      </c>
      <c r="T41" s="82" t="e">
        <f>_xlfn.XLOOKUP(coupe[[#This Row],[Num OF]],#REF!,#REF!,0)</f>
        <v>#REF!</v>
      </c>
      <c r="U41" s="82" t="e">
        <f>_xlfn.XLOOKUP(coupe[[#This Row],[Num OF]],#REF!,#REF!,0)</f>
        <v>#REF!</v>
      </c>
      <c r="V41" s="82" t="str">
        <f>IF(
   COUNTIFS($A$2:A41,A41,
             $B$2:B41,B41,
             $D$2:D41,D41,
             $E$2:E41,E41,
             $F$2:F41,F41,
             $G$2:G41,G41,
             $H$2:H41,H41,
             $L$2:L41,L41)&gt;1,
   "Doublon",
   "Correcte"
)</f>
        <v>Correcte</v>
      </c>
    </row>
    <row r="42" spans="1:22" x14ac:dyDescent="0.25">
      <c r="A42" s="99" t="s">
        <v>1309</v>
      </c>
      <c r="B42" s="16" t="s">
        <v>684</v>
      </c>
      <c r="C42" s="68">
        <v>45915</v>
      </c>
      <c r="D42" s="17">
        <v>30</v>
      </c>
      <c r="E42" s="17">
        <v>1</v>
      </c>
      <c r="F42" s="17">
        <v>1</v>
      </c>
      <c r="G42" s="17">
        <v>0</v>
      </c>
      <c r="H42" s="17">
        <v>0</v>
      </c>
      <c r="I42" s="16"/>
      <c r="J42" s="16"/>
      <c r="K42" s="16" t="s">
        <v>664</v>
      </c>
      <c r="L42" s="68">
        <v>45916</v>
      </c>
      <c r="M42" s="68" t="str">
        <f t="shared" si="0"/>
        <v>Coupe</v>
      </c>
      <c r="N42" s="68" t="str">
        <f>INDEX(_xlfn.TEXTSPLIT(coupe[[#This Row],[QR Fabrication]],"_"),1,1)</f>
        <v>CA250013</v>
      </c>
      <c r="O42" s="68" t="str">
        <f>INDEX(_xlfn.TEXTSPLIT(coupe[[#This Row],[QR Fabrication]],"_"),1,2)</f>
        <v>All by Fouta</v>
      </c>
      <c r="P42" s="16" t="str">
        <f>INDEX(_xlfn.TEXTSPLIT(coupe[[#This Row],[QR Fabrication]],"_"),1,3)</f>
        <v>Stock</v>
      </c>
      <c r="Q42" s="16" t="str">
        <f>INDEX(_xlfn.TEXTSPLIT(coupe[[#This Row],[QR Fabrication]],"_"),1,4)</f>
        <v>UNS1020-23</v>
      </c>
      <c r="R42" s="16" t="str">
        <f>INDEX(_xlfn.TEXTSPLIT(coupe[[#This Row],[QR Fabrication]],"_"),1,5)</f>
        <v>UNI SURPIQUE</v>
      </c>
      <c r="S42" s="16" t="str">
        <f>_xlfn.TEXTAFTER(coupe[[#This Row],[QR Fabrication]],"_",5)</f>
        <v>1020</v>
      </c>
      <c r="T42" s="82" t="e">
        <f>_xlfn.XLOOKUP(coupe[[#This Row],[Num OF]],#REF!,#REF!,0)</f>
        <v>#REF!</v>
      </c>
      <c r="U42" s="82" t="e">
        <f>_xlfn.XLOOKUP(coupe[[#This Row],[Num OF]],#REF!,#REF!,0)</f>
        <v>#REF!</v>
      </c>
      <c r="V42" s="82" t="str">
        <f>IF(
   COUNTIFS($A$2:A42,A42,
             $B$2:B42,B42,
             $D$2:D42,D42,
             $E$2:E42,E42,
             $F$2:F42,F42,
             $G$2:G42,G42,
             $H$2:H42,H42,
             $L$2:L42,L42)&gt;1,
   "Doublon",
   "Correcte"
)</f>
        <v>Correcte</v>
      </c>
    </row>
    <row r="43" spans="1:22" x14ac:dyDescent="0.25">
      <c r="A43" s="99" t="s">
        <v>1300</v>
      </c>
      <c r="B43" s="16" t="s">
        <v>684</v>
      </c>
      <c r="C43" s="68">
        <v>45915</v>
      </c>
      <c r="D43" s="17">
        <v>2</v>
      </c>
      <c r="E43" s="17">
        <v>0</v>
      </c>
      <c r="F43" s="17">
        <v>0</v>
      </c>
      <c r="G43" s="17">
        <v>0</v>
      </c>
      <c r="H43" s="17">
        <v>0</v>
      </c>
      <c r="I43" s="16"/>
      <c r="J43" s="16"/>
      <c r="K43" s="16" t="s">
        <v>664</v>
      </c>
      <c r="L43" s="68">
        <v>45916</v>
      </c>
      <c r="M43" s="68" t="str">
        <f t="shared" si="0"/>
        <v>Coupe</v>
      </c>
      <c r="N43" s="68" t="str">
        <f>INDEX(_xlfn.TEXTSPLIT(coupe[[#This Row],[QR Fabrication]],"_"),1,1)</f>
        <v>CA250004</v>
      </c>
      <c r="O43" s="68" t="str">
        <f>INDEX(_xlfn.TEXTSPLIT(coupe[[#This Row],[QR Fabrication]],"_"),1,2)</f>
        <v>All by Fouta</v>
      </c>
      <c r="P43" s="16" t="str">
        <f>INDEX(_xlfn.TEXTSPLIT(coupe[[#This Row],[QR Fabrication]],"_"),1,3)</f>
        <v>Stock</v>
      </c>
      <c r="Q43" s="16" t="str">
        <f>INDEX(_xlfn.TEXTSPLIT(coupe[[#This Row],[QR Fabrication]],"_"),1,4)</f>
        <v>UNS1020-09</v>
      </c>
      <c r="R43" s="16" t="str">
        <f>INDEX(_xlfn.TEXTSPLIT(coupe[[#This Row],[QR Fabrication]],"_"),1,5)</f>
        <v>UNI SURPIQUE</v>
      </c>
      <c r="S43" s="16" t="str">
        <f>_xlfn.TEXTAFTER(coupe[[#This Row],[QR Fabrication]],"_",5)</f>
        <v>1020</v>
      </c>
      <c r="T43" s="82" t="e">
        <f>_xlfn.XLOOKUP(coupe[[#This Row],[Num OF]],#REF!,#REF!,0)</f>
        <v>#REF!</v>
      </c>
      <c r="U43" s="82" t="e">
        <f>_xlfn.XLOOKUP(coupe[[#This Row],[Num OF]],#REF!,#REF!,0)</f>
        <v>#REF!</v>
      </c>
      <c r="V43" s="82" t="str">
        <f>IF(
   COUNTIFS($A$2:A43,A43,
             $B$2:B43,B43,
             $D$2:D43,D43,
             $E$2:E43,E43,
             $F$2:F43,F43,
             $G$2:G43,G43,
             $H$2:H43,H43,
             $L$2:L43,L43)&gt;1,
   "Doublon",
   "Correcte"
)</f>
        <v>Correcte</v>
      </c>
    </row>
    <row r="44" spans="1:22" x14ac:dyDescent="0.25">
      <c r="A44" s="99" t="s">
        <v>2565</v>
      </c>
      <c r="B44" s="16" t="s">
        <v>678</v>
      </c>
      <c r="C44" s="68">
        <v>45915</v>
      </c>
      <c r="D44" s="17">
        <v>35</v>
      </c>
      <c r="E44" s="17">
        <v>0</v>
      </c>
      <c r="F44" s="17">
        <v>0</v>
      </c>
      <c r="G44" s="17">
        <v>0</v>
      </c>
      <c r="H44" s="17">
        <v>0</v>
      </c>
      <c r="I44" s="16"/>
      <c r="J44" s="16"/>
      <c r="K44" s="16" t="s">
        <v>664</v>
      </c>
      <c r="L44" s="68">
        <v>45916</v>
      </c>
      <c r="M44" s="68" t="str">
        <f t="shared" si="0"/>
        <v>Coupe</v>
      </c>
      <c r="N44" s="68" t="str">
        <f>INDEX(_xlfn.TEXTSPLIT(coupe[[#This Row],[QR Fabrication]],"_"),1,1)</f>
        <v>OF246537</v>
      </c>
      <c r="O44" s="68" t="str">
        <f>INDEX(_xlfn.TEXTSPLIT(coupe[[#This Row],[QR Fabrication]],"_"),1,2)</f>
        <v>CL00296</v>
      </c>
      <c r="P44" s="16" t="str">
        <f>INDEX(_xlfn.TEXTSPLIT(coupe[[#This Row],[QR Fabrication]],"_"),1,3)</f>
        <v>CM-FT0108</v>
      </c>
      <c r="Q44" s="16" t="str">
        <f>INDEX(_xlfn.TEXTSPLIT(coupe[[#This Row],[QR Fabrication]],"_"),1,4)</f>
        <v>EPMA0919-B26-02</v>
      </c>
      <c r="R44" s="16" t="str">
        <f>INDEX(_xlfn.TEXTSPLIT(coupe[[#This Row],[QR Fabrication]],"_"),1,5)</f>
        <v>MARINIERE</v>
      </c>
      <c r="S44" s="16" t="str">
        <f>_xlfn.TEXTAFTER(coupe[[#This Row],[QR Fabrication]],"_",5)</f>
        <v>0919</v>
      </c>
      <c r="T44" s="82" t="e">
        <f>_xlfn.XLOOKUP(coupe[[#This Row],[Num OF]],#REF!,#REF!,0)</f>
        <v>#REF!</v>
      </c>
      <c r="U44" s="82" t="e">
        <f>_xlfn.XLOOKUP(coupe[[#This Row],[Num OF]],#REF!,#REF!,0)</f>
        <v>#REF!</v>
      </c>
      <c r="V44" s="82" t="str">
        <f>IF(
   COUNTIFS($A$2:A44,A44,
             $B$2:B44,B44,
             $D$2:D44,D44,
             $E$2:E44,E44,
             $F$2:F44,F44,
             $G$2:G44,G44,
             $H$2:H44,H44,
             $L$2:L44,L44)&gt;1,
   "Doublon",
   "Correcte"
)</f>
        <v>Correcte</v>
      </c>
    </row>
    <row r="45" spans="1:22" x14ac:dyDescent="0.25">
      <c r="A45" s="99" t="s">
        <v>1310</v>
      </c>
      <c r="B45" s="16" t="s">
        <v>686</v>
      </c>
      <c r="C45" s="68">
        <v>45915</v>
      </c>
      <c r="D45" s="17">
        <v>30</v>
      </c>
      <c r="E45" s="17">
        <v>0</v>
      </c>
      <c r="F45" s="17">
        <v>3</v>
      </c>
      <c r="G45" s="17">
        <v>0</v>
      </c>
      <c r="H45" s="17">
        <v>0</v>
      </c>
      <c r="I45" s="16"/>
      <c r="J45" s="16"/>
      <c r="K45" s="16" t="s">
        <v>664</v>
      </c>
      <c r="L45" s="68">
        <v>45916</v>
      </c>
      <c r="M45" s="68" t="str">
        <f t="shared" si="0"/>
        <v>Coupe</v>
      </c>
      <c r="N45" s="68" t="str">
        <f>INDEX(_xlfn.TEXTSPLIT(coupe[[#This Row],[QR Fabrication]],"_"),1,1)</f>
        <v>CA250392</v>
      </c>
      <c r="O45" s="68" t="str">
        <f>INDEX(_xlfn.TEXTSPLIT(coupe[[#This Row],[QR Fabrication]],"_"),1,2)</f>
        <v>All by Fouta</v>
      </c>
      <c r="P45" s="16" t="str">
        <f>INDEX(_xlfn.TEXTSPLIT(coupe[[#This Row],[QR Fabrication]],"_"),1,3)</f>
        <v>Stock</v>
      </c>
      <c r="Q45" s="16" t="str">
        <f>INDEX(_xlfn.TEXTSPLIT(coupe[[#This Row],[QR Fabrication]],"_"),1,4)</f>
        <v>BE1020-Q26-13-01</v>
      </c>
      <c r="R45" s="16" t="str">
        <f>INDEX(_xlfn.TEXTSPLIT(coupe[[#This Row],[QR Fabrication]],"_"),1,5)</f>
        <v>BERBER</v>
      </c>
      <c r="S45" s="16" t="str">
        <f>_xlfn.TEXTAFTER(coupe[[#This Row],[QR Fabrication]],"_",5)</f>
        <v>1020</v>
      </c>
      <c r="T45" s="82" t="e">
        <f>_xlfn.XLOOKUP(coupe[[#This Row],[Num OF]],#REF!,#REF!,0)</f>
        <v>#REF!</v>
      </c>
      <c r="U45" s="82" t="e">
        <f>_xlfn.XLOOKUP(coupe[[#This Row],[Num OF]],#REF!,#REF!,0)</f>
        <v>#REF!</v>
      </c>
      <c r="V45" s="82" t="str">
        <f>IF(
   COUNTIFS($A$2:A45,A45,
             $B$2:B45,B45,
             $D$2:D45,D45,
             $E$2:E45,E45,
             $F$2:F45,F45,
             $G$2:G45,G45,
             $H$2:H45,H45,
             $L$2:L45,L45)&gt;1,
   "Doublon",
   "Correcte"
)</f>
        <v>Correcte</v>
      </c>
    </row>
    <row r="46" spans="1:22" x14ac:dyDescent="0.25">
      <c r="A46" s="99" t="s">
        <v>2467</v>
      </c>
      <c r="B46" s="16" t="s">
        <v>678</v>
      </c>
      <c r="C46" s="68">
        <v>45915</v>
      </c>
      <c r="D46" s="17">
        <v>75</v>
      </c>
      <c r="E46" s="17">
        <v>0</v>
      </c>
      <c r="F46" s="17">
        <v>0</v>
      </c>
      <c r="G46" s="17">
        <v>0</v>
      </c>
      <c r="H46" s="17">
        <v>0</v>
      </c>
      <c r="I46" s="16"/>
      <c r="J46" s="16"/>
      <c r="K46" s="16" t="s">
        <v>664</v>
      </c>
      <c r="L46" s="68">
        <v>45916</v>
      </c>
      <c r="M46" s="68" t="str">
        <f t="shared" si="0"/>
        <v>Coupe</v>
      </c>
      <c r="N46" s="68" t="str">
        <f>INDEX(_xlfn.TEXTSPLIT(coupe[[#This Row],[QR Fabrication]],"_"),1,1)</f>
        <v>CA250637</v>
      </c>
      <c r="O46" s="68" t="str">
        <f>INDEX(_xlfn.TEXTSPLIT(coupe[[#This Row],[QR Fabrication]],"_"),1,2)</f>
        <v>All by Fouta</v>
      </c>
      <c r="P46" s="16" t="str">
        <f>INDEX(_xlfn.TEXTSPLIT(coupe[[#This Row],[QR Fabrication]],"_"),1,3)</f>
        <v>Stock</v>
      </c>
      <c r="Q46" s="16" t="str">
        <f>INDEX(_xlfn.TEXTSPLIT(coupe[[#This Row],[QR Fabrication]],"_"),1,4)</f>
        <v>EPMA0919-B26-02</v>
      </c>
      <c r="R46" s="16" t="str">
        <f>INDEX(_xlfn.TEXTSPLIT(coupe[[#This Row],[QR Fabrication]],"_"),1,5)</f>
        <v>MARINIERE</v>
      </c>
      <c r="S46" s="16" t="str">
        <f>_xlfn.TEXTAFTER(coupe[[#This Row],[QR Fabrication]],"_",5)</f>
        <v>0919</v>
      </c>
      <c r="T46" s="82" t="e">
        <f>_xlfn.XLOOKUP(coupe[[#This Row],[Num OF]],#REF!,#REF!,0)</f>
        <v>#REF!</v>
      </c>
      <c r="U46" s="82" t="e">
        <f>_xlfn.XLOOKUP(coupe[[#This Row],[Num OF]],#REF!,#REF!,0)</f>
        <v>#REF!</v>
      </c>
      <c r="V46" s="82" t="str">
        <f>IF(
   COUNTIFS($A$2:A46,A46,
             $B$2:B46,B46,
             $D$2:D46,D46,
             $E$2:E46,E46,
             $F$2:F46,F46,
             $G$2:G46,G46,
             $H$2:H46,H46,
             $L$2:L46,L46)&gt;1,
   "Doublon",
   "Correcte"
)</f>
        <v>Correcte</v>
      </c>
    </row>
    <row r="47" spans="1:22" x14ac:dyDescent="0.25">
      <c r="A47" s="99" t="s">
        <v>1306</v>
      </c>
      <c r="B47" s="16" t="s">
        <v>686</v>
      </c>
      <c r="C47" s="68">
        <v>45916</v>
      </c>
      <c r="D47" s="17">
        <v>2</v>
      </c>
      <c r="E47" s="17">
        <v>0</v>
      </c>
      <c r="F47" s="17">
        <v>0</v>
      </c>
      <c r="G47" s="17">
        <v>0</v>
      </c>
      <c r="H47" s="17">
        <v>0</v>
      </c>
      <c r="I47" s="16"/>
      <c r="J47" s="16"/>
      <c r="K47" s="16" t="s">
        <v>664</v>
      </c>
      <c r="L47" s="68">
        <v>45917</v>
      </c>
      <c r="M47" s="68" t="str">
        <f t="shared" si="0"/>
        <v>Coupe</v>
      </c>
      <c r="N47" s="68" t="str">
        <f>INDEX(_xlfn.TEXTSPLIT(coupe[[#This Row],[QR Fabrication]],"_"),1,1)</f>
        <v>CA250068</v>
      </c>
      <c r="O47" s="68" t="str">
        <f>INDEX(_xlfn.TEXTSPLIT(coupe[[#This Row],[QR Fabrication]],"_"),1,2)</f>
        <v>All by Fouta</v>
      </c>
      <c r="P47" s="16" t="str">
        <f>INDEX(_xlfn.TEXTSPLIT(coupe[[#This Row],[QR Fabrication]],"_"),1,3)</f>
        <v>Stock</v>
      </c>
      <c r="Q47" s="16" t="str">
        <f>INDEX(_xlfn.TEXTSPLIT(coupe[[#This Row],[QR Fabrication]],"_"),1,4)</f>
        <v>UNS2030-15</v>
      </c>
      <c r="R47" s="16" t="str">
        <f>INDEX(_xlfn.TEXTSPLIT(coupe[[#This Row],[QR Fabrication]],"_"),1,5)</f>
        <v>UNI SURPIQUE</v>
      </c>
      <c r="S47" s="16" t="str">
        <f>_xlfn.TEXTAFTER(coupe[[#This Row],[QR Fabrication]],"_",5)</f>
        <v>2030</v>
      </c>
      <c r="T47" s="82" t="e">
        <f>_xlfn.XLOOKUP(coupe[[#This Row],[Num OF]],#REF!,#REF!,0)</f>
        <v>#REF!</v>
      </c>
      <c r="U47" s="82" t="e">
        <f>_xlfn.XLOOKUP(coupe[[#This Row],[Num OF]],#REF!,#REF!,0)</f>
        <v>#REF!</v>
      </c>
      <c r="V47" s="82" t="str">
        <f>IF(
   COUNTIFS($A$2:A47,A47,
             $B$2:B47,B47,
             $D$2:D47,D47,
             $E$2:E47,E47,
             $F$2:F47,F47,
             $G$2:G47,G47,
             $H$2:H47,H47,
             $L$2:L47,L47)&gt;1,
   "Doublon",
   "Correcte"
)</f>
        <v>Correcte</v>
      </c>
    </row>
    <row r="48" spans="1:22" x14ac:dyDescent="0.25">
      <c r="A48" s="99" t="s">
        <v>2425</v>
      </c>
      <c r="B48" s="16" t="s">
        <v>684</v>
      </c>
      <c r="C48" s="68">
        <v>45917</v>
      </c>
      <c r="D48" s="17">
        <v>17</v>
      </c>
      <c r="E48" s="17">
        <v>0</v>
      </c>
      <c r="F48" s="17">
        <v>2</v>
      </c>
      <c r="G48" s="17">
        <v>0</v>
      </c>
      <c r="H48" s="17">
        <v>0</v>
      </c>
      <c r="I48" s="16"/>
      <c r="J48" s="16"/>
      <c r="K48" s="16" t="s">
        <v>664</v>
      </c>
      <c r="L48" s="68">
        <v>45918</v>
      </c>
      <c r="M48" s="68" t="str">
        <f t="shared" si="0"/>
        <v>Coupe</v>
      </c>
      <c r="N48" s="68" t="str">
        <f>INDEX(_xlfn.TEXTSPLIT(coupe[[#This Row],[QR Fabrication]],"_"),1,1)</f>
        <v>CA250043</v>
      </c>
      <c r="O48" s="68" t="str">
        <f>INDEX(_xlfn.TEXTSPLIT(coupe[[#This Row],[QR Fabrication]],"_"),1,2)</f>
        <v>All by Fouta</v>
      </c>
      <c r="P48" s="16" t="str">
        <f>INDEX(_xlfn.TEXTSPLIT(coupe[[#This Row],[QR Fabrication]],"_"),1,3)</f>
        <v>Stock</v>
      </c>
      <c r="Q48" s="16" t="str">
        <f>INDEX(_xlfn.TEXTSPLIT(coupe[[#This Row],[QR Fabrication]],"_"),1,4)</f>
        <v>UNS1626-06</v>
      </c>
      <c r="R48" s="16" t="str">
        <f>INDEX(_xlfn.TEXTSPLIT(coupe[[#This Row],[QR Fabrication]],"_"),1,5)</f>
        <v>UNI SURPIQUE</v>
      </c>
      <c r="S48" s="16" t="str">
        <f>_xlfn.TEXTAFTER(coupe[[#This Row],[QR Fabrication]],"_",5)</f>
        <v>1626</v>
      </c>
      <c r="T48" s="82" t="e">
        <f>_xlfn.XLOOKUP(coupe[[#This Row],[Num OF]],#REF!,#REF!,0)</f>
        <v>#REF!</v>
      </c>
      <c r="U48" s="82" t="e">
        <f>_xlfn.XLOOKUP(coupe[[#This Row],[Num OF]],#REF!,#REF!,0)</f>
        <v>#REF!</v>
      </c>
      <c r="V48" s="82" t="str">
        <f>IF(
   COUNTIFS($A$2:A48,A48,
             $B$2:B48,B48,
             $D$2:D48,D48,
             $E$2:E48,E48,
             $F$2:F48,F48,
             $G$2:G48,G48,
             $H$2:H48,H48,
             $L$2:L48,L48)&gt;1,
   "Doublon",
   "Correcte"
)</f>
        <v>Correcte</v>
      </c>
    </row>
    <row r="49" spans="1:22" x14ac:dyDescent="0.25">
      <c r="A49" s="99" t="s">
        <v>2461</v>
      </c>
      <c r="B49" s="16" t="s">
        <v>684</v>
      </c>
      <c r="C49" s="68">
        <v>45917</v>
      </c>
      <c r="D49" s="17">
        <v>9</v>
      </c>
      <c r="E49" s="17">
        <v>0</v>
      </c>
      <c r="F49" s="17">
        <v>1</v>
      </c>
      <c r="G49" s="17">
        <v>0</v>
      </c>
      <c r="H49" s="17">
        <v>0</v>
      </c>
      <c r="I49" s="16"/>
      <c r="J49" s="16"/>
      <c r="K49" s="16" t="s">
        <v>664</v>
      </c>
      <c r="L49" s="68">
        <v>45918</v>
      </c>
      <c r="M49" s="68" t="str">
        <f t="shared" si="0"/>
        <v>Coupe</v>
      </c>
      <c r="N49" s="68" t="str">
        <f>INDEX(_xlfn.TEXTSPLIT(coupe[[#This Row],[QR Fabrication]],"_"),1,1)</f>
        <v>CA250044</v>
      </c>
      <c r="O49" s="68" t="str">
        <f>INDEX(_xlfn.TEXTSPLIT(coupe[[#This Row],[QR Fabrication]],"_"),1,2)</f>
        <v>All by Fouta</v>
      </c>
      <c r="P49" s="16" t="str">
        <f>INDEX(_xlfn.TEXTSPLIT(coupe[[#This Row],[QR Fabrication]],"_"),1,3)</f>
        <v>Stock</v>
      </c>
      <c r="Q49" s="16" t="str">
        <f>INDEX(_xlfn.TEXTSPLIT(coupe[[#This Row],[QR Fabrication]],"_"),1,4)</f>
        <v>UNS1626-09</v>
      </c>
      <c r="R49" s="16" t="str">
        <f>INDEX(_xlfn.TEXTSPLIT(coupe[[#This Row],[QR Fabrication]],"_"),1,5)</f>
        <v>UNI SURPIQUE</v>
      </c>
      <c r="S49" s="16" t="str">
        <f>_xlfn.TEXTAFTER(coupe[[#This Row],[QR Fabrication]],"_",5)</f>
        <v>1626</v>
      </c>
      <c r="T49" s="82" t="e">
        <f>_xlfn.XLOOKUP(coupe[[#This Row],[Num OF]],#REF!,#REF!,0)</f>
        <v>#REF!</v>
      </c>
      <c r="U49" s="82" t="e">
        <f>_xlfn.XLOOKUP(coupe[[#This Row],[Num OF]],#REF!,#REF!,0)</f>
        <v>#REF!</v>
      </c>
      <c r="V49" s="82" t="str">
        <f>IF(
   COUNTIFS($A$2:A49,A49,
             $B$2:B49,B49,
             $D$2:D49,D49,
             $E$2:E49,E49,
             $F$2:F49,F49,
             $G$2:G49,G49,
             $H$2:H49,H49,
             $L$2:L49,L49)&gt;1,
   "Doublon",
   "Correcte"
)</f>
        <v>Correcte</v>
      </c>
    </row>
    <row r="50" spans="1:22" x14ac:dyDescent="0.25">
      <c r="A50" s="99" t="s">
        <v>2447</v>
      </c>
      <c r="B50" s="16" t="s">
        <v>678</v>
      </c>
      <c r="C50" s="68">
        <v>45917</v>
      </c>
      <c r="D50" s="17">
        <v>68</v>
      </c>
      <c r="E50" s="17">
        <v>0</v>
      </c>
      <c r="F50" s="17">
        <v>0</v>
      </c>
      <c r="G50" s="17">
        <v>0</v>
      </c>
      <c r="H50" s="17">
        <v>0</v>
      </c>
      <c r="I50" s="16"/>
      <c r="J50" s="16"/>
      <c r="K50" s="16" t="s">
        <v>664</v>
      </c>
      <c r="L50" s="68">
        <v>45918</v>
      </c>
      <c r="M50" s="68" t="str">
        <f t="shared" si="0"/>
        <v>Coupe</v>
      </c>
      <c r="N50" s="68" t="str">
        <f>INDEX(_xlfn.TEXTSPLIT(coupe[[#This Row],[QR Fabrication]],"_"),1,1)</f>
        <v>OF246547</v>
      </c>
      <c r="O50" s="68" t="str">
        <f>INDEX(_xlfn.TEXTSPLIT(coupe[[#This Row],[QR Fabrication]],"_"),1,2)</f>
        <v>CL00296</v>
      </c>
      <c r="P50" s="16" t="str">
        <f>INDEX(_xlfn.TEXTSPLIT(coupe[[#This Row],[QR Fabrication]],"_"),1,3)</f>
        <v>CM-FT0108</v>
      </c>
      <c r="Q50" s="16" t="str">
        <f>INDEX(_xlfn.TEXTSPLIT(coupe[[#This Row],[QR Fabrication]],"_"),1,4)</f>
        <v>EPMA0919-B11-02</v>
      </c>
      <c r="R50" s="16" t="str">
        <f>INDEX(_xlfn.TEXTSPLIT(coupe[[#This Row],[QR Fabrication]],"_"),1,5)</f>
        <v>MARINIERE</v>
      </c>
      <c r="S50" s="16" t="str">
        <f>_xlfn.TEXTAFTER(coupe[[#This Row],[QR Fabrication]],"_",5)</f>
        <v>0919</v>
      </c>
      <c r="T50" s="82" t="e">
        <f>_xlfn.XLOOKUP(coupe[[#This Row],[Num OF]],#REF!,#REF!,0)</f>
        <v>#REF!</v>
      </c>
      <c r="U50" s="82" t="e">
        <f>_xlfn.XLOOKUP(coupe[[#This Row],[Num OF]],#REF!,#REF!,0)</f>
        <v>#REF!</v>
      </c>
      <c r="V50" s="82" t="str">
        <f>IF(
   COUNTIFS($A$2:A50,A50,
             $B$2:B50,B50,
             $D$2:D50,D50,
             $E$2:E50,E50,
             $F$2:F50,F50,
             $G$2:G50,G50,
             $H$2:H50,H50,
             $L$2:L50,L50)&gt;1,
   "Doublon",
   "Correcte"
)</f>
        <v>Correcte</v>
      </c>
    </row>
    <row r="51" spans="1:22" x14ac:dyDescent="0.25">
      <c r="A51" s="99" t="s">
        <v>2423</v>
      </c>
      <c r="B51" s="16" t="s">
        <v>684</v>
      </c>
      <c r="C51" s="68">
        <v>45917</v>
      </c>
      <c r="D51" s="17">
        <v>28</v>
      </c>
      <c r="E51" s="17">
        <v>0</v>
      </c>
      <c r="F51" s="17">
        <v>0</v>
      </c>
      <c r="G51" s="17">
        <v>0</v>
      </c>
      <c r="H51" s="17">
        <v>0</v>
      </c>
      <c r="I51" s="16"/>
      <c r="J51" s="16"/>
      <c r="K51" s="16" t="s">
        <v>664</v>
      </c>
      <c r="L51" s="68">
        <v>45918</v>
      </c>
      <c r="M51" s="68" t="str">
        <f t="shared" si="0"/>
        <v>Coupe</v>
      </c>
      <c r="N51" s="68" t="str">
        <f>INDEX(_xlfn.TEXTSPLIT(coupe[[#This Row],[QR Fabrication]],"_"),1,1)</f>
        <v>CA250012</v>
      </c>
      <c r="O51" s="68" t="str">
        <f>INDEX(_xlfn.TEXTSPLIT(coupe[[#This Row],[QR Fabrication]],"_"),1,2)</f>
        <v>All by Fouta</v>
      </c>
      <c r="P51" s="16" t="str">
        <f>INDEX(_xlfn.TEXTSPLIT(coupe[[#This Row],[QR Fabrication]],"_"),1,3)</f>
        <v>Stock</v>
      </c>
      <c r="Q51" s="16" t="str">
        <f>INDEX(_xlfn.TEXTSPLIT(coupe[[#This Row],[QR Fabrication]],"_"),1,4)</f>
        <v>UNS1020-20</v>
      </c>
      <c r="R51" s="16" t="str">
        <f>INDEX(_xlfn.TEXTSPLIT(coupe[[#This Row],[QR Fabrication]],"_"),1,5)</f>
        <v>UNI SURPIQUE</v>
      </c>
      <c r="S51" s="16" t="str">
        <f>_xlfn.TEXTAFTER(coupe[[#This Row],[QR Fabrication]],"_",5)</f>
        <v>1020</v>
      </c>
      <c r="T51" s="82" t="e">
        <f>_xlfn.XLOOKUP(coupe[[#This Row],[Num OF]],#REF!,#REF!,0)</f>
        <v>#REF!</v>
      </c>
      <c r="U51" s="82" t="e">
        <f>_xlfn.XLOOKUP(coupe[[#This Row],[Num OF]],#REF!,#REF!,0)</f>
        <v>#REF!</v>
      </c>
      <c r="V51" s="82" t="str">
        <f>IF(
   COUNTIFS($A$2:A51,A51,
             $B$2:B51,B51,
             $D$2:D51,D51,
             $E$2:E51,E51,
             $F$2:F51,F51,
             $G$2:G51,G51,
             $H$2:H51,H51,
             $L$2:L51,L51)&gt;1,
   "Doublon",
   "Correcte"
)</f>
        <v>Correcte</v>
      </c>
    </row>
    <row r="52" spans="1:22" x14ac:dyDescent="0.25">
      <c r="A52" s="99" t="s">
        <v>1309</v>
      </c>
      <c r="B52" s="16" t="s">
        <v>684</v>
      </c>
      <c r="C52" s="68">
        <v>45917</v>
      </c>
      <c r="D52" s="17">
        <v>34</v>
      </c>
      <c r="E52" s="17">
        <v>0</v>
      </c>
      <c r="F52" s="17">
        <v>0</v>
      </c>
      <c r="G52" s="17">
        <v>0</v>
      </c>
      <c r="H52" s="17">
        <v>0</v>
      </c>
      <c r="I52" s="16"/>
      <c r="J52" s="16"/>
      <c r="K52" s="16" t="s">
        <v>664</v>
      </c>
      <c r="L52" s="68">
        <v>45918</v>
      </c>
      <c r="M52" s="68" t="str">
        <f t="shared" si="0"/>
        <v>Coupe</v>
      </c>
      <c r="N52" s="68" t="str">
        <f>INDEX(_xlfn.TEXTSPLIT(coupe[[#This Row],[QR Fabrication]],"_"),1,1)</f>
        <v>CA250013</v>
      </c>
      <c r="O52" s="68" t="str">
        <f>INDEX(_xlfn.TEXTSPLIT(coupe[[#This Row],[QR Fabrication]],"_"),1,2)</f>
        <v>All by Fouta</v>
      </c>
      <c r="P52" s="16" t="str">
        <f>INDEX(_xlfn.TEXTSPLIT(coupe[[#This Row],[QR Fabrication]],"_"),1,3)</f>
        <v>Stock</v>
      </c>
      <c r="Q52" s="16" t="str">
        <f>INDEX(_xlfn.TEXTSPLIT(coupe[[#This Row],[QR Fabrication]],"_"),1,4)</f>
        <v>UNS1020-23</v>
      </c>
      <c r="R52" s="16" t="str">
        <f>INDEX(_xlfn.TEXTSPLIT(coupe[[#This Row],[QR Fabrication]],"_"),1,5)</f>
        <v>UNI SURPIQUE</v>
      </c>
      <c r="S52" s="16" t="str">
        <f>_xlfn.TEXTAFTER(coupe[[#This Row],[QR Fabrication]],"_",5)</f>
        <v>1020</v>
      </c>
      <c r="T52" s="82" t="e">
        <f>_xlfn.XLOOKUP(coupe[[#This Row],[Num OF]],#REF!,#REF!,0)</f>
        <v>#REF!</v>
      </c>
      <c r="U52" s="82" t="e">
        <f>_xlfn.XLOOKUP(coupe[[#This Row],[Num OF]],#REF!,#REF!,0)</f>
        <v>#REF!</v>
      </c>
      <c r="V52" s="82" t="str">
        <f>IF(
   COUNTIFS($A$2:A52,A52,
             $B$2:B52,B52,
             $D$2:D52,D52,
             $E$2:E52,E52,
             $F$2:F52,F52,
             $G$2:G52,G52,
             $H$2:H52,H52,
             $L$2:L52,L52)&gt;1,
   "Doublon",
   "Correcte"
)</f>
        <v>Correcte</v>
      </c>
    </row>
    <row r="53" spans="1:22" x14ac:dyDescent="0.25">
      <c r="A53" s="99" t="s">
        <v>2559</v>
      </c>
      <c r="B53" s="16" t="s">
        <v>684</v>
      </c>
      <c r="C53" s="68">
        <v>45917</v>
      </c>
      <c r="D53" s="17">
        <v>11</v>
      </c>
      <c r="E53" s="17">
        <v>0</v>
      </c>
      <c r="F53" s="17">
        <v>0</v>
      </c>
      <c r="G53" s="17">
        <v>0</v>
      </c>
      <c r="H53" s="17">
        <v>0</v>
      </c>
      <c r="I53" s="16"/>
      <c r="J53" s="16"/>
      <c r="K53" s="16" t="s">
        <v>664</v>
      </c>
      <c r="L53" s="68">
        <v>45918</v>
      </c>
      <c r="M53" s="68" t="str">
        <f t="shared" si="0"/>
        <v>Coupe</v>
      </c>
      <c r="N53" s="68" t="str">
        <f>INDEX(_xlfn.TEXTSPLIT(coupe[[#This Row],[QR Fabrication]],"_"),1,1)</f>
        <v>CA250048</v>
      </c>
      <c r="O53" s="68" t="str">
        <f>INDEX(_xlfn.TEXTSPLIT(coupe[[#This Row],[QR Fabrication]],"_"),1,2)</f>
        <v>All by Fouta</v>
      </c>
      <c r="P53" s="16" t="str">
        <f>INDEX(_xlfn.TEXTSPLIT(coupe[[#This Row],[QR Fabrication]],"_"),1,3)</f>
        <v>Stock</v>
      </c>
      <c r="Q53" s="16" t="str">
        <f>INDEX(_xlfn.TEXTSPLIT(coupe[[#This Row],[QR Fabrication]],"_"),1,4)</f>
        <v>UNS1626-15</v>
      </c>
      <c r="R53" s="16" t="str">
        <f>INDEX(_xlfn.TEXTSPLIT(coupe[[#This Row],[QR Fabrication]],"_"),1,5)</f>
        <v>UNI SURPIQUE</v>
      </c>
      <c r="S53" s="16" t="str">
        <f>_xlfn.TEXTAFTER(coupe[[#This Row],[QR Fabrication]],"_",5)</f>
        <v>1626</v>
      </c>
      <c r="T53" s="82" t="e">
        <f>_xlfn.XLOOKUP(coupe[[#This Row],[Num OF]],#REF!,#REF!,0)</f>
        <v>#REF!</v>
      </c>
      <c r="U53" s="82" t="e">
        <f>_xlfn.XLOOKUP(coupe[[#This Row],[Num OF]],#REF!,#REF!,0)</f>
        <v>#REF!</v>
      </c>
      <c r="V53" s="82" t="str">
        <f>IF(
   COUNTIFS($A$2:A53,A53,
             $B$2:B53,B53,
             $D$2:D53,D53,
             $E$2:E53,E53,
             $F$2:F53,F53,
             $G$2:G53,G53,
             $H$2:H53,H53,
             $L$2:L53,L53)&gt;1,
   "Doublon",
   "Correcte"
)</f>
        <v>Correcte</v>
      </c>
    </row>
    <row r="54" spans="1:22" x14ac:dyDescent="0.25">
      <c r="A54" s="99" t="s">
        <v>2431</v>
      </c>
      <c r="B54" s="16" t="s">
        <v>686</v>
      </c>
      <c r="C54" s="68">
        <v>45917</v>
      </c>
      <c r="D54" s="17">
        <v>70</v>
      </c>
      <c r="E54" s="17">
        <v>0</v>
      </c>
      <c r="F54" s="17">
        <v>4</v>
      </c>
      <c r="G54" s="17">
        <v>0</v>
      </c>
      <c r="H54" s="17">
        <v>0</v>
      </c>
      <c r="I54" s="16"/>
      <c r="J54" s="16"/>
      <c r="K54" s="16" t="s">
        <v>664</v>
      </c>
      <c r="L54" s="68">
        <v>45918</v>
      </c>
      <c r="M54" s="68" t="str">
        <f t="shared" si="0"/>
        <v>Coupe</v>
      </c>
      <c r="N54" s="68" t="str">
        <f>INDEX(_xlfn.TEXTSPLIT(coupe[[#This Row],[QR Fabrication]],"_"),1,1)</f>
        <v>OF249846</v>
      </c>
      <c r="O54" s="68" t="str">
        <f>INDEX(_xlfn.TEXTSPLIT(coupe[[#This Row],[QR Fabrication]],"_"),1,2)</f>
        <v>CL00884</v>
      </c>
      <c r="P54" s="16" t="str">
        <f>INDEX(_xlfn.TEXTSPLIT(coupe[[#This Row],[QR Fabrication]],"_"),1,3)</f>
        <v>CM-FT0119</v>
      </c>
      <c r="Q54" s="16" t="str">
        <f>INDEX(_xlfn.TEXTSPLIT(coupe[[#This Row],[QR Fabrication]],"_"),1,4)</f>
        <v>ST1020-S28-25-24</v>
      </c>
      <c r="R54" s="16" t="str">
        <f>INDEX(_xlfn.TEXTSPLIT(coupe[[#This Row],[QR Fabrication]],"_"),1,5)</f>
        <v>ST TROPEZ</v>
      </c>
      <c r="S54" s="16" t="str">
        <f>_xlfn.TEXTAFTER(coupe[[#This Row],[QR Fabrication]],"_",5)</f>
        <v>1020</v>
      </c>
      <c r="T54" s="82" t="e">
        <f>_xlfn.XLOOKUP(coupe[[#This Row],[Num OF]],#REF!,#REF!,0)</f>
        <v>#REF!</v>
      </c>
      <c r="U54" s="82" t="e">
        <f>_xlfn.XLOOKUP(coupe[[#This Row],[Num OF]],#REF!,#REF!,0)</f>
        <v>#REF!</v>
      </c>
      <c r="V54" s="82" t="str">
        <f>IF(
   COUNTIFS($A$2:A54,A54,
             $B$2:B54,B54,
             $D$2:D54,D54,
             $E$2:E54,E54,
             $F$2:F54,F54,
             $G$2:G54,G54,
             $H$2:H54,H54,
             $L$2:L54,L54)&gt;1,
   "Doublon",
   "Correcte"
)</f>
        <v>Correcte</v>
      </c>
    </row>
    <row r="55" spans="1:22" x14ac:dyDescent="0.25">
      <c r="A55" s="99" t="s">
        <v>1311</v>
      </c>
      <c r="B55" s="16" t="s">
        <v>686</v>
      </c>
      <c r="C55" s="68">
        <v>45917</v>
      </c>
      <c r="D55" s="17">
        <v>42</v>
      </c>
      <c r="E55" s="17">
        <v>0</v>
      </c>
      <c r="F55" s="17">
        <v>4</v>
      </c>
      <c r="G55" s="17">
        <v>0</v>
      </c>
      <c r="H55" s="17">
        <v>0</v>
      </c>
      <c r="I55" s="16"/>
      <c r="J55" s="16"/>
      <c r="K55" s="16" t="s">
        <v>664</v>
      </c>
      <c r="L55" s="68">
        <v>45918</v>
      </c>
      <c r="M55" s="68" t="str">
        <f t="shared" si="0"/>
        <v>Coupe</v>
      </c>
      <c r="N55" s="68" t="str">
        <f>INDEX(_xlfn.TEXTSPLIT(coupe[[#This Row],[QR Fabrication]],"_"),1,1)</f>
        <v>OF250128</v>
      </c>
      <c r="O55" s="68" t="str">
        <f>INDEX(_xlfn.TEXTSPLIT(coupe[[#This Row],[QR Fabrication]],"_"),1,2)</f>
        <v>CL00296</v>
      </c>
      <c r="P55" s="16" t="str">
        <f>INDEX(_xlfn.TEXTSPLIT(coupe[[#This Row],[QR Fabrication]],"_"),1,3)</f>
        <v>CM-FT0129</v>
      </c>
      <c r="Q55" s="16" t="str">
        <f>INDEX(_xlfn.TEXTSPLIT(coupe[[#This Row],[QR Fabrication]],"_"),1,4)</f>
        <v>NDL1020-B09-14</v>
      </c>
      <c r="R55" s="16" t="str">
        <f>INDEX(_xlfn.TEXTSPLIT(coupe[[#This Row],[QR Fabrication]],"_"),1,5)</f>
        <v>ND LILI</v>
      </c>
      <c r="S55" s="16" t="str">
        <f>_xlfn.TEXTAFTER(coupe[[#This Row],[QR Fabrication]],"_",5)</f>
        <v>1020</v>
      </c>
      <c r="T55" s="82" t="e">
        <f>_xlfn.XLOOKUP(coupe[[#This Row],[Num OF]],#REF!,#REF!,0)</f>
        <v>#REF!</v>
      </c>
      <c r="U55" s="82" t="e">
        <f>_xlfn.XLOOKUP(coupe[[#This Row],[Num OF]],#REF!,#REF!,0)</f>
        <v>#REF!</v>
      </c>
      <c r="V55" s="82" t="str">
        <f>IF(
   COUNTIFS($A$2:A55,A55,
             $B$2:B55,B55,
             $D$2:D55,D55,
             $E$2:E55,E55,
             $F$2:F55,F55,
             $G$2:G55,G55,
             $H$2:H55,H55,
             $L$2:L55,L55)&gt;1,
   "Doublon",
   "Correcte"
)</f>
        <v>Correcte</v>
      </c>
    </row>
    <row r="56" spans="1:22" x14ac:dyDescent="0.25">
      <c r="A56" s="99" t="s">
        <v>1312</v>
      </c>
      <c r="B56" s="16" t="s">
        <v>686</v>
      </c>
      <c r="C56" s="68">
        <v>45917</v>
      </c>
      <c r="D56" s="17">
        <v>20</v>
      </c>
      <c r="E56" s="17">
        <v>0</v>
      </c>
      <c r="F56" s="17">
        <v>0</v>
      </c>
      <c r="G56" s="17">
        <v>0</v>
      </c>
      <c r="H56" s="17">
        <v>0</v>
      </c>
      <c r="I56" s="16"/>
      <c r="J56" s="16"/>
      <c r="K56" s="16" t="s">
        <v>664</v>
      </c>
      <c r="L56" s="68">
        <v>45918</v>
      </c>
      <c r="M56" s="68" t="str">
        <f t="shared" si="0"/>
        <v>Coupe</v>
      </c>
      <c r="N56" s="68" t="str">
        <f>INDEX(_xlfn.TEXTSPLIT(coupe[[#This Row],[QR Fabrication]],"_"),1,1)</f>
        <v>CA250075</v>
      </c>
      <c r="O56" s="68" t="str">
        <f>INDEX(_xlfn.TEXTSPLIT(coupe[[#This Row],[QR Fabrication]],"_"),1,2)</f>
        <v>All by Fouta</v>
      </c>
      <c r="P56" s="16" t="str">
        <f>INDEX(_xlfn.TEXTSPLIT(coupe[[#This Row],[QR Fabrication]],"_"),1,3)</f>
        <v>Stock</v>
      </c>
      <c r="Q56" s="16" t="str">
        <f>INDEX(_xlfn.TEXTSPLIT(coupe[[#This Row],[QR Fabrication]],"_"),1,4)</f>
        <v>UNS2030-26</v>
      </c>
      <c r="R56" s="16" t="str">
        <f>INDEX(_xlfn.TEXTSPLIT(coupe[[#This Row],[QR Fabrication]],"_"),1,5)</f>
        <v>UNI SURPIQUE</v>
      </c>
      <c r="S56" s="16" t="str">
        <f>_xlfn.TEXTAFTER(coupe[[#This Row],[QR Fabrication]],"_",5)</f>
        <v>2030</v>
      </c>
      <c r="T56" s="82" t="e">
        <f>_xlfn.XLOOKUP(coupe[[#This Row],[Num OF]],#REF!,#REF!,0)</f>
        <v>#REF!</v>
      </c>
      <c r="U56" s="82" t="e">
        <f>_xlfn.XLOOKUP(coupe[[#This Row],[Num OF]],#REF!,#REF!,0)</f>
        <v>#REF!</v>
      </c>
      <c r="V56" s="82" t="str">
        <f>IF(
   COUNTIFS($A$2:A56,A56,
             $B$2:B56,B56,
             $D$2:D56,D56,
             $E$2:E56,E56,
             $F$2:F56,F56,
             $G$2:G56,G56,
             $H$2:H56,H56,
             $L$2:L56,L56)&gt;1,
   "Doublon",
   "Correcte"
)</f>
        <v>Correcte</v>
      </c>
    </row>
    <row r="57" spans="1:22" x14ac:dyDescent="0.25">
      <c r="A57" s="99" t="s">
        <v>2426</v>
      </c>
      <c r="B57" s="16" t="s">
        <v>686</v>
      </c>
      <c r="C57" s="68">
        <v>45917</v>
      </c>
      <c r="D57" s="17">
        <v>13</v>
      </c>
      <c r="E57" s="17">
        <v>0</v>
      </c>
      <c r="F57" s="17">
        <v>0</v>
      </c>
      <c r="G57" s="17">
        <v>0</v>
      </c>
      <c r="H57" s="17">
        <v>0</v>
      </c>
      <c r="I57" s="16"/>
      <c r="J57" s="16"/>
      <c r="K57" s="16" t="s">
        <v>664</v>
      </c>
      <c r="L57" s="68">
        <v>45918</v>
      </c>
      <c r="M57" s="68" t="str">
        <f t="shared" si="0"/>
        <v>Coupe</v>
      </c>
      <c r="N57" s="68" t="str">
        <f>INDEX(_xlfn.TEXTSPLIT(coupe[[#This Row],[QR Fabrication]],"_"),1,1)</f>
        <v>CA250076</v>
      </c>
      <c r="O57" s="68" t="str">
        <f>INDEX(_xlfn.TEXTSPLIT(coupe[[#This Row],[QR Fabrication]],"_"),1,2)</f>
        <v>All by Fouta</v>
      </c>
      <c r="P57" s="16" t="str">
        <f>INDEX(_xlfn.TEXTSPLIT(coupe[[#This Row],[QR Fabrication]],"_"),1,3)</f>
        <v>Stock</v>
      </c>
      <c r="Q57" s="16" t="str">
        <f>INDEX(_xlfn.TEXTSPLIT(coupe[[#This Row],[QR Fabrication]],"_"),1,4)</f>
        <v>UNS2030-27</v>
      </c>
      <c r="R57" s="16" t="str">
        <f>INDEX(_xlfn.TEXTSPLIT(coupe[[#This Row],[QR Fabrication]],"_"),1,5)</f>
        <v>UNI SURPIQUE</v>
      </c>
      <c r="S57" s="16" t="str">
        <f>_xlfn.TEXTAFTER(coupe[[#This Row],[QR Fabrication]],"_",5)</f>
        <v>2030</v>
      </c>
      <c r="T57" s="82" t="e">
        <f>_xlfn.XLOOKUP(coupe[[#This Row],[Num OF]],#REF!,#REF!,0)</f>
        <v>#REF!</v>
      </c>
      <c r="U57" s="82" t="e">
        <f>_xlfn.XLOOKUP(coupe[[#This Row],[Num OF]],#REF!,#REF!,0)</f>
        <v>#REF!</v>
      </c>
      <c r="V57" s="82" t="str">
        <f>IF(
   COUNTIFS($A$2:A57,A57,
             $B$2:B57,B57,
             $D$2:D57,D57,
             $E$2:E57,E57,
             $F$2:F57,F57,
             $G$2:G57,G57,
             $H$2:H57,H57,
             $L$2:L57,L57)&gt;1,
   "Doublon",
   "Correcte"
)</f>
        <v>Correcte</v>
      </c>
    </row>
    <row r="58" spans="1:22" x14ac:dyDescent="0.25">
      <c r="A58" s="99" t="s">
        <v>1313</v>
      </c>
      <c r="B58" s="16" t="s">
        <v>686</v>
      </c>
      <c r="C58" s="68">
        <v>45917</v>
      </c>
      <c r="D58" s="17">
        <v>23</v>
      </c>
      <c r="E58" s="17">
        <v>0</v>
      </c>
      <c r="F58" s="17">
        <v>0</v>
      </c>
      <c r="G58" s="17">
        <v>0</v>
      </c>
      <c r="H58" s="17">
        <v>0</v>
      </c>
      <c r="I58" s="16"/>
      <c r="J58" s="16"/>
      <c r="K58" s="16" t="s">
        <v>664</v>
      </c>
      <c r="L58" s="68">
        <v>45918</v>
      </c>
      <c r="M58" s="68" t="str">
        <f t="shared" si="0"/>
        <v>Coupe</v>
      </c>
      <c r="N58" s="68" t="str">
        <f>INDEX(_xlfn.TEXTSPLIT(coupe[[#This Row],[QR Fabrication]],"_"),1,1)</f>
        <v>CA250077</v>
      </c>
      <c r="O58" s="68" t="str">
        <f>INDEX(_xlfn.TEXTSPLIT(coupe[[#This Row],[QR Fabrication]],"_"),1,2)</f>
        <v>All by Fouta</v>
      </c>
      <c r="P58" s="16" t="str">
        <f>INDEX(_xlfn.TEXTSPLIT(coupe[[#This Row],[QR Fabrication]],"_"),1,3)</f>
        <v>Stock</v>
      </c>
      <c r="Q58" s="16" t="str">
        <f>INDEX(_xlfn.TEXTSPLIT(coupe[[#This Row],[QR Fabrication]],"_"),1,4)</f>
        <v>UNS2030-30</v>
      </c>
      <c r="R58" s="16" t="str">
        <f>INDEX(_xlfn.TEXTSPLIT(coupe[[#This Row],[QR Fabrication]],"_"),1,5)</f>
        <v>UNI SURPIQUE</v>
      </c>
      <c r="S58" s="16" t="str">
        <f>_xlfn.TEXTAFTER(coupe[[#This Row],[QR Fabrication]],"_",5)</f>
        <v>2030</v>
      </c>
      <c r="T58" s="82" t="e">
        <f>_xlfn.XLOOKUP(coupe[[#This Row],[Num OF]],#REF!,#REF!,0)</f>
        <v>#REF!</v>
      </c>
      <c r="U58" s="82" t="e">
        <f>_xlfn.XLOOKUP(coupe[[#This Row],[Num OF]],#REF!,#REF!,0)</f>
        <v>#REF!</v>
      </c>
      <c r="V58" s="82" t="str">
        <f>IF(
   COUNTIFS($A$2:A58,A58,
             $B$2:B58,B58,
             $D$2:D58,D58,
             $E$2:E58,E58,
             $F$2:F58,F58,
             $G$2:G58,G58,
             $H$2:H58,H58,
             $L$2:L58,L58)&gt;1,
   "Doublon",
   "Correcte"
)</f>
        <v>Correcte</v>
      </c>
    </row>
    <row r="59" spans="1:22" x14ac:dyDescent="0.25">
      <c r="A59" s="99" t="s">
        <v>2418</v>
      </c>
      <c r="B59" s="16" t="s">
        <v>684</v>
      </c>
      <c r="C59" s="68">
        <v>45917</v>
      </c>
      <c r="D59" s="17">
        <v>30</v>
      </c>
      <c r="E59" s="17">
        <v>0</v>
      </c>
      <c r="F59" s="17">
        <v>0</v>
      </c>
      <c r="G59" s="17">
        <v>0</v>
      </c>
      <c r="H59" s="17">
        <v>0</v>
      </c>
      <c r="I59" s="16"/>
      <c r="J59" s="16"/>
      <c r="K59" s="16" t="s">
        <v>664</v>
      </c>
      <c r="L59" s="68">
        <v>45918</v>
      </c>
      <c r="M59" s="68" t="str">
        <f t="shared" si="0"/>
        <v>Coupe</v>
      </c>
      <c r="N59" s="68" t="str">
        <f>INDEX(_xlfn.TEXTSPLIT(coupe[[#This Row],[QR Fabrication]],"_"),1,1)</f>
        <v>CA250046</v>
      </c>
      <c r="O59" s="68" t="str">
        <f>INDEX(_xlfn.TEXTSPLIT(coupe[[#This Row],[QR Fabrication]],"_"),1,2)</f>
        <v>All by Fouta</v>
      </c>
      <c r="P59" s="16" t="str">
        <f>INDEX(_xlfn.TEXTSPLIT(coupe[[#This Row],[QR Fabrication]],"_"),1,3)</f>
        <v>Stock</v>
      </c>
      <c r="Q59" s="16" t="str">
        <f>INDEX(_xlfn.TEXTSPLIT(coupe[[#This Row],[QR Fabrication]],"_"),1,4)</f>
        <v>UNS1626-12</v>
      </c>
      <c r="R59" s="16" t="str">
        <f>INDEX(_xlfn.TEXTSPLIT(coupe[[#This Row],[QR Fabrication]],"_"),1,5)</f>
        <v>UNI SURPIQUE</v>
      </c>
      <c r="S59" s="16" t="str">
        <f>_xlfn.TEXTAFTER(coupe[[#This Row],[QR Fabrication]],"_",5)</f>
        <v>1626</v>
      </c>
      <c r="T59" s="82" t="e">
        <f>_xlfn.XLOOKUP(coupe[[#This Row],[Num OF]],#REF!,#REF!,0)</f>
        <v>#REF!</v>
      </c>
      <c r="U59" s="82" t="e">
        <f>_xlfn.XLOOKUP(coupe[[#This Row],[Num OF]],#REF!,#REF!,0)</f>
        <v>#REF!</v>
      </c>
      <c r="V59" s="82" t="str">
        <f>IF(
   COUNTIFS($A$2:A59,A59,
             $B$2:B59,B59,
             $D$2:D59,D59,
             $E$2:E59,E59,
             $F$2:F59,F59,
             $G$2:G59,G59,
             $H$2:H59,H59,
             $L$2:L59,L59)&gt;1,
   "Doublon",
   "Correcte"
)</f>
        <v>Correcte</v>
      </c>
    </row>
    <row r="60" spans="1:22" x14ac:dyDescent="0.25">
      <c r="A60" s="99" t="s">
        <v>2562</v>
      </c>
      <c r="B60" s="16" t="s">
        <v>684</v>
      </c>
      <c r="C60" s="68">
        <v>45918</v>
      </c>
      <c r="D60" s="17">
        <v>12</v>
      </c>
      <c r="E60" s="17">
        <v>0</v>
      </c>
      <c r="F60" s="17">
        <v>0</v>
      </c>
      <c r="G60" s="17">
        <v>0</v>
      </c>
      <c r="H60" s="17">
        <v>0</v>
      </c>
      <c r="I60" s="16"/>
      <c r="J60" s="16"/>
      <c r="K60" s="16" t="s">
        <v>664</v>
      </c>
      <c r="L60" s="68">
        <v>45919</v>
      </c>
      <c r="M60" s="68" t="str">
        <f t="shared" si="0"/>
        <v>Coupe</v>
      </c>
      <c r="N60" s="68" t="str">
        <f>INDEX(_xlfn.TEXTSPLIT(coupe[[#This Row],[QR Fabrication]],"_"),1,1)</f>
        <v>CA250015</v>
      </c>
      <c r="O60" s="68" t="str">
        <f>INDEX(_xlfn.TEXTSPLIT(coupe[[#This Row],[QR Fabrication]],"_"),1,2)</f>
        <v>All by Fouta</v>
      </c>
      <c r="P60" s="16" t="str">
        <f>INDEX(_xlfn.TEXTSPLIT(coupe[[#This Row],[QR Fabrication]],"_"),1,3)</f>
        <v>Stock</v>
      </c>
      <c r="Q60" s="16" t="str">
        <f>INDEX(_xlfn.TEXTSPLIT(coupe[[#This Row],[QR Fabrication]],"_"),1,4)</f>
        <v>UNS1020-26</v>
      </c>
      <c r="R60" s="16" t="str">
        <f>INDEX(_xlfn.TEXTSPLIT(coupe[[#This Row],[QR Fabrication]],"_"),1,5)</f>
        <v>UNI SURPIQUE</v>
      </c>
      <c r="S60" s="16" t="str">
        <f>_xlfn.TEXTAFTER(coupe[[#This Row],[QR Fabrication]],"_",5)</f>
        <v>1020</v>
      </c>
      <c r="T60" s="82" t="e">
        <f>_xlfn.XLOOKUP(coupe[[#This Row],[Num OF]],#REF!,#REF!,0)</f>
        <v>#REF!</v>
      </c>
      <c r="U60" s="82" t="e">
        <f>_xlfn.XLOOKUP(coupe[[#This Row],[Num OF]],#REF!,#REF!,0)</f>
        <v>#REF!</v>
      </c>
      <c r="V60" s="82" t="str">
        <f>IF(
   COUNTIFS($A$2:A60,A60,
             $B$2:B60,B60,
             $D$2:D60,D60,
             $E$2:E60,E60,
             $F$2:F60,F60,
             $G$2:G60,G60,
             $H$2:H60,H60,
             $L$2:L60,L60)&gt;1,
   "Doublon",
   "Correcte"
)</f>
        <v>Correcte</v>
      </c>
    </row>
    <row r="61" spans="1:22" x14ac:dyDescent="0.25">
      <c r="A61" s="99" t="s">
        <v>1307</v>
      </c>
      <c r="B61" s="16" t="s">
        <v>684</v>
      </c>
      <c r="C61" s="68">
        <v>45918</v>
      </c>
      <c r="D61" s="17">
        <v>1</v>
      </c>
      <c r="E61" s="17">
        <v>0</v>
      </c>
      <c r="F61" s="17">
        <v>0</v>
      </c>
      <c r="G61" s="17">
        <v>0</v>
      </c>
      <c r="H61" s="17">
        <v>0</v>
      </c>
      <c r="I61" s="16"/>
      <c r="J61" s="16"/>
      <c r="K61" s="16" t="s">
        <v>664</v>
      </c>
      <c r="L61" s="68">
        <v>45919</v>
      </c>
      <c r="M61" s="68" t="str">
        <f t="shared" si="0"/>
        <v>Coupe</v>
      </c>
      <c r="N61" s="68" t="str">
        <f>INDEX(_xlfn.TEXTSPLIT(coupe[[#This Row],[QR Fabrication]],"_"),1,1)</f>
        <v>CA250014</v>
      </c>
      <c r="O61" s="68" t="str">
        <f>INDEX(_xlfn.TEXTSPLIT(coupe[[#This Row],[QR Fabrication]],"_"),1,2)</f>
        <v>All by Fouta</v>
      </c>
      <c r="P61" s="16" t="str">
        <f>INDEX(_xlfn.TEXTSPLIT(coupe[[#This Row],[QR Fabrication]],"_"),1,3)</f>
        <v>Stock</v>
      </c>
      <c r="Q61" s="16" t="str">
        <f>INDEX(_xlfn.TEXTSPLIT(coupe[[#This Row],[QR Fabrication]],"_"),1,4)</f>
        <v>UNS1020-24</v>
      </c>
      <c r="R61" s="16" t="str">
        <f>INDEX(_xlfn.TEXTSPLIT(coupe[[#This Row],[QR Fabrication]],"_"),1,5)</f>
        <v>UNI SURPIQUE</v>
      </c>
      <c r="S61" s="16" t="str">
        <f>_xlfn.TEXTAFTER(coupe[[#This Row],[QR Fabrication]],"_",5)</f>
        <v>1020</v>
      </c>
      <c r="T61" s="82" t="e">
        <f>_xlfn.XLOOKUP(coupe[[#This Row],[Num OF]],#REF!,#REF!,0)</f>
        <v>#REF!</v>
      </c>
      <c r="U61" s="82" t="e">
        <f>_xlfn.XLOOKUP(coupe[[#This Row],[Num OF]],#REF!,#REF!,0)</f>
        <v>#REF!</v>
      </c>
      <c r="V61" s="82" t="str">
        <f>IF(
   COUNTIFS($A$2:A61,A61,
             $B$2:B61,B61,
             $D$2:D61,D61,
             $E$2:E61,E61,
             $F$2:F61,F61,
             $G$2:G61,G61,
             $H$2:H61,H61,
             $L$2:L61,L61)&gt;1,
   "Doublon",
   "Correcte"
)</f>
        <v>Correcte</v>
      </c>
    </row>
    <row r="62" spans="1:22" x14ac:dyDescent="0.25">
      <c r="A62" s="99" t="s">
        <v>2423</v>
      </c>
      <c r="B62" s="16" t="s">
        <v>684</v>
      </c>
      <c r="C62" s="68">
        <v>45918</v>
      </c>
      <c r="D62" s="17">
        <v>34</v>
      </c>
      <c r="E62" s="17">
        <v>0</v>
      </c>
      <c r="F62" s="17">
        <v>1</v>
      </c>
      <c r="G62" s="17">
        <v>0</v>
      </c>
      <c r="H62" s="17">
        <v>0</v>
      </c>
      <c r="I62" s="16"/>
      <c r="J62" s="16"/>
      <c r="K62" s="16" t="s">
        <v>664</v>
      </c>
      <c r="L62" s="68">
        <v>45919</v>
      </c>
      <c r="M62" s="68" t="str">
        <f t="shared" si="0"/>
        <v>Coupe</v>
      </c>
      <c r="N62" s="68" t="str">
        <f>INDEX(_xlfn.TEXTSPLIT(coupe[[#This Row],[QR Fabrication]],"_"),1,1)</f>
        <v>CA250012</v>
      </c>
      <c r="O62" s="68" t="str">
        <f>INDEX(_xlfn.TEXTSPLIT(coupe[[#This Row],[QR Fabrication]],"_"),1,2)</f>
        <v>All by Fouta</v>
      </c>
      <c r="P62" s="16" t="str">
        <f>INDEX(_xlfn.TEXTSPLIT(coupe[[#This Row],[QR Fabrication]],"_"),1,3)</f>
        <v>Stock</v>
      </c>
      <c r="Q62" s="16" t="str">
        <f>INDEX(_xlfn.TEXTSPLIT(coupe[[#This Row],[QR Fabrication]],"_"),1,4)</f>
        <v>UNS1020-20</v>
      </c>
      <c r="R62" s="16" t="str">
        <f>INDEX(_xlfn.TEXTSPLIT(coupe[[#This Row],[QR Fabrication]],"_"),1,5)</f>
        <v>UNI SURPIQUE</v>
      </c>
      <c r="S62" s="16" t="str">
        <f>_xlfn.TEXTAFTER(coupe[[#This Row],[QR Fabrication]],"_",5)</f>
        <v>1020</v>
      </c>
      <c r="T62" s="82" t="e">
        <f>_xlfn.XLOOKUP(coupe[[#This Row],[Num OF]],#REF!,#REF!,0)</f>
        <v>#REF!</v>
      </c>
      <c r="U62" s="82" t="e">
        <f>_xlfn.XLOOKUP(coupe[[#This Row],[Num OF]],#REF!,#REF!,0)</f>
        <v>#REF!</v>
      </c>
      <c r="V62" s="82" t="str">
        <f>IF(
   COUNTIFS($A$2:A62,A62,
             $B$2:B62,B62,
             $D$2:D62,D62,
             $E$2:E62,E62,
             $F$2:F62,F62,
             $G$2:G62,G62,
             $H$2:H62,H62,
             $L$2:L62,L62)&gt;1,
   "Doublon",
   "Correcte"
)</f>
        <v>Correcte</v>
      </c>
    </row>
    <row r="63" spans="1:22" x14ac:dyDescent="0.25">
      <c r="A63" s="99" t="s">
        <v>2431</v>
      </c>
      <c r="B63" s="16" t="s">
        <v>686</v>
      </c>
      <c r="C63" s="68">
        <v>45918</v>
      </c>
      <c r="D63" s="17">
        <v>40</v>
      </c>
      <c r="E63" s="17">
        <v>2</v>
      </c>
      <c r="F63" s="17">
        <v>0</v>
      </c>
      <c r="G63" s="17">
        <v>0</v>
      </c>
      <c r="H63" s="17">
        <v>0</v>
      </c>
      <c r="I63" s="16"/>
      <c r="J63" s="16"/>
      <c r="K63" s="16" t="s">
        <v>664</v>
      </c>
      <c r="L63" s="68">
        <v>45919</v>
      </c>
      <c r="M63" s="68" t="str">
        <f t="shared" si="0"/>
        <v>Coupe</v>
      </c>
      <c r="N63" s="68" t="str">
        <f>INDEX(_xlfn.TEXTSPLIT(coupe[[#This Row],[QR Fabrication]],"_"),1,1)</f>
        <v>OF249846</v>
      </c>
      <c r="O63" s="68" t="str">
        <f>INDEX(_xlfn.TEXTSPLIT(coupe[[#This Row],[QR Fabrication]],"_"),1,2)</f>
        <v>CL00884</v>
      </c>
      <c r="P63" s="16" t="str">
        <f>INDEX(_xlfn.TEXTSPLIT(coupe[[#This Row],[QR Fabrication]],"_"),1,3)</f>
        <v>CM-FT0119</v>
      </c>
      <c r="Q63" s="16" t="str">
        <f>INDEX(_xlfn.TEXTSPLIT(coupe[[#This Row],[QR Fabrication]],"_"),1,4)</f>
        <v>ST1020-S28-25-24</v>
      </c>
      <c r="R63" s="16" t="str">
        <f>INDEX(_xlfn.TEXTSPLIT(coupe[[#This Row],[QR Fabrication]],"_"),1,5)</f>
        <v>ST TROPEZ</v>
      </c>
      <c r="S63" s="16" t="str">
        <f>_xlfn.TEXTAFTER(coupe[[#This Row],[QR Fabrication]],"_",5)</f>
        <v>1020</v>
      </c>
      <c r="T63" s="82" t="e">
        <f>_xlfn.XLOOKUP(coupe[[#This Row],[Num OF]],#REF!,#REF!,0)</f>
        <v>#REF!</v>
      </c>
      <c r="U63" s="82" t="e">
        <f>_xlfn.XLOOKUP(coupe[[#This Row],[Num OF]],#REF!,#REF!,0)</f>
        <v>#REF!</v>
      </c>
      <c r="V63" s="82" t="str">
        <f>IF(
   COUNTIFS($A$2:A63,A63,
             $B$2:B63,B63,
             $D$2:D63,D63,
             $E$2:E63,E63,
             $F$2:F63,F63,
             $G$2:G63,G63,
             $H$2:H63,H63,
             $L$2:L63,L63)&gt;1,
   "Doublon",
   "Correcte"
)</f>
        <v>Correcte</v>
      </c>
    </row>
    <row r="64" spans="1:22" x14ac:dyDescent="0.25">
      <c r="A64" s="99" t="s">
        <v>1314</v>
      </c>
      <c r="B64" s="16" t="s">
        <v>686</v>
      </c>
      <c r="C64" s="68">
        <v>45918</v>
      </c>
      <c r="D64" s="17">
        <v>28</v>
      </c>
      <c r="E64" s="17">
        <v>0</v>
      </c>
      <c r="F64" s="17">
        <v>0</v>
      </c>
      <c r="G64" s="17">
        <v>0</v>
      </c>
      <c r="H64" s="17">
        <v>0</v>
      </c>
      <c r="I64" s="16"/>
      <c r="J64" s="16"/>
      <c r="K64" s="16" t="s">
        <v>664</v>
      </c>
      <c r="L64" s="68">
        <v>45919</v>
      </c>
      <c r="M64" s="68" t="str">
        <f t="shared" si="0"/>
        <v>Coupe</v>
      </c>
      <c r="N64" s="68" t="str">
        <f>INDEX(_xlfn.TEXTSPLIT(coupe[[#This Row],[QR Fabrication]],"_"),1,1)</f>
        <v>CA250397</v>
      </c>
      <c r="O64" s="68" t="str">
        <f>INDEX(_xlfn.TEXTSPLIT(coupe[[#This Row],[QR Fabrication]],"_"),1,2)</f>
        <v>All by Fouta</v>
      </c>
      <c r="P64" s="16" t="str">
        <f>INDEX(_xlfn.TEXTSPLIT(coupe[[#This Row],[QR Fabrication]],"_"),1,3)</f>
        <v>Stock</v>
      </c>
      <c r="Q64" s="16" t="str">
        <f>INDEX(_xlfn.TEXTSPLIT(coupe[[#This Row],[QR Fabrication]],"_"),1,4)</f>
        <v>BE1020-Q10-16-01</v>
      </c>
      <c r="R64" s="16" t="str">
        <f>INDEX(_xlfn.TEXTSPLIT(coupe[[#This Row],[QR Fabrication]],"_"),1,5)</f>
        <v>BERBER</v>
      </c>
      <c r="S64" s="16" t="str">
        <f>_xlfn.TEXTAFTER(coupe[[#This Row],[QR Fabrication]],"_",5)</f>
        <v>1020</v>
      </c>
      <c r="T64" s="82" t="e">
        <f>_xlfn.XLOOKUP(coupe[[#This Row],[Num OF]],#REF!,#REF!,0)</f>
        <v>#REF!</v>
      </c>
      <c r="U64" s="82" t="e">
        <f>_xlfn.XLOOKUP(coupe[[#This Row],[Num OF]],#REF!,#REF!,0)</f>
        <v>#REF!</v>
      </c>
      <c r="V64" s="82" t="str">
        <f>IF(
   COUNTIFS($A$2:A64,A64,
             $B$2:B64,B64,
             $D$2:D64,D64,
             $E$2:E64,E64,
             $F$2:F64,F64,
             $G$2:G64,G64,
             $H$2:H64,H64,
             $L$2:L64,L64)&gt;1,
   "Doublon",
   "Correcte"
)</f>
        <v>Correcte</v>
      </c>
    </row>
    <row r="65" spans="1:22" x14ac:dyDescent="0.25">
      <c r="A65" s="99" t="s">
        <v>1315</v>
      </c>
      <c r="B65" s="16" t="s">
        <v>687</v>
      </c>
      <c r="C65" s="68">
        <v>45918</v>
      </c>
      <c r="D65" s="17">
        <v>200</v>
      </c>
      <c r="E65" s="17">
        <v>0</v>
      </c>
      <c r="F65" s="17">
        <v>0</v>
      </c>
      <c r="G65" s="17">
        <v>0</v>
      </c>
      <c r="H65" s="17">
        <v>0</v>
      </c>
      <c r="I65" s="16"/>
      <c r="J65" s="16"/>
      <c r="K65" s="16" t="s">
        <v>664</v>
      </c>
      <c r="L65" s="68">
        <v>45919</v>
      </c>
      <c r="M65" s="68" t="str">
        <f t="shared" si="0"/>
        <v>Coupe</v>
      </c>
      <c r="N65" s="68" t="str">
        <f>INDEX(_xlfn.TEXTSPLIT(coupe[[#This Row],[QR Fabrication]],"_"),1,1)</f>
        <v>OF250129</v>
      </c>
      <c r="O65" s="68" t="str">
        <f>INDEX(_xlfn.TEXTSPLIT(coupe[[#This Row],[QR Fabrication]],"_"),1,2)</f>
        <v>CL00296</v>
      </c>
      <c r="P65" s="16" t="str">
        <f>INDEX(_xlfn.TEXTSPLIT(coupe[[#This Row],[QR Fabrication]],"_"),1,3)</f>
        <v>CM-FT0129</v>
      </c>
      <c r="Q65" s="16" t="str">
        <f>INDEX(_xlfn.TEXTSPLIT(coupe[[#This Row],[QR Fabrication]],"_"),1,4)</f>
        <v>SACF0507-B09-14</v>
      </c>
      <c r="R65" s="16" t="str">
        <f>INDEX(_xlfn.TEXTSPLIT(coupe[[#This Row],[QR Fabrication]],"_"),1,5)</f>
        <v>SAC FOUTA</v>
      </c>
      <c r="S65" s="16" t="str">
        <f>_xlfn.TEXTAFTER(coupe[[#This Row],[QR Fabrication]],"_",5)</f>
        <v>0507</v>
      </c>
      <c r="T65" s="82" t="e">
        <f>_xlfn.XLOOKUP(coupe[[#This Row],[Num OF]],#REF!,#REF!,0)</f>
        <v>#REF!</v>
      </c>
      <c r="U65" s="82" t="e">
        <f>_xlfn.XLOOKUP(coupe[[#This Row],[Num OF]],#REF!,#REF!,0)</f>
        <v>#REF!</v>
      </c>
      <c r="V65" s="82" t="str">
        <f>IF(
   COUNTIFS($A$2:A65,A65,
             $B$2:B65,B65,
             $D$2:D65,D65,
             $E$2:E65,E65,
             $F$2:F65,F65,
             $G$2:G65,G65,
             $H$2:H65,H65,
             $L$2:L65,L65)&gt;1,
   "Doublon",
   "Correcte"
)</f>
        <v>Correcte</v>
      </c>
    </row>
    <row r="66" spans="1:22" x14ac:dyDescent="0.25">
      <c r="A66" s="99" t="s">
        <v>1311</v>
      </c>
      <c r="B66" s="16" t="s">
        <v>686</v>
      </c>
      <c r="C66" s="68">
        <v>45918</v>
      </c>
      <c r="D66" s="17">
        <v>60</v>
      </c>
      <c r="E66" s="17">
        <v>0</v>
      </c>
      <c r="F66" s="17">
        <v>4</v>
      </c>
      <c r="G66" s="17">
        <v>0</v>
      </c>
      <c r="H66" s="17">
        <v>0</v>
      </c>
      <c r="I66" s="16"/>
      <c r="J66" s="16"/>
      <c r="K66" s="16" t="s">
        <v>664</v>
      </c>
      <c r="L66" s="68">
        <v>45919</v>
      </c>
      <c r="M66" s="68" t="str">
        <f t="shared" ref="M66:M129" si="1">"Coupe"</f>
        <v>Coupe</v>
      </c>
      <c r="N66" s="68" t="str">
        <f>INDEX(_xlfn.TEXTSPLIT(coupe[[#This Row],[QR Fabrication]],"_"),1,1)</f>
        <v>OF250128</v>
      </c>
      <c r="O66" s="68" t="str">
        <f>INDEX(_xlfn.TEXTSPLIT(coupe[[#This Row],[QR Fabrication]],"_"),1,2)</f>
        <v>CL00296</v>
      </c>
      <c r="P66" s="16" t="str">
        <f>INDEX(_xlfn.TEXTSPLIT(coupe[[#This Row],[QR Fabrication]],"_"),1,3)</f>
        <v>CM-FT0129</v>
      </c>
      <c r="Q66" s="16" t="str">
        <f>INDEX(_xlfn.TEXTSPLIT(coupe[[#This Row],[QR Fabrication]],"_"),1,4)</f>
        <v>NDL1020-B09-14</v>
      </c>
      <c r="R66" s="16" t="str">
        <f>INDEX(_xlfn.TEXTSPLIT(coupe[[#This Row],[QR Fabrication]],"_"),1,5)</f>
        <v>ND LILI</v>
      </c>
      <c r="S66" s="16" t="str">
        <f>_xlfn.TEXTAFTER(coupe[[#This Row],[QR Fabrication]],"_",5)</f>
        <v>1020</v>
      </c>
      <c r="T66" s="82" t="e">
        <f>_xlfn.XLOOKUP(coupe[[#This Row],[Num OF]],#REF!,#REF!,0)</f>
        <v>#REF!</v>
      </c>
      <c r="U66" s="82" t="e">
        <f>_xlfn.XLOOKUP(coupe[[#This Row],[Num OF]],#REF!,#REF!,0)</f>
        <v>#REF!</v>
      </c>
      <c r="V66" s="82" t="str">
        <f>IF(
   COUNTIFS($A$2:A66,A66,
             $B$2:B66,B66,
             $D$2:D66,D66,
             $E$2:E66,E66,
             $F$2:F66,F66,
             $G$2:G66,G66,
             $H$2:H66,H66,
             $L$2:L66,L66)&gt;1,
   "Doublon",
   "Correcte"
)</f>
        <v>Correcte</v>
      </c>
    </row>
    <row r="67" spans="1:22" x14ac:dyDescent="0.25">
      <c r="A67" s="99" t="s">
        <v>1311</v>
      </c>
      <c r="B67" s="16" t="s">
        <v>686</v>
      </c>
      <c r="C67" s="68">
        <v>45919</v>
      </c>
      <c r="D67" s="17">
        <v>83</v>
      </c>
      <c r="E67" s="17">
        <v>2</v>
      </c>
      <c r="F67" s="17">
        <v>2</v>
      </c>
      <c r="G67" s="17">
        <v>0</v>
      </c>
      <c r="H67" s="17">
        <v>0</v>
      </c>
      <c r="I67" s="16"/>
      <c r="J67" s="16"/>
      <c r="K67" s="16" t="s">
        <v>664</v>
      </c>
      <c r="L67" s="68">
        <v>45920</v>
      </c>
      <c r="M67" s="68" t="str">
        <f t="shared" si="1"/>
        <v>Coupe</v>
      </c>
      <c r="N67" s="68" t="str">
        <f>INDEX(_xlfn.TEXTSPLIT(coupe[[#This Row],[QR Fabrication]],"_"),1,1)</f>
        <v>OF250128</v>
      </c>
      <c r="O67" s="68" t="str">
        <f>INDEX(_xlfn.TEXTSPLIT(coupe[[#This Row],[QR Fabrication]],"_"),1,2)</f>
        <v>CL00296</v>
      </c>
      <c r="P67" s="16" t="str">
        <f>INDEX(_xlfn.TEXTSPLIT(coupe[[#This Row],[QR Fabrication]],"_"),1,3)</f>
        <v>CM-FT0129</v>
      </c>
      <c r="Q67" s="16" t="str">
        <f>INDEX(_xlfn.TEXTSPLIT(coupe[[#This Row],[QR Fabrication]],"_"),1,4)</f>
        <v>NDL1020-B09-14</v>
      </c>
      <c r="R67" s="16" t="str">
        <f>INDEX(_xlfn.TEXTSPLIT(coupe[[#This Row],[QR Fabrication]],"_"),1,5)</f>
        <v>ND LILI</v>
      </c>
      <c r="S67" s="16" t="str">
        <f>_xlfn.TEXTAFTER(coupe[[#This Row],[QR Fabrication]],"_",5)</f>
        <v>1020</v>
      </c>
      <c r="T67" s="82" t="e">
        <f>_xlfn.XLOOKUP(coupe[[#This Row],[Num OF]],#REF!,#REF!,0)</f>
        <v>#REF!</v>
      </c>
      <c r="U67" s="82" t="e">
        <f>_xlfn.XLOOKUP(coupe[[#This Row],[Num OF]],#REF!,#REF!,0)</f>
        <v>#REF!</v>
      </c>
      <c r="V67" s="82" t="str">
        <f>IF(
   COUNTIFS($A$2:A67,A67,
             $B$2:B67,B67,
             $D$2:D67,D67,
             $E$2:E67,E67,
             $F$2:F67,F67,
             $G$2:G67,G67,
             $H$2:H67,H67,
             $L$2:L67,L67)&gt;1,
   "Doublon",
   "Correcte"
)</f>
        <v>Correcte</v>
      </c>
    </row>
    <row r="68" spans="1:22" x14ac:dyDescent="0.25">
      <c r="A68" s="99" t="s">
        <v>2429</v>
      </c>
      <c r="B68" s="16" t="s">
        <v>686</v>
      </c>
      <c r="C68" s="68">
        <v>45919</v>
      </c>
      <c r="D68" s="17">
        <v>19</v>
      </c>
      <c r="E68" s="17">
        <v>0</v>
      </c>
      <c r="F68" s="17">
        <v>0</v>
      </c>
      <c r="G68" s="17">
        <v>0</v>
      </c>
      <c r="H68" s="17">
        <v>0</v>
      </c>
      <c r="I68" s="16"/>
      <c r="J68" s="16"/>
      <c r="K68" s="16" t="s">
        <v>664</v>
      </c>
      <c r="L68" s="68">
        <v>45920</v>
      </c>
      <c r="M68" s="68" t="str">
        <f t="shared" si="1"/>
        <v>Coupe</v>
      </c>
      <c r="N68" s="68" t="str">
        <f>INDEX(_xlfn.TEXTSPLIT(coupe[[#This Row],[QR Fabrication]],"_"),1,1)</f>
        <v>CA250033</v>
      </c>
      <c r="O68" s="68" t="str">
        <f>INDEX(_xlfn.TEXTSPLIT(coupe[[#This Row],[QR Fabrication]],"_"),1,2)</f>
        <v>All by Fouta</v>
      </c>
      <c r="P68" s="16" t="str">
        <f>INDEX(_xlfn.TEXTSPLIT(coupe[[#This Row],[QR Fabrication]],"_"),1,3)</f>
        <v>Stock</v>
      </c>
      <c r="Q68" s="16" t="str">
        <f>INDEX(_xlfn.TEXTSPLIT(coupe[[#This Row],[QR Fabrication]],"_"),1,4)</f>
        <v>UNS2020-23</v>
      </c>
      <c r="R68" s="16" t="str">
        <f>INDEX(_xlfn.TEXTSPLIT(coupe[[#This Row],[QR Fabrication]],"_"),1,5)</f>
        <v>UNI SURPIQUE</v>
      </c>
      <c r="S68" s="16" t="str">
        <f>_xlfn.TEXTAFTER(coupe[[#This Row],[QR Fabrication]],"_",5)</f>
        <v>2020</v>
      </c>
      <c r="T68" s="82" t="e">
        <f>_xlfn.XLOOKUP(coupe[[#This Row],[Num OF]],#REF!,#REF!,0)</f>
        <v>#REF!</v>
      </c>
      <c r="U68" s="82" t="e">
        <f>_xlfn.XLOOKUP(coupe[[#This Row],[Num OF]],#REF!,#REF!,0)</f>
        <v>#REF!</v>
      </c>
      <c r="V68" s="82" t="str">
        <f>IF(
   COUNTIFS($A$2:A68,A68,
             $B$2:B68,B68,
             $D$2:D68,D68,
             $E$2:E68,E68,
             $F$2:F68,F68,
             $G$2:G68,G68,
             $H$2:H68,H68,
             $L$2:L68,L68)&gt;1,
   "Doublon",
   "Correcte"
)</f>
        <v>Correcte</v>
      </c>
    </row>
    <row r="69" spans="1:22" x14ac:dyDescent="0.25">
      <c r="A69" s="99" t="s">
        <v>2562</v>
      </c>
      <c r="B69" s="16" t="s">
        <v>684</v>
      </c>
      <c r="C69" s="68">
        <v>45919</v>
      </c>
      <c r="D69" s="17">
        <v>48</v>
      </c>
      <c r="E69" s="17">
        <v>0</v>
      </c>
      <c r="F69" s="17">
        <v>1</v>
      </c>
      <c r="G69" s="17">
        <v>0</v>
      </c>
      <c r="H69" s="17">
        <v>0</v>
      </c>
      <c r="I69" s="16"/>
      <c r="J69" s="16"/>
      <c r="K69" s="16" t="s">
        <v>664</v>
      </c>
      <c r="L69" s="68">
        <v>45920</v>
      </c>
      <c r="M69" s="68" t="str">
        <f t="shared" si="1"/>
        <v>Coupe</v>
      </c>
      <c r="N69" s="68" t="str">
        <f>INDEX(_xlfn.TEXTSPLIT(coupe[[#This Row],[QR Fabrication]],"_"),1,1)</f>
        <v>CA250015</v>
      </c>
      <c r="O69" s="68" t="str">
        <f>INDEX(_xlfn.TEXTSPLIT(coupe[[#This Row],[QR Fabrication]],"_"),1,2)</f>
        <v>All by Fouta</v>
      </c>
      <c r="P69" s="16" t="str">
        <f>INDEX(_xlfn.TEXTSPLIT(coupe[[#This Row],[QR Fabrication]],"_"),1,3)</f>
        <v>Stock</v>
      </c>
      <c r="Q69" s="16" t="str">
        <f>INDEX(_xlfn.TEXTSPLIT(coupe[[#This Row],[QR Fabrication]],"_"),1,4)</f>
        <v>UNS1020-26</v>
      </c>
      <c r="R69" s="16" t="str">
        <f>INDEX(_xlfn.TEXTSPLIT(coupe[[#This Row],[QR Fabrication]],"_"),1,5)</f>
        <v>UNI SURPIQUE</v>
      </c>
      <c r="S69" s="16" t="str">
        <f>_xlfn.TEXTAFTER(coupe[[#This Row],[QR Fabrication]],"_",5)</f>
        <v>1020</v>
      </c>
      <c r="T69" s="82" t="e">
        <f>_xlfn.XLOOKUP(coupe[[#This Row],[Num OF]],#REF!,#REF!,0)</f>
        <v>#REF!</v>
      </c>
      <c r="U69" s="82" t="e">
        <f>_xlfn.XLOOKUP(coupe[[#This Row],[Num OF]],#REF!,#REF!,0)</f>
        <v>#REF!</v>
      </c>
      <c r="V69" s="82" t="str">
        <f>IF(
   COUNTIFS($A$2:A69,A69,
             $B$2:B69,B69,
             $D$2:D69,D69,
             $E$2:E69,E69,
             $F$2:F69,F69,
             $G$2:G69,G69,
             $H$2:H69,H69,
             $L$2:L69,L69)&gt;1,
   "Doublon",
   "Correcte"
)</f>
        <v>Correcte</v>
      </c>
    </row>
    <row r="70" spans="1:22" x14ac:dyDescent="0.25">
      <c r="A70" s="99" t="s">
        <v>2560</v>
      </c>
      <c r="B70" s="16" t="s">
        <v>686</v>
      </c>
      <c r="C70" s="68">
        <v>45919</v>
      </c>
      <c r="D70" s="17">
        <v>30</v>
      </c>
      <c r="E70" s="17">
        <v>0</v>
      </c>
      <c r="F70" s="17">
        <v>0</v>
      </c>
      <c r="G70" s="17">
        <v>0</v>
      </c>
      <c r="H70" s="17">
        <v>0</v>
      </c>
      <c r="I70" s="16"/>
      <c r="J70" s="16"/>
      <c r="K70" s="16" t="s">
        <v>664</v>
      </c>
      <c r="L70" s="68">
        <v>45920</v>
      </c>
      <c r="M70" s="68" t="str">
        <f t="shared" si="1"/>
        <v>Coupe</v>
      </c>
      <c r="N70" s="68" t="str">
        <f>INDEX(_xlfn.TEXTSPLIT(coupe[[#This Row],[QR Fabrication]],"_"),1,1)</f>
        <v>CA250031</v>
      </c>
      <c r="O70" s="68" t="str">
        <f>INDEX(_xlfn.TEXTSPLIT(coupe[[#This Row],[QR Fabrication]],"_"),1,2)</f>
        <v>All by Fouta</v>
      </c>
      <c r="P70" s="16" t="str">
        <f>INDEX(_xlfn.TEXTSPLIT(coupe[[#This Row],[QR Fabrication]],"_"),1,3)</f>
        <v>Stock</v>
      </c>
      <c r="Q70" s="16" t="str">
        <f>INDEX(_xlfn.TEXTSPLIT(coupe[[#This Row],[QR Fabrication]],"_"),1,4)</f>
        <v>UNS2020-19</v>
      </c>
      <c r="R70" s="16" t="str">
        <f>INDEX(_xlfn.TEXTSPLIT(coupe[[#This Row],[QR Fabrication]],"_"),1,5)</f>
        <v>UNI SURPIQUE</v>
      </c>
      <c r="S70" s="16" t="str">
        <f>_xlfn.TEXTAFTER(coupe[[#This Row],[QR Fabrication]],"_",5)</f>
        <v>2020</v>
      </c>
      <c r="T70" s="82" t="e">
        <f>_xlfn.XLOOKUP(coupe[[#This Row],[Num OF]],#REF!,#REF!,0)</f>
        <v>#REF!</v>
      </c>
      <c r="U70" s="82" t="e">
        <f>_xlfn.XLOOKUP(coupe[[#This Row],[Num OF]],#REF!,#REF!,0)</f>
        <v>#REF!</v>
      </c>
      <c r="V70" s="82" t="str">
        <f>IF(
   COUNTIFS($A$2:A70,A70,
             $B$2:B70,B70,
             $D$2:D70,D70,
             $E$2:E70,E70,
             $F$2:F70,F70,
             $G$2:G70,G70,
             $H$2:H70,H70,
             $L$2:L70,L70)&gt;1,
   "Doublon",
   "Correcte"
)</f>
        <v>Correcte</v>
      </c>
    </row>
    <row r="71" spans="1:22" x14ac:dyDescent="0.25">
      <c r="A71" s="99" t="s">
        <v>2564</v>
      </c>
      <c r="B71" s="16" t="s">
        <v>686</v>
      </c>
      <c r="C71" s="68">
        <v>45919</v>
      </c>
      <c r="D71" s="17">
        <v>4</v>
      </c>
      <c r="E71" s="17">
        <v>0</v>
      </c>
      <c r="F71" s="17">
        <v>0</v>
      </c>
      <c r="G71" s="17">
        <v>0</v>
      </c>
      <c r="H71" s="17">
        <v>0</v>
      </c>
      <c r="I71" s="16"/>
      <c r="J71" s="16"/>
      <c r="K71" s="16" t="s">
        <v>664</v>
      </c>
      <c r="L71" s="68">
        <v>45920</v>
      </c>
      <c r="M71" s="68" t="str">
        <f t="shared" si="1"/>
        <v>Coupe</v>
      </c>
      <c r="N71" s="68" t="str">
        <f>INDEX(_xlfn.TEXTSPLIT(coupe[[#This Row],[QR Fabrication]],"_"),1,1)</f>
        <v>CA250021</v>
      </c>
      <c r="O71" s="68" t="str">
        <f>INDEX(_xlfn.TEXTSPLIT(coupe[[#This Row],[QR Fabrication]],"_"),1,2)</f>
        <v>All by Fouta</v>
      </c>
      <c r="P71" s="16" t="str">
        <f>INDEX(_xlfn.TEXTSPLIT(coupe[[#This Row],[QR Fabrication]],"_"),1,3)</f>
        <v>Stock</v>
      </c>
      <c r="Q71" s="16" t="str">
        <f>INDEX(_xlfn.TEXTSPLIT(coupe[[#This Row],[QR Fabrication]],"_"),1,4)</f>
        <v>UNS2020-03</v>
      </c>
      <c r="R71" s="16" t="str">
        <f>INDEX(_xlfn.TEXTSPLIT(coupe[[#This Row],[QR Fabrication]],"_"),1,5)</f>
        <v>UNI SURPIQUE</v>
      </c>
      <c r="S71" s="16" t="str">
        <f>_xlfn.TEXTAFTER(coupe[[#This Row],[QR Fabrication]],"_",5)</f>
        <v>2020</v>
      </c>
      <c r="T71" s="82" t="e">
        <f>_xlfn.XLOOKUP(coupe[[#This Row],[Num OF]],#REF!,#REF!,0)</f>
        <v>#REF!</v>
      </c>
      <c r="U71" s="82" t="e">
        <f>_xlfn.XLOOKUP(coupe[[#This Row],[Num OF]],#REF!,#REF!,0)</f>
        <v>#REF!</v>
      </c>
      <c r="V71" s="82" t="str">
        <f>IF(
   COUNTIFS($A$2:A71,A71,
             $B$2:B71,B71,
             $D$2:D71,D71,
             $E$2:E71,E71,
             $F$2:F71,F71,
             $G$2:G71,G71,
             $H$2:H71,H71,
             $L$2:L71,L71)&gt;1,
   "Doublon",
   "Correcte"
)</f>
        <v>Correcte</v>
      </c>
    </row>
    <row r="72" spans="1:22" x14ac:dyDescent="0.25">
      <c r="A72" s="99" t="s">
        <v>2460</v>
      </c>
      <c r="B72" s="16" t="s">
        <v>686</v>
      </c>
      <c r="C72" s="68">
        <v>45919</v>
      </c>
      <c r="D72" s="17">
        <v>72</v>
      </c>
      <c r="E72" s="17">
        <v>4</v>
      </c>
      <c r="F72" s="17">
        <v>0</v>
      </c>
      <c r="G72" s="17">
        <v>0</v>
      </c>
      <c r="H72" s="17">
        <v>0</v>
      </c>
      <c r="I72" s="16"/>
      <c r="J72" s="16"/>
      <c r="K72" s="16" t="s">
        <v>664</v>
      </c>
      <c r="L72" s="68">
        <v>45920</v>
      </c>
      <c r="M72" s="68" t="str">
        <f t="shared" si="1"/>
        <v>Coupe</v>
      </c>
      <c r="N72" s="68" t="str">
        <f>INDEX(_xlfn.TEXTSPLIT(coupe[[#This Row],[QR Fabrication]],"_"),1,1)</f>
        <v>OF249940</v>
      </c>
      <c r="O72" s="68" t="str">
        <f>INDEX(_xlfn.TEXTSPLIT(coupe[[#This Row],[QR Fabrication]],"_"),1,2)</f>
        <v>CL00884</v>
      </c>
      <c r="P72" s="16" t="str">
        <f>INDEX(_xlfn.TEXTSPLIT(coupe[[#This Row],[QR Fabrication]],"_"),1,3)</f>
        <v>CM-FT0120</v>
      </c>
      <c r="Q72" s="16" t="str">
        <f>INDEX(_xlfn.TEXTSPLIT(coupe[[#This Row],[QR Fabrication]],"_"),1,4)</f>
        <v>FI1020-C28-25-24</v>
      </c>
      <c r="R72" s="16" t="str">
        <f>INDEX(_xlfn.TEXTSPLIT(coupe[[#This Row],[QR Fabrication]],"_"),1,5)</f>
        <v>FIVE</v>
      </c>
      <c r="S72" s="16" t="str">
        <f>_xlfn.TEXTAFTER(coupe[[#This Row],[QR Fabrication]],"_",5)</f>
        <v>1020</v>
      </c>
      <c r="T72" s="82" t="e">
        <f>_xlfn.XLOOKUP(coupe[[#This Row],[Num OF]],#REF!,#REF!,0)</f>
        <v>#REF!</v>
      </c>
      <c r="U72" s="82" t="e">
        <f>_xlfn.XLOOKUP(coupe[[#This Row],[Num OF]],#REF!,#REF!,0)</f>
        <v>#REF!</v>
      </c>
      <c r="V72" s="82" t="str">
        <f>IF(
   COUNTIFS($A$2:A72,A72,
             $B$2:B72,B72,
             $D$2:D72,D72,
             $E$2:E72,E72,
             $F$2:F72,F72,
             $G$2:G72,G72,
             $H$2:H72,H72,
             $L$2:L72,L72)&gt;1,
   "Doublon",
   "Correcte"
)</f>
        <v>Correcte</v>
      </c>
    </row>
    <row r="73" spans="1:22" x14ac:dyDescent="0.25">
      <c r="A73" s="99" t="s">
        <v>1311</v>
      </c>
      <c r="B73" s="16" t="s">
        <v>686</v>
      </c>
      <c r="C73" s="68">
        <v>45919</v>
      </c>
      <c r="D73" s="17">
        <v>16</v>
      </c>
      <c r="E73" s="17">
        <v>0</v>
      </c>
      <c r="F73" s="17">
        <v>0</v>
      </c>
      <c r="G73" s="17">
        <v>0</v>
      </c>
      <c r="H73" s="17">
        <v>0</v>
      </c>
      <c r="I73" s="16"/>
      <c r="J73" s="16"/>
      <c r="K73" s="16" t="s">
        <v>664</v>
      </c>
      <c r="L73" s="68">
        <v>45920</v>
      </c>
      <c r="M73" s="68" t="str">
        <f t="shared" si="1"/>
        <v>Coupe</v>
      </c>
      <c r="N73" s="68" t="str">
        <f>INDEX(_xlfn.TEXTSPLIT(coupe[[#This Row],[QR Fabrication]],"_"),1,1)</f>
        <v>OF250128</v>
      </c>
      <c r="O73" s="68" t="str">
        <f>INDEX(_xlfn.TEXTSPLIT(coupe[[#This Row],[QR Fabrication]],"_"),1,2)</f>
        <v>CL00296</v>
      </c>
      <c r="P73" s="16" t="str">
        <f>INDEX(_xlfn.TEXTSPLIT(coupe[[#This Row],[QR Fabrication]],"_"),1,3)</f>
        <v>CM-FT0129</v>
      </c>
      <c r="Q73" s="16" t="str">
        <f>INDEX(_xlfn.TEXTSPLIT(coupe[[#This Row],[QR Fabrication]],"_"),1,4)</f>
        <v>NDL1020-B09-14</v>
      </c>
      <c r="R73" s="16" t="str">
        <f>INDEX(_xlfn.TEXTSPLIT(coupe[[#This Row],[QR Fabrication]],"_"),1,5)</f>
        <v>ND LILI</v>
      </c>
      <c r="S73" s="16" t="str">
        <f>_xlfn.TEXTAFTER(coupe[[#This Row],[QR Fabrication]],"_",5)</f>
        <v>1020</v>
      </c>
      <c r="T73" s="82" t="e">
        <f>_xlfn.XLOOKUP(coupe[[#This Row],[Num OF]],#REF!,#REF!,0)</f>
        <v>#REF!</v>
      </c>
      <c r="U73" s="82" t="e">
        <f>_xlfn.XLOOKUP(coupe[[#This Row],[Num OF]],#REF!,#REF!,0)</f>
        <v>#REF!</v>
      </c>
      <c r="V73" s="82" t="str">
        <f>IF(
   COUNTIFS($A$2:A73,A73,
             $B$2:B73,B73,
             $D$2:D73,D73,
             $E$2:E73,E73,
             $F$2:F73,F73,
             $G$2:G73,G73,
             $H$2:H73,H73,
             $L$2:L73,L73)&gt;1,
   "Doublon",
   "Correcte"
)</f>
        <v>Correcte</v>
      </c>
    </row>
    <row r="74" spans="1:22" x14ac:dyDescent="0.25">
      <c r="A74" s="99" t="s">
        <v>2424</v>
      </c>
      <c r="B74" s="16" t="s">
        <v>684</v>
      </c>
      <c r="C74" s="68">
        <v>45919</v>
      </c>
      <c r="D74" s="17">
        <v>15</v>
      </c>
      <c r="E74" s="17">
        <v>1</v>
      </c>
      <c r="F74" s="17">
        <v>0</v>
      </c>
      <c r="G74" s="17">
        <v>0</v>
      </c>
      <c r="H74" s="17">
        <v>0</v>
      </c>
      <c r="I74" s="16"/>
      <c r="J74" s="16"/>
      <c r="K74" s="16" t="s">
        <v>664</v>
      </c>
      <c r="L74" s="68">
        <v>45920</v>
      </c>
      <c r="M74" s="68" t="str">
        <f t="shared" si="1"/>
        <v>Coupe</v>
      </c>
      <c r="N74" s="68" t="str">
        <f>INDEX(_xlfn.TEXTSPLIT(coupe[[#This Row],[QR Fabrication]],"_"),1,1)</f>
        <v>CA250058</v>
      </c>
      <c r="O74" s="68" t="str">
        <f>INDEX(_xlfn.TEXTSPLIT(coupe[[#This Row],[QR Fabrication]],"_"),1,2)</f>
        <v>All by Fouta</v>
      </c>
      <c r="P74" s="16" t="str">
        <f>INDEX(_xlfn.TEXTSPLIT(coupe[[#This Row],[QR Fabrication]],"_"),1,3)</f>
        <v>Stock</v>
      </c>
      <c r="Q74" s="16" t="str">
        <f>INDEX(_xlfn.TEXTSPLIT(coupe[[#This Row],[QR Fabrication]],"_"),1,4)</f>
        <v>UNS1626-31</v>
      </c>
      <c r="R74" s="16" t="str">
        <f>INDEX(_xlfn.TEXTSPLIT(coupe[[#This Row],[QR Fabrication]],"_"),1,5)</f>
        <v>UNI SURPIQUE</v>
      </c>
      <c r="S74" s="16" t="str">
        <f>_xlfn.TEXTAFTER(coupe[[#This Row],[QR Fabrication]],"_",5)</f>
        <v>1626</v>
      </c>
      <c r="T74" s="82" t="e">
        <f>_xlfn.XLOOKUP(coupe[[#This Row],[Num OF]],#REF!,#REF!,0)</f>
        <v>#REF!</v>
      </c>
      <c r="U74" s="82" t="e">
        <f>_xlfn.XLOOKUP(coupe[[#This Row],[Num OF]],#REF!,#REF!,0)</f>
        <v>#REF!</v>
      </c>
      <c r="V74" s="82" t="str">
        <f>IF(
   COUNTIFS($A$2:A74,A74,
             $B$2:B74,B74,
             $D$2:D74,D74,
             $E$2:E74,E74,
             $F$2:F74,F74,
             $G$2:G74,G74,
             $H$2:H74,H74,
             $L$2:L74,L74)&gt;1,
   "Doublon",
   "Correcte"
)</f>
        <v>Correcte</v>
      </c>
    </row>
    <row r="75" spans="1:22" x14ac:dyDescent="0.25">
      <c r="A75" s="99" t="s">
        <v>2558</v>
      </c>
      <c r="B75" s="16" t="s">
        <v>684</v>
      </c>
      <c r="C75" s="68">
        <v>45919</v>
      </c>
      <c r="D75" s="17">
        <v>7</v>
      </c>
      <c r="E75" s="17">
        <v>0</v>
      </c>
      <c r="F75" s="17">
        <v>0</v>
      </c>
      <c r="G75" s="17">
        <v>0</v>
      </c>
      <c r="H75" s="17">
        <v>0</v>
      </c>
      <c r="I75" s="16"/>
      <c r="J75" s="16"/>
      <c r="K75" s="16" t="s">
        <v>664</v>
      </c>
      <c r="L75" s="68">
        <v>45920</v>
      </c>
      <c r="M75" s="68" t="str">
        <f t="shared" si="1"/>
        <v>Coupe</v>
      </c>
      <c r="N75" s="68" t="str">
        <f>INDEX(_xlfn.TEXTSPLIT(coupe[[#This Row],[QR Fabrication]],"_"),1,1)</f>
        <v>CA250057</v>
      </c>
      <c r="O75" s="68" t="str">
        <f>INDEX(_xlfn.TEXTSPLIT(coupe[[#This Row],[QR Fabrication]],"_"),1,2)</f>
        <v>All by Fouta</v>
      </c>
      <c r="P75" s="16" t="str">
        <f>INDEX(_xlfn.TEXTSPLIT(coupe[[#This Row],[QR Fabrication]],"_"),1,3)</f>
        <v>Stock</v>
      </c>
      <c r="Q75" s="16" t="str">
        <f>INDEX(_xlfn.TEXTSPLIT(coupe[[#This Row],[QR Fabrication]],"_"),1,4)</f>
        <v>UNS1626-30</v>
      </c>
      <c r="R75" s="16" t="str">
        <f>INDEX(_xlfn.TEXTSPLIT(coupe[[#This Row],[QR Fabrication]],"_"),1,5)</f>
        <v>UNI SURPIQUE</v>
      </c>
      <c r="S75" s="16" t="str">
        <f>_xlfn.TEXTAFTER(coupe[[#This Row],[QR Fabrication]],"_",5)</f>
        <v>1626</v>
      </c>
      <c r="T75" s="82" t="e">
        <f>_xlfn.XLOOKUP(coupe[[#This Row],[Num OF]],#REF!,#REF!,0)</f>
        <v>#REF!</v>
      </c>
      <c r="U75" s="82" t="e">
        <f>_xlfn.XLOOKUP(coupe[[#This Row],[Num OF]],#REF!,#REF!,0)</f>
        <v>#REF!</v>
      </c>
      <c r="V75" s="82" t="str">
        <f>IF(
   COUNTIFS($A$2:A75,A75,
             $B$2:B75,B75,
             $D$2:D75,D75,
             $E$2:E75,E75,
             $F$2:F75,F75,
             $G$2:G75,G75,
             $H$2:H75,H75,
             $L$2:L75,L75)&gt;1,
   "Doublon",
   "Correcte"
)</f>
        <v>Correcte</v>
      </c>
    </row>
    <row r="76" spans="1:22" x14ac:dyDescent="0.25">
      <c r="A76" s="99" t="s">
        <v>2431</v>
      </c>
      <c r="B76" s="16" t="s">
        <v>686</v>
      </c>
      <c r="C76" s="68">
        <v>45921</v>
      </c>
      <c r="D76" s="17">
        <v>61</v>
      </c>
      <c r="E76" s="17">
        <v>0</v>
      </c>
      <c r="F76" s="17">
        <v>4</v>
      </c>
      <c r="G76" s="17">
        <v>0</v>
      </c>
      <c r="H76" s="17">
        <v>0</v>
      </c>
      <c r="I76" s="16"/>
      <c r="J76" s="16"/>
      <c r="K76" s="16" t="s">
        <v>664</v>
      </c>
      <c r="L76" s="68">
        <v>45922</v>
      </c>
      <c r="M76" s="68" t="str">
        <f t="shared" si="1"/>
        <v>Coupe</v>
      </c>
      <c r="N76" s="68" t="str">
        <f>INDEX(_xlfn.TEXTSPLIT(coupe[[#This Row],[QR Fabrication]],"_"),1,1)</f>
        <v>OF249846</v>
      </c>
      <c r="O76" s="68" t="str">
        <f>INDEX(_xlfn.TEXTSPLIT(coupe[[#This Row],[QR Fabrication]],"_"),1,2)</f>
        <v>CL00884</v>
      </c>
      <c r="P76" s="16" t="str">
        <f>INDEX(_xlfn.TEXTSPLIT(coupe[[#This Row],[QR Fabrication]],"_"),1,3)</f>
        <v>CM-FT0119</v>
      </c>
      <c r="Q76" s="16" t="str">
        <f>INDEX(_xlfn.TEXTSPLIT(coupe[[#This Row],[QR Fabrication]],"_"),1,4)</f>
        <v>ST1020-S28-25-24</v>
      </c>
      <c r="R76" s="16" t="str">
        <f>INDEX(_xlfn.TEXTSPLIT(coupe[[#This Row],[QR Fabrication]],"_"),1,5)</f>
        <v>ST TROPEZ</v>
      </c>
      <c r="S76" s="16" t="str">
        <f>_xlfn.TEXTAFTER(coupe[[#This Row],[QR Fabrication]],"_",5)</f>
        <v>1020</v>
      </c>
      <c r="T76" s="82" t="e">
        <f>_xlfn.XLOOKUP(coupe[[#This Row],[Num OF]],#REF!,#REF!,0)</f>
        <v>#REF!</v>
      </c>
      <c r="U76" s="82" t="e">
        <f>_xlfn.XLOOKUP(coupe[[#This Row],[Num OF]],#REF!,#REF!,0)</f>
        <v>#REF!</v>
      </c>
      <c r="V76" s="82" t="str">
        <f>IF(
   COUNTIFS($A$2:A76,A76,
             $B$2:B76,B76,
             $D$2:D76,D76,
             $E$2:E76,E76,
             $F$2:F76,F76,
             $G$2:G76,G76,
             $H$2:H76,H76,
             $L$2:L76,L76)&gt;1,
   "Doublon",
   "Correcte"
)</f>
        <v>Correcte</v>
      </c>
    </row>
    <row r="77" spans="1:22" x14ac:dyDescent="0.25">
      <c r="A77" s="99" t="s">
        <v>2434</v>
      </c>
      <c r="B77" s="16" t="s">
        <v>686</v>
      </c>
      <c r="C77" s="68">
        <v>45921</v>
      </c>
      <c r="D77" s="17">
        <v>12</v>
      </c>
      <c r="E77" s="17">
        <v>0</v>
      </c>
      <c r="F77" s="17">
        <v>0</v>
      </c>
      <c r="G77" s="17">
        <v>0</v>
      </c>
      <c r="H77" s="17">
        <v>0</v>
      </c>
      <c r="I77" s="16"/>
      <c r="J77" s="16"/>
      <c r="K77" s="16" t="s">
        <v>664</v>
      </c>
      <c r="L77" s="68">
        <v>45922</v>
      </c>
      <c r="M77" s="68" t="str">
        <f t="shared" si="1"/>
        <v>Coupe</v>
      </c>
      <c r="N77" s="68" t="str">
        <f>INDEX(_xlfn.TEXTSPLIT(coupe[[#This Row],[QR Fabrication]],"_"),1,1)</f>
        <v>CA250071</v>
      </c>
      <c r="O77" s="68" t="str">
        <f>INDEX(_xlfn.TEXTSPLIT(coupe[[#This Row],[QR Fabrication]],"_"),1,2)</f>
        <v>All by Fouta</v>
      </c>
      <c r="P77" s="16" t="str">
        <f>INDEX(_xlfn.TEXTSPLIT(coupe[[#This Row],[QR Fabrication]],"_"),1,3)</f>
        <v>Stock</v>
      </c>
      <c r="Q77" s="16" t="str">
        <f>INDEX(_xlfn.TEXTSPLIT(coupe[[#This Row],[QR Fabrication]],"_"),1,4)</f>
        <v>UNS2030-19</v>
      </c>
      <c r="R77" s="16" t="str">
        <f>INDEX(_xlfn.TEXTSPLIT(coupe[[#This Row],[QR Fabrication]],"_"),1,5)</f>
        <v>UNI SURPIQUE</v>
      </c>
      <c r="S77" s="16" t="str">
        <f>_xlfn.TEXTAFTER(coupe[[#This Row],[QR Fabrication]],"_",5)</f>
        <v>2030</v>
      </c>
      <c r="T77" s="82" t="e">
        <f>_xlfn.XLOOKUP(coupe[[#This Row],[Num OF]],#REF!,#REF!,0)</f>
        <v>#REF!</v>
      </c>
      <c r="U77" s="82" t="e">
        <f>_xlfn.XLOOKUP(coupe[[#This Row],[Num OF]],#REF!,#REF!,0)</f>
        <v>#REF!</v>
      </c>
      <c r="V77" s="82" t="str">
        <f>IF(
   COUNTIFS($A$2:A77,A77,
             $B$2:B77,B77,
             $D$2:D77,D77,
             $E$2:E77,E77,
             $F$2:F77,F77,
             $G$2:G77,G77,
             $H$2:H77,H77,
             $L$2:L77,L77)&gt;1,
   "Doublon",
   "Correcte"
)</f>
        <v>Correcte</v>
      </c>
    </row>
    <row r="78" spans="1:22" x14ac:dyDescent="0.25">
      <c r="A78" s="99" t="s">
        <v>2427</v>
      </c>
      <c r="B78" s="16" t="s">
        <v>686</v>
      </c>
      <c r="C78" s="68">
        <v>45921</v>
      </c>
      <c r="D78" s="17">
        <v>10</v>
      </c>
      <c r="E78" s="17">
        <v>0</v>
      </c>
      <c r="F78" s="17">
        <v>0</v>
      </c>
      <c r="G78" s="17">
        <v>0</v>
      </c>
      <c r="H78" s="17">
        <v>0</v>
      </c>
      <c r="I78" s="16"/>
      <c r="J78" s="16"/>
      <c r="K78" s="16" t="s">
        <v>664</v>
      </c>
      <c r="L78" s="68">
        <v>45922</v>
      </c>
      <c r="M78" s="68" t="str">
        <f t="shared" si="1"/>
        <v>Coupe</v>
      </c>
      <c r="N78" s="68" t="str">
        <f>INDEX(_xlfn.TEXTSPLIT(coupe[[#This Row],[QR Fabrication]],"_"),1,1)</f>
        <v>CA250079</v>
      </c>
      <c r="O78" s="68" t="str">
        <f>INDEX(_xlfn.TEXTSPLIT(coupe[[#This Row],[QR Fabrication]],"_"),1,2)</f>
        <v>All by Fouta</v>
      </c>
      <c r="P78" s="16" t="str">
        <f>INDEX(_xlfn.TEXTSPLIT(coupe[[#This Row],[QR Fabrication]],"_"),1,3)</f>
        <v>Stock</v>
      </c>
      <c r="Q78" s="16" t="str">
        <f>INDEX(_xlfn.TEXTSPLIT(coupe[[#This Row],[QR Fabrication]],"_"),1,4)</f>
        <v>UNS2030-32</v>
      </c>
      <c r="R78" s="16" t="str">
        <f>INDEX(_xlfn.TEXTSPLIT(coupe[[#This Row],[QR Fabrication]],"_"),1,5)</f>
        <v>UNI SURPIQUE</v>
      </c>
      <c r="S78" s="16" t="str">
        <f>_xlfn.TEXTAFTER(coupe[[#This Row],[QR Fabrication]],"_",5)</f>
        <v>2030</v>
      </c>
      <c r="T78" s="82" t="e">
        <f>_xlfn.XLOOKUP(coupe[[#This Row],[Num OF]],#REF!,#REF!,0)</f>
        <v>#REF!</v>
      </c>
      <c r="U78" s="82" t="e">
        <f>_xlfn.XLOOKUP(coupe[[#This Row],[Num OF]],#REF!,#REF!,0)</f>
        <v>#REF!</v>
      </c>
      <c r="V78" s="82" t="str">
        <f>IF(
   COUNTIFS($A$2:A78,A78,
             $B$2:B78,B78,
             $D$2:D78,D78,
             $E$2:E78,E78,
             $F$2:F78,F78,
             $G$2:G78,G78,
             $H$2:H78,H78,
             $L$2:L78,L78)&gt;1,
   "Doublon",
   "Correcte"
)</f>
        <v>Correcte</v>
      </c>
    </row>
    <row r="79" spans="1:22" x14ac:dyDescent="0.25">
      <c r="A79" s="99" t="s">
        <v>2425</v>
      </c>
      <c r="B79" s="16" t="s">
        <v>684</v>
      </c>
      <c r="C79" s="68">
        <v>45921</v>
      </c>
      <c r="D79" s="17">
        <v>14</v>
      </c>
      <c r="E79" s="17">
        <v>0</v>
      </c>
      <c r="F79" s="17">
        <v>0</v>
      </c>
      <c r="G79" s="17">
        <v>0</v>
      </c>
      <c r="H79" s="17">
        <v>0</v>
      </c>
      <c r="I79" s="16"/>
      <c r="J79" s="16"/>
      <c r="K79" s="16" t="s">
        <v>664</v>
      </c>
      <c r="L79" s="68">
        <v>45922</v>
      </c>
      <c r="M79" s="68" t="str">
        <f t="shared" si="1"/>
        <v>Coupe</v>
      </c>
      <c r="N79" s="68" t="str">
        <f>INDEX(_xlfn.TEXTSPLIT(coupe[[#This Row],[QR Fabrication]],"_"),1,1)</f>
        <v>CA250043</v>
      </c>
      <c r="O79" s="68" t="str">
        <f>INDEX(_xlfn.TEXTSPLIT(coupe[[#This Row],[QR Fabrication]],"_"),1,2)</f>
        <v>All by Fouta</v>
      </c>
      <c r="P79" s="16" t="str">
        <f>INDEX(_xlfn.TEXTSPLIT(coupe[[#This Row],[QR Fabrication]],"_"),1,3)</f>
        <v>Stock</v>
      </c>
      <c r="Q79" s="16" t="str">
        <f>INDEX(_xlfn.TEXTSPLIT(coupe[[#This Row],[QR Fabrication]],"_"),1,4)</f>
        <v>UNS1626-06</v>
      </c>
      <c r="R79" s="16" t="str">
        <f>INDEX(_xlfn.TEXTSPLIT(coupe[[#This Row],[QR Fabrication]],"_"),1,5)</f>
        <v>UNI SURPIQUE</v>
      </c>
      <c r="S79" s="16" t="str">
        <f>_xlfn.TEXTAFTER(coupe[[#This Row],[QR Fabrication]],"_",5)</f>
        <v>1626</v>
      </c>
      <c r="T79" s="82" t="e">
        <f>_xlfn.XLOOKUP(coupe[[#This Row],[Num OF]],#REF!,#REF!,0)</f>
        <v>#REF!</v>
      </c>
      <c r="U79" s="82" t="e">
        <f>_xlfn.XLOOKUP(coupe[[#This Row],[Num OF]],#REF!,#REF!,0)</f>
        <v>#REF!</v>
      </c>
      <c r="V79" s="82" t="str">
        <f>IF(
   COUNTIFS($A$2:A79,A79,
             $B$2:B79,B79,
             $D$2:D79,D79,
             $E$2:E79,E79,
             $F$2:F79,F79,
             $G$2:G79,G79,
             $H$2:H79,H79,
             $L$2:L79,L79)&gt;1,
   "Doublon",
   "Correcte"
)</f>
        <v>Correcte</v>
      </c>
    </row>
    <row r="80" spans="1:22" x14ac:dyDescent="0.25">
      <c r="A80" s="99" t="s">
        <v>2559</v>
      </c>
      <c r="B80" s="16" t="s">
        <v>684</v>
      </c>
      <c r="C80" s="68">
        <v>45921</v>
      </c>
      <c r="D80" s="17">
        <v>19</v>
      </c>
      <c r="E80" s="17">
        <v>0</v>
      </c>
      <c r="F80" s="17">
        <v>0</v>
      </c>
      <c r="G80" s="17">
        <v>0</v>
      </c>
      <c r="H80" s="17">
        <v>0</v>
      </c>
      <c r="I80" s="16"/>
      <c r="J80" s="16"/>
      <c r="K80" s="16" t="s">
        <v>664</v>
      </c>
      <c r="L80" s="68">
        <v>45922</v>
      </c>
      <c r="M80" s="68" t="str">
        <f t="shared" si="1"/>
        <v>Coupe</v>
      </c>
      <c r="N80" s="68" t="str">
        <f>INDEX(_xlfn.TEXTSPLIT(coupe[[#This Row],[QR Fabrication]],"_"),1,1)</f>
        <v>CA250048</v>
      </c>
      <c r="O80" s="68" t="str">
        <f>INDEX(_xlfn.TEXTSPLIT(coupe[[#This Row],[QR Fabrication]],"_"),1,2)</f>
        <v>All by Fouta</v>
      </c>
      <c r="P80" s="16" t="str">
        <f>INDEX(_xlfn.TEXTSPLIT(coupe[[#This Row],[QR Fabrication]],"_"),1,3)</f>
        <v>Stock</v>
      </c>
      <c r="Q80" s="16" t="str">
        <f>INDEX(_xlfn.TEXTSPLIT(coupe[[#This Row],[QR Fabrication]],"_"),1,4)</f>
        <v>UNS1626-15</v>
      </c>
      <c r="R80" s="16" t="str">
        <f>INDEX(_xlfn.TEXTSPLIT(coupe[[#This Row],[QR Fabrication]],"_"),1,5)</f>
        <v>UNI SURPIQUE</v>
      </c>
      <c r="S80" s="16" t="str">
        <f>_xlfn.TEXTAFTER(coupe[[#This Row],[QR Fabrication]],"_",5)</f>
        <v>1626</v>
      </c>
      <c r="T80" s="82" t="e">
        <f>_xlfn.XLOOKUP(coupe[[#This Row],[Num OF]],#REF!,#REF!,0)</f>
        <v>#REF!</v>
      </c>
      <c r="U80" s="82" t="e">
        <f>_xlfn.XLOOKUP(coupe[[#This Row],[Num OF]],#REF!,#REF!,0)</f>
        <v>#REF!</v>
      </c>
      <c r="V80" s="82" t="str">
        <f>IF(
   COUNTIFS($A$2:A80,A80,
             $B$2:B80,B80,
             $D$2:D80,D80,
             $E$2:E80,E80,
             $F$2:F80,F80,
             $G$2:G80,G80,
             $H$2:H80,H80,
             $L$2:L80,L80)&gt;1,
   "Doublon",
   "Correcte"
)</f>
        <v>Correcte</v>
      </c>
    </row>
    <row r="81" spans="1:22" x14ac:dyDescent="0.25">
      <c r="A81" s="99" t="s">
        <v>2558</v>
      </c>
      <c r="B81" s="16" t="s">
        <v>684</v>
      </c>
      <c r="C81" s="68">
        <v>45921</v>
      </c>
      <c r="D81" s="17">
        <v>8</v>
      </c>
      <c r="E81" s="17">
        <v>0</v>
      </c>
      <c r="F81" s="17">
        <v>4</v>
      </c>
      <c r="G81" s="17">
        <v>0</v>
      </c>
      <c r="H81" s="17">
        <v>0</v>
      </c>
      <c r="I81" s="16"/>
      <c r="J81" s="16"/>
      <c r="K81" s="16" t="s">
        <v>664</v>
      </c>
      <c r="L81" s="68">
        <v>45922</v>
      </c>
      <c r="M81" s="68" t="str">
        <f t="shared" si="1"/>
        <v>Coupe</v>
      </c>
      <c r="N81" s="68" t="str">
        <f>INDEX(_xlfn.TEXTSPLIT(coupe[[#This Row],[QR Fabrication]],"_"),1,1)</f>
        <v>CA250057</v>
      </c>
      <c r="O81" s="68" t="str">
        <f>INDEX(_xlfn.TEXTSPLIT(coupe[[#This Row],[QR Fabrication]],"_"),1,2)</f>
        <v>All by Fouta</v>
      </c>
      <c r="P81" s="16" t="str">
        <f>INDEX(_xlfn.TEXTSPLIT(coupe[[#This Row],[QR Fabrication]],"_"),1,3)</f>
        <v>Stock</v>
      </c>
      <c r="Q81" s="16" t="str">
        <f>INDEX(_xlfn.TEXTSPLIT(coupe[[#This Row],[QR Fabrication]],"_"),1,4)</f>
        <v>UNS1626-30</v>
      </c>
      <c r="R81" s="16" t="str">
        <f>INDEX(_xlfn.TEXTSPLIT(coupe[[#This Row],[QR Fabrication]],"_"),1,5)</f>
        <v>UNI SURPIQUE</v>
      </c>
      <c r="S81" s="16" t="str">
        <f>_xlfn.TEXTAFTER(coupe[[#This Row],[QR Fabrication]],"_",5)</f>
        <v>1626</v>
      </c>
      <c r="T81" s="82" t="e">
        <f>_xlfn.XLOOKUP(coupe[[#This Row],[Num OF]],#REF!,#REF!,0)</f>
        <v>#REF!</v>
      </c>
      <c r="U81" s="82" t="e">
        <f>_xlfn.XLOOKUP(coupe[[#This Row],[Num OF]],#REF!,#REF!,0)</f>
        <v>#REF!</v>
      </c>
      <c r="V81" s="82" t="str">
        <f>IF(
   COUNTIFS($A$2:A81,A81,
             $B$2:B81,B81,
             $D$2:D81,D81,
             $E$2:E81,E81,
             $F$2:F81,F81,
             $G$2:G81,G81,
             $H$2:H81,H81,
             $L$2:L81,L81)&gt;1,
   "Doublon",
   "Correcte"
)</f>
        <v>Correcte</v>
      </c>
    </row>
    <row r="82" spans="1:22" x14ac:dyDescent="0.25">
      <c r="A82" s="99" t="s">
        <v>2426</v>
      </c>
      <c r="B82" s="16" t="s">
        <v>686</v>
      </c>
      <c r="C82" s="68">
        <v>45921</v>
      </c>
      <c r="D82" s="17">
        <v>7</v>
      </c>
      <c r="E82" s="17">
        <v>0</v>
      </c>
      <c r="F82" s="17">
        <v>0</v>
      </c>
      <c r="G82" s="17">
        <v>0</v>
      </c>
      <c r="H82" s="17">
        <v>0</v>
      </c>
      <c r="I82" s="16"/>
      <c r="J82" s="16"/>
      <c r="K82" s="16" t="s">
        <v>664</v>
      </c>
      <c r="L82" s="68">
        <v>45922</v>
      </c>
      <c r="M82" s="68" t="str">
        <f t="shared" si="1"/>
        <v>Coupe</v>
      </c>
      <c r="N82" s="68" t="str">
        <f>INDEX(_xlfn.TEXTSPLIT(coupe[[#This Row],[QR Fabrication]],"_"),1,1)</f>
        <v>CA250076</v>
      </c>
      <c r="O82" s="68" t="str">
        <f>INDEX(_xlfn.TEXTSPLIT(coupe[[#This Row],[QR Fabrication]],"_"),1,2)</f>
        <v>All by Fouta</v>
      </c>
      <c r="P82" s="16" t="str">
        <f>INDEX(_xlfn.TEXTSPLIT(coupe[[#This Row],[QR Fabrication]],"_"),1,3)</f>
        <v>Stock</v>
      </c>
      <c r="Q82" s="16" t="str">
        <f>INDEX(_xlfn.TEXTSPLIT(coupe[[#This Row],[QR Fabrication]],"_"),1,4)</f>
        <v>UNS2030-27</v>
      </c>
      <c r="R82" s="16" t="str">
        <f>INDEX(_xlfn.TEXTSPLIT(coupe[[#This Row],[QR Fabrication]],"_"),1,5)</f>
        <v>UNI SURPIQUE</v>
      </c>
      <c r="S82" s="16" t="str">
        <f>_xlfn.TEXTAFTER(coupe[[#This Row],[QR Fabrication]],"_",5)</f>
        <v>2030</v>
      </c>
      <c r="T82" s="82" t="e">
        <f>_xlfn.XLOOKUP(coupe[[#This Row],[Num OF]],#REF!,#REF!,0)</f>
        <v>#REF!</v>
      </c>
      <c r="U82" s="82" t="e">
        <f>_xlfn.XLOOKUP(coupe[[#This Row],[Num OF]],#REF!,#REF!,0)</f>
        <v>#REF!</v>
      </c>
      <c r="V82" s="82" t="str">
        <f>IF(
   COUNTIFS($A$2:A82,A82,
             $B$2:B82,B82,
             $D$2:D82,D82,
             $E$2:E82,E82,
             $F$2:F82,F82,
             $G$2:G82,G82,
             $H$2:H82,H82,
             $L$2:L82,L82)&gt;1,
   "Doublon",
   "Correcte"
)</f>
        <v>Correcte</v>
      </c>
    </row>
    <row r="83" spans="1:22" x14ac:dyDescent="0.25">
      <c r="A83" s="99" t="s">
        <v>2428</v>
      </c>
      <c r="B83" s="16" t="s">
        <v>684</v>
      </c>
      <c r="C83" s="68">
        <v>45921</v>
      </c>
      <c r="D83" s="17">
        <v>8</v>
      </c>
      <c r="E83" s="17">
        <v>0</v>
      </c>
      <c r="F83" s="17">
        <v>0</v>
      </c>
      <c r="G83" s="17">
        <v>0</v>
      </c>
      <c r="H83" s="17">
        <v>0</v>
      </c>
      <c r="I83" s="16"/>
      <c r="J83" s="16"/>
      <c r="K83" s="16" t="s">
        <v>664</v>
      </c>
      <c r="L83" s="68">
        <v>45922</v>
      </c>
      <c r="M83" s="68" t="str">
        <f t="shared" si="1"/>
        <v>Coupe</v>
      </c>
      <c r="N83" s="68" t="str">
        <f>INDEX(_xlfn.TEXTSPLIT(coupe[[#This Row],[QR Fabrication]],"_"),1,1)</f>
        <v>CA250017</v>
      </c>
      <c r="O83" s="68" t="str">
        <f>INDEX(_xlfn.TEXTSPLIT(coupe[[#This Row],[QR Fabrication]],"_"),1,2)</f>
        <v>All by Fouta</v>
      </c>
      <c r="P83" s="16" t="str">
        <f>INDEX(_xlfn.TEXTSPLIT(coupe[[#This Row],[QR Fabrication]],"_"),1,3)</f>
        <v>Stock</v>
      </c>
      <c r="Q83" s="16" t="str">
        <f>INDEX(_xlfn.TEXTSPLIT(coupe[[#This Row],[QR Fabrication]],"_"),1,4)</f>
        <v>UNS1020-30</v>
      </c>
      <c r="R83" s="16" t="str">
        <f>INDEX(_xlfn.TEXTSPLIT(coupe[[#This Row],[QR Fabrication]],"_"),1,5)</f>
        <v>UNI SURPIQUE</v>
      </c>
      <c r="S83" s="16" t="str">
        <f>_xlfn.TEXTAFTER(coupe[[#This Row],[QR Fabrication]],"_",5)</f>
        <v>1020</v>
      </c>
      <c r="T83" s="82" t="e">
        <f>_xlfn.XLOOKUP(coupe[[#This Row],[Num OF]],#REF!,#REF!,0)</f>
        <v>#REF!</v>
      </c>
      <c r="U83" s="82" t="e">
        <f>_xlfn.XLOOKUP(coupe[[#This Row],[Num OF]],#REF!,#REF!,0)</f>
        <v>#REF!</v>
      </c>
      <c r="V83" s="82" t="str">
        <f>IF(
   COUNTIFS($A$2:A83,A83,
             $B$2:B83,B83,
             $D$2:D83,D83,
             $E$2:E83,E83,
             $F$2:F83,F83,
             $G$2:G83,G83,
             $H$2:H83,H83,
             $L$2:L83,L83)&gt;1,
   "Doublon",
   "Correcte"
)</f>
        <v>Correcte</v>
      </c>
    </row>
    <row r="84" spans="1:22" x14ac:dyDescent="0.25">
      <c r="A84" s="99" t="s">
        <v>2458</v>
      </c>
      <c r="B84" s="16" t="s">
        <v>684</v>
      </c>
      <c r="C84" s="68">
        <v>45921</v>
      </c>
      <c r="D84" s="17">
        <v>102</v>
      </c>
      <c r="E84" s="17">
        <v>0</v>
      </c>
      <c r="F84" s="17">
        <v>0</v>
      </c>
      <c r="G84" s="17">
        <v>0</v>
      </c>
      <c r="H84" s="17">
        <v>0</v>
      </c>
      <c r="I84" s="16"/>
      <c r="J84" s="16"/>
      <c r="K84" s="16" t="s">
        <v>664</v>
      </c>
      <c r="L84" s="68">
        <v>45922</v>
      </c>
      <c r="M84" s="68" t="str">
        <f t="shared" si="1"/>
        <v>Coupe</v>
      </c>
      <c r="N84" s="68" t="str">
        <f>INDEX(_xlfn.TEXTSPLIT(coupe[[#This Row],[QR Fabrication]],"_"),1,1)</f>
        <v>CA250753</v>
      </c>
      <c r="O84" s="68" t="str">
        <f>INDEX(_xlfn.TEXTSPLIT(coupe[[#This Row],[QR Fabrication]],"_"),1,2)</f>
        <v>All by Fouta</v>
      </c>
      <c r="P84" s="16" t="str">
        <f>INDEX(_xlfn.TEXTSPLIT(coupe[[#This Row],[QR Fabrication]],"_"),1,3)</f>
        <v>Stock</v>
      </c>
      <c r="Q84" s="16" t="str">
        <f>INDEX(_xlfn.TEXTSPLIT(coupe[[#This Row],[QR Fabrication]],"_"),1,4)</f>
        <v>PACKSICL0507-B06-08</v>
      </c>
      <c r="R84" s="16" t="str">
        <f>INDEX(_xlfn.TEXTSPLIT(coupe[[#This Row],[QR Fabrication]],"_"),1,5)</f>
        <v>PACK CLASSIQUE</v>
      </c>
      <c r="S84" s="16" t="str">
        <f>_xlfn.TEXTAFTER(coupe[[#This Row],[QR Fabrication]],"_",5)</f>
        <v>0507</v>
      </c>
      <c r="T84" s="82" t="e">
        <f>_xlfn.XLOOKUP(coupe[[#This Row],[Num OF]],#REF!,#REF!,0)</f>
        <v>#REF!</v>
      </c>
      <c r="U84" s="82" t="e">
        <f>_xlfn.XLOOKUP(coupe[[#This Row],[Num OF]],#REF!,#REF!,0)</f>
        <v>#REF!</v>
      </c>
      <c r="V84" s="82" t="str">
        <f>IF(
   COUNTIFS($A$2:A84,A84,
             $B$2:B84,B84,
             $D$2:D84,D84,
             $E$2:E84,E84,
             $F$2:F84,F84,
             $G$2:G84,G84,
             $H$2:H84,H84,
             $L$2:L84,L84)&gt;1,
   "Doublon",
   "Correcte"
)</f>
        <v>Correcte</v>
      </c>
    </row>
    <row r="85" spans="1:22" x14ac:dyDescent="0.25">
      <c r="A85" s="99" t="s">
        <v>2459</v>
      </c>
      <c r="B85" s="16" t="s">
        <v>684</v>
      </c>
      <c r="C85" s="68">
        <v>45921</v>
      </c>
      <c r="D85" s="17">
        <v>100</v>
      </c>
      <c r="E85" s="17">
        <v>0</v>
      </c>
      <c r="F85" s="17">
        <v>0</v>
      </c>
      <c r="G85" s="17">
        <v>0</v>
      </c>
      <c r="H85" s="17">
        <v>0</v>
      </c>
      <c r="I85" s="16"/>
      <c r="J85" s="16"/>
      <c r="K85" s="16" t="s">
        <v>664</v>
      </c>
      <c r="L85" s="68">
        <v>45922</v>
      </c>
      <c r="M85" s="68" t="str">
        <f t="shared" si="1"/>
        <v>Coupe</v>
      </c>
      <c r="N85" s="68" t="str">
        <f>INDEX(_xlfn.TEXTSPLIT(coupe[[#This Row],[QR Fabrication]],"_"),1,1)</f>
        <v>CA250752</v>
      </c>
      <c r="O85" s="68" t="str">
        <f>INDEX(_xlfn.TEXTSPLIT(coupe[[#This Row],[QR Fabrication]],"_"),1,2)</f>
        <v>All by Fouta</v>
      </c>
      <c r="P85" s="16" t="str">
        <f>INDEX(_xlfn.TEXTSPLIT(coupe[[#This Row],[QR Fabrication]],"_"),1,3)</f>
        <v>Stock</v>
      </c>
      <c r="Q85" s="16" t="str">
        <f>INDEX(_xlfn.TEXTSPLIT(coupe[[#This Row],[QR Fabrication]],"_"),1,4)</f>
        <v>PACKSICL0507-B05-03</v>
      </c>
      <c r="R85" s="16" t="str">
        <f>INDEX(_xlfn.TEXTSPLIT(coupe[[#This Row],[QR Fabrication]],"_"),1,5)</f>
        <v>PACK CLASSIQUE</v>
      </c>
      <c r="S85" s="16" t="str">
        <f>_xlfn.TEXTAFTER(coupe[[#This Row],[QR Fabrication]],"_",5)</f>
        <v>0507</v>
      </c>
      <c r="T85" s="82" t="e">
        <f>_xlfn.XLOOKUP(coupe[[#This Row],[Num OF]],#REF!,#REF!,0)</f>
        <v>#REF!</v>
      </c>
      <c r="U85" s="82" t="e">
        <f>_xlfn.XLOOKUP(coupe[[#This Row],[Num OF]],#REF!,#REF!,0)</f>
        <v>#REF!</v>
      </c>
      <c r="V85" s="82" t="str">
        <f>IF(
   COUNTIFS($A$2:A85,A85,
             $B$2:B85,B85,
             $D$2:D85,D85,
             $E$2:E85,E85,
             $F$2:F85,F85,
             $G$2:G85,G85,
             $H$2:H85,H85,
             $L$2:L85,L85)&gt;1,
   "Doublon",
   "Correcte"
)</f>
        <v>Correcte</v>
      </c>
    </row>
    <row r="86" spans="1:22" x14ac:dyDescent="0.25">
      <c r="A86" s="99" t="s">
        <v>2463</v>
      </c>
      <c r="B86" s="16" t="s">
        <v>684</v>
      </c>
      <c r="C86" s="68">
        <v>45922</v>
      </c>
      <c r="D86" s="17">
        <v>17</v>
      </c>
      <c r="E86" s="17">
        <v>0</v>
      </c>
      <c r="F86" s="17">
        <v>0</v>
      </c>
      <c r="G86" s="17">
        <v>0</v>
      </c>
      <c r="H86" s="17">
        <v>0</v>
      </c>
      <c r="I86" s="16"/>
      <c r="J86" s="16"/>
      <c r="K86" s="16" t="s">
        <v>664</v>
      </c>
      <c r="L86" s="68">
        <v>45923</v>
      </c>
      <c r="M86" s="68" t="str">
        <f t="shared" si="1"/>
        <v>Coupe</v>
      </c>
      <c r="N86" s="68" t="str">
        <f>INDEX(_xlfn.TEXTSPLIT(coupe[[#This Row],[QR Fabrication]],"_"),1,1)</f>
        <v>CA250018</v>
      </c>
      <c r="O86" s="68" t="str">
        <f>INDEX(_xlfn.TEXTSPLIT(coupe[[#This Row],[QR Fabrication]],"_"),1,2)</f>
        <v>All by Fouta</v>
      </c>
      <c r="P86" s="16" t="str">
        <f>INDEX(_xlfn.TEXTSPLIT(coupe[[#This Row],[QR Fabrication]],"_"),1,3)</f>
        <v>Stock</v>
      </c>
      <c r="Q86" s="16" t="str">
        <f>INDEX(_xlfn.TEXTSPLIT(coupe[[#This Row],[QR Fabrication]],"_"),1,4)</f>
        <v>UNS1020-31</v>
      </c>
      <c r="R86" s="16" t="str">
        <f>INDEX(_xlfn.TEXTSPLIT(coupe[[#This Row],[QR Fabrication]],"_"),1,5)</f>
        <v>UNI SURPIQUE</v>
      </c>
      <c r="S86" s="16" t="str">
        <f>_xlfn.TEXTAFTER(coupe[[#This Row],[QR Fabrication]],"_",5)</f>
        <v>1020</v>
      </c>
      <c r="T86" s="82" t="e">
        <f>_xlfn.XLOOKUP(coupe[[#This Row],[Num OF]],#REF!,#REF!,0)</f>
        <v>#REF!</v>
      </c>
      <c r="U86" s="82" t="e">
        <f>_xlfn.XLOOKUP(coupe[[#This Row],[Num OF]],#REF!,#REF!,0)</f>
        <v>#REF!</v>
      </c>
      <c r="V86" s="82" t="str">
        <f>IF(
   COUNTIFS($A$2:A86,A86,
             $B$2:B86,B86,
             $D$2:D86,D86,
             $E$2:E86,E86,
             $F$2:F86,F86,
             $G$2:G86,G86,
             $H$2:H86,H86,
             $L$2:L86,L86)&gt;1,
   "Doublon",
   "Correcte"
)</f>
        <v>Correcte</v>
      </c>
    </row>
    <row r="87" spans="1:22" x14ac:dyDescent="0.25">
      <c r="A87" s="99" t="s">
        <v>2428</v>
      </c>
      <c r="B87" s="16" t="s">
        <v>684</v>
      </c>
      <c r="C87" s="68">
        <v>45922</v>
      </c>
      <c r="D87" s="17">
        <v>52</v>
      </c>
      <c r="E87" s="17">
        <v>0</v>
      </c>
      <c r="F87" s="17">
        <v>0</v>
      </c>
      <c r="G87" s="17">
        <v>0</v>
      </c>
      <c r="H87" s="17">
        <v>0</v>
      </c>
      <c r="I87" s="16"/>
      <c r="J87" s="16"/>
      <c r="K87" s="16" t="s">
        <v>664</v>
      </c>
      <c r="L87" s="68">
        <v>45923</v>
      </c>
      <c r="M87" s="68" t="str">
        <f t="shared" si="1"/>
        <v>Coupe</v>
      </c>
      <c r="N87" s="68" t="str">
        <f>INDEX(_xlfn.TEXTSPLIT(coupe[[#This Row],[QR Fabrication]],"_"),1,1)</f>
        <v>CA250017</v>
      </c>
      <c r="O87" s="68" t="str">
        <f>INDEX(_xlfn.TEXTSPLIT(coupe[[#This Row],[QR Fabrication]],"_"),1,2)</f>
        <v>All by Fouta</v>
      </c>
      <c r="P87" s="16" t="str">
        <f>INDEX(_xlfn.TEXTSPLIT(coupe[[#This Row],[QR Fabrication]],"_"),1,3)</f>
        <v>Stock</v>
      </c>
      <c r="Q87" s="16" t="str">
        <f>INDEX(_xlfn.TEXTSPLIT(coupe[[#This Row],[QR Fabrication]],"_"),1,4)</f>
        <v>UNS1020-30</v>
      </c>
      <c r="R87" s="16" t="str">
        <f>INDEX(_xlfn.TEXTSPLIT(coupe[[#This Row],[QR Fabrication]],"_"),1,5)</f>
        <v>UNI SURPIQUE</v>
      </c>
      <c r="S87" s="16" t="str">
        <f>_xlfn.TEXTAFTER(coupe[[#This Row],[QR Fabrication]],"_",5)</f>
        <v>1020</v>
      </c>
      <c r="T87" s="82" t="e">
        <f>_xlfn.XLOOKUP(coupe[[#This Row],[Num OF]],#REF!,#REF!,0)</f>
        <v>#REF!</v>
      </c>
      <c r="U87" s="82" t="e">
        <f>_xlfn.XLOOKUP(coupe[[#This Row],[Num OF]],#REF!,#REF!,0)</f>
        <v>#REF!</v>
      </c>
      <c r="V87" s="82" t="str">
        <f>IF(
   COUNTIFS($A$2:A87,A87,
             $B$2:B87,B87,
             $D$2:D87,D87,
             $E$2:E87,E87,
             $F$2:F87,F87,
             $G$2:G87,G87,
             $H$2:H87,H87,
             $L$2:L87,L87)&gt;1,
   "Doublon",
   "Correcte"
)</f>
        <v>Correcte</v>
      </c>
    </row>
    <row r="88" spans="1:22" x14ac:dyDescent="0.25">
      <c r="A88" s="99" t="s">
        <v>2433</v>
      </c>
      <c r="B88" s="16" t="s">
        <v>686</v>
      </c>
      <c r="C88" s="68">
        <v>45922</v>
      </c>
      <c r="D88" s="17">
        <v>21</v>
      </c>
      <c r="E88" s="17">
        <v>0</v>
      </c>
      <c r="F88" s="17">
        <v>0</v>
      </c>
      <c r="G88" s="17">
        <v>0</v>
      </c>
      <c r="H88" s="17">
        <v>0</v>
      </c>
      <c r="I88" s="16"/>
      <c r="J88" s="16"/>
      <c r="K88" s="16" t="s">
        <v>664</v>
      </c>
      <c r="L88" s="68">
        <v>45923</v>
      </c>
      <c r="M88" s="68" t="str">
        <f t="shared" si="1"/>
        <v>Coupe</v>
      </c>
      <c r="N88" s="68" t="str">
        <f>INDEX(_xlfn.TEXTSPLIT(coupe[[#This Row],[QR Fabrication]],"_"),1,1)</f>
        <v>CA250032</v>
      </c>
      <c r="O88" s="68" t="str">
        <f>INDEX(_xlfn.TEXTSPLIT(coupe[[#This Row],[QR Fabrication]],"_"),1,2)</f>
        <v>All by Fouta</v>
      </c>
      <c r="P88" s="16" t="str">
        <f>INDEX(_xlfn.TEXTSPLIT(coupe[[#This Row],[QR Fabrication]],"_"),1,3)</f>
        <v>Stock</v>
      </c>
      <c r="Q88" s="16" t="str">
        <f>INDEX(_xlfn.TEXTSPLIT(coupe[[#This Row],[QR Fabrication]],"_"),1,4)</f>
        <v>UNS2020-20</v>
      </c>
      <c r="R88" s="16" t="str">
        <f>INDEX(_xlfn.TEXTSPLIT(coupe[[#This Row],[QR Fabrication]],"_"),1,5)</f>
        <v>UNI SURPIQUE</v>
      </c>
      <c r="S88" s="16" t="str">
        <f>_xlfn.TEXTAFTER(coupe[[#This Row],[QR Fabrication]],"_",5)</f>
        <v>2020</v>
      </c>
      <c r="T88" s="82" t="e">
        <f>_xlfn.XLOOKUP(coupe[[#This Row],[Num OF]],#REF!,#REF!,0)</f>
        <v>#REF!</v>
      </c>
      <c r="U88" s="82" t="e">
        <f>_xlfn.XLOOKUP(coupe[[#This Row],[Num OF]],#REF!,#REF!,0)</f>
        <v>#REF!</v>
      </c>
      <c r="V88" s="82" t="str">
        <f>IF(
   COUNTIFS($A$2:A88,A88,
             $B$2:B88,B88,
             $D$2:D88,D88,
             $E$2:E88,E88,
             $F$2:F88,F88,
             $G$2:G88,G88,
             $H$2:H88,H88,
             $L$2:L88,L88)&gt;1,
   "Doublon",
   "Correcte"
)</f>
        <v>Correcte</v>
      </c>
    </row>
    <row r="89" spans="1:22" x14ac:dyDescent="0.25">
      <c r="A89" s="99" t="s">
        <v>2431</v>
      </c>
      <c r="B89" s="16" t="s">
        <v>686</v>
      </c>
      <c r="C89" s="68">
        <v>45922</v>
      </c>
      <c r="D89" s="17">
        <v>14</v>
      </c>
      <c r="E89" s="17">
        <v>0</v>
      </c>
      <c r="F89" s="17">
        <v>2</v>
      </c>
      <c r="G89" s="17">
        <v>0</v>
      </c>
      <c r="H89" s="17">
        <v>0</v>
      </c>
      <c r="I89" s="16"/>
      <c r="J89" s="16"/>
      <c r="K89" s="16" t="s">
        <v>664</v>
      </c>
      <c r="L89" s="68">
        <v>45923</v>
      </c>
      <c r="M89" s="68" t="str">
        <f t="shared" si="1"/>
        <v>Coupe</v>
      </c>
      <c r="N89" s="68" t="str">
        <f>INDEX(_xlfn.TEXTSPLIT(coupe[[#This Row],[QR Fabrication]],"_"),1,1)</f>
        <v>OF249846</v>
      </c>
      <c r="O89" s="68" t="str">
        <f>INDEX(_xlfn.TEXTSPLIT(coupe[[#This Row],[QR Fabrication]],"_"),1,2)</f>
        <v>CL00884</v>
      </c>
      <c r="P89" s="16" t="str">
        <f>INDEX(_xlfn.TEXTSPLIT(coupe[[#This Row],[QR Fabrication]],"_"),1,3)</f>
        <v>CM-FT0119</v>
      </c>
      <c r="Q89" s="16" t="str">
        <f>INDEX(_xlfn.TEXTSPLIT(coupe[[#This Row],[QR Fabrication]],"_"),1,4)</f>
        <v>ST1020-S28-25-24</v>
      </c>
      <c r="R89" s="16" t="str">
        <f>INDEX(_xlfn.TEXTSPLIT(coupe[[#This Row],[QR Fabrication]],"_"),1,5)</f>
        <v>ST TROPEZ</v>
      </c>
      <c r="S89" s="16" t="str">
        <f>_xlfn.TEXTAFTER(coupe[[#This Row],[QR Fabrication]],"_",5)</f>
        <v>1020</v>
      </c>
      <c r="T89" s="82" t="e">
        <f>_xlfn.XLOOKUP(coupe[[#This Row],[Num OF]],#REF!,#REF!,0)</f>
        <v>#REF!</v>
      </c>
      <c r="U89" s="82" t="e">
        <f>_xlfn.XLOOKUP(coupe[[#This Row],[Num OF]],#REF!,#REF!,0)</f>
        <v>#REF!</v>
      </c>
      <c r="V89" s="82" t="str">
        <f>IF(
   COUNTIFS($A$2:A89,A89,
             $B$2:B89,B89,
             $D$2:D89,D89,
             $E$2:E89,E89,
             $F$2:F89,F89,
             $G$2:G89,G89,
             $H$2:H89,H89,
             $L$2:L89,L89)&gt;1,
   "Doublon",
   "Correcte"
)</f>
        <v>Correcte</v>
      </c>
    </row>
    <row r="90" spans="1:22" x14ac:dyDescent="0.25">
      <c r="A90" s="99" t="s">
        <v>2457</v>
      </c>
      <c r="B90" s="16" t="s">
        <v>686</v>
      </c>
      <c r="C90" s="68">
        <v>45922</v>
      </c>
      <c r="D90" s="17">
        <v>60</v>
      </c>
      <c r="E90" s="17">
        <v>2</v>
      </c>
      <c r="F90" s="17">
        <v>2</v>
      </c>
      <c r="G90" s="17">
        <v>0</v>
      </c>
      <c r="H90" s="17">
        <v>0</v>
      </c>
      <c r="I90" s="16"/>
      <c r="J90" s="16"/>
      <c r="K90" s="16" t="s">
        <v>664</v>
      </c>
      <c r="L90" s="68">
        <v>45923</v>
      </c>
      <c r="M90" s="68" t="str">
        <f t="shared" si="1"/>
        <v>Coupe</v>
      </c>
      <c r="N90" s="68" t="str">
        <f>INDEX(_xlfn.TEXTSPLIT(coupe[[#This Row],[QR Fabrication]],"_"),1,1)</f>
        <v>OF249849</v>
      </c>
      <c r="O90" s="68" t="str">
        <f>INDEX(_xlfn.TEXTSPLIT(coupe[[#This Row],[QR Fabrication]],"_"),1,2)</f>
        <v>CL00884</v>
      </c>
      <c r="P90" s="16" t="str">
        <f>INDEX(_xlfn.TEXTSPLIT(coupe[[#This Row],[QR Fabrication]],"_"),1,3)</f>
        <v>CM-FT0119</v>
      </c>
      <c r="Q90" s="16" t="str">
        <f>INDEX(_xlfn.TEXTSPLIT(coupe[[#This Row],[QR Fabrication]],"_"),1,4)</f>
        <v>ST1020-S20-24-17</v>
      </c>
      <c r="R90" s="16" t="str">
        <f>INDEX(_xlfn.TEXTSPLIT(coupe[[#This Row],[QR Fabrication]],"_"),1,5)</f>
        <v>ST TROPEZ</v>
      </c>
      <c r="S90" s="16" t="str">
        <f>_xlfn.TEXTAFTER(coupe[[#This Row],[QR Fabrication]],"_",5)</f>
        <v>1020</v>
      </c>
      <c r="T90" s="82" t="e">
        <f>_xlfn.XLOOKUP(coupe[[#This Row],[Num OF]],#REF!,#REF!,0)</f>
        <v>#REF!</v>
      </c>
      <c r="U90" s="82" t="e">
        <f>_xlfn.XLOOKUP(coupe[[#This Row],[Num OF]],#REF!,#REF!,0)</f>
        <v>#REF!</v>
      </c>
      <c r="V90" s="82" t="str">
        <f>IF(
   COUNTIFS($A$2:A90,A90,
             $B$2:B90,B90,
             $D$2:D90,D90,
             $E$2:E90,E90,
             $F$2:F90,F90,
             $G$2:G90,G90,
             $H$2:H90,H90,
             $L$2:L90,L90)&gt;1,
   "Doublon",
   "Correcte"
)</f>
        <v>Correcte</v>
      </c>
    </row>
    <row r="91" spans="1:22" x14ac:dyDescent="0.25">
      <c r="A91" s="99" t="s">
        <v>2429</v>
      </c>
      <c r="B91" s="16" t="s">
        <v>686</v>
      </c>
      <c r="C91" s="68">
        <v>45922</v>
      </c>
      <c r="D91" s="17">
        <v>12</v>
      </c>
      <c r="E91" s="17">
        <v>0</v>
      </c>
      <c r="F91" s="17">
        <v>0</v>
      </c>
      <c r="G91" s="17">
        <v>0</v>
      </c>
      <c r="H91" s="17">
        <v>0</v>
      </c>
      <c r="I91" s="16"/>
      <c r="J91" s="16"/>
      <c r="K91" s="16" t="s">
        <v>664</v>
      </c>
      <c r="L91" s="68">
        <v>45923</v>
      </c>
      <c r="M91" s="68" t="str">
        <f t="shared" si="1"/>
        <v>Coupe</v>
      </c>
      <c r="N91" s="68" t="str">
        <f>INDEX(_xlfn.TEXTSPLIT(coupe[[#This Row],[QR Fabrication]],"_"),1,1)</f>
        <v>CA250033</v>
      </c>
      <c r="O91" s="68" t="str">
        <f>INDEX(_xlfn.TEXTSPLIT(coupe[[#This Row],[QR Fabrication]],"_"),1,2)</f>
        <v>All by Fouta</v>
      </c>
      <c r="P91" s="16" t="str">
        <f>INDEX(_xlfn.TEXTSPLIT(coupe[[#This Row],[QR Fabrication]],"_"),1,3)</f>
        <v>Stock</v>
      </c>
      <c r="Q91" s="16" t="str">
        <f>INDEX(_xlfn.TEXTSPLIT(coupe[[#This Row],[QR Fabrication]],"_"),1,4)</f>
        <v>UNS2020-23</v>
      </c>
      <c r="R91" s="16" t="str">
        <f>INDEX(_xlfn.TEXTSPLIT(coupe[[#This Row],[QR Fabrication]],"_"),1,5)</f>
        <v>UNI SURPIQUE</v>
      </c>
      <c r="S91" s="16" t="str">
        <f>_xlfn.TEXTAFTER(coupe[[#This Row],[QR Fabrication]],"_",5)</f>
        <v>2020</v>
      </c>
      <c r="T91" s="82" t="e">
        <f>_xlfn.XLOOKUP(coupe[[#This Row],[Num OF]],#REF!,#REF!,0)</f>
        <v>#REF!</v>
      </c>
      <c r="U91" s="82" t="e">
        <f>_xlfn.XLOOKUP(coupe[[#This Row],[Num OF]],#REF!,#REF!,0)</f>
        <v>#REF!</v>
      </c>
      <c r="V91" s="82" t="str">
        <f>IF(
   COUNTIFS($A$2:A91,A91,
             $B$2:B91,B91,
             $D$2:D91,D91,
             $E$2:E91,E91,
             $F$2:F91,F91,
             $G$2:G91,G91,
             $H$2:H91,H91,
             $L$2:L91,L91)&gt;1,
   "Doublon",
   "Correcte"
)</f>
        <v>Correcte</v>
      </c>
    </row>
    <row r="92" spans="1:22" x14ac:dyDescent="0.25">
      <c r="A92" s="99" t="s">
        <v>2468</v>
      </c>
      <c r="B92" s="16" t="s">
        <v>686</v>
      </c>
      <c r="C92" s="68">
        <v>45922</v>
      </c>
      <c r="D92" s="17">
        <v>56</v>
      </c>
      <c r="E92" s="17">
        <v>0</v>
      </c>
      <c r="F92" s="17">
        <v>4</v>
      </c>
      <c r="G92" s="17">
        <v>0</v>
      </c>
      <c r="H92" s="17">
        <v>0</v>
      </c>
      <c r="I92" s="16"/>
      <c r="J92" s="16"/>
      <c r="K92" s="16" t="s">
        <v>664</v>
      </c>
      <c r="L92" s="68">
        <v>45923</v>
      </c>
      <c r="M92" s="68" t="str">
        <f t="shared" si="1"/>
        <v>Coupe</v>
      </c>
      <c r="N92" s="68" t="str">
        <f>INDEX(_xlfn.TEXTSPLIT(coupe[[#This Row],[QR Fabrication]],"_"),1,1)</f>
        <v>OF249819</v>
      </c>
      <c r="O92" s="68" t="str">
        <f>INDEX(_xlfn.TEXTSPLIT(coupe[[#This Row],[QR Fabrication]],"_"),1,2)</f>
        <v>CL00884</v>
      </c>
      <c r="P92" s="16" t="str">
        <f>INDEX(_xlfn.TEXTSPLIT(coupe[[#This Row],[QR Fabrication]],"_"),1,3)</f>
        <v>CM-FT0119</v>
      </c>
      <c r="Q92" s="16" t="str">
        <f>INDEX(_xlfn.TEXTSPLIT(coupe[[#This Row],[QR Fabrication]],"_"),1,4)</f>
        <v>SO1020-Q33-11-32</v>
      </c>
      <c r="R92" s="16" t="str">
        <f>INDEX(_xlfn.TEXTSPLIT(coupe[[#This Row],[QR Fabrication]],"_"),1,5)</f>
        <v>SOUSSE</v>
      </c>
      <c r="S92" s="16" t="str">
        <f>_xlfn.TEXTAFTER(coupe[[#This Row],[QR Fabrication]],"_",5)</f>
        <v>1020</v>
      </c>
      <c r="T92" s="82" t="e">
        <f>_xlfn.XLOOKUP(coupe[[#This Row],[Num OF]],#REF!,#REF!,0)</f>
        <v>#REF!</v>
      </c>
      <c r="U92" s="82" t="e">
        <f>_xlfn.XLOOKUP(coupe[[#This Row],[Num OF]],#REF!,#REF!,0)</f>
        <v>#REF!</v>
      </c>
      <c r="V92" s="82" t="str">
        <f>IF(
   COUNTIFS($A$2:A92,A92,
             $B$2:B92,B92,
             $D$2:D92,D92,
             $E$2:E92,E92,
             $F$2:F92,F92,
             $G$2:G92,G92,
             $H$2:H92,H92,
             $L$2:L92,L92)&gt;1,
   "Doublon",
   "Correcte"
)</f>
        <v>Correcte</v>
      </c>
    </row>
    <row r="93" spans="1:22" x14ac:dyDescent="0.25">
      <c r="A93" s="99" t="s">
        <v>2566</v>
      </c>
      <c r="B93" s="16" t="s">
        <v>678</v>
      </c>
      <c r="C93" s="68">
        <v>45922</v>
      </c>
      <c r="D93" s="17">
        <v>14</v>
      </c>
      <c r="E93" s="17">
        <v>0</v>
      </c>
      <c r="F93" s="17">
        <v>0</v>
      </c>
      <c r="G93" s="17">
        <v>0</v>
      </c>
      <c r="H93" s="17">
        <v>0</v>
      </c>
      <c r="I93" s="16"/>
      <c r="J93" s="16"/>
      <c r="K93" s="16" t="s">
        <v>664</v>
      </c>
      <c r="L93" s="68">
        <v>45923</v>
      </c>
      <c r="M93" s="68" t="str">
        <f t="shared" si="1"/>
        <v>Coupe</v>
      </c>
      <c r="N93" s="68" t="str">
        <f>INDEX(_xlfn.TEXTSPLIT(coupe[[#This Row],[QR Fabrication]],"_"),1,1)</f>
        <v>OF246546</v>
      </c>
      <c r="O93" s="68" t="str">
        <f>INDEX(_xlfn.TEXTSPLIT(coupe[[#This Row],[QR Fabrication]],"_"),1,2)</f>
        <v>CL00296</v>
      </c>
      <c r="P93" s="16" t="str">
        <f>INDEX(_xlfn.TEXTSPLIT(coupe[[#This Row],[QR Fabrication]],"_"),1,3)</f>
        <v>CM-FT0108</v>
      </c>
      <c r="Q93" s="16" t="str">
        <f>INDEX(_xlfn.TEXTSPLIT(coupe[[#This Row],[QR Fabrication]],"_"),1,4)</f>
        <v>EPMA0919-B29-02</v>
      </c>
      <c r="R93" s="16" t="str">
        <f>INDEX(_xlfn.TEXTSPLIT(coupe[[#This Row],[QR Fabrication]],"_"),1,5)</f>
        <v>MARINIERE</v>
      </c>
      <c r="S93" s="16" t="str">
        <f>_xlfn.TEXTAFTER(coupe[[#This Row],[QR Fabrication]],"_",5)</f>
        <v>0919</v>
      </c>
      <c r="T93" s="82" t="e">
        <f>_xlfn.XLOOKUP(coupe[[#This Row],[Num OF]],#REF!,#REF!,0)</f>
        <v>#REF!</v>
      </c>
      <c r="U93" s="82" t="e">
        <f>_xlfn.XLOOKUP(coupe[[#This Row],[Num OF]],#REF!,#REF!,0)</f>
        <v>#REF!</v>
      </c>
      <c r="V93" s="82" t="str">
        <f>IF(
   COUNTIFS($A$2:A93,A93,
             $B$2:B93,B93,
             $D$2:D93,D93,
             $E$2:E93,E93,
             $F$2:F93,F93,
             $G$2:G93,G93,
             $H$2:H93,H93,
             $L$2:L93,L93)&gt;1,
   "Doublon",
   "Correcte"
)</f>
        <v>Correcte</v>
      </c>
    </row>
    <row r="94" spans="1:22" x14ac:dyDescent="0.25">
      <c r="A94" s="99" t="s">
        <v>2443</v>
      </c>
      <c r="B94" s="16" t="s">
        <v>684</v>
      </c>
      <c r="C94" s="68">
        <v>45922</v>
      </c>
      <c r="D94" s="17">
        <v>24</v>
      </c>
      <c r="E94" s="17">
        <v>0</v>
      </c>
      <c r="F94" s="17">
        <v>0</v>
      </c>
      <c r="G94" s="17">
        <v>0</v>
      </c>
      <c r="H94" s="17">
        <v>0</v>
      </c>
      <c r="I94" s="16"/>
      <c r="J94" s="16"/>
      <c r="K94" s="16" t="s">
        <v>664</v>
      </c>
      <c r="L94" s="68">
        <v>45923</v>
      </c>
      <c r="M94" s="68" t="str">
        <f t="shared" si="1"/>
        <v>Coupe</v>
      </c>
      <c r="N94" s="68" t="str">
        <f>INDEX(_xlfn.TEXTSPLIT(coupe[[#This Row],[QR Fabrication]],"_"),1,1)</f>
        <v>CA250050</v>
      </c>
      <c r="O94" s="68" t="str">
        <f>INDEX(_xlfn.TEXTSPLIT(coupe[[#This Row],[QR Fabrication]],"_"),1,2)</f>
        <v>All by Fouta</v>
      </c>
      <c r="P94" s="16" t="str">
        <f>INDEX(_xlfn.TEXTSPLIT(coupe[[#This Row],[QR Fabrication]],"_"),1,3)</f>
        <v>Stock</v>
      </c>
      <c r="Q94" s="16" t="str">
        <f>INDEX(_xlfn.TEXTSPLIT(coupe[[#This Row],[QR Fabrication]],"_"),1,4)</f>
        <v>UNS1626-18</v>
      </c>
      <c r="R94" s="16" t="str">
        <f>INDEX(_xlfn.TEXTSPLIT(coupe[[#This Row],[QR Fabrication]],"_"),1,5)</f>
        <v>UNI SURPIQUE</v>
      </c>
      <c r="S94" s="16" t="str">
        <f>_xlfn.TEXTAFTER(coupe[[#This Row],[QR Fabrication]],"_",5)</f>
        <v>1626</v>
      </c>
      <c r="T94" s="82" t="e">
        <f>_xlfn.XLOOKUP(coupe[[#This Row],[Num OF]],#REF!,#REF!,0)</f>
        <v>#REF!</v>
      </c>
      <c r="U94" s="82" t="e">
        <f>_xlfn.XLOOKUP(coupe[[#This Row],[Num OF]],#REF!,#REF!,0)</f>
        <v>#REF!</v>
      </c>
      <c r="V94" s="82" t="str">
        <f>IF(
   COUNTIFS($A$2:A94,A94,
             $B$2:B94,B94,
             $D$2:D94,D94,
             $E$2:E94,E94,
             $F$2:F94,F94,
             $G$2:G94,G94,
             $H$2:H94,H94,
             $L$2:L94,L94)&gt;1,
   "Doublon",
   "Correcte"
)</f>
        <v>Correcte</v>
      </c>
    </row>
    <row r="95" spans="1:22" x14ac:dyDescent="0.25">
      <c r="A95" s="99" t="s">
        <v>2430</v>
      </c>
      <c r="B95" s="16" t="s">
        <v>684</v>
      </c>
      <c r="C95" s="68">
        <v>45922</v>
      </c>
      <c r="D95" s="17">
        <v>30</v>
      </c>
      <c r="E95" s="17">
        <v>0</v>
      </c>
      <c r="F95" s="17">
        <v>0</v>
      </c>
      <c r="G95" s="17">
        <v>0</v>
      </c>
      <c r="H95" s="17">
        <v>0</v>
      </c>
      <c r="I95" s="16"/>
      <c r="J95" s="16"/>
      <c r="K95" s="16" t="s">
        <v>664</v>
      </c>
      <c r="L95" s="68">
        <v>45923</v>
      </c>
      <c r="M95" s="68" t="str">
        <f t="shared" si="1"/>
        <v>Coupe</v>
      </c>
      <c r="N95" s="68" t="str">
        <f>INDEX(_xlfn.TEXTSPLIT(coupe[[#This Row],[QR Fabrication]],"_"),1,1)</f>
        <v>CA250049</v>
      </c>
      <c r="O95" s="68" t="str">
        <f>INDEX(_xlfn.TEXTSPLIT(coupe[[#This Row],[QR Fabrication]],"_"),1,2)</f>
        <v>All by Fouta</v>
      </c>
      <c r="P95" s="16" t="str">
        <f>INDEX(_xlfn.TEXTSPLIT(coupe[[#This Row],[QR Fabrication]],"_"),1,3)</f>
        <v>Stock</v>
      </c>
      <c r="Q95" s="16" t="str">
        <f>INDEX(_xlfn.TEXTSPLIT(coupe[[#This Row],[QR Fabrication]],"_"),1,4)</f>
        <v>UNS1626-17</v>
      </c>
      <c r="R95" s="16" t="str">
        <f>INDEX(_xlfn.TEXTSPLIT(coupe[[#This Row],[QR Fabrication]],"_"),1,5)</f>
        <v>UNI SURPIQUE</v>
      </c>
      <c r="S95" s="16" t="str">
        <f>_xlfn.TEXTAFTER(coupe[[#This Row],[QR Fabrication]],"_",5)</f>
        <v>1626</v>
      </c>
      <c r="T95" s="82" t="e">
        <f>_xlfn.XLOOKUP(coupe[[#This Row],[Num OF]],#REF!,#REF!,0)</f>
        <v>#REF!</v>
      </c>
      <c r="U95" s="82" t="e">
        <f>_xlfn.XLOOKUP(coupe[[#This Row],[Num OF]],#REF!,#REF!,0)</f>
        <v>#REF!</v>
      </c>
      <c r="V95" s="82" t="str">
        <f>IF(
   COUNTIFS($A$2:A95,A95,
             $B$2:B95,B95,
             $D$2:D95,D95,
             $E$2:E95,E95,
             $F$2:F95,F95,
             $G$2:G95,G95,
             $H$2:H95,H95,
             $L$2:L95,L95)&gt;1,
   "Doublon",
   "Correcte"
)</f>
        <v>Correcte</v>
      </c>
    </row>
    <row r="96" spans="1:22" x14ac:dyDescent="0.25">
      <c r="A96" s="99" t="s">
        <v>2448</v>
      </c>
      <c r="B96" s="16" t="s">
        <v>686</v>
      </c>
      <c r="C96" s="68">
        <v>45923</v>
      </c>
      <c r="D96" s="17">
        <v>4</v>
      </c>
      <c r="E96" s="17">
        <v>0</v>
      </c>
      <c r="F96" s="17">
        <v>0</v>
      </c>
      <c r="G96" s="17">
        <v>0</v>
      </c>
      <c r="H96" s="17">
        <v>0</v>
      </c>
      <c r="I96" s="16"/>
      <c r="J96" s="16"/>
      <c r="K96" s="16" t="s">
        <v>664</v>
      </c>
      <c r="L96" s="68">
        <v>45924</v>
      </c>
      <c r="M96" s="68" t="str">
        <f t="shared" si="1"/>
        <v>Coupe</v>
      </c>
      <c r="N96" s="68" t="str">
        <f>INDEX(_xlfn.TEXTSPLIT(coupe[[#This Row],[QR Fabrication]],"_"),1,1)</f>
        <v>CA250036</v>
      </c>
      <c r="O96" s="68" t="str">
        <f>INDEX(_xlfn.TEXTSPLIT(coupe[[#This Row],[QR Fabrication]],"_"),1,2)</f>
        <v>All by Fouta</v>
      </c>
      <c r="P96" s="16" t="str">
        <f>INDEX(_xlfn.TEXTSPLIT(coupe[[#This Row],[QR Fabrication]],"_"),1,3)</f>
        <v>Stock</v>
      </c>
      <c r="Q96" s="16" t="str">
        <f>INDEX(_xlfn.TEXTSPLIT(coupe[[#This Row],[QR Fabrication]],"_"),1,4)</f>
        <v>UNS2020-27</v>
      </c>
      <c r="R96" s="16" t="str">
        <f>INDEX(_xlfn.TEXTSPLIT(coupe[[#This Row],[QR Fabrication]],"_"),1,5)</f>
        <v>UNI SURPIQUE</v>
      </c>
      <c r="S96" s="16" t="str">
        <f>_xlfn.TEXTAFTER(coupe[[#This Row],[QR Fabrication]],"_",5)</f>
        <v>2020</v>
      </c>
      <c r="T96" s="82" t="e">
        <f>_xlfn.XLOOKUP(coupe[[#This Row],[Num OF]],#REF!,#REF!,0)</f>
        <v>#REF!</v>
      </c>
      <c r="U96" s="82" t="e">
        <f>_xlfn.XLOOKUP(coupe[[#This Row],[Num OF]],#REF!,#REF!,0)</f>
        <v>#REF!</v>
      </c>
      <c r="V96" s="82" t="str">
        <f>IF(
   COUNTIFS($A$2:A96,A96,
             $B$2:B96,B96,
             $D$2:D96,D96,
             $E$2:E96,E96,
             $F$2:F96,F96,
             $G$2:G96,G96,
             $H$2:H96,H96,
             $L$2:L96,L96)&gt;1,
   "Doublon",
   "Correcte"
)</f>
        <v>Correcte</v>
      </c>
    </row>
    <row r="97" spans="1:22" x14ac:dyDescent="0.25">
      <c r="A97" s="99" t="s">
        <v>2435</v>
      </c>
      <c r="B97" s="16" t="s">
        <v>686</v>
      </c>
      <c r="C97" s="68">
        <v>45923</v>
      </c>
      <c r="D97" s="17">
        <v>31</v>
      </c>
      <c r="E97" s="17">
        <v>1</v>
      </c>
      <c r="F97" s="17">
        <v>1</v>
      </c>
      <c r="G97" s="17">
        <v>0</v>
      </c>
      <c r="H97" s="17">
        <v>0</v>
      </c>
      <c r="I97" s="16"/>
      <c r="J97" s="16"/>
      <c r="K97" s="16" t="s">
        <v>664</v>
      </c>
      <c r="L97" s="68">
        <v>45924</v>
      </c>
      <c r="M97" s="68" t="str">
        <f t="shared" si="1"/>
        <v>Coupe</v>
      </c>
      <c r="N97" s="68" t="str">
        <f>INDEX(_xlfn.TEXTSPLIT(coupe[[#This Row],[QR Fabrication]],"_"),1,1)</f>
        <v>CA250039</v>
      </c>
      <c r="O97" s="68" t="str">
        <f>INDEX(_xlfn.TEXTSPLIT(coupe[[#This Row],[QR Fabrication]],"_"),1,2)</f>
        <v>All by Fouta</v>
      </c>
      <c r="P97" s="16" t="str">
        <f>INDEX(_xlfn.TEXTSPLIT(coupe[[#This Row],[QR Fabrication]],"_"),1,3)</f>
        <v>Stock</v>
      </c>
      <c r="Q97" s="16" t="str">
        <f>INDEX(_xlfn.TEXTSPLIT(coupe[[#This Row],[QR Fabrication]],"_"),1,4)</f>
        <v>UNS2020-32</v>
      </c>
      <c r="R97" s="16" t="str">
        <f>INDEX(_xlfn.TEXTSPLIT(coupe[[#This Row],[QR Fabrication]],"_"),1,5)</f>
        <v>UNI SURPIQUE</v>
      </c>
      <c r="S97" s="16" t="str">
        <f>_xlfn.TEXTAFTER(coupe[[#This Row],[QR Fabrication]],"_",5)</f>
        <v>2020</v>
      </c>
      <c r="T97" s="82" t="e">
        <f>_xlfn.XLOOKUP(coupe[[#This Row],[Num OF]],#REF!,#REF!,0)</f>
        <v>#REF!</v>
      </c>
      <c r="U97" s="82" t="e">
        <f>_xlfn.XLOOKUP(coupe[[#This Row],[Num OF]],#REF!,#REF!,0)</f>
        <v>#REF!</v>
      </c>
      <c r="V97" s="82" t="str">
        <f>IF(
   COUNTIFS($A$2:A97,A97,
             $B$2:B97,B97,
             $D$2:D97,D97,
             $E$2:E97,E97,
             $F$2:F97,F97,
             $G$2:G97,G97,
             $H$2:H97,H97,
             $L$2:L97,L97)&gt;1,
   "Doublon",
   "Correcte"
)</f>
        <v>Correcte</v>
      </c>
    </row>
    <row r="98" spans="1:22" x14ac:dyDescent="0.25">
      <c r="A98" s="99" t="s">
        <v>2433</v>
      </c>
      <c r="B98" s="16" t="s">
        <v>686</v>
      </c>
      <c r="C98" s="68">
        <v>45923</v>
      </c>
      <c r="D98" s="17">
        <v>10</v>
      </c>
      <c r="E98" s="17">
        <v>0</v>
      </c>
      <c r="F98" s="17">
        <v>0</v>
      </c>
      <c r="G98" s="17">
        <v>0</v>
      </c>
      <c r="H98" s="17">
        <v>0</v>
      </c>
      <c r="I98" s="16"/>
      <c r="J98" s="16"/>
      <c r="K98" s="16" t="s">
        <v>664</v>
      </c>
      <c r="L98" s="68">
        <v>45924</v>
      </c>
      <c r="M98" s="68" t="str">
        <f t="shared" si="1"/>
        <v>Coupe</v>
      </c>
      <c r="N98" s="68" t="str">
        <f>INDEX(_xlfn.TEXTSPLIT(coupe[[#This Row],[QR Fabrication]],"_"),1,1)</f>
        <v>CA250032</v>
      </c>
      <c r="O98" s="68" t="str">
        <f>INDEX(_xlfn.TEXTSPLIT(coupe[[#This Row],[QR Fabrication]],"_"),1,2)</f>
        <v>All by Fouta</v>
      </c>
      <c r="P98" s="16" t="str">
        <f>INDEX(_xlfn.TEXTSPLIT(coupe[[#This Row],[QR Fabrication]],"_"),1,3)</f>
        <v>Stock</v>
      </c>
      <c r="Q98" s="16" t="str">
        <f>INDEX(_xlfn.TEXTSPLIT(coupe[[#This Row],[QR Fabrication]],"_"),1,4)</f>
        <v>UNS2020-20</v>
      </c>
      <c r="R98" s="16" t="str">
        <f>INDEX(_xlfn.TEXTSPLIT(coupe[[#This Row],[QR Fabrication]],"_"),1,5)</f>
        <v>UNI SURPIQUE</v>
      </c>
      <c r="S98" s="16" t="str">
        <f>_xlfn.TEXTAFTER(coupe[[#This Row],[QR Fabrication]],"_",5)</f>
        <v>2020</v>
      </c>
      <c r="T98" s="82" t="e">
        <f>_xlfn.XLOOKUP(coupe[[#This Row],[Num OF]],#REF!,#REF!,0)</f>
        <v>#REF!</v>
      </c>
      <c r="U98" s="82" t="e">
        <f>_xlfn.XLOOKUP(coupe[[#This Row],[Num OF]],#REF!,#REF!,0)</f>
        <v>#REF!</v>
      </c>
      <c r="V98" s="82" t="str">
        <f>IF(
   COUNTIFS($A$2:A98,A98,
             $B$2:B98,B98,
             $D$2:D98,D98,
             $E$2:E98,E98,
             $F$2:F98,F98,
             $G$2:G98,G98,
             $H$2:H98,H98,
             $L$2:L98,L98)&gt;1,
   "Doublon",
   "Correcte"
)</f>
        <v>Correcte</v>
      </c>
    </row>
    <row r="99" spans="1:22" x14ac:dyDescent="0.25">
      <c r="A99" s="99" t="s">
        <v>2463</v>
      </c>
      <c r="B99" s="16" t="s">
        <v>684</v>
      </c>
      <c r="C99" s="68">
        <v>45923</v>
      </c>
      <c r="D99" s="17">
        <v>43</v>
      </c>
      <c r="E99" s="17">
        <v>0</v>
      </c>
      <c r="F99" s="17">
        <v>3</v>
      </c>
      <c r="G99" s="17">
        <v>0</v>
      </c>
      <c r="H99" s="17">
        <v>0</v>
      </c>
      <c r="I99" s="16"/>
      <c r="J99" s="16"/>
      <c r="K99" s="16" t="s">
        <v>664</v>
      </c>
      <c r="L99" s="68">
        <v>45924</v>
      </c>
      <c r="M99" s="68" t="str">
        <f t="shared" si="1"/>
        <v>Coupe</v>
      </c>
      <c r="N99" s="68" t="str">
        <f>INDEX(_xlfn.TEXTSPLIT(coupe[[#This Row],[QR Fabrication]],"_"),1,1)</f>
        <v>CA250018</v>
      </c>
      <c r="O99" s="68" t="str">
        <f>INDEX(_xlfn.TEXTSPLIT(coupe[[#This Row],[QR Fabrication]],"_"),1,2)</f>
        <v>All by Fouta</v>
      </c>
      <c r="P99" s="16" t="str">
        <f>INDEX(_xlfn.TEXTSPLIT(coupe[[#This Row],[QR Fabrication]],"_"),1,3)</f>
        <v>Stock</v>
      </c>
      <c r="Q99" s="16" t="str">
        <f>INDEX(_xlfn.TEXTSPLIT(coupe[[#This Row],[QR Fabrication]],"_"),1,4)</f>
        <v>UNS1020-31</v>
      </c>
      <c r="R99" s="16" t="str">
        <f>INDEX(_xlfn.TEXTSPLIT(coupe[[#This Row],[QR Fabrication]],"_"),1,5)</f>
        <v>UNI SURPIQUE</v>
      </c>
      <c r="S99" s="16" t="str">
        <f>_xlfn.TEXTAFTER(coupe[[#This Row],[QR Fabrication]],"_",5)</f>
        <v>1020</v>
      </c>
      <c r="T99" s="82" t="e">
        <f>_xlfn.XLOOKUP(coupe[[#This Row],[Num OF]],#REF!,#REF!,0)</f>
        <v>#REF!</v>
      </c>
      <c r="U99" s="82" t="e">
        <f>_xlfn.XLOOKUP(coupe[[#This Row],[Num OF]],#REF!,#REF!,0)</f>
        <v>#REF!</v>
      </c>
      <c r="V99" s="82" t="str">
        <f>IF(
   COUNTIFS($A$2:A99,A99,
             $B$2:B99,B99,
             $D$2:D99,D99,
             $E$2:E99,E99,
             $F$2:F99,F99,
             $G$2:G99,G99,
             $H$2:H99,H99,
             $L$2:L99,L99)&gt;1,
   "Doublon",
   "Correcte"
)</f>
        <v>Correcte</v>
      </c>
    </row>
    <row r="100" spans="1:22" x14ac:dyDescent="0.25">
      <c r="A100" s="99" t="s">
        <v>2457</v>
      </c>
      <c r="B100" s="16" t="s">
        <v>686</v>
      </c>
      <c r="C100" s="68">
        <v>45923</v>
      </c>
      <c r="D100" s="17">
        <v>85</v>
      </c>
      <c r="E100" s="17">
        <v>0</v>
      </c>
      <c r="F100" s="17">
        <v>2</v>
      </c>
      <c r="G100" s="17">
        <v>0</v>
      </c>
      <c r="H100" s="17">
        <v>0</v>
      </c>
      <c r="I100" s="16"/>
      <c r="J100" s="16"/>
      <c r="K100" s="16" t="s">
        <v>664</v>
      </c>
      <c r="L100" s="68">
        <v>45924</v>
      </c>
      <c r="M100" s="68" t="str">
        <f t="shared" si="1"/>
        <v>Coupe</v>
      </c>
      <c r="N100" s="68" t="str">
        <f>INDEX(_xlfn.TEXTSPLIT(coupe[[#This Row],[QR Fabrication]],"_"),1,1)</f>
        <v>OF249849</v>
      </c>
      <c r="O100" s="68" t="str">
        <f>INDEX(_xlfn.TEXTSPLIT(coupe[[#This Row],[QR Fabrication]],"_"),1,2)</f>
        <v>CL00884</v>
      </c>
      <c r="P100" s="16" t="str">
        <f>INDEX(_xlfn.TEXTSPLIT(coupe[[#This Row],[QR Fabrication]],"_"),1,3)</f>
        <v>CM-FT0119</v>
      </c>
      <c r="Q100" s="16" t="str">
        <f>INDEX(_xlfn.TEXTSPLIT(coupe[[#This Row],[QR Fabrication]],"_"),1,4)</f>
        <v>ST1020-S20-24-17</v>
      </c>
      <c r="R100" s="16" t="str">
        <f>INDEX(_xlfn.TEXTSPLIT(coupe[[#This Row],[QR Fabrication]],"_"),1,5)</f>
        <v>ST TROPEZ</v>
      </c>
      <c r="S100" s="16" t="str">
        <f>_xlfn.TEXTAFTER(coupe[[#This Row],[QR Fabrication]],"_",5)</f>
        <v>1020</v>
      </c>
      <c r="T100" s="82" t="e">
        <f>_xlfn.XLOOKUP(coupe[[#This Row],[Num OF]],#REF!,#REF!,0)</f>
        <v>#REF!</v>
      </c>
      <c r="U100" s="82" t="e">
        <f>_xlfn.XLOOKUP(coupe[[#This Row],[Num OF]],#REF!,#REF!,0)</f>
        <v>#REF!</v>
      </c>
      <c r="V100" s="82" t="str">
        <f>IF(
   COUNTIFS($A$2:A100,A100,
             $B$2:B100,B100,
             $D$2:D100,D100,
             $E$2:E100,E100,
             $F$2:F100,F100,
             $G$2:G100,G100,
             $H$2:H100,H100,
             $L$2:L100,L100)&gt;1,
   "Doublon",
   "Correcte"
)</f>
        <v>Correcte</v>
      </c>
    </row>
    <row r="101" spans="1:22" x14ac:dyDescent="0.25">
      <c r="A101" s="99" t="s">
        <v>2432</v>
      </c>
      <c r="B101" s="16" t="s">
        <v>686</v>
      </c>
      <c r="C101" s="68">
        <v>45923</v>
      </c>
      <c r="D101" s="17">
        <v>21</v>
      </c>
      <c r="E101" s="17">
        <v>0</v>
      </c>
      <c r="F101" s="17">
        <v>0</v>
      </c>
      <c r="G101" s="17">
        <v>0</v>
      </c>
      <c r="H101" s="17">
        <v>0</v>
      </c>
      <c r="I101" s="16"/>
      <c r="J101" s="16"/>
      <c r="K101" s="16" t="s">
        <v>664</v>
      </c>
      <c r="L101" s="68">
        <v>45924</v>
      </c>
      <c r="M101" s="68" t="str">
        <f t="shared" si="1"/>
        <v>Coupe</v>
      </c>
      <c r="N101" s="68" t="str">
        <f>INDEX(_xlfn.TEXTSPLIT(coupe[[#This Row],[QR Fabrication]],"_"),1,1)</f>
        <v>CA250072</v>
      </c>
      <c r="O101" s="68" t="str">
        <f>INDEX(_xlfn.TEXTSPLIT(coupe[[#This Row],[QR Fabrication]],"_"),1,2)</f>
        <v>All by Fouta</v>
      </c>
      <c r="P101" s="16" t="str">
        <f>INDEX(_xlfn.TEXTSPLIT(coupe[[#This Row],[QR Fabrication]],"_"),1,3)</f>
        <v>Stock</v>
      </c>
      <c r="Q101" s="16" t="str">
        <f>INDEX(_xlfn.TEXTSPLIT(coupe[[#This Row],[QR Fabrication]],"_"),1,4)</f>
        <v>UNS2030-20</v>
      </c>
      <c r="R101" s="16" t="str">
        <f>INDEX(_xlfn.TEXTSPLIT(coupe[[#This Row],[QR Fabrication]],"_"),1,5)</f>
        <v>UNI SURPIQUE</v>
      </c>
      <c r="S101" s="16" t="str">
        <f>_xlfn.TEXTAFTER(coupe[[#This Row],[QR Fabrication]],"_",5)</f>
        <v>2030</v>
      </c>
      <c r="T101" s="82" t="e">
        <f>_xlfn.XLOOKUP(coupe[[#This Row],[Num OF]],#REF!,#REF!,0)</f>
        <v>#REF!</v>
      </c>
      <c r="U101" s="82" t="e">
        <f>_xlfn.XLOOKUP(coupe[[#This Row],[Num OF]],#REF!,#REF!,0)</f>
        <v>#REF!</v>
      </c>
      <c r="V101" s="82" t="str">
        <f>IF(
   COUNTIFS($A$2:A101,A101,
             $B$2:B101,B101,
             $D$2:D101,D101,
             $E$2:E101,E101,
             $F$2:F101,F101,
             $G$2:G101,G101,
             $H$2:H101,H101,
             $L$2:L101,L101)&gt;1,
   "Doublon",
   "Correcte"
)</f>
        <v>Correcte</v>
      </c>
    </row>
    <row r="102" spans="1:22" x14ac:dyDescent="0.25">
      <c r="A102" s="99" t="s">
        <v>2434</v>
      </c>
      <c r="B102" s="16" t="s">
        <v>686</v>
      </c>
      <c r="C102" s="68">
        <v>45923</v>
      </c>
      <c r="D102" s="17">
        <v>10</v>
      </c>
      <c r="E102" s="17">
        <v>1</v>
      </c>
      <c r="F102" s="17">
        <v>0</v>
      </c>
      <c r="G102" s="17">
        <v>0</v>
      </c>
      <c r="H102" s="17">
        <v>0</v>
      </c>
      <c r="I102" s="16"/>
      <c r="J102" s="16"/>
      <c r="K102" s="16" t="s">
        <v>664</v>
      </c>
      <c r="L102" s="68">
        <v>45924</v>
      </c>
      <c r="M102" s="68" t="str">
        <f t="shared" si="1"/>
        <v>Coupe</v>
      </c>
      <c r="N102" s="68" t="str">
        <f>INDEX(_xlfn.TEXTSPLIT(coupe[[#This Row],[QR Fabrication]],"_"),1,1)</f>
        <v>CA250071</v>
      </c>
      <c r="O102" s="68" t="str">
        <f>INDEX(_xlfn.TEXTSPLIT(coupe[[#This Row],[QR Fabrication]],"_"),1,2)</f>
        <v>All by Fouta</v>
      </c>
      <c r="P102" s="16" t="str">
        <f>INDEX(_xlfn.TEXTSPLIT(coupe[[#This Row],[QR Fabrication]],"_"),1,3)</f>
        <v>Stock</v>
      </c>
      <c r="Q102" s="16" t="str">
        <f>INDEX(_xlfn.TEXTSPLIT(coupe[[#This Row],[QR Fabrication]],"_"),1,4)</f>
        <v>UNS2030-19</v>
      </c>
      <c r="R102" s="16" t="str">
        <f>INDEX(_xlfn.TEXTSPLIT(coupe[[#This Row],[QR Fabrication]],"_"),1,5)</f>
        <v>UNI SURPIQUE</v>
      </c>
      <c r="S102" s="16" t="str">
        <f>_xlfn.TEXTAFTER(coupe[[#This Row],[QR Fabrication]],"_",5)</f>
        <v>2030</v>
      </c>
      <c r="T102" s="82" t="e">
        <f>_xlfn.XLOOKUP(coupe[[#This Row],[Num OF]],#REF!,#REF!,0)</f>
        <v>#REF!</v>
      </c>
      <c r="U102" s="82" t="e">
        <f>_xlfn.XLOOKUP(coupe[[#This Row],[Num OF]],#REF!,#REF!,0)</f>
        <v>#REF!</v>
      </c>
      <c r="V102" s="82" t="str">
        <f>IF(
   COUNTIFS($A$2:A102,A102,
             $B$2:B102,B102,
             $D$2:D102,D102,
             $E$2:E102,E102,
             $F$2:F102,F102,
             $G$2:G102,G102,
             $H$2:H102,H102,
             $L$2:L102,L102)&gt;1,
   "Doublon",
   "Correcte"
)</f>
        <v>Correcte</v>
      </c>
    </row>
    <row r="103" spans="1:22" x14ac:dyDescent="0.25">
      <c r="A103" s="99" t="s">
        <v>2471</v>
      </c>
      <c r="B103" s="16" t="s">
        <v>684</v>
      </c>
      <c r="C103" s="68">
        <v>45923</v>
      </c>
      <c r="D103" s="17">
        <v>114</v>
      </c>
      <c r="E103" s="17">
        <v>0</v>
      </c>
      <c r="F103" s="17">
        <v>4</v>
      </c>
      <c r="G103" s="17">
        <v>0</v>
      </c>
      <c r="H103" s="17">
        <v>0</v>
      </c>
      <c r="I103" s="16"/>
      <c r="J103" s="16"/>
      <c r="K103" s="16" t="s">
        <v>664</v>
      </c>
      <c r="L103" s="68">
        <v>45924</v>
      </c>
      <c r="M103" s="68" t="str">
        <f t="shared" si="1"/>
        <v>Coupe</v>
      </c>
      <c r="N103" s="68" t="str">
        <f>INDEX(_xlfn.TEXTSPLIT(coupe[[#This Row],[QR Fabrication]],"_"),1,1)</f>
        <v>OF249798</v>
      </c>
      <c r="O103" s="68" t="str">
        <f>INDEX(_xlfn.TEXTSPLIT(coupe[[#This Row],[QR Fabrication]],"_"),1,2)</f>
        <v>CL00884</v>
      </c>
      <c r="P103" s="16" t="str">
        <f>INDEX(_xlfn.TEXTSPLIT(coupe[[#This Row],[QR Fabrication]],"_"),1,3)</f>
        <v>CM-FT0119</v>
      </c>
      <c r="Q103" s="16" t="str">
        <f>INDEX(_xlfn.TEXTSPLIT(coupe[[#This Row],[QR Fabrication]],"_"),1,4)</f>
        <v>LI1020-B28-01</v>
      </c>
      <c r="R103" s="16" t="str">
        <f>INDEX(_xlfn.TEXTSPLIT(coupe[[#This Row],[QR Fabrication]],"_"),1,5)</f>
        <v>LILI</v>
      </c>
      <c r="S103" s="16" t="str">
        <f>_xlfn.TEXTAFTER(coupe[[#This Row],[QR Fabrication]],"_",5)</f>
        <v>1020</v>
      </c>
      <c r="T103" s="82" t="e">
        <f>_xlfn.XLOOKUP(coupe[[#This Row],[Num OF]],#REF!,#REF!,0)</f>
        <v>#REF!</v>
      </c>
      <c r="U103" s="82" t="e">
        <f>_xlfn.XLOOKUP(coupe[[#This Row],[Num OF]],#REF!,#REF!,0)</f>
        <v>#REF!</v>
      </c>
      <c r="V103" s="82" t="str">
        <f>IF(
   COUNTIFS($A$2:A103,A103,
             $B$2:B103,B103,
             $D$2:D103,D103,
             $E$2:E103,E103,
             $F$2:F103,F103,
             $G$2:G103,G103,
             $H$2:H103,H103,
             $L$2:L103,L103)&gt;1,
   "Doublon",
   "Correcte"
)</f>
        <v>Correcte</v>
      </c>
    </row>
    <row r="104" spans="1:22" x14ac:dyDescent="0.25">
      <c r="A104" s="99" t="s">
        <v>2478</v>
      </c>
      <c r="B104" s="16" t="s">
        <v>687</v>
      </c>
      <c r="C104" s="68">
        <v>45924</v>
      </c>
      <c r="D104" s="17">
        <v>5</v>
      </c>
      <c r="E104" s="17">
        <v>0</v>
      </c>
      <c r="F104" s="17">
        <v>4</v>
      </c>
      <c r="G104" s="17">
        <v>0</v>
      </c>
      <c r="H104" s="17">
        <v>0</v>
      </c>
      <c r="I104" s="16"/>
      <c r="J104" s="16"/>
      <c r="K104" s="16" t="s">
        <v>664</v>
      </c>
      <c r="L104" s="68">
        <v>45925</v>
      </c>
      <c r="M104" s="68" t="str">
        <f t="shared" si="1"/>
        <v>Coupe</v>
      </c>
      <c r="N104" s="68" t="str">
        <f>INDEX(_xlfn.TEXTSPLIT(coupe[[#This Row],[QR Fabrication]],"_"),1,1)</f>
        <v>OF250134</v>
      </c>
      <c r="O104" s="68" t="str">
        <f>INDEX(_xlfn.TEXTSPLIT(coupe[[#This Row],[QR Fabrication]],"_"),1,2)</f>
        <v>CL00162</v>
      </c>
      <c r="P104" s="16" t="str">
        <f>INDEX(_xlfn.TEXTSPLIT(coupe[[#This Row],[QR Fabrication]],"_"),1,3)</f>
        <v>CM-FT0130</v>
      </c>
      <c r="Q104" s="16" t="str">
        <f>INDEX(_xlfn.TEXTSPLIT(coupe[[#This Row],[QR Fabrication]],"_"),1,4)</f>
        <v>OLI2426-B18-19</v>
      </c>
      <c r="R104" s="16" t="str">
        <f>INDEX(_xlfn.TEXTSPLIT(coupe[[#This Row],[QR Fabrication]],"_"),1,5)</f>
        <v>OLIVIER</v>
      </c>
      <c r="S104" s="16" t="str">
        <f>_xlfn.TEXTAFTER(coupe[[#This Row],[QR Fabrication]],"_",5)</f>
        <v>2426</v>
      </c>
      <c r="T104" s="82" t="e">
        <f>_xlfn.XLOOKUP(coupe[[#This Row],[Num OF]],#REF!,#REF!,0)</f>
        <v>#REF!</v>
      </c>
      <c r="U104" s="82" t="e">
        <f>_xlfn.XLOOKUP(coupe[[#This Row],[Num OF]],#REF!,#REF!,0)</f>
        <v>#REF!</v>
      </c>
      <c r="V104" s="82" t="str">
        <f>IF(
   COUNTIFS($A$2:A104,A104,
             $B$2:B104,B104,
             $D$2:D104,D104,
             $E$2:E104,E104,
             $F$2:F104,F104,
             $G$2:G104,G104,
             $H$2:H104,H104,
             $L$2:L104,L104)&gt;1,
   "Doublon",
   "Correcte"
)</f>
        <v>Correcte</v>
      </c>
    </row>
    <row r="105" spans="1:22" x14ac:dyDescent="0.25">
      <c r="A105" s="99" t="s">
        <v>2474</v>
      </c>
      <c r="B105" s="16" t="s">
        <v>684</v>
      </c>
      <c r="C105" s="68">
        <v>45924</v>
      </c>
      <c r="D105" s="17">
        <v>35</v>
      </c>
      <c r="E105" s="17">
        <v>0</v>
      </c>
      <c r="F105" s="17">
        <v>0</v>
      </c>
      <c r="G105" s="17">
        <v>0</v>
      </c>
      <c r="H105" s="17">
        <v>0</v>
      </c>
      <c r="I105" s="16"/>
      <c r="J105" s="16"/>
      <c r="K105" s="16" t="s">
        <v>664</v>
      </c>
      <c r="L105" s="68">
        <v>45925</v>
      </c>
      <c r="M105" s="68" t="str">
        <f t="shared" si="1"/>
        <v>Coupe</v>
      </c>
      <c r="N105" s="68" t="str">
        <f>INDEX(_xlfn.TEXTSPLIT(coupe[[#This Row],[QR Fabrication]],"_"),1,1)</f>
        <v>CA250755</v>
      </c>
      <c r="O105" s="68" t="str">
        <f>INDEX(_xlfn.TEXTSPLIT(coupe[[#This Row],[QR Fabrication]],"_"),1,2)</f>
        <v>All by Fouta</v>
      </c>
      <c r="P105" s="16" t="str">
        <f>INDEX(_xlfn.TEXTSPLIT(coupe[[#This Row],[QR Fabrication]],"_"),1,3)</f>
        <v>Stock</v>
      </c>
      <c r="Q105" s="16" t="str">
        <f>INDEX(_xlfn.TEXTSPLIT(coupe[[#This Row],[QR Fabrication]],"_"),1,4)</f>
        <v>PACKSICL0507-B07-17</v>
      </c>
      <c r="R105" s="16" t="str">
        <f>INDEX(_xlfn.TEXTSPLIT(coupe[[#This Row],[QR Fabrication]],"_"),1,5)</f>
        <v>PACK CLASSIQUE</v>
      </c>
      <c r="S105" s="16" t="str">
        <f>_xlfn.TEXTAFTER(coupe[[#This Row],[QR Fabrication]],"_",5)</f>
        <v>0507</v>
      </c>
      <c r="T105" s="82" t="e">
        <f>_xlfn.XLOOKUP(coupe[[#This Row],[Num OF]],#REF!,#REF!,0)</f>
        <v>#REF!</v>
      </c>
      <c r="U105" s="82" t="e">
        <f>_xlfn.XLOOKUP(coupe[[#This Row],[Num OF]],#REF!,#REF!,0)</f>
        <v>#REF!</v>
      </c>
      <c r="V105" s="82" t="str">
        <f>IF(
   COUNTIFS($A$2:A105,A105,
             $B$2:B105,B105,
             $D$2:D105,D105,
             $E$2:E105,E105,
             $F$2:F105,F105,
             $G$2:G105,G105,
             $H$2:H105,H105,
             $L$2:L105,L105)&gt;1,
   "Doublon",
   "Correcte"
)</f>
        <v>Correcte</v>
      </c>
    </row>
    <row r="106" spans="1:22" x14ac:dyDescent="0.25">
      <c r="A106" s="99" t="s">
        <v>2439</v>
      </c>
      <c r="B106" s="16" t="s">
        <v>686</v>
      </c>
      <c r="C106" s="68">
        <v>45924</v>
      </c>
      <c r="D106" s="17">
        <v>10</v>
      </c>
      <c r="E106" s="17">
        <v>0</v>
      </c>
      <c r="F106" s="17">
        <v>0</v>
      </c>
      <c r="G106" s="17">
        <v>0</v>
      </c>
      <c r="H106" s="17">
        <v>0</v>
      </c>
      <c r="I106" s="16"/>
      <c r="J106" s="16"/>
      <c r="K106" s="16" t="s">
        <v>664</v>
      </c>
      <c r="L106" s="68">
        <v>45925</v>
      </c>
      <c r="M106" s="68" t="str">
        <f t="shared" si="1"/>
        <v>Coupe</v>
      </c>
      <c r="N106" s="68" t="str">
        <f>INDEX(_xlfn.TEXTSPLIT(coupe[[#This Row],[QR Fabrication]],"_"),1,1)</f>
        <v>CA250074</v>
      </c>
      <c r="O106" s="68" t="str">
        <f>INDEX(_xlfn.TEXTSPLIT(coupe[[#This Row],[QR Fabrication]],"_"),1,2)</f>
        <v>All by Fouta</v>
      </c>
      <c r="P106" s="16" t="str">
        <f>INDEX(_xlfn.TEXTSPLIT(coupe[[#This Row],[QR Fabrication]],"_"),1,3)</f>
        <v>Stock</v>
      </c>
      <c r="Q106" s="16" t="str">
        <f>INDEX(_xlfn.TEXTSPLIT(coupe[[#This Row],[QR Fabrication]],"_"),1,4)</f>
        <v>UNS2030-24</v>
      </c>
      <c r="R106" s="16" t="str">
        <f>INDEX(_xlfn.TEXTSPLIT(coupe[[#This Row],[QR Fabrication]],"_"),1,5)</f>
        <v>UNI SURPIQUE</v>
      </c>
      <c r="S106" s="16" t="str">
        <f>_xlfn.TEXTAFTER(coupe[[#This Row],[QR Fabrication]],"_",5)</f>
        <v>2030</v>
      </c>
      <c r="T106" s="82" t="e">
        <f>_xlfn.XLOOKUP(coupe[[#This Row],[Num OF]],#REF!,#REF!,0)</f>
        <v>#REF!</v>
      </c>
      <c r="U106" s="82" t="e">
        <f>_xlfn.XLOOKUP(coupe[[#This Row],[Num OF]],#REF!,#REF!,0)</f>
        <v>#REF!</v>
      </c>
      <c r="V106" s="82" t="str">
        <f>IF(
   COUNTIFS($A$2:A106,A106,
             $B$2:B106,B106,
             $D$2:D106,D106,
             $E$2:E106,E106,
             $F$2:F106,F106,
             $G$2:G106,G106,
             $H$2:H106,H106,
             $L$2:L106,L106)&gt;1,
   "Doublon",
   "Correcte"
)</f>
        <v>Correcte</v>
      </c>
    </row>
    <row r="107" spans="1:22" x14ac:dyDescent="0.25">
      <c r="A107" s="99" t="s">
        <v>2440</v>
      </c>
      <c r="B107" s="16" t="s">
        <v>686</v>
      </c>
      <c r="C107" s="68">
        <v>45924</v>
      </c>
      <c r="D107" s="17">
        <v>10</v>
      </c>
      <c r="E107" s="17">
        <v>0</v>
      </c>
      <c r="F107" s="17">
        <v>0</v>
      </c>
      <c r="G107" s="17">
        <v>0</v>
      </c>
      <c r="H107" s="17">
        <v>0</v>
      </c>
      <c r="I107" s="16"/>
      <c r="J107" s="16"/>
      <c r="K107" s="16" t="s">
        <v>664</v>
      </c>
      <c r="L107" s="68">
        <v>45925</v>
      </c>
      <c r="M107" s="68" t="str">
        <f t="shared" si="1"/>
        <v>Coupe</v>
      </c>
      <c r="N107" s="68" t="str">
        <f>INDEX(_xlfn.TEXTSPLIT(coupe[[#This Row],[QR Fabrication]],"_"),1,1)</f>
        <v>CA250078</v>
      </c>
      <c r="O107" s="68" t="str">
        <f>INDEX(_xlfn.TEXTSPLIT(coupe[[#This Row],[QR Fabrication]],"_"),1,2)</f>
        <v>All by Fouta</v>
      </c>
      <c r="P107" s="16" t="str">
        <f>INDEX(_xlfn.TEXTSPLIT(coupe[[#This Row],[QR Fabrication]],"_"),1,3)</f>
        <v>Stock</v>
      </c>
      <c r="Q107" s="16" t="str">
        <f>INDEX(_xlfn.TEXTSPLIT(coupe[[#This Row],[QR Fabrication]],"_"),1,4)</f>
        <v>UNS2030-31</v>
      </c>
      <c r="R107" s="16" t="str">
        <f>INDEX(_xlfn.TEXTSPLIT(coupe[[#This Row],[QR Fabrication]],"_"),1,5)</f>
        <v>UNI SURPIQUE</v>
      </c>
      <c r="S107" s="16" t="str">
        <f>_xlfn.TEXTAFTER(coupe[[#This Row],[QR Fabrication]],"_",5)</f>
        <v>2030</v>
      </c>
      <c r="T107" s="82" t="e">
        <f>_xlfn.XLOOKUP(coupe[[#This Row],[Num OF]],#REF!,#REF!,0)</f>
        <v>#REF!</v>
      </c>
      <c r="U107" s="82" t="e">
        <f>_xlfn.XLOOKUP(coupe[[#This Row],[Num OF]],#REF!,#REF!,0)</f>
        <v>#REF!</v>
      </c>
      <c r="V107" s="82" t="str">
        <f>IF(
   COUNTIFS($A$2:A107,A107,
             $B$2:B107,B107,
             $D$2:D107,D107,
             $E$2:E107,E107,
             $F$2:F107,F107,
             $G$2:G107,G107,
             $H$2:H107,H107,
             $L$2:L107,L107)&gt;1,
   "Doublon",
   "Correcte"
)</f>
        <v>Correcte</v>
      </c>
    </row>
    <row r="108" spans="1:22" x14ac:dyDescent="0.25">
      <c r="A108" s="99" t="s">
        <v>2444</v>
      </c>
      <c r="B108" s="16" t="s">
        <v>684</v>
      </c>
      <c r="C108" s="68">
        <v>45924</v>
      </c>
      <c r="D108" s="17">
        <v>13</v>
      </c>
      <c r="E108" s="17">
        <v>0</v>
      </c>
      <c r="F108" s="17">
        <v>0</v>
      </c>
      <c r="G108" s="17">
        <v>0</v>
      </c>
      <c r="H108" s="17">
        <v>0</v>
      </c>
      <c r="I108" s="16"/>
      <c r="J108" s="16"/>
      <c r="K108" s="16" t="s">
        <v>664</v>
      </c>
      <c r="L108" s="68">
        <v>45925</v>
      </c>
      <c r="M108" s="68" t="str">
        <f t="shared" si="1"/>
        <v>Coupe</v>
      </c>
      <c r="N108" s="68" t="str">
        <f>INDEX(_xlfn.TEXTSPLIT(coupe[[#This Row],[QR Fabrication]],"_"),1,1)</f>
        <v>CA250019</v>
      </c>
      <c r="O108" s="68" t="str">
        <f>INDEX(_xlfn.TEXTSPLIT(coupe[[#This Row],[QR Fabrication]],"_"),1,2)</f>
        <v>All by Fouta</v>
      </c>
      <c r="P108" s="16" t="str">
        <f>INDEX(_xlfn.TEXTSPLIT(coupe[[#This Row],[QR Fabrication]],"_"),1,3)</f>
        <v>Stock</v>
      </c>
      <c r="Q108" s="16" t="str">
        <f>INDEX(_xlfn.TEXTSPLIT(coupe[[#This Row],[QR Fabrication]],"_"),1,4)</f>
        <v>UNS1020-32</v>
      </c>
      <c r="R108" s="16" t="str">
        <f>INDEX(_xlfn.TEXTSPLIT(coupe[[#This Row],[QR Fabrication]],"_"),1,5)</f>
        <v>UNI SURPIQUE</v>
      </c>
      <c r="S108" s="16" t="str">
        <f>_xlfn.TEXTAFTER(coupe[[#This Row],[QR Fabrication]],"_",5)</f>
        <v>1020</v>
      </c>
      <c r="T108" s="82" t="e">
        <f>_xlfn.XLOOKUP(coupe[[#This Row],[Num OF]],#REF!,#REF!,0)</f>
        <v>#REF!</v>
      </c>
      <c r="U108" s="82" t="e">
        <f>_xlfn.XLOOKUP(coupe[[#This Row],[Num OF]],#REF!,#REF!,0)</f>
        <v>#REF!</v>
      </c>
      <c r="V108" s="82" t="str">
        <f>IF(
   COUNTIFS($A$2:A108,A108,
             $B$2:B108,B108,
             $D$2:D108,D108,
             $E$2:E108,E108,
             $F$2:F108,F108,
             $G$2:G108,G108,
             $H$2:H108,H108,
             $L$2:L108,L108)&gt;1,
   "Doublon",
   "Correcte"
)</f>
        <v>Correcte</v>
      </c>
    </row>
    <row r="109" spans="1:22" x14ac:dyDescent="0.25">
      <c r="A109" s="99" t="s">
        <v>2448</v>
      </c>
      <c r="B109" s="16" t="s">
        <v>686</v>
      </c>
      <c r="C109" s="68">
        <v>45924</v>
      </c>
      <c r="D109" s="17">
        <v>25</v>
      </c>
      <c r="E109" s="17">
        <v>0</v>
      </c>
      <c r="F109" s="17">
        <v>2</v>
      </c>
      <c r="G109" s="17">
        <v>0</v>
      </c>
      <c r="H109" s="17">
        <v>0</v>
      </c>
      <c r="I109" s="16"/>
      <c r="J109" s="16"/>
      <c r="K109" s="16" t="s">
        <v>664</v>
      </c>
      <c r="L109" s="68">
        <v>45925</v>
      </c>
      <c r="M109" s="68" t="str">
        <f t="shared" si="1"/>
        <v>Coupe</v>
      </c>
      <c r="N109" s="68" t="str">
        <f>INDEX(_xlfn.TEXTSPLIT(coupe[[#This Row],[QR Fabrication]],"_"),1,1)</f>
        <v>CA250036</v>
      </c>
      <c r="O109" s="68" t="str">
        <f>INDEX(_xlfn.TEXTSPLIT(coupe[[#This Row],[QR Fabrication]],"_"),1,2)</f>
        <v>All by Fouta</v>
      </c>
      <c r="P109" s="16" t="str">
        <f>INDEX(_xlfn.TEXTSPLIT(coupe[[#This Row],[QR Fabrication]],"_"),1,3)</f>
        <v>Stock</v>
      </c>
      <c r="Q109" s="16" t="str">
        <f>INDEX(_xlfn.TEXTSPLIT(coupe[[#This Row],[QR Fabrication]],"_"),1,4)</f>
        <v>UNS2020-27</v>
      </c>
      <c r="R109" s="16" t="str">
        <f>INDEX(_xlfn.TEXTSPLIT(coupe[[#This Row],[QR Fabrication]],"_"),1,5)</f>
        <v>UNI SURPIQUE</v>
      </c>
      <c r="S109" s="16" t="str">
        <f>_xlfn.TEXTAFTER(coupe[[#This Row],[QR Fabrication]],"_",5)</f>
        <v>2020</v>
      </c>
      <c r="T109" s="82" t="e">
        <f>_xlfn.XLOOKUP(coupe[[#This Row],[Num OF]],#REF!,#REF!,0)</f>
        <v>#REF!</v>
      </c>
      <c r="U109" s="82" t="e">
        <f>_xlfn.XLOOKUP(coupe[[#This Row],[Num OF]],#REF!,#REF!,0)</f>
        <v>#REF!</v>
      </c>
      <c r="V109" s="82" t="str">
        <f>IF(
   COUNTIFS($A$2:A109,A109,
             $B$2:B109,B109,
             $D$2:D109,D109,
             $E$2:E109,E109,
             $F$2:F109,F109,
             $G$2:G109,G109,
             $H$2:H109,H109,
             $L$2:L109,L109)&gt;1,
   "Doublon",
   "Correcte"
)</f>
        <v>Correcte</v>
      </c>
    </row>
    <row r="110" spans="1:22" x14ac:dyDescent="0.25">
      <c r="A110" s="99" t="s">
        <v>2441</v>
      </c>
      <c r="B110" s="16" t="s">
        <v>686</v>
      </c>
      <c r="C110" s="68">
        <v>45924</v>
      </c>
      <c r="D110" s="17">
        <v>10</v>
      </c>
      <c r="E110" s="17">
        <v>0</v>
      </c>
      <c r="F110" s="17">
        <v>1</v>
      </c>
      <c r="G110" s="17">
        <v>0</v>
      </c>
      <c r="H110" s="17">
        <v>0</v>
      </c>
      <c r="I110" s="16"/>
      <c r="J110" s="16"/>
      <c r="K110" s="16" t="s">
        <v>664</v>
      </c>
      <c r="L110" s="68">
        <v>45925</v>
      </c>
      <c r="M110" s="68" t="str">
        <f t="shared" si="1"/>
        <v>Coupe</v>
      </c>
      <c r="N110" s="68" t="str">
        <f>INDEX(_xlfn.TEXTSPLIT(coupe[[#This Row],[QR Fabrication]],"_"),1,1)</f>
        <v>CA250073</v>
      </c>
      <c r="O110" s="68" t="str">
        <f>INDEX(_xlfn.TEXTSPLIT(coupe[[#This Row],[QR Fabrication]],"_"),1,2)</f>
        <v>All by Fouta</v>
      </c>
      <c r="P110" s="16" t="str">
        <f>INDEX(_xlfn.TEXTSPLIT(coupe[[#This Row],[QR Fabrication]],"_"),1,3)</f>
        <v>Stock</v>
      </c>
      <c r="Q110" s="16" t="str">
        <f>INDEX(_xlfn.TEXTSPLIT(coupe[[#This Row],[QR Fabrication]],"_"),1,4)</f>
        <v>UNS2030-23</v>
      </c>
      <c r="R110" s="16" t="str">
        <f>INDEX(_xlfn.TEXTSPLIT(coupe[[#This Row],[QR Fabrication]],"_"),1,5)</f>
        <v>UNI SURPIQUE</v>
      </c>
      <c r="S110" s="16" t="str">
        <f>_xlfn.TEXTAFTER(coupe[[#This Row],[QR Fabrication]],"_",5)</f>
        <v>2030</v>
      </c>
      <c r="T110" s="82" t="e">
        <f>_xlfn.XLOOKUP(coupe[[#This Row],[Num OF]],#REF!,#REF!,0)</f>
        <v>#REF!</v>
      </c>
      <c r="U110" s="82" t="e">
        <f>_xlfn.XLOOKUP(coupe[[#This Row],[Num OF]],#REF!,#REF!,0)</f>
        <v>#REF!</v>
      </c>
      <c r="V110" s="82" t="str">
        <f>IF(
   COUNTIFS($A$2:A110,A110,
             $B$2:B110,B110,
             $D$2:D110,D110,
             $E$2:E110,E110,
             $F$2:F110,F110,
             $G$2:G110,G110,
             $H$2:H110,H110,
             $L$2:L110,L110)&gt;1,
   "Doublon",
   "Correcte"
)</f>
        <v>Correcte</v>
      </c>
    </row>
    <row r="111" spans="1:22" x14ac:dyDescent="0.25">
      <c r="A111" s="99" t="s">
        <v>2566</v>
      </c>
      <c r="B111" s="16" t="s">
        <v>678</v>
      </c>
      <c r="C111" s="68">
        <v>45924</v>
      </c>
      <c r="D111" s="17">
        <v>71</v>
      </c>
      <c r="E111" s="17">
        <v>1</v>
      </c>
      <c r="F111" s="17">
        <v>2</v>
      </c>
      <c r="G111" s="17">
        <v>0</v>
      </c>
      <c r="H111" s="17">
        <v>0</v>
      </c>
      <c r="I111" s="16"/>
      <c r="J111" s="16"/>
      <c r="K111" s="16" t="s">
        <v>664</v>
      </c>
      <c r="L111" s="68">
        <v>45925</v>
      </c>
      <c r="M111" s="68" t="str">
        <f t="shared" si="1"/>
        <v>Coupe</v>
      </c>
      <c r="N111" s="68" t="str">
        <f>INDEX(_xlfn.TEXTSPLIT(coupe[[#This Row],[QR Fabrication]],"_"),1,1)</f>
        <v>OF246546</v>
      </c>
      <c r="O111" s="68" t="str">
        <f>INDEX(_xlfn.TEXTSPLIT(coupe[[#This Row],[QR Fabrication]],"_"),1,2)</f>
        <v>CL00296</v>
      </c>
      <c r="P111" s="16" t="str">
        <f>INDEX(_xlfn.TEXTSPLIT(coupe[[#This Row],[QR Fabrication]],"_"),1,3)</f>
        <v>CM-FT0108</v>
      </c>
      <c r="Q111" s="16" t="str">
        <f>INDEX(_xlfn.TEXTSPLIT(coupe[[#This Row],[QR Fabrication]],"_"),1,4)</f>
        <v>EPMA0919-B29-02</v>
      </c>
      <c r="R111" s="16" t="str">
        <f>INDEX(_xlfn.TEXTSPLIT(coupe[[#This Row],[QR Fabrication]],"_"),1,5)</f>
        <v>MARINIERE</v>
      </c>
      <c r="S111" s="16" t="str">
        <f>_xlfn.TEXTAFTER(coupe[[#This Row],[QR Fabrication]],"_",5)</f>
        <v>0919</v>
      </c>
      <c r="T111" s="82" t="e">
        <f>_xlfn.XLOOKUP(coupe[[#This Row],[Num OF]],#REF!,#REF!,0)</f>
        <v>#REF!</v>
      </c>
      <c r="U111" s="82" t="e">
        <f>_xlfn.XLOOKUP(coupe[[#This Row],[Num OF]],#REF!,#REF!,0)</f>
        <v>#REF!</v>
      </c>
      <c r="V111" s="82" t="str">
        <f>IF(
   COUNTIFS($A$2:A111,A111,
             $B$2:B111,B111,
             $D$2:D111,D111,
             $E$2:E111,E111,
             $F$2:F111,F111,
             $G$2:G111,G111,
             $H$2:H111,H111,
             $L$2:L111,L111)&gt;1,
   "Doublon",
   "Correcte"
)</f>
        <v>Correcte</v>
      </c>
    </row>
    <row r="112" spans="1:22" x14ac:dyDescent="0.25">
      <c r="A112" s="99" t="s">
        <v>2407</v>
      </c>
      <c r="B112" s="16" t="s">
        <v>686</v>
      </c>
      <c r="C112" s="68">
        <v>45925</v>
      </c>
      <c r="D112" s="17">
        <v>11</v>
      </c>
      <c r="E112" s="17">
        <v>0</v>
      </c>
      <c r="F112" s="17">
        <v>0</v>
      </c>
      <c r="G112" s="17">
        <v>0</v>
      </c>
      <c r="H112" s="17">
        <v>0</v>
      </c>
      <c r="I112" s="16"/>
      <c r="J112" s="16"/>
      <c r="K112" s="16" t="s">
        <v>664</v>
      </c>
      <c r="L112" s="68">
        <v>45926</v>
      </c>
      <c r="M112" s="68" t="str">
        <f t="shared" si="1"/>
        <v>Coupe</v>
      </c>
      <c r="N112" s="68" t="str">
        <f>INDEX(_xlfn.TEXTSPLIT(coupe[[#This Row],[QR Fabrication]],"_"),1,1)</f>
        <v>CA250030</v>
      </c>
      <c r="O112" s="68" t="str">
        <f>INDEX(_xlfn.TEXTSPLIT(coupe[[#This Row],[QR Fabrication]],"_"),1,2)</f>
        <v>All by Fouta</v>
      </c>
      <c r="P112" s="16" t="str">
        <f>INDEX(_xlfn.TEXTSPLIT(coupe[[#This Row],[QR Fabrication]],"_"),1,3)</f>
        <v>Stock</v>
      </c>
      <c r="Q112" s="16" t="str">
        <f>INDEX(_xlfn.TEXTSPLIT(coupe[[#This Row],[QR Fabrication]],"_"),1,4)</f>
        <v>UNS2020-18</v>
      </c>
      <c r="R112" s="16" t="str">
        <f>INDEX(_xlfn.TEXTSPLIT(coupe[[#This Row],[QR Fabrication]],"_"),1,5)</f>
        <v>UNI SURPIQUE</v>
      </c>
      <c r="S112" s="16" t="str">
        <f>_xlfn.TEXTAFTER(coupe[[#This Row],[QR Fabrication]],"_",5)</f>
        <v>2020</v>
      </c>
      <c r="T112" s="82" t="e">
        <f>_xlfn.XLOOKUP(coupe[[#This Row],[Num OF]],#REF!,#REF!,0)</f>
        <v>#REF!</v>
      </c>
      <c r="U112" s="82" t="e">
        <f>_xlfn.XLOOKUP(coupe[[#This Row],[Num OF]],#REF!,#REF!,0)</f>
        <v>#REF!</v>
      </c>
      <c r="V112" s="82" t="str">
        <f>IF(
   COUNTIFS($A$2:A112,A112,
             $B$2:B112,B112,
             $D$2:D112,D112,
             $E$2:E112,E112,
             $F$2:F112,F112,
             $G$2:G112,G112,
             $H$2:H112,H112,
             $L$2:L112,L112)&gt;1,
   "Doublon",
   "Correcte"
)</f>
        <v>Correcte</v>
      </c>
    </row>
    <row r="113" spans="1:22" x14ac:dyDescent="0.25">
      <c r="A113" s="99" t="s">
        <v>2468</v>
      </c>
      <c r="B113" s="16" t="s">
        <v>686</v>
      </c>
      <c r="C113" s="68">
        <v>45925</v>
      </c>
      <c r="D113" s="17">
        <v>29</v>
      </c>
      <c r="E113" s="17">
        <v>0</v>
      </c>
      <c r="F113" s="17">
        <v>0</v>
      </c>
      <c r="G113" s="17">
        <v>0</v>
      </c>
      <c r="H113" s="17">
        <v>0</v>
      </c>
      <c r="I113" s="16"/>
      <c r="J113" s="16"/>
      <c r="K113" s="16" t="s">
        <v>664</v>
      </c>
      <c r="L113" s="68">
        <v>45926</v>
      </c>
      <c r="M113" s="68" t="str">
        <f t="shared" si="1"/>
        <v>Coupe</v>
      </c>
      <c r="N113" s="68" t="str">
        <f>INDEX(_xlfn.TEXTSPLIT(coupe[[#This Row],[QR Fabrication]],"_"),1,1)</f>
        <v>OF249819</v>
      </c>
      <c r="O113" s="68" t="str">
        <f>INDEX(_xlfn.TEXTSPLIT(coupe[[#This Row],[QR Fabrication]],"_"),1,2)</f>
        <v>CL00884</v>
      </c>
      <c r="P113" s="16" t="str">
        <f>INDEX(_xlfn.TEXTSPLIT(coupe[[#This Row],[QR Fabrication]],"_"),1,3)</f>
        <v>CM-FT0119</v>
      </c>
      <c r="Q113" s="16" t="str">
        <f>INDEX(_xlfn.TEXTSPLIT(coupe[[#This Row],[QR Fabrication]],"_"),1,4)</f>
        <v>SO1020-Q33-11-32</v>
      </c>
      <c r="R113" s="16" t="str">
        <f>INDEX(_xlfn.TEXTSPLIT(coupe[[#This Row],[QR Fabrication]],"_"),1,5)</f>
        <v>SOUSSE</v>
      </c>
      <c r="S113" s="16" t="str">
        <f>_xlfn.TEXTAFTER(coupe[[#This Row],[QR Fabrication]],"_",5)</f>
        <v>1020</v>
      </c>
      <c r="T113" s="82" t="e">
        <f>_xlfn.XLOOKUP(coupe[[#This Row],[Num OF]],#REF!,#REF!,0)</f>
        <v>#REF!</v>
      </c>
      <c r="U113" s="82" t="e">
        <f>_xlfn.XLOOKUP(coupe[[#This Row],[Num OF]],#REF!,#REF!,0)</f>
        <v>#REF!</v>
      </c>
      <c r="V113" s="82" t="str">
        <f>IF(
   COUNTIFS($A$2:A113,A113,
             $B$2:B113,B113,
             $D$2:D113,D113,
             $E$2:E113,E113,
             $F$2:F113,F113,
             $G$2:G113,G113,
             $H$2:H113,H113,
             $L$2:L113,L113)&gt;1,
   "Doublon",
   "Correcte"
)</f>
        <v>Correcte</v>
      </c>
    </row>
    <row r="114" spans="1:22" x14ac:dyDescent="0.25">
      <c r="A114" s="99" t="s">
        <v>2481</v>
      </c>
      <c r="B114" s="16" t="s">
        <v>687</v>
      </c>
      <c r="C114" s="68">
        <v>45925</v>
      </c>
      <c r="D114" s="17">
        <v>5</v>
      </c>
      <c r="E114" s="17">
        <v>0</v>
      </c>
      <c r="F114" s="17">
        <v>0</v>
      </c>
      <c r="G114" s="17">
        <v>0</v>
      </c>
      <c r="H114" s="17">
        <v>0</v>
      </c>
      <c r="I114" s="16"/>
      <c r="J114" s="16"/>
      <c r="K114" s="16" t="s">
        <v>664</v>
      </c>
      <c r="L114" s="68">
        <v>45926</v>
      </c>
      <c r="M114" s="68" t="str">
        <f t="shared" si="1"/>
        <v>Coupe</v>
      </c>
      <c r="N114" s="68" t="str">
        <f>INDEX(_xlfn.TEXTSPLIT(coupe[[#This Row],[QR Fabrication]],"_"),1,1)</f>
        <v>OF250131</v>
      </c>
      <c r="O114" s="68" t="str">
        <f>INDEX(_xlfn.TEXTSPLIT(coupe[[#This Row],[QR Fabrication]],"_"),1,2)</f>
        <v>CL00162</v>
      </c>
      <c r="P114" s="16" t="str">
        <f>INDEX(_xlfn.TEXTSPLIT(coupe[[#This Row],[QR Fabrication]],"_"),1,3)</f>
        <v>CM-FT0130</v>
      </c>
      <c r="Q114" s="16" t="str">
        <f>INDEX(_xlfn.TEXTSPLIT(coupe[[#This Row],[QR Fabrication]],"_"),1,4)</f>
        <v>GIN2426-B12-03</v>
      </c>
      <c r="R114" s="16" t="str">
        <f>INDEX(_xlfn.TEXTSPLIT(coupe[[#This Row],[QR Fabrication]],"_"),1,5)</f>
        <v>GINKO</v>
      </c>
      <c r="S114" s="16" t="str">
        <f>_xlfn.TEXTAFTER(coupe[[#This Row],[QR Fabrication]],"_",5)</f>
        <v>2426</v>
      </c>
      <c r="T114" s="82" t="e">
        <f>_xlfn.XLOOKUP(coupe[[#This Row],[Num OF]],#REF!,#REF!,0)</f>
        <v>#REF!</v>
      </c>
      <c r="U114" s="82" t="e">
        <f>_xlfn.XLOOKUP(coupe[[#This Row],[Num OF]],#REF!,#REF!,0)</f>
        <v>#REF!</v>
      </c>
      <c r="V114" s="82" t="str">
        <f>IF(
   COUNTIFS($A$2:A114,A114,
             $B$2:B114,B114,
             $D$2:D114,D114,
             $E$2:E114,E114,
             $F$2:F114,F114,
             $G$2:G114,G114,
             $H$2:H114,H114,
             $L$2:L114,L114)&gt;1,
   "Doublon",
   "Correcte"
)</f>
        <v>Correcte</v>
      </c>
    </row>
    <row r="115" spans="1:22" x14ac:dyDescent="0.25">
      <c r="A115" s="99" t="s">
        <v>2480</v>
      </c>
      <c r="B115" s="16" t="s">
        <v>686</v>
      </c>
      <c r="C115" s="68">
        <v>45925</v>
      </c>
      <c r="D115" s="17">
        <v>26</v>
      </c>
      <c r="E115" s="17">
        <v>0</v>
      </c>
      <c r="F115" s="17">
        <v>2</v>
      </c>
      <c r="G115" s="17">
        <v>0</v>
      </c>
      <c r="H115" s="17">
        <v>0</v>
      </c>
      <c r="I115" s="16"/>
      <c r="J115" s="16"/>
      <c r="K115" s="16" t="s">
        <v>664</v>
      </c>
      <c r="L115" s="68">
        <v>45926</v>
      </c>
      <c r="M115" s="68" t="str">
        <f t="shared" si="1"/>
        <v>Coupe</v>
      </c>
      <c r="N115" s="68" t="str">
        <f>INDEX(_xlfn.TEXTSPLIT(coupe[[#This Row],[QR Fabrication]],"_"),1,1)</f>
        <v>OF249816</v>
      </c>
      <c r="O115" s="68" t="str">
        <f>INDEX(_xlfn.TEXTSPLIT(coupe[[#This Row],[QR Fabrication]],"_"),1,2)</f>
        <v>CL00884</v>
      </c>
      <c r="P115" s="16" t="str">
        <f>INDEX(_xlfn.TEXTSPLIT(coupe[[#This Row],[QR Fabrication]],"_"),1,3)</f>
        <v>CM-FT0119</v>
      </c>
      <c r="Q115" s="16" t="str">
        <f>INDEX(_xlfn.TEXTSPLIT(coupe[[#This Row],[QR Fabrication]],"_"),1,4)</f>
        <v>SO1020-Q29-11-14</v>
      </c>
      <c r="R115" s="16" t="str">
        <f>INDEX(_xlfn.TEXTSPLIT(coupe[[#This Row],[QR Fabrication]],"_"),1,5)</f>
        <v>SOUSSE</v>
      </c>
      <c r="S115" s="16" t="str">
        <f>_xlfn.TEXTAFTER(coupe[[#This Row],[QR Fabrication]],"_",5)</f>
        <v>1020</v>
      </c>
      <c r="T115" s="82" t="e">
        <f>_xlfn.XLOOKUP(coupe[[#This Row],[Num OF]],#REF!,#REF!,0)</f>
        <v>#REF!</v>
      </c>
      <c r="U115" s="82" t="e">
        <f>_xlfn.XLOOKUP(coupe[[#This Row],[Num OF]],#REF!,#REF!,0)</f>
        <v>#REF!</v>
      </c>
      <c r="V115" s="82" t="str">
        <f>IF(
   COUNTIFS($A$2:A115,A115,
             $B$2:B115,B115,
             $D$2:D115,D115,
             $E$2:E115,E115,
             $F$2:F115,F115,
             $G$2:G115,G115,
             $H$2:H115,H115,
             $L$2:L115,L115)&gt;1,
   "Doublon",
   "Correcte"
)</f>
        <v>Correcte</v>
      </c>
    </row>
    <row r="116" spans="1:22" x14ac:dyDescent="0.25">
      <c r="A116" s="99" t="s">
        <v>2477</v>
      </c>
      <c r="B116" s="16" t="s">
        <v>687</v>
      </c>
      <c r="C116" s="68">
        <v>45925</v>
      </c>
      <c r="D116" s="17">
        <v>5</v>
      </c>
      <c r="E116" s="17">
        <v>0</v>
      </c>
      <c r="F116" s="17">
        <v>0</v>
      </c>
      <c r="G116" s="17">
        <v>0</v>
      </c>
      <c r="H116" s="17">
        <v>0</v>
      </c>
      <c r="I116" s="16"/>
      <c r="J116" s="16"/>
      <c r="K116" s="16" t="s">
        <v>664</v>
      </c>
      <c r="L116" s="68">
        <v>45926</v>
      </c>
      <c r="M116" s="68" t="str">
        <f t="shared" si="1"/>
        <v>Coupe</v>
      </c>
      <c r="N116" s="68" t="str">
        <f>INDEX(_xlfn.TEXTSPLIT(coupe[[#This Row],[QR Fabrication]],"_"),1,1)</f>
        <v>OF250132</v>
      </c>
      <c r="O116" s="68" t="str">
        <f>INDEX(_xlfn.TEXTSPLIT(coupe[[#This Row],[QR Fabrication]],"_"),1,2)</f>
        <v>CL00162</v>
      </c>
      <c r="P116" s="16" t="str">
        <f>INDEX(_xlfn.TEXTSPLIT(coupe[[#This Row],[QR Fabrication]],"_"),1,3)</f>
        <v>CM-FT0130</v>
      </c>
      <c r="Q116" s="16" t="str">
        <f>INDEX(_xlfn.TEXTSPLIT(coupe[[#This Row],[QR Fabrication]],"_"),1,4)</f>
        <v>GIN2426-B19-03</v>
      </c>
      <c r="R116" s="16" t="str">
        <f>INDEX(_xlfn.TEXTSPLIT(coupe[[#This Row],[QR Fabrication]],"_"),1,5)</f>
        <v>GINKO</v>
      </c>
      <c r="S116" s="16" t="str">
        <f>_xlfn.TEXTAFTER(coupe[[#This Row],[QR Fabrication]],"_",5)</f>
        <v>2426</v>
      </c>
      <c r="T116" s="82" t="e">
        <f>_xlfn.XLOOKUP(coupe[[#This Row],[Num OF]],#REF!,#REF!,0)</f>
        <v>#REF!</v>
      </c>
      <c r="U116" s="82" t="e">
        <f>_xlfn.XLOOKUP(coupe[[#This Row],[Num OF]],#REF!,#REF!,0)</f>
        <v>#REF!</v>
      </c>
      <c r="V116" s="82" t="str">
        <f>IF(
   COUNTIFS($A$2:A116,A116,
             $B$2:B116,B116,
             $D$2:D116,D116,
             $E$2:E116,E116,
             $F$2:F116,F116,
             $G$2:G116,G116,
             $H$2:H116,H116,
             $L$2:L116,L116)&gt;1,
   "Doublon",
   "Correcte"
)</f>
        <v>Correcte</v>
      </c>
    </row>
    <row r="117" spans="1:22" x14ac:dyDescent="0.25">
      <c r="A117" s="99" t="s">
        <v>2444</v>
      </c>
      <c r="B117" s="16" t="s">
        <v>684</v>
      </c>
      <c r="C117" s="68">
        <v>45925</v>
      </c>
      <c r="D117" s="17">
        <v>17</v>
      </c>
      <c r="E117" s="17">
        <v>0</v>
      </c>
      <c r="F117" s="17">
        <v>2</v>
      </c>
      <c r="G117" s="17">
        <v>0</v>
      </c>
      <c r="H117" s="17">
        <v>0</v>
      </c>
      <c r="I117" s="16"/>
      <c r="J117" s="16"/>
      <c r="K117" s="16" t="s">
        <v>664</v>
      </c>
      <c r="L117" s="68">
        <v>45926</v>
      </c>
      <c r="M117" s="68" t="str">
        <f t="shared" si="1"/>
        <v>Coupe</v>
      </c>
      <c r="N117" s="68" t="str">
        <f>INDEX(_xlfn.TEXTSPLIT(coupe[[#This Row],[QR Fabrication]],"_"),1,1)</f>
        <v>CA250019</v>
      </c>
      <c r="O117" s="68" t="str">
        <f>INDEX(_xlfn.TEXTSPLIT(coupe[[#This Row],[QR Fabrication]],"_"),1,2)</f>
        <v>All by Fouta</v>
      </c>
      <c r="P117" s="16" t="str">
        <f>INDEX(_xlfn.TEXTSPLIT(coupe[[#This Row],[QR Fabrication]],"_"),1,3)</f>
        <v>Stock</v>
      </c>
      <c r="Q117" s="16" t="str">
        <f>INDEX(_xlfn.TEXTSPLIT(coupe[[#This Row],[QR Fabrication]],"_"),1,4)</f>
        <v>UNS1020-32</v>
      </c>
      <c r="R117" s="16" t="str">
        <f>INDEX(_xlfn.TEXTSPLIT(coupe[[#This Row],[QR Fabrication]],"_"),1,5)</f>
        <v>UNI SURPIQUE</v>
      </c>
      <c r="S117" s="16" t="str">
        <f>_xlfn.TEXTAFTER(coupe[[#This Row],[QR Fabrication]],"_",5)</f>
        <v>1020</v>
      </c>
      <c r="T117" s="82" t="e">
        <f>_xlfn.XLOOKUP(coupe[[#This Row],[Num OF]],#REF!,#REF!,0)</f>
        <v>#REF!</v>
      </c>
      <c r="U117" s="82" t="e">
        <f>_xlfn.XLOOKUP(coupe[[#This Row],[Num OF]],#REF!,#REF!,0)</f>
        <v>#REF!</v>
      </c>
      <c r="V117" s="82" t="str">
        <f>IF(
   COUNTIFS($A$2:A117,A117,
             $B$2:B117,B117,
             $D$2:D117,D117,
             $E$2:E117,E117,
             $F$2:F117,F117,
             $G$2:G117,G117,
             $H$2:H117,H117,
             $L$2:L117,L117)&gt;1,
   "Doublon",
   "Correcte"
)</f>
        <v>Correcte</v>
      </c>
    </row>
    <row r="118" spans="1:22" x14ac:dyDescent="0.25">
      <c r="A118" s="99" t="s">
        <v>2443</v>
      </c>
      <c r="B118" s="16" t="s">
        <v>684</v>
      </c>
      <c r="C118" s="68">
        <v>45925</v>
      </c>
      <c r="D118" s="17">
        <v>6</v>
      </c>
      <c r="E118" s="17">
        <v>0</v>
      </c>
      <c r="F118" s="17">
        <v>4</v>
      </c>
      <c r="G118" s="17">
        <v>0</v>
      </c>
      <c r="H118" s="17">
        <v>0</v>
      </c>
      <c r="I118" s="16"/>
      <c r="J118" s="16"/>
      <c r="K118" s="16" t="s">
        <v>664</v>
      </c>
      <c r="L118" s="68">
        <v>45926</v>
      </c>
      <c r="M118" s="68" t="str">
        <f t="shared" si="1"/>
        <v>Coupe</v>
      </c>
      <c r="N118" s="68" t="str">
        <f>INDEX(_xlfn.TEXTSPLIT(coupe[[#This Row],[QR Fabrication]],"_"),1,1)</f>
        <v>CA250050</v>
      </c>
      <c r="O118" s="68" t="str">
        <f>INDEX(_xlfn.TEXTSPLIT(coupe[[#This Row],[QR Fabrication]],"_"),1,2)</f>
        <v>All by Fouta</v>
      </c>
      <c r="P118" s="16" t="str">
        <f>INDEX(_xlfn.TEXTSPLIT(coupe[[#This Row],[QR Fabrication]],"_"),1,3)</f>
        <v>Stock</v>
      </c>
      <c r="Q118" s="16" t="str">
        <f>INDEX(_xlfn.TEXTSPLIT(coupe[[#This Row],[QR Fabrication]],"_"),1,4)</f>
        <v>UNS1626-18</v>
      </c>
      <c r="R118" s="16" t="str">
        <f>INDEX(_xlfn.TEXTSPLIT(coupe[[#This Row],[QR Fabrication]],"_"),1,5)</f>
        <v>UNI SURPIQUE</v>
      </c>
      <c r="S118" s="16" t="str">
        <f>_xlfn.TEXTAFTER(coupe[[#This Row],[QR Fabrication]],"_",5)</f>
        <v>1626</v>
      </c>
      <c r="T118" s="82" t="e">
        <f>_xlfn.XLOOKUP(coupe[[#This Row],[Num OF]],#REF!,#REF!,0)</f>
        <v>#REF!</v>
      </c>
      <c r="U118" s="82" t="e">
        <f>_xlfn.XLOOKUP(coupe[[#This Row],[Num OF]],#REF!,#REF!,0)</f>
        <v>#REF!</v>
      </c>
      <c r="V118" s="82" t="str">
        <f>IF(
   COUNTIFS($A$2:A118,A118,
             $B$2:B118,B118,
             $D$2:D118,D118,
             $E$2:E118,E118,
             $F$2:F118,F118,
             $G$2:G118,G118,
             $H$2:H118,H118,
             $L$2:L118,L118)&gt;1,
   "Doublon",
   "Correcte"
)</f>
        <v>Correcte</v>
      </c>
    </row>
    <row r="119" spans="1:22" x14ac:dyDescent="0.25">
      <c r="A119" s="99" t="s">
        <v>2473</v>
      </c>
      <c r="B119" s="16" t="s">
        <v>684</v>
      </c>
      <c r="C119" s="68">
        <v>45925.519282407404</v>
      </c>
      <c r="D119" s="17">
        <v>44</v>
      </c>
      <c r="E119" s="17">
        <v>2</v>
      </c>
      <c r="F119" s="17">
        <v>3</v>
      </c>
      <c r="G119" s="17">
        <v>0</v>
      </c>
      <c r="H119" s="17">
        <v>2</v>
      </c>
      <c r="I119" s="16" t="s">
        <v>1094</v>
      </c>
      <c r="J119" s="16" t="e" vm="3">
        <v>#VALUE!</v>
      </c>
      <c r="K119" s="16" t="s">
        <v>665</v>
      </c>
      <c r="L119" s="68">
        <v>45926.519282407404</v>
      </c>
      <c r="M119" s="68" t="str">
        <f t="shared" si="1"/>
        <v>Coupe</v>
      </c>
      <c r="N119" s="68" t="str">
        <f>INDEX(_xlfn.TEXTSPLIT(coupe[[#This Row],[QR Fabrication]],"_"),1,1)</f>
        <v>CA250751</v>
      </c>
      <c r="O119" s="68" t="str">
        <f>INDEX(_xlfn.TEXTSPLIT(coupe[[#This Row],[QR Fabrication]],"_"),1,2)</f>
        <v>All by Fouta</v>
      </c>
      <c r="P119" s="16" t="str">
        <f>INDEX(_xlfn.TEXTSPLIT(coupe[[#This Row],[QR Fabrication]],"_"),1,3)</f>
        <v>Stock</v>
      </c>
      <c r="Q119" s="16" t="str">
        <f>INDEX(_xlfn.TEXTSPLIT(coupe[[#This Row],[QR Fabrication]],"_"),1,4)</f>
        <v>PACKSICL0507-B04-02</v>
      </c>
      <c r="R119" s="16" t="str">
        <f>INDEX(_xlfn.TEXTSPLIT(coupe[[#This Row],[QR Fabrication]],"_"),1,5)</f>
        <v>PACK CLASSIQUE</v>
      </c>
      <c r="S119" s="16" t="str">
        <f>_xlfn.TEXTAFTER(coupe[[#This Row],[QR Fabrication]],"_",5)</f>
        <v>0507</v>
      </c>
      <c r="T119" s="82" t="e">
        <f>_xlfn.XLOOKUP(coupe[[#This Row],[Num OF]],#REF!,#REF!,0)</f>
        <v>#REF!</v>
      </c>
      <c r="U119" s="82" t="e">
        <f>_xlfn.XLOOKUP(coupe[[#This Row],[Num OF]],#REF!,#REF!,0)</f>
        <v>#REF!</v>
      </c>
      <c r="V119" s="82" t="str">
        <f>IF(
   COUNTIFS($A$2:A119,A119,
             $B$2:B119,B119,
             $D$2:D119,D119,
             $E$2:E119,E119,
             $F$2:F119,F119,
             $G$2:G119,G119,
             $H$2:H119,H119,
             $L$2:L119,L119)&gt;1,
   "Doublon",
   "Correcte"
)</f>
        <v>Correcte</v>
      </c>
    </row>
    <row r="120" spans="1:22" x14ac:dyDescent="0.25">
      <c r="A120" s="99" t="s">
        <v>2473</v>
      </c>
      <c r="B120" s="16" t="s">
        <v>684</v>
      </c>
      <c r="C120" s="68">
        <v>45925.52449074074</v>
      </c>
      <c r="D120" s="17">
        <v>99</v>
      </c>
      <c r="E120" s="17">
        <v>0</v>
      </c>
      <c r="F120" s="17">
        <v>0</v>
      </c>
      <c r="G120" s="17">
        <v>0</v>
      </c>
      <c r="H120" s="17">
        <v>0</v>
      </c>
      <c r="I120" s="16"/>
      <c r="J120" s="16" t="s">
        <v>699</v>
      </c>
      <c r="K120" s="16" t="s">
        <v>665</v>
      </c>
      <c r="L120" s="68">
        <v>45926.52449074074</v>
      </c>
      <c r="M120" s="68" t="str">
        <f t="shared" si="1"/>
        <v>Coupe</v>
      </c>
      <c r="N120" s="68" t="str">
        <f>INDEX(_xlfn.TEXTSPLIT(coupe[[#This Row],[QR Fabrication]],"_"),1,1)</f>
        <v>CA250751</v>
      </c>
      <c r="O120" s="68" t="str">
        <f>INDEX(_xlfn.TEXTSPLIT(coupe[[#This Row],[QR Fabrication]],"_"),1,2)</f>
        <v>All by Fouta</v>
      </c>
      <c r="P120" s="16" t="str">
        <f>INDEX(_xlfn.TEXTSPLIT(coupe[[#This Row],[QR Fabrication]],"_"),1,3)</f>
        <v>Stock</v>
      </c>
      <c r="Q120" s="16" t="str">
        <f>INDEX(_xlfn.TEXTSPLIT(coupe[[#This Row],[QR Fabrication]],"_"),1,4)</f>
        <v>PACKSICL0507-B04-02</v>
      </c>
      <c r="R120" s="16" t="str">
        <f>INDEX(_xlfn.TEXTSPLIT(coupe[[#This Row],[QR Fabrication]],"_"),1,5)</f>
        <v>PACK CLASSIQUE</v>
      </c>
      <c r="S120" s="16" t="str">
        <f>_xlfn.TEXTAFTER(coupe[[#This Row],[QR Fabrication]],"_",5)</f>
        <v>0507</v>
      </c>
      <c r="T120" s="82" t="e">
        <f>_xlfn.XLOOKUP(coupe[[#This Row],[Num OF]],#REF!,#REF!,0)</f>
        <v>#REF!</v>
      </c>
      <c r="U120" s="82" t="e">
        <f>_xlfn.XLOOKUP(coupe[[#This Row],[Num OF]],#REF!,#REF!,0)</f>
        <v>#REF!</v>
      </c>
      <c r="V120" s="82" t="str">
        <f>IF(
   COUNTIFS($A$2:A121,A120,
             $B$2:B121,B120,
             $D$2:D121,D120,
             $E$2:E121,E120,
             $F$2:F121,F120,
             $G$2:G121,G120,
             $H$2:H121,H120,
             $L$2:L121,L120)&gt;1,
   "Doublon",
   "Correcte"
)</f>
        <v>Correcte</v>
      </c>
    </row>
    <row r="121" spans="1:22" x14ac:dyDescent="0.25">
      <c r="A121" s="99" t="s">
        <v>2472</v>
      </c>
      <c r="B121" s="16" t="s">
        <v>686</v>
      </c>
      <c r="C121" s="68">
        <v>45925.60434027778</v>
      </c>
      <c r="D121" s="17">
        <v>150</v>
      </c>
      <c r="E121" s="17">
        <v>0</v>
      </c>
      <c r="F121" s="17">
        <v>0</v>
      </c>
      <c r="G121" s="17">
        <v>0</v>
      </c>
      <c r="H121" s="17">
        <v>0</v>
      </c>
      <c r="I121" s="16"/>
      <c r="J121" s="16"/>
      <c r="K121" s="16" t="s">
        <v>664</v>
      </c>
      <c r="L121" s="68">
        <v>45926.60434027778</v>
      </c>
      <c r="M121" s="68" t="str">
        <f t="shared" si="1"/>
        <v>Coupe</v>
      </c>
      <c r="N121" s="68" t="str">
        <f>INDEX(_xlfn.TEXTSPLIT(coupe[[#This Row],[QR Fabrication]],"_"),1,1)</f>
        <v>OF249782</v>
      </c>
      <c r="O121" s="68" t="str">
        <f>INDEX(_xlfn.TEXTSPLIT(coupe[[#This Row],[QR Fabrication]],"_"),1,2)</f>
        <v>CL00884</v>
      </c>
      <c r="P121" s="16" t="str">
        <f>INDEX(_xlfn.TEXTSPLIT(coupe[[#This Row],[QR Fabrication]],"_"),1,3)</f>
        <v>CM-FT0119</v>
      </c>
      <c r="Q121" s="16" t="str">
        <f>INDEX(_xlfn.TEXTSPLIT(coupe[[#This Row],[QR Fabrication]],"_"),1,4)</f>
        <v>IB1020-B24-01</v>
      </c>
      <c r="R121" s="16" t="str">
        <f>INDEX(_xlfn.TEXTSPLIT(coupe[[#This Row],[QR Fabrication]],"_"),1,5)</f>
        <v>IBIZA</v>
      </c>
      <c r="S121" s="16" t="str">
        <f>_xlfn.TEXTAFTER(coupe[[#This Row],[QR Fabrication]],"_",5)</f>
        <v>1020</v>
      </c>
      <c r="T121" s="82" t="e">
        <f>_xlfn.XLOOKUP(coupe[[#This Row],[Num OF]],#REF!,#REF!,0)</f>
        <v>#REF!</v>
      </c>
      <c r="U121" s="82" t="e">
        <f>_xlfn.XLOOKUP(coupe[[#This Row],[Num OF]],#REF!,#REF!,0)</f>
        <v>#REF!</v>
      </c>
      <c r="V121" s="82" t="str">
        <f>IF(
   COUNTIFS($A$2:A121,A121,
             $B$2:B121,B121,
             $D$2:D121,D121,
             $E$2:E121,E121,
             $F$2:F121,F121,
             $G$2:G121,G121,
             $H$2:H121,H121,
             $L$2:L121,L121)&gt;1,
   "Doublon",
   "Correcte"
)</f>
        <v>Correcte</v>
      </c>
    </row>
    <row r="122" spans="1:22" x14ac:dyDescent="0.25">
      <c r="A122" s="99" t="s">
        <v>2567</v>
      </c>
      <c r="B122" s="16" t="s">
        <v>678</v>
      </c>
      <c r="C122" s="68">
        <v>45925.631111111114</v>
      </c>
      <c r="D122" s="17">
        <v>70</v>
      </c>
      <c r="E122" s="17">
        <v>0</v>
      </c>
      <c r="F122" s="17">
        <v>0</v>
      </c>
      <c r="G122" s="17">
        <v>0</v>
      </c>
      <c r="H122" s="17">
        <v>0</v>
      </c>
      <c r="I122" s="16"/>
      <c r="J122" s="16"/>
      <c r="K122" s="16" t="s">
        <v>664</v>
      </c>
      <c r="L122" s="68">
        <v>45926.631111111114</v>
      </c>
      <c r="M122" s="68" t="str">
        <f t="shared" si="1"/>
        <v>Coupe</v>
      </c>
      <c r="N122" s="68" t="str">
        <f>INDEX(_xlfn.TEXTSPLIT(coupe[[#This Row],[QR Fabrication]],"_"),1,1)</f>
        <v>OF246539</v>
      </c>
      <c r="O122" s="68" t="str">
        <f>INDEX(_xlfn.TEXTSPLIT(coupe[[#This Row],[QR Fabrication]],"_"),1,2)</f>
        <v>CL00296</v>
      </c>
      <c r="P122" s="16" t="str">
        <f>INDEX(_xlfn.TEXTSPLIT(coupe[[#This Row],[QR Fabrication]],"_"),1,3)</f>
        <v>CM-FT0108</v>
      </c>
      <c r="Q122" s="16" t="str">
        <f>INDEX(_xlfn.TEXTSPLIT(coupe[[#This Row],[QR Fabrication]],"_"),1,4)</f>
        <v>EPMA0919-B29-02</v>
      </c>
      <c r="R122" s="16" t="str">
        <f>INDEX(_xlfn.TEXTSPLIT(coupe[[#This Row],[QR Fabrication]],"_"),1,5)</f>
        <v>MARINIERE</v>
      </c>
      <c r="S122" s="16" t="str">
        <f>_xlfn.TEXTAFTER(coupe[[#This Row],[QR Fabrication]],"_",5)</f>
        <v>0919</v>
      </c>
      <c r="T122" s="82" t="e">
        <f>_xlfn.XLOOKUP(coupe[[#This Row],[Num OF]],#REF!,#REF!,0)</f>
        <v>#REF!</v>
      </c>
      <c r="U122" s="82" t="e">
        <f>_xlfn.XLOOKUP(coupe[[#This Row],[Num OF]],#REF!,#REF!,0)</f>
        <v>#REF!</v>
      </c>
      <c r="V122" s="82" t="str">
        <f>IF(
   COUNTIFS($A$2:A122,A122,
             $B$2:B122,B122,
             $D$2:D122,D122,
             $E$2:E122,E122,
             $F$2:F122,F122,
             $G$2:G122,G122,
             $H$2:H122,H122,
             $L$2:L122,L122)&gt;1,
   "Doublon",
   "Correcte"
)</f>
        <v>Correcte</v>
      </c>
    </row>
    <row r="123" spans="1:22" x14ac:dyDescent="0.25">
      <c r="A123" s="99" t="s">
        <v>2445</v>
      </c>
      <c r="B123" s="16" t="s">
        <v>684</v>
      </c>
      <c r="C123" s="68">
        <v>45925.682152777779</v>
      </c>
      <c r="D123" s="17">
        <v>64</v>
      </c>
      <c r="E123" s="17">
        <v>1</v>
      </c>
      <c r="F123" s="17">
        <v>1</v>
      </c>
      <c r="G123" s="17">
        <v>1</v>
      </c>
      <c r="H123" s="17">
        <v>0</v>
      </c>
      <c r="I123" s="16" t="s">
        <v>697</v>
      </c>
      <c r="J123" s="16"/>
      <c r="K123" s="16" t="s">
        <v>664</v>
      </c>
      <c r="L123" s="68">
        <v>45926.682152777779</v>
      </c>
      <c r="M123" s="68" t="str">
        <f t="shared" si="1"/>
        <v>Coupe</v>
      </c>
      <c r="N123" s="68" t="str">
        <f>INDEX(_xlfn.TEXTSPLIT(coupe[[#This Row],[QR Fabrication]],"_"),1,1)</f>
        <v>OF249809</v>
      </c>
      <c r="O123" s="68" t="str">
        <f>INDEX(_xlfn.TEXTSPLIT(coupe[[#This Row],[QR Fabrication]],"_"),1,2)</f>
        <v>CL00884</v>
      </c>
      <c r="P123" s="16" t="str">
        <f>INDEX(_xlfn.TEXTSPLIT(coupe[[#This Row],[QR Fabrication]],"_"),1,3)</f>
        <v>CM-FT0119</v>
      </c>
      <c r="Q123" s="16" t="str">
        <f>INDEX(_xlfn.TEXTSPLIT(coupe[[#This Row],[QR Fabrication]],"_"),1,4)</f>
        <v>IS1020-B14-01</v>
      </c>
      <c r="R123" s="16" t="str">
        <f>INDEX(_xlfn.TEXTSPLIT(coupe[[#This Row],[QR Fabrication]],"_"),1,5)</f>
        <v>ISTANBUL</v>
      </c>
      <c r="S123" s="16" t="str">
        <f>_xlfn.TEXTAFTER(coupe[[#This Row],[QR Fabrication]],"_",5)</f>
        <v>1020</v>
      </c>
      <c r="T123" s="82" t="e">
        <f>_xlfn.XLOOKUP(coupe[[#This Row],[Num OF]],#REF!,#REF!,0)</f>
        <v>#REF!</v>
      </c>
      <c r="U123" s="82" t="e">
        <f>_xlfn.XLOOKUP(coupe[[#This Row],[Num OF]],#REF!,#REF!,0)</f>
        <v>#REF!</v>
      </c>
      <c r="V123" s="82" t="str">
        <f>IF(
   COUNTIFS($A$2:A123,A123,
             $B$2:B123,B123,
             $D$2:D123,D123,
             $E$2:E123,E123,
             $F$2:F123,F123,
             $G$2:G123,G123,
             $H$2:H123,H123,
             $L$2:L123,L123)&gt;1,
   "Doublon",
   "Correcte"
)</f>
        <v>Correcte</v>
      </c>
    </row>
    <row r="124" spans="1:22" x14ac:dyDescent="0.25">
      <c r="A124" s="99" t="s">
        <v>2442</v>
      </c>
      <c r="B124" s="16" t="s">
        <v>684</v>
      </c>
      <c r="C124" s="68">
        <v>45925.714988425927</v>
      </c>
      <c r="D124" s="17">
        <v>15</v>
      </c>
      <c r="E124" s="17">
        <v>0</v>
      </c>
      <c r="F124" s="17">
        <v>5</v>
      </c>
      <c r="G124" s="17">
        <v>0</v>
      </c>
      <c r="H124" s="17">
        <v>0</v>
      </c>
      <c r="I124" s="16"/>
      <c r="J124" s="16"/>
      <c r="K124" s="16" t="s">
        <v>664</v>
      </c>
      <c r="L124" s="68">
        <v>45926.714988425927</v>
      </c>
      <c r="M124" s="68" t="str">
        <f t="shared" si="1"/>
        <v>Coupe</v>
      </c>
      <c r="N124" s="68" t="str">
        <f>INDEX(_xlfn.TEXTSPLIT(coupe[[#This Row],[QR Fabrication]],"_"),1,1)</f>
        <v>CA250059</v>
      </c>
      <c r="O124" s="68" t="str">
        <f>INDEX(_xlfn.TEXTSPLIT(coupe[[#This Row],[QR Fabrication]],"_"),1,2)</f>
        <v>All by Fouta</v>
      </c>
      <c r="P124" s="16" t="str">
        <f>INDEX(_xlfn.TEXTSPLIT(coupe[[#This Row],[QR Fabrication]],"_"),1,3)</f>
        <v>Stock</v>
      </c>
      <c r="Q124" s="16" t="str">
        <f>INDEX(_xlfn.TEXTSPLIT(coupe[[#This Row],[QR Fabrication]],"_"),1,4)</f>
        <v>UNS1626-32</v>
      </c>
      <c r="R124" s="16" t="str">
        <f>INDEX(_xlfn.TEXTSPLIT(coupe[[#This Row],[QR Fabrication]],"_"),1,5)</f>
        <v>UNI SURPIQUE</v>
      </c>
      <c r="S124" s="16" t="str">
        <f>_xlfn.TEXTAFTER(coupe[[#This Row],[QR Fabrication]],"_",5)</f>
        <v>1626</v>
      </c>
      <c r="T124" s="82" t="e">
        <f>_xlfn.XLOOKUP(coupe[[#This Row],[Num OF]],#REF!,#REF!,0)</f>
        <v>#REF!</v>
      </c>
      <c r="U124" s="82" t="e">
        <f>_xlfn.XLOOKUP(coupe[[#This Row],[Num OF]],#REF!,#REF!,0)</f>
        <v>#REF!</v>
      </c>
      <c r="V124" s="82" t="str">
        <f>IF(
   COUNTIFS($A$2:A124,A124,
             $B$2:B124,B124,
             $D$2:D124,D124,
             $E$2:E124,E124,
             $F$2:F124,F124,
             $G$2:G124,G124,
             $H$2:H124,H124,
             $L$2:L124,L124)&gt;1,
   "Doublon",
   "Correcte"
)</f>
        <v>Correcte</v>
      </c>
    </row>
    <row r="125" spans="1:22" x14ac:dyDescent="0.25">
      <c r="A125" s="99" t="s">
        <v>2479</v>
      </c>
      <c r="B125" s="16" t="s">
        <v>687</v>
      </c>
      <c r="C125" s="68">
        <v>45926.459756944445</v>
      </c>
      <c r="D125" s="17">
        <v>5</v>
      </c>
      <c r="E125" s="17">
        <v>0</v>
      </c>
      <c r="F125" s="17">
        <v>0</v>
      </c>
      <c r="G125" s="17">
        <v>0</v>
      </c>
      <c r="H125" s="17">
        <v>0</v>
      </c>
      <c r="I125" s="16"/>
      <c r="J125" s="16" t="s">
        <v>699</v>
      </c>
      <c r="K125" s="16" t="s">
        <v>665</v>
      </c>
      <c r="L125" s="68">
        <v>45927.459756944445</v>
      </c>
      <c r="M125" s="68" t="str">
        <f t="shared" si="1"/>
        <v>Coupe</v>
      </c>
      <c r="N125" s="68" t="str">
        <f>INDEX(_xlfn.TEXTSPLIT(coupe[[#This Row],[QR Fabrication]],"_"),1,1)</f>
        <v>OF250130</v>
      </c>
      <c r="O125" s="68" t="str">
        <f>INDEX(_xlfn.TEXTSPLIT(coupe[[#This Row],[QR Fabrication]],"_"),1,2)</f>
        <v>CL00162</v>
      </c>
      <c r="P125" s="16" t="str">
        <f>INDEX(_xlfn.TEXTSPLIT(coupe[[#This Row],[QR Fabrication]],"_"),1,3)</f>
        <v>CM-FT0130</v>
      </c>
      <c r="Q125" s="16" t="str">
        <f>INDEX(_xlfn.TEXTSPLIT(coupe[[#This Row],[QR Fabrication]],"_"),1,4)</f>
        <v>GIN2426-B03-02</v>
      </c>
      <c r="R125" s="16" t="str">
        <f>INDEX(_xlfn.TEXTSPLIT(coupe[[#This Row],[QR Fabrication]],"_"),1,5)</f>
        <v>GINKO</v>
      </c>
      <c r="S125" s="16" t="str">
        <f>_xlfn.TEXTAFTER(coupe[[#This Row],[QR Fabrication]],"_",5)</f>
        <v>2426</v>
      </c>
      <c r="T125" s="82" t="e">
        <f>_xlfn.XLOOKUP(coupe[[#This Row],[Num OF]],#REF!,#REF!,0)</f>
        <v>#REF!</v>
      </c>
      <c r="U125" s="82" t="e">
        <f>_xlfn.XLOOKUP(coupe[[#This Row],[Num OF]],#REF!,#REF!,0)</f>
        <v>#REF!</v>
      </c>
      <c r="V125" s="82" t="str">
        <f>IF(
   COUNTIFS($A$2:A127,A125,
             $B$2:B127,B125,
             $D$2:D127,D125,
             $E$2:E127,E125,
             $F$2:F127,F125,
             $G$2:G127,G125,
             $H$2:H127,H125,
             $L$2:L127,L125)&gt;1,
   "Doublon",
   "Correcte"
)</f>
        <v>Correcte</v>
      </c>
    </row>
    <row r="126" spans="1:22" x14ac:dyDescent="0.25">
      <c r="A126" s="99" t="s">
        <v>2481</v>
      </c>
      <c r="B126" s="16" t="s">
        <v>687</v>
      </c>
      <c r="C126" s="68">
        <v>45926.461006944446</v>
      </c>
      <c r="D126" s="17">
        <v>2</v>
      </c>
      <c r="E126" s="17">
        <v>0</v>
      </c>
      <c r="F126" s="17">
        <v>0</v>
      </c>
      <c r="G126" s="17">
        <v>0</v>
      </c>
      <c r="H126" s="17">
        <v>0</v>
      </c>
      <c r="I126" s="16"/>
      <c r="J126" s="16"/>
      <c r="K126" s="16" t="s">
        <v>664</v>
      </c>
      <c r="L126" s="68">
        <v>45927.461006944446</v>
      </c>
      <c r="M126" s="68" t="str">
        <f t="shared" si="1"/>
        <v>Coupe</v>
      </c>
      <c r="N126" s="68" t="str">
        <f>INDEX(_xlfn.TEXTSPLIT(coupe[[#This Row],[QR Fabrication]],"_"),1,1)</f>
        <v>OF250131</v>
      </c>
      <c r="O126" s="68" t="str">
        <f>INDEX(_xlfn.TEXTSPLIT(coupe[[#This Row],[QR Fabrication]],"_"),1,2)</f>
        <v>CL00162</v>
      </c>
      <c r="P126" s="16" t="str">
        <f>INDEX(_xlfn.TEXTSPLIT(coupe[[#This Row],[QR Fabrication]],"_"),1,3)</f>
        <v>CM-FT0130</v>
      </c>
      <c r="Q126" s="16" t="str">
        <f>INDEX(_xlfn.TEXTSPLIT(coupe[[#This Row],[QR Fabrication]],"_"),1,4)</f>
        <v>GIN2426-B12-03</v>
      </c>
      <c r="R126" s="16" t="str">
        <f>INDEX(_xlfn.TEXTSPLIT(coupe[[#This Row],[QR Fabrication]],"_"),1,5)</f>
        <v>GINKO</v>
      </c>
      <c r="S126" s="16" t="str">
        <f>_xlfn.TEXTAFTER(coupe[[#This Row],[QR Fabrication]],"_",5)</f>
        <v>2426</v>
      </c>
      <c r="T126" s="82" t="e">
        <f>_xlfn.XLOOKUP(coupe[[#This Row],[Num OF]],#REF!,#REF!,0)</f>
        <v>#REF!</v>
      </c>
      <c r="U126" s="82" t="e">
        <f>_xlfn.XLOOKUP(coupe[[#This Row],[Num OF]],#REF!,#REF!,0)</f>
        <v>#REF!</v>
      </c>
      <c r="V126" s="82" t="str">
        <f>IF(
   COUNTIFS($A$2:A126,A126,
             $B$2:B126,B126,
             $D$2:D126,D126,
             $E$2:E126,E126,
             $F$2:F126,F126,
             $G$2:G126,G126,
             $H$2:H126,H126,
             $L$2:L126,L126)&gt;1,
   "Doublon",
   "Correcte"
)</f>
        <v>Correcte</v>
      </c>
    </row>
    <row r="127" spans="1:22" x14ac:dyDescent="0.25">
      <c r="A127" s="99" t="s">
        <v>2568</v>
      </c>
      <c r="B127" s="16" t="s">
        <v>687</v>
      </c>
      <c r="C127" s="68">
        <v>45926.494803240741</v>
      </c>
      <c r="D127" s="17">
        <v>2</v>
      </c>
      <c r="E127" s="17">
        <v>0</v>
      </c>
      <c r="F127" s="17">
        <v>0</v>
      </c>
      <c r="G127" s="17">
        <v>0</v>
      </c>
      <c r="H127" s="17">
        <v>0</v>
      </c>
      <c r="I127" s="16"/>
      <c r="J127" s="16"/>
      <c r="K127" s="16" t="s">
        <v>664</v>
      </c>
      <c r="L127" s="68">
        <v>45927.494803240741</v>
      </c>
      <c r="M127" s="68" t="str">
        <f t="shared" si="1"/>
        <v>Coupe</v>
      </c>
      <c r="N127" s="68" t="str">
        <f>INDEX(_xlfn.TEXTSPLIT(coupe[[#This Row],[QR Fabrication]],"_"),1,1)</f>
        <v>OF246885</v>
      </c>
      <c r="O127" s="68" t="str">
        <f>INDEX(_xlfn.TEXTSPLIT(coupe[[#This Row],[QR Fabrication]],"_"),1,2)</f>
        <v>All By Fouta</v>
      </c>
      <c r="P127" s="16" t="str">
        <f>INDEX(_xlfn.TEXTSPLIT(coupe[[#This Row],[QR Fabrication]],"_"),1,3)</f>
        <v>Stock</v>
      </c>
      <c r="Q127" s="16" t="str">
        <f>INDEX(_xlfn.TEXTSPLIT(coupe[[#This Row],[QR Fabrication]],"_"),1,4)</f>
        <v>OLI2426-B12-02</v>
      </c>
      <c r="R127" s="16" t="str">
        <f>INDEX(_xlfn.TEXTSPLIT(coupe[[#This Row],[QR Fabrication]],"_"),1,5)</f>
        <v>OLIVIER</v>
      </c>
      <c r="S127" s="16" t="str">
        <f>_xlfn.TEXTAFTER(coupe[[#This Row],[QR Fabrication]],"_",5)</f>
        <v>2426</v>
      </c>
      <c r="T127" s="82" t="e">
        <f>_xlfn.XLOOKUP(coupe[[#This Row],[Num OF]],#REF!,#REF!,0)</f>
        <v>#REF!</v>
      </c>
      <c r="U127" s="82" t="e">
        <f>_xlfn.XLOOKUP(coupe[[#This Row],[Num OF]],#REF!,#REF!,0)</f>
        <v>#REF!</v>
      </c>
      <c r="V127" s="82" t="str">
        <f>IF(
   COUNTIFS($A$2:A127,A127,
             $B$2:B127,B127,
             $D$2:D127,D127,
             $E$2:E127,E127,
             $F$2:F127,F127,
             $G$2:G127,G127,
             $H$2:H127,H127,
             $L$2:L127,L127)&gt;1,
   "Doublon",
   "Correcte"
)</f>
        <v>Correcte</v>
      </c>
    </row>
    <row r="128" spans="1:22" x14ac:dyDescent="0.25">
      <c r="A128" s="99" t="s">
        <v>2569</v>
      </c>
      <c r="B128" s="16" t="s">
        <v>687</v>
      </c>
      <c r="C128" s="68">
        <v>45926.499456018515</v>
      </c>
      <c r="D128" s="17">
        <v>1</v>
      </c>
      <c r="E128" s="17">
        <v>0</v>
      </c>
      <c r="F128" s="17">
        <v>0</v>
      </c>
      <c r="G128" s="17">
        <v>0</v>
      </c>
      <c r="H128" s="17">
        <v>0</v>
      </c>
      <c r="I128" s="16"/>
      <c r="J128" s="16"/>
      <c r="K128" s="16" t="s">
        <v>664</v>
      </c>
      <c r="L128" s="68">
        <v>45927.499456018515</v>
      </c>
      <c r="M128" s="68" t="str">
        <f t="shared" si="1"/>
        <v>Coupe</v>
      </c>
      <c r="N128" s="68" t="str">
        <f>INDEX(_xlfn.TEXTSPLIT(coupe[[#This Row],[QR Fabrication]],"_"),1,1)</f>
        <v>OF246888</v>
      </c>
      <c r="O128" s="68" t="str">
        <f>INDEX(_xlfn.TEXTSPLIT(coupe[[#This Row],[QR Fabrication]],"_"),1,2)</f>
        <v>All By Fouta</v>
      </c>
      <c r="P128" s="16" t="str">
        <f>INDEX(_xlfn.TEXTSPLIT(coupe[[#This Row],[QR Fabrication]],"_"),1,3)</f>
        <v>Stock</v>
      </c>
      <c r="Q128" s="16" t="str">
        <f>INDEX(_xlfn.TEXTSPLIT(coupe[[#This Row],[QR Fabrication]],"_"),1,4)</f>
        <v>OLI2426-B04-02</v>
      </c>
      <c r="R128" s="16" t="str">
        <f>INDEX(_xlfn.TEXTSPLIT(coupe[[#This Row],[QR Fabrication]],"_"),1,5)</f>
        <v>OLIVIER</v>
      </c>
      <c r="S128" s="16" t="str">
        <f>_xlfn.TEXTAFTER(coupe[[#This Row],[QR Fabrication]],"_",5)</f>
        <v>2426</v>
      </c>
      <c r="T128" s="82" t="e">
        <f>_xlfn.XLOOKUP(coupe[[#This Row],[Num OF]],#REF!,#REF!,0)</f>
        <v>#REF!</v>
      </c>
      <c r="U128" s="82" t="e">
        <f>_xlfn.XLOOKUP(coupe[[#This Row],[Num OF]],#REF!,#REF!,0)</f>
        <v>#REF!</v>
      </c>
      <c r="V128" s="82" t="str">
        <f>IF(
   COUNTIFS($A$2:A128,A128,
             $B$2:B128,B128,
             $D$2:D128,D128,
             $E$2:E128,E128,
             $F$2:F128,F128,
             $G$2:G128,G128,
             $H$2:H128,H128,
             $L$2:L128,L128)&gt;1,
   "Doublon",
   "Correcte"
)</f>
        <v>Correcte</v>
      </c>
    </row>
    <row r="129" spans="1:22" x14ac:dyDescent="0.25">
      <c r="A129" s="99" t="s">
        <v>2483</v>
      </c>
      <c r="B129" s="16" t="s">
        <v>684</v>
      </c>
      <c r="C129" s="68">
        <v>45926.603344907409</v>
      </c>
      <c r="D129" s="17">
        <v>81</v>
      </c>
      <c r="E129" s="17">
        <v>0</v>
      </c>
      <c r="F129" s="17">
        <v>0</v>
      </c>
      <c r="G129" s="17">
        <v>0</v>
      </c>
      <c r="H129" s="17">
        <v>0</v>
      </c>
      <c r="I129" s="16"/>
      <c r="J129" s="16"/>
      <c r="K129" s="16" t="s">
        <v>664</v>
      </c>
      <c r="L129" s="68">
        <v>45927.603344907409</v>
      </c>
      <c r="M129" s="68" t="str">
        <f t="shared" si="1"/>
        <v>Coupe</v>
      </c>
      <c r="N129" s="68" t="str">
        <f>INDEX(_xlfn.TEXTSPLIT(coupe[[#This Row],[QR Fabrication]],"_"),1,1)</f>
        <v>OF250199</v>
      </c>
      <c r="O129" s="68" t="str">
        <f>INDEX(_xlfn.TEXTSPLIT(coupe[[#This Row],[QR Fabrication]],"_"),1,2)</f>
        <v>CL00844</v>
      </c>
      <c r="P129" s="16" t="str">
        <f>INDEX(_xlfn.TEXTSPLIT(coupe[[#This Row],[QR Fabrication]],"_"),1,3)</f>
        <v>CM-FT0136</v>
      </c>
      <c r="Q129" s="16" t="str">
        <f>INDEX(_xlfn.TEXTSPLIT(coupe[[#This Row],[QR Fabrication]],"_"),1,4)</f>
        <v>PACKSICL0507-B03-02</v>
      </c>
      <c r="R129" s="16" t="str">
        <f>INDEX(_xlfn.TEXTSPLIT(coupe[[#This Row],[QR Fabrication]],"_"),1,5)</f>
        <v>PACK CLASSIQUE</v>
      </c>
      <c r="S129" s="16" t="str">
        <f>_xlfn.TEXTAFTER(coupe[[#This Row],[QR Fabrication]],"_",5)</f>
        <v>0507</v>
      </c>
      <c r="T129" s="82" t="e">
        <f>_xlfn.XLOOKUP(coupe[[#This Row],[Num OF]],#REF!,#REF!,0)</f>
        <v>#REF!</v>
      </c>
      <c r="U129" s="82" t="e">
        <f>_xlfn.XLOOKUP(coupe[[#This Row],[Num OF]],#REF!,#REF!,0)</f>
        <v>#REF!</v>
      </c>
      <c r="V129" s="82" t="str">
        <f>IF(
   COUNTIFS($A$2:A129,A129,
             $B$2:B129,B129,
             $D$2:D129,D129,
             $E$2:E129,E129,
             $F$2:F129,F129,
             $G$2:G129,G129,
             $H$2:H129,H129,
             $L$2:L129,L129)&gt;1,
   "Doublon",
   "Correcte"
)</f>
        <v>Correcte</v>
      </c>
    </row>
    <row r="130" spans="1:22" x14ac:dyDescent="0.25">
      <c r="A130" s="99" t="s">
        <v>2448</v>
      </c>
      <c r="B130" s="16" t="s">
        <v>686</v>
      </c>
      <c r="C130" s="68">
        <v>45928</v>
      </c>
      <c r="D130" s="17">
        <v>1</v>
      </c>
      <c r="E130" s="17">
        <v>0</v>
      </c>
      <c r="F130" s="17">
        <v>0</v>
      </c>
      <c r="G130" s="17">
        <v>0</v>
      </c>
      <c r="H130" s="17">
        <v>0</v>
      </c>
      <c r="I130" s="16"/>
      <c r="J130" s="16"/>
      <c r="K130" s="16" t="s">
        <v>664</v>
      </c>
      <c r="L130" s="68">
        <v>45929</v>
      </c>
      <c r="M130" s="68" t="str">
        <f t="shared" ref="M130:M193" si="2">"Coupe"</f>
        <v>Coupe</v>
      </c>
      <c r="N130" s="68" t="str">
        <f>INDEX(_xlfn.TEXTSPLIT(coupe[[#This Row],[QR Fabrication]],"_"),1,1)</f>
        <v>CA250036</v>
      </c>
      <c r="O130" s="68" t="str">
        <f>INDEX(_xlfn.TEXTSPLIT(coupe[[#This Row],[QR Fabrication]],"_"),1,2)</f>
        <v>All by Fouta</v>
      </c>
      <c r="P130" s="16" t="str">
        <f>INDEX(_xlfn.TEXTSPLIT(coupe[[#This Row],[QR Fabrication]],"_"),1,3)</f>
        <v>Stock</v>
      </c>
      <c r="Q130" s="16" t="str">
        <f>INDEX(_xlfn.TEXTSPLIT(coupe[[#This Row],[QR Fabrication]],"_"),1,4)</f>
        <v>UNS2020-27</v>
      </c>
      <c r="R130" s="16" t="str">
        <f>INDEX(_xlfn.TEXTSPLIT(coupe[[#This Row],[QR Fabrication]],"_"),1,5)</f>
        <v>UNI SURPIQUE</v>
      </c>
      <c r="S130" s="16" t="str">
        <f>_xlfn.TEXTAFTER(coupe[[#This Row],[QR Fabrication]],"_",5)</f>
        <v>2020</v>
      </c>
      <c r="T130" s="82" t="e">
        <f>_xlfn.XLOOKUP(coupe[[#This Row],[Num OF]],#REF!,#REF!,0)</f>
        <v>#REF!</v>
      </c>
      <c r="U130" s="82" t="e">
        <f>_xlfn.XLOOKUP(coupe[[#This Row],[Num OF]],#REF!,#REF!,0)</f>
        <v>#REF!</v>
      </c>
      <c r="V130" s="82" t="str">
        <f>IF(
   COUNTIFS($A$2:A130,A130,
             $B$2:B130,B130,
             $D$2:D130,D130,
             $E$2:E130,E130,
             $F$2:F130,F130,
             $G$2:G130,G130,
             $H$2:H130,H130,
             $L$2:L130,L130)&gt;1,
   "Doublon",
   "Correcte"
)</f>
        <v>Correcte</v>
      </c>
    </row>
    <row r="131" spans="1:22" x14ac:dyDescent="0.25">
      <c r="A131" s="99" t="s">
        <v>2477</v>
      </c>
      <c r="B131" s="16" t="s">
        <v>687</v>
      </c>
      <c r="C131" s="68">
        <v>45928</v>
      </c>
      <c r="D131" s="17">
        <v>5</v>
      </c>
      <c r="E131" s="17">
        <v>0</v>
      </c>
      <c r="F131" s="17">
        <v>0</v>
      </c>
      <c r="G131" s="17">
        <v>0</v>
      </c>
      <c r="H131" s="17">
        <v>0</v>
      </c>
      <c r="I131" s="16"/>
      <c r="J131" s="16"/>
      <c r="K131" s="16" t="s">
        <v>664</v>
      </c>
      <c r="L131" s="68">
        <v>45929</v>
      </c>
      <c r="M131" s="68" t="str">
        <f t="shared" si="2"/>
        <v>Coupe</v>
      </c>
      <c r="N131" s="68" t="str">
        <f>INDEX(_xlfn.TEXTSPLIT(coupe[[#This Row],[QR Fabrication]],"_"),1,1)</f>
        <v>OF250132</v>
      </c>
      <c r="O131" s="68" t="str">
        <f>INDEX(_xlfn.TEXTSPLIT(coupe[[#This Row],[QR Fabrication]],"_"),1,2)</f>
        <v>CL00162</v>
      </c>
      <c r="P131" s="16" t="str">
        <f>INDEX(_xlfn.TEXTSPLIT(coupe[[#This Row],[QR Fabrication]],"_"),1,3)</f>
        <v>CM-FT0130</v>
      </c>
      <c r="Q131" s="16" t="str">
        <f>INDEX(_xlfn.TEXTSPLIT(coupe[[#This Row],[QR Fabrication]],"_"),1,4)</f>
        <v>GIN2426-B19-03</v>
      </c>
      <c r="R131" s="16" t="str">
        <f>INDEX(_xlfn.TEXTSPLIT(coupe[[#This Row],[QR Fabrication]],"_"),1,5)</f>
        <v>GINKO</v>
      </c>
      <c r="S131" s="16" t="str">
        <f>_xlfn.TEXTAFTER(coupe[[#This Row],[QR Fabrication]],"_",5)</f>
        <v>2426</v>
      </c>
      <c r="T131" s="82" t="e">
        <f>_xlfn.XLOOKUP(coupe[[#This Row],[Num OF]],#REF!,#REF!,0)</f>
        <v>#REF!</v>
      </c>
      <c r="U131" s="82" t="e">
        <f>_xlfn.XLOOKUP(coupe[[#This Row],[Num OF]],#REF!,#REF!,0)</f>
        <v>#REF!</v>
      </c>
      <c r="V131" s="82" t="str">
        <f>IF(
   COUNTIFS($A$2:A131,A131,
             $B$2:B131,B131,
             $D$2:D131,D131,
             $E$2:E131,E131,
             $F$2:F131,F131,
             $G$2:G131,G131,
             $H$2:H131,H131,
             $L$2:L131,L131)&gt;1,
   "Doublon",
   "Correcte"
)</f>
        <v>Correcte</v>
      </c>
    </row>
    <row r="132" spans="1:22" x14ac:dyDescent="0.25">
      <c r="A132" s="99" t="s">
        <v>2481</v>
      </c>
      <c r="B132" s="16" t="s">
        <v>687</v>
      </c>
      <c r="C132" s="68">
        <v>45928</v>
      </c>
      <c r="D132" s="17">
        <v>3</v>
      </c>
      <c r="E132" s="17">
        <v>0</v>
      </c>
      <c r="F132" s="17">
        <v>0</v>
      </c>
      <c r="G132" s="17">
        <v>0</v>
      </c>
      <c r="H132" s="17">
        <v>0</v>
      </c>
      <c r="I132" s="16"/>
      <c r="J132" s="16"/>
      <c r="K132" s="16" t="s">
        <v>664</v>
      </c>
      <c r="L132" s="68">
        <v>45929</v>
      </c>
      <c r="M132" s="68" t="str">
        <f t="shared" si="2"/>
        <v>Coupe</v>
      </c>
      <c r="N132" s="68" t="str">
        <f>INDEX(_xlfn.TEXTSPLIT(coupe[[#This Row],[QR Fabrication]],"_"),1,1)</f>
        <v>OF250131</v>
      </c>
      <c r="O132" s="68" t="str">
        <f>INDEX(_xlfn.TEXTSPLIT(coupe[[#This Row],[QR Fabrication]],"_"),1,2)</f>
        <v>CL00162</v>
      </c>
      <c r="P132" s="16" t="str">
        <f>INDEX(_xlfn.TEXTSPLIT(coupe[[#This Row],[QR Fabrication]],"_"),1,3)</f>
        <v>CM-FT0130</v>
      </c>
      <c r="Q132" s="16" t="str">
        <f>INDEX(_xlfn.TEXTSPLIT(coupe[[#This Row],[QR Fabrication]],"_"),1,4)</f>
        <v>GIN2426-B12-03</v>
      </c>
      <c r="R132" s="16" t="str">
        <f>INDEX(_xlfn.TEXTSPLIT(coupe[[#This Row],[QR Fabrication]],"_"),1,5)</f>
        <v>GINKO</v>
      </c>
      <c r="S132" s="16" t="str">
        <f>_xlfn.TEXTAFTER(coupe[[#This Row],[QR Fabrication]],"_",5)</f>
        <v>2426</v>
      </c>
      <c r="T132" s="82" t="e">
        <f>_xlfn.XLOOKUP(coupe[[#This Row],[Num OF]],#REF!,#REF!,0)</f>
        <v>#REF!</v>
      </c>
      <c r="U132" s="82" t="e">
        <f>_xlfn.XLOOKUP(coupe[[#This Row],[Num OF]],#REF!,#REF!,0)</f>
        <v>#REF!</v>
      </c>
      <c r="V132" s="82" t="str">
        <f>IF(
   COUNTIFS($A$2:A132,A132,
             $B$2:B132,B132,
             $D$2:D132,D132,
             $E$2:E132,E132,
             $F$2:F132,F132,
             $G$2:G132,G132,
             $H$2:H132,H132,
             $L$2:L132,L132)&gt;1,
   "Doublon",
   "Correcte"
)</f>
        <v>Correcte</v>
      </c>
    </row>
    <row r="133" spans="1:22" x14ac:dyDescent="0.25">
      <c r="A133" s="99" t="s">
        <v>2407</v>
      </c>
      <c r="B133" s="16" t="s">
        <v>686</v>
      </c>
      <c r="C133" s="68">
        <v>45928</v>
      </c>
      <c r="D133" s="17">
        <v>20</v>
      </c>
      <c r="E133" s="17">
        <v>0</v>
      </c>
      <c r="F133" s="17">
        <v>0</v>
      </c>
      <c r="G133" s="17">
        <v>0</v>
      </c>
      <c r="H133" s="17">
        <v>0</v>
      </c>
      <c r="I133" s="16"/>
      <c r="J133" s="16"/>
      <c r="K133" s="16" t="s">
        <v>664</v>
      </c>
      <c r="L133" s="68">
        <v>45929</v>
      </c>
      <c r="M133" s="68" t="str">
        <f t="shared" si="2"/>
        <v>Coupe</v>
      </c>
      <c r="N133" s="68" t="str">
        <f>INDEX(_xlfn.TEXTSPLIT(coupe[[#This Row],[QR Fabrication]],"_"),1,1)</f>
        <v>CA250030</v>
      </c>
      <c r="O133" s="68" t="str">
        <f>INDEX(_xlfn.TEXTSPLIT(coupe[[#This Row],[QR Fabrication]],"_"),1,2)</f>
        <v>All by Fouta</v>
      </c>
      <c r="P133" s="16" t="str">
        <f>INDEX(_xlfn.TEXTSPLIT(coupe[[#This Row],[QR Fabrication]],"_"),1,3)</f>
        <v>Stock</v>
      </c>
      <c r="Q133" s="16" t="str">
        <f>INDEX(_xlfn.TEXTSPLIT(coupe[[#This Row],[QR Fabrication]],"_"),1,4)</f>
        <v>UNS2020-18</v>
      </c>
      <c r="R133" s="16" t="str">
        <f>INDEX(_xlfn.TEXTSPLIT(coupe[[#This Row],[QR Fabrication]],"_"),1,5)</f>
        <v>UNI SURPIQUE</v>
      </c>
      <c r="S133" s="16" t="str">
        <f>_xlfn.TEXTAFTER(coupe[[#This Row],[QR Fabrication]],"_",5)</f>
        <v>2020</v>
      </c>
      <c r="T133" s="82" t="e">
        <f>_xlfn.XLOOKUP(coupe[[#This Row],[Num OF]],#REF!,#REF!,0)</f>
        <v>#REF!</v>
      </c>
      <c r="U133" s="82" t="e">
        <f>_xlfn.XLOOKUP(coupe[[#This Row],[Num OF]],#REF!,#REF!,0)</f>
        <v>#REF!</v>
      </c>
      <c r="V133" s="82" t="str">
        <f>IF(
   COUNTIFS($A$2:A133,A133,
             $B$2:B133,B133,
             $D$2:D133,D133,
             $E$2:E133,E133,
             $F$2:F133,F133,
             $G$2:G133,G133,
             $H$2:H133,H133,
             $L$2:L133,L133)&gt;1,
   "Doublon",
   "Correcte"
)</f>
        <v>Correcte</v>
      </c>
    </row>
    <row r="134" spans="1:22" x14ac:dyDescent="0.25">
      <c r="A134" s="99" t="s">
        <v>2480</v>
      </c>
      <c r="B134" s="16" t="s">
        <v>686</v>
      </c>
      <c r="C134" s="68">
        <v>45928</v>
      </c>
      <c r="D134" s="17">
        <v>54</v>
      </c>
      <c r="E134" s="17">
        <v>0</v>
      </c>
      <c r="F134" s="17">
        <v>2</v>
      </c>
      <c r="G134" s="17">
        <v>0</v>
      </c>
      <c r="H134" s="17">
        <v>0</v>
      </c>
      <c r="I134" s="16"/>
      <c r="J134" s="16"/>
      <c r="K134" s="16" t="s">
        <v>664</v>
      </c>
      <c r="L134" s="68">
        <v>45929</v>
      </c>
      <c r="M134" s="68" t="str">
        <f t="shared" si="2"/>
        <v>Coupe</v>
      </c>
      <c r="N134" s="68" t="str">
        <f>INDEX(_xlfn.TEXTSPLIT(coupe[[#This Row],[QR Fabrication]],"_"),1,1)</f>
        <v>OF249816</v>
      </c>
      <c r="O134" s="68" t="str">
        <f>INDEX(_xlfn.TEXTSPLIT(coupe[[#This Row],[QR Fabrication]],"_"),1,2)</f>
        <v>CL00884</v>
      </c>
      <c r="P134" s="16" t="str">
        <f>INDEX(_xlfn.TEXTSPLIT(coupe[[#This Row],[QR Fabrication]],"_"),1,3)</f>
        <v>CM-FT0119</v>
      </c>
      <c r="Q134" s="16" t="str">
        <f>INDEX(_xlfn.TEXTSPLIT(coupe[[#This Row],[QR Fabrication]],"_"),1,4)</f>
        <v>SO1020-Q29-11-14</v>
      </c>
      <c r="R134" s="16" t="str">
        <f>INDEX(_xlfn.TEXTSPLIT(coupe[[#This Row],[QR Fabrication]],"_"),1,5)</f>
        <v>SOUSSE</v>
      </c>
      <c r="S134" s="16" t="str">
        <f>_xlfn.TEXTAFTER(coupe[[#This Row],[QR Fabrication]],"_",5)</f>
        <v>1020</v>
      </c>
      <c r="T134" s="82" t="e">
        <f>_xlfn.XLOOKUP(coupe[[#This Row],[Num OF]],#REF!,#REF!,0)</f>
        <v>#REF!</v>
      </c>
      <c r="U134" s="82" t="e">
        <f>_xlfn.XLOOKUP(coupe[[#This Row],[Num OF]],#REF!,#REF!,0)</f>
        <v>#REF!</v>
      </c>
      <c r="V134" s="82" t="str">
        <f>IF(
   COUNTIFS($A$2:A134,A134,
             $B$2:B134,B134,
             $D$2:D134,D134,
             $E$2:E134,E134,
             $F$2:F134,F134,
             $G$2:G134,G134,
             $H$2:H134,H134,
             $L$2:L134,L134)&gt;1,
   "Doublon",
   "Correcte"
)</f>
        <v>Correcte</v>
      </c>
    </row>
    <row r="135" spans="1:22" x14ac:dyDescent="0.25">
      <c r="A135" s="99" t="s">
        <v>2457</v>
      </c>
      <c r="B135" s="16" t="s">
        <v>686</v>
      </c>
      <c r="C135" s="68">
        <v>45928</v>
      </c>
      <c r="D135" s="17">
        <v>153</v>
      </c>
      <c r="E135" s="17">
        <v>0</v>
      </c>
      <c r="F135" s="17">
        <v>8</v>
      </c>
      <c r="G135" s="17">
        <v>0</v>
      </c>
      <c r="H135" s="17">
        <v>0</v>
      </c>
      <c r="I135" s="16"/>
      <c r="J135" s="16"/>
      <c r="K135" s="16" t="s">
        <v>664</v>
      </c>
      <c r="L135" s="68">
        <v>45929</v>
      </c>
      <c r="M135" s="68" t="str">
        <f t="shared" si="2"/>
        <v>Coupe</v>
      </c>
      <c r="N135" s="68" t="str">
        <f>INDEX(_xlfn.TEXTSPLIT(coupe[[#This Row],[QR Fabrication]],"_"),1,1)</f>
        <v>OF249849</v>
      </c>
      <c r="O135" s="68" t="str">
        <f>INDEX(_xlfn.TEXTSPLIT(coupe[[#This Row],[QR Fabrication]],"_"),1,2)</f>
        <v>CL00884</v>
      </c>
      <c r="P135" s="16" t="str">
        <f>INDEX(_xlfn.TEXTSPLIT(coupe[[#This Row],[QR Fabrication]],"_"),1,3)</f>
        <v>CM-FT0119</v>
      </c>
      <c r="Q135" s="16" t="str">
        <f>INDEX(_xlfn.TEXTSPLIT(coupe[[#This Row],[QR Fabrication]],"_"),1,4)</f>
        <v>ST1020-S20-24-17</v>
      </c>
      <c r="R135" s="16" t="str">
        <f>INDEX(_xlfn.TEXTSPLIT(coupe[[#This Row],[QR Fabrication]],"_"),1,5)</f>
        <v>ST TROPEZ</v>
      </c>
      <c r="S135" s="16" t="str">
        <f>_xlfn.TEXTAFTER(coupe[[#This Row],[QR Fabrication]],"_",5)</f>
        <v>1020</v>
      </c>
      <c r="T135" s="82" t="e">
        <f>_xlfn.XLOOKUP(coupe[[#This Row],[Num OF]],#REF!,#REF!,0)</f>
        <v>#REF!</v>
      </c>
      <c r="U135" s="82" t="e">
        <f>_xlfn.XLOOKUP(coupe[[#This Row],[Num OF]],#REF!,#REF!,0)</f>
        <v>#REF!</v>
      </c>
      <c r="V135" s="82" t="str">
        <f>IF(
   COUNTIFS($A$2:A135,A135,
             $B$2:B135,B135,
             $D$2:D135,D135,
             $E$2:E135,E135,
             $F$2:F135,F135,
             $G$2:G135,G135,
             $H$2:H135,H135,
             $L$2:L135,L135)&gt;1,
   "Doublon",
   "Correcte"
)</f>
        <v>Correcte</v>
      </c>
    </row>
    <row r="136" spans="1:22" x14ac:dyDescent="0.25">
      <c r="A136" s="99" t="s">
        <v>2472</v>
      </c>
      <c r="B136" s="16" t="s">
        <v>686</v>
      </c>
      <c r="C136" s="68">
        <v>45928.379641203705</v>
      </c>
      <c r="D136" s="17">
        <v>70</v>
      </c>
      <c r="E136" s="17">
        <v>0</v>
      </c>
      <c r="F136" s="17">
        <v>0</v>
      </c>
      <c r="G136" s="17">
        <v>0</v>
      </c>
      <c r="H136" s="17">
        <v>0</v>
      </c>
      <c r="I136" s="16"/>
      <c r="J136" s="16"/>
      <c r="K136" s="16" t="s">
        <v>664</v>
      </c>
      <c r="L136" s="68">
        <v>45929.379641203705</v>
      </c>
      <c r="M136" s="68" t="str">
        <f t="shared" si="2"/>
        <v>Coupe</v>
      </c>
      <c r="N136" s="68" t="str">
        <f>INDEX(_xlfn.TEXTSPLIT(coupe[[#This Row],[QR Fabrication]],"_"),1,1)</f>
        <v>OF249782</v>
      </c>
      <c r="O136" s="68" t="str">
        <f>INDEX(_xlfn.TEXTSPLIT(coupe[[#This Row],[QR Fabrication]],"_"),1,2)</f>
        <v>CL00884</v>
      </c>
      <c r="P136" s="16" t="str">
        <f>INDEX(_xlfn.TEXTSPLIT(coupe[[#This Row],[QR Fabrication]],"_"),1,3)</f>
        <v>CM-FT0119</v>
      </c>
      <c r="Q136" s="16" t="str">
        <f>INDEX(_xlfn.TEXTSPLIT(coupe[[#This Row],[QR Fabrication]],"_"),1,4)</f>
        <v>IB1020-B24-01</v>
      </c>
      <c r="R136" s="16" t="str">
        <f>INDEX(_xlfn.TEXTSPLIT(coupe[[#This Row],[QR Fabrication]],"_"),1,5)</f>
        <v>IBIZA</v>
      </c>
      <c r="S136" s="16" t="str">
        <f>_xlfn.TEXTAFTER(coupe[[#This Row],[QR Fabrication]],"_",5)</f>
        <v>1020</v>
      </c>
      <c r="T136" s="82" t="e">
        <f>_xlfn.XLOOKUP(coupe[[#This Row],[Num OF]],#REF!,#REF!,0)</f>
        <v>#REF!</v>
      </c>
      <c r="U136" s="82" t="e">
        <f>_xlfn.XLOOKUP(coupe[[#This Row],[Num OF]],#REF!,#REF!,0)</f>
        <v>#REF!</v>
      </c>
      <c r="V136" s="82" t="str">
        <f>IF(
   COUNTIFS($A$2:A136,A136,
             $B$2:B136,B136,
             $D$2:D136,D136,
             $E$2:E136,E136,
             $F$2:F136,F136,
             $G$2:G136,G136,
             $H$2:H136,H136,
             $L$2:L136,L136)&gt;1,
   "Doublon",
   "Correcte"
)</f>
        <v>Correcte</v>
      </c>
    </row>
    <row r="137" spans="1:22" x14ac:dyDescent="0.25">
      <c r="A137" s="99" t="s">
        <v>2446</v>
      </c>
      <c r="B137" s="16" t="s">
        <v>684</v>
      </c>
      <c r="C137" s="68">
        <v>45928.395335648151</v>
      </c>
      <c r="D137" s="17">
        <v>15</v>
      </c>
      <c r="E137" s="17">
        <v>0</v>
      </c>
      <c r="F137" s="17">
        <v>1</v>
      </c>
      <c r="G137" s="17">
        <v>0</v>
      </c>
      <c r="H137" s="17">
        <v>0</v>
      </c>
      <c r="I137" s="16"/>
      <c r="J137" s="16"/>
      <c r="K137" s="16" t="s">
        <v>664</v>
      </c>
      <c r="L137" s="68">
        <v>45929.395335648151</v>
      </c>
      <c r="M137" s="68" t="str">
        <f t="shared" si="2"/>
        <v>Coupe</v>
      </c>
      <c r="N137" s="68" t="str">
        <f>INDEX(_xlfn.TEXTSPLIT(coupe[[#This Row],[QR Fabrication]],"_"),1,1)</f>
        <v>CA250054</v>
      </c>
      <c r="O137" s="68" t="str">
        <f>INDEX(_xlfn.TEXTSPLIT(coupe[[#This Row],[QR Fabrication]],"_"),1,2)</f>
        <v>All by Fouta</v>
      </c>
      <c r="P137" s="16" t="str">
        <f>INDEX(_xlfn.TEXTSPLIT(coupe[[#This Row],[QR Fabrication]],"_"),1,3)</f>
        <v>Stock</v>
      </c>
      <c r="Q137" s="16" t="str">
        <f>INDEX(_xlfn.TEXTSPLIT(coupe[[#This Row],[QR Fabrication]],"_"),1,4)</f>
        <v>UNS1626-24</v>
      </c>
      <c r="R137" s="16" t="str">
        <f>INDEX(_xlfn.TEXTSPLIT(coupe[[#This Row],[QR Fabrication]],"_"),1,5)</f>
        <v>UNI SURPIQUE</v>
      </c>
      <c r="S137" s="16" t="str">
        <f>_xlfn.TEXTAFTER(coupe[[#This Row],[QR Fabrication]],"_",5)</f>
        <v>1626</v>
      </c>
      <c r="T137" s="82" t="e">
        <f>_xlfn.XLOOKUP(coupe[[#This Row],[Num OF]],#REF!,#REF!,0)</f>
        <v>#REF!</v>
      </c>
      <c r="U137" s="82" t="e">
        <f>_xlfn.XLOOKUP(coupe[[#This Row],[Num OF]],#REF!,#REF!,0)</f>
        <v>#REF!</v>
      </c>
      <c r="V137" s="82" t="str">
        <f>IF(
   COUNTIFS($A$2:A137,A137,
             $B$2:B137,B137,
             $D$2:D137,D137,
             $E$2:E137,E137,
             $F$2:F137,F137,
             $G$2:G137,G137,
             $H$2:H137,H137,
             $L$2:L137,L137)&gt;1,
   "Doublon",
   "Correcte"
)</f>
        <v>Correcte</v>
      </c>
    </row>
    <row r="138" spans="1:22" x14ac:dyDescent="0.25">
      <c r="A138" s="99" t="s">
        <v>2485</v>
      </c>
      <c r="B138" s="16" t="s">
        <v>678</v>
      </c>
      <c r="C138" s="68">
        <v>45928.42255787037</v>
      </c>
      <c r="D138" s="17">
        <v>38</v>
      </c>
      <c r="E138" s="17">
        <v>0</v>
      </c>
      <c r="F138" s="17">
        <v>0</v>
      </c>
      <c r="G138" s="17">
        <v>0</v>
      </c>
      <c r="H138" s="17">
        <v>0</v>
      </c>
      <c r="I138" s="16"/>
      <c r="J138" s="16"/>
      <c r="K138" s="16" t="s">
        <v>664</v>
      </c>
      <c r="L138" s="68">
        <v>45929.42255787037</v>
      </c>
      <c r="M138" s="68" t="str">
        <f t="shared" si="2"/>
        <v>Coupe</v>
      </c>
      <c r="N138" s="68" t="str">
        <f>INDEX(_xlfn.TEXTSPLIT(coupe[[#This Row],[QR Fabrication]],"_"),1,1)</f>
        <v>OF249869</v>
      </c>
      <c r="O138" s="68" t="str">
        <f>INDEX(_xlfn.TEXTSPLIT(coupe[[#This Row],[QR Fabrication]],"_"),1,2)</f>
        <v>CL00884</v>
      </c>
      <c r="P138" s="16" t="str">
        <f>INDEX(_xlfn.TEXTSPLIT(coupe[[#This Row],[QR Fabrication]],"_"),1,3)</f>
        <v>CM-FT0119</v>
      </c>
      <c r="Q138" s="16" t="str">
        <f>INDEX(_xlfn.TEXTSPLIT(coupe[[#This Row],[QR Fabrication]],"_"),1,4)</f>
        <v>EPMA0919-B29-02</v>
      </c>
      <c r="R138" s="16" t="str">
        <f>INDEX(_xlfn.TEXTSPLIT(coupe[[#This Row],[QR Fabrication]],"_"),1,5)</f>
        <v>MARINIERE</v>
      </c>
      <c r="S138" s="16" t="str">
        <f>_xlfn.TEXTAFTER(coupe[[#This Row],[QR Fabrication]],"_",5)</f>
        <v>0919</v>
      </c>
      <c r="T138" s="82" t="e">
        <f>_xlfn.XLOOKUP(coupe[[#This Row],[Num OF]],#REF!,#REF!,0)</f>
        <v>#REF!</v>
      </c>
      <c r="U138" s="82" t="e">
        <f>_xlfn.XLOOKUP(coupe[[#This Row],[Num OF]],#REF!,#REF!,0)</f>
        <v>#REF!</v>
      </c>
      <c r="V138" s="82" t="str">
        <f>IF(
   COUNTIFS($A$2:A138,A138,
             $B$2:B138,B138,
             $D$2:D138,D138,
             $E$2:E138,E138,
             $F$2:F138,F138,
             $G$2:G138,G138,
             $H$2:H138,H138,
             $L$2:L138,L138)&gt;1,
   "Doublon",
   "Correcte"
)</f>
        <v>Correcte</v>
      </c>
    </row>
    <row r="139" spans="1:22" x14ac:dyDescent="0.25">
      <c r="A139" s="99" t="s">
        <v>2449</v>
      </c>
      <c r="B139" s="16" t="s">
        <v>686</v>
      </c>
      <c r="C139" s="68">
        <v>45928.565810185188</v>
      </c>
      <c r="D139" s="17">
        <v>28</v>
      </c>
      <c r="E139" s="17">
        <v>0</v>
      </c>
      <c r="F139" s="17">
        <v>4</v>
      </c>
      <c r="G139" s="17">
        <v>0</v>
      </c>
      <c r="H139" s="17">
        <v>0</v>
      </c>
      <c r="I139" s="16"/>
      <c r="J139" s="16"/>
      <c r="K139" s="16" t="s">
        <v>664</v>
      </c>
      <c r="L139" s="68">
        <v>45929.565810185188</v>
      </c>
      <c r="M139" s="68" t="str">
        <f t="shared" si="2"/>
        <v>Coupe</v>
      </c>
      <c r="N139" s="68" t="str">
        <f>INDEX(_xlfn.TEXTSPLIT(coupe[[#This Row],[QR Fabrication]],"_"),1,1)</f>
        <v>CA250024</v>
      </c>
      <c r="O139" s="68" t="str">
        <f>INDEX(_xlfn.TEXTSPLIT(coupe[[#This Row],[QR Fabrication]],"_"),1,2)</f>
        <v>All by Fouta</v>
      </c>
      <c r="P139" s="16" t="str">
        <f>INDEX(_xlfn.TEXTSPLIT(coupe[[#This Row],[QR Fabrication]],"_"),1,3)</f>
        <v>Stock</v>
      </c>
      <c r="Q139" s="16" t="str">
        <f>INDEX(_xlfn.TEXTSPLIT(coupe[[#This Row],[QR Fabrication]],"_"),1,4)</f>
        <v>UNS2020-09</v>
      </c>
      <c r="R139" s="16" t="str">
        <f>INDEX(_xlfn.TEXTSPLIT(coupe[[#This Row],[QR Fabrication]],"_"),1,5)</f>
        <v>UNI SURPIQUE</v>
      </c>
      <c r="S139" s="16" t="str">
        <f>_xlfn.TEXTAFTER(coupe[[#This Row],[QR Fabrication]],"_",5)</f>
        <v>2020</v>
      </c>
      <c r="T139" s="82" t="e">
        <f>_xlfn.XLOOKUP(coupe[[#This Row],[Num OF]],#REF!,#REF!,0)</f>
        <v>#REF!</v>
      </c>
      <c r="U139" s="82" t="e">
        <f>_xlfn.XLOOKUP(coupe[[#This Row],[Num OF]],#REF!,#REF!,0)</f>
        <v>#REF!</v>
      </c>
      <c r="V139" s="82" t="str">
        <f>IF(
   COUNTIFS($A$2:A139,A139,
             $B$2:B139,B139,
             $D$2:D139,D139,
             $E$2:E139,E139,
             $F$2:F139,F139,
             $G$2:G139,G139,
             $H$2:H139,H139,
             $L$2:L139,L139)&gt;1,
   "Doublon",
   "Correcte"
)</f>
        <v>Correcte</v>
      </c>
    </row>
    <row r="140" spans="1:22" x14ac:dyDescent="0.25">
      <c r="A140" s="99" t="s">
        <v>2408</v>
      </c>
      <c r="B140" s="16" t="s">
        <v>684</v>
      </c>
      <c r="C140" s="68">
        <v>45928.591562499998</v>
      </c>
      <c r="D140" s="17">
        <v>15</v>
      </c>
      <c r="E140" s="17">
        <v>0</v>
      </c>
      <c r="F140" s="17">
        <v>1</v>
      </c>
      <c r="G140" s="17">
        <v>0</v>
      </c>
      <c r="H140" s="17">
        <v>0</v>
      </c>
      <c r="I140" s="16"/>
      <c r="J140" s="16"/>
      <c r="K140" s="16" t="s">
        <v>664</v>
      </c>
      <c r="L140" s="68">
        <v>45929.591562499998</v>
      </c>
      <c r="M140" s="68" t="str">
        <f t="shared" si="2"/>
        <v>Coupe</v>
      </c>
      <c r="N140" s="68" t="str">
        <f>INDEX(_xlfn.TEXTSPLIT(coupe[[#This Row],[QR Fabrication]],"_"),1,1)</f>
        <v>CA250055</v>
      </c>
      <c r="O140" s="68" t="str">
        <f>INDEX(_xlfn.TEXTSPLIT(coupe[[#This Row],[QR Fabrication]],"_"),1,2)</f>
        <v>All by Fouta</v>
      </c>
      <c r="P140" s="16" t="str">
        <f>INDEX(_xlfn.TEXTSPLIT(coupe[[#This Row],[QR Fabrication]],"_"),1,3)</f>
        <v>Stock</v>
      </c>
      <c r="Q140" s="16" t="str">
        <f>INDEX(_xlfn.TEXTSPLIT(coupe[[#This Row],[QR Fabrication]],"_"),1,4)</f>
        <v>UNS1626-26</v>
      </c>
      <c r="R140" s="16" t="str">
        <f>INDEX(_xlfn.TEXTSPLIT(coupe[[#This Row],[QR Fabrication]],"_"),1,5)</f>
        <v>UNI SURPIQUE</v>
      </c>
      <c r="S140" s="16" t="str">
        <f>_xlfn.TEXTAFTER(coupe[[#This Row],[QR Fabrication]],"_",5)</f>
        <v>1626</v>
      </c>
      <c r="T140" s="82" t="e">
        <f>_xlfn.XLOOKUP(coupe[[#This Row],[Num OF]],#REF!,#REF!,0)</f>
        <v>#REF!</v>
      </c>
      <c r="U140" s="82" t="e">
        <f>_xlfn.XLOOKUP(coupe[[#This Row],[Num OF]],#REF!,#REF!,0)</f>
        <v>#REF!</v>
      </c>
      <c r="V140" s="82" t="str">
        <f>IF(
   COUNTIFS($A$2:A140,A140,
             $B$2:B140,B140,
             $D$2:D140,D140,
             $E$2:E140,E140,
             $F$2:F140,F140,
             $G$2:G140,G140,
             $H$2:H140,H140,
             $L$2:L140,L140)&gt;1,
   "Doublon",
   "Correcte"
)</f>
        <v>Correcte</v>
      </c>
    </row>
    <row r="141" spans="1:22" x14ac:dyDescent="0.25">
      <c r="A141" s="99" t="s">
        <v>2479</v>
      </c>
      <c r="B141" s="16" t="s">
        <v>687</v>
      </c>
      <c r="C141" s="68">
        <v>45928.600405092591</v>
      </c>
      <c r="D141" s="17">
        <v>5</v>
      </c>
      <c r="E141" s="17">
        <v>0</v>
      </c>
      <c r="F141" s="17">
        <v>1</v>
      </c>
      <c r="G141" s="17">
        <v>0</v>
      </c>
      <c r="H141" s="17">
        <v>0</v>
      </c>
      <c r="I141" s="16"/>
      <c r="J141" s="16" t="s">
        <v>699</v>
      </c>
      <c r="K141" s="16" t="s">
        <v>665</v>
      </c>
      <c r="L141" s="68">
        <v>45929.600405092591</v>
      </c>
      <c r="M141" s="68" t="str">
        <f t="shared" si="2"/>
        <v>Coupe</v>
      </c>
      <c r="N141" s="68" t="str">
        <f>INDEX(_xlfn.TEXTSPLIT(coupe[[#This Row],[QR Fabrication]],"_"),1,1)</f>
        <v>OF250130</v>
      </c>
      <c r="O141" s="68" t="str">
        <f>INDEX(_xlfn.TEXTSPLIT(coupe[[#This Row],[QR Fabrication]],"_"),1,2)</f>
        <v>CL00162</v>
      </c>
      <c r="P141" s="16" t="str">
        <f>INDEX(_xlfn.TEXTSPLIT(coupe[[#This Row],[QR Fabrication]],"_"),1,3)</f>
        <v>CM-FT0130</v>
      </c>
      <c r="Q141" s="16" t="str">
        <f>INDEX(_xlfn.TEXTSPLIT(coupe[[#This Row],[QR Fabrication]],"_"),1,4)</f>
        <v>GIN2426-B03-02</v>
      </c>
      <c r="R141" s="16" t="str">
        <f>INDEX(_xlfn.TEXTSPLIT(coupe[[#This Row],[QR Fabrication]],"_"),1,5)</f>
        <v>GINKO</v>
      </c>
      <c r="S141" s="16" t="str">
        <f>_xlfn.TEXTAFTER(coupe[[#This Row],[QR Fabrication]],"_",5)</f>
        <v>2426</v>
      </c>
      <c r="T141" s="82" t="e">
        <f>_xlfn.XLOOKUP(coupe[[#This Row],[Num OF]],#REF!,#REF!,0)</f>
        <v>#REF!</v>
      </c>
      <c r="U141" s="82" t="e">
        <f>_xlfn.XLOOKUP(coupe[[#This Row],[Num OF]],#REF!,#REF!,0)</f>
        <v>#REF!</v>
      </c>
      <c r="V141" s="82" t="str">
        <f>IF(
   COUNTIFS($A$2:A144,A141,
             $B$2:B144,B141,
             $D$2:D144,D141,
             $E$2:E144,E141,
             $F$2:F144,F141,
             $G$2:G144,G141,
             $H$2:H144,H141,
             $L$2:L144,L141)&gt;1,
   "Doublon",
   "Correcte"
)</f>
        <v>Correcte</v>
      </c>
    </row>
    <row r="142" spans="1:22" x14ac:dyDescent="0.25">
      <c r="A142" s="99" t="s">
        <v>2464</v>
      </c>
      <c r="B142" s="16" t="s">
        <v>684</v>
      </c>
      <c r="C142" s="68">
        <v>45928.613263888888</v>
      </c>
      <c r="D142" s="17">
        <v>13</v>
      </c>
      <c r="E142" s="17">
        <v>0</v>
      </c>
      <c r="F142" s="17">
        <v>3</v>
      </c>
      <c r="G142" s="17">
        <v>0</v>
      </c>
      <c r="H142" s="17">
        <v>0</v>
      </c>
      <c r="I142" s="16"/>
      <c r="J142" s="16"/>
      <c r="K142" s="16" t="s">
        <v>664</v>
      </c>
      <c r="L142" s="68">
        <v>45929.613263888888</v>
      </c>
      <c r="M142" s="68" t="str">
        <f t="shared" si="2"/>
        <v>Coupe</v>
      </c>
      <c r="N142" s="68" t="str">
        <f>INDEX(_xlfn.TEXTSPLIT(coupe[[#This Row],[QR Fabrication]],"_"),1,1)</f>
        <v>CA250053</v>
      </c>
      <c r="O142" s="68" t="str">
        <f>INDEX(_xlfn.TEXTSPLIT(coupe[[#This Row],[QR Fabrication]],"_"),1,2)</f>
        <v>All by Fouta</v>
      </c>
      <c r="P142" s="16" t="str">
        <f>INDEX(_xlfn.TEXTSPLIT(coupe[[#This Row],[QR Fabrication]],"_"),1,3)</f>
        <v>Stock</v>
      </c>
      <c r="Q142" s="16" t="str">
        <f>INDEX(_xlfn.TEXTSPLIT(coupe[[#This Row],[QR Fabrication]],"_"),1,4)</f>
        <v>UNS1626-23</v>
      </c>
      <c r="R142" s="16" t="str">
        <f>INDEX(_xlfn.TEXTSPLIT(coupe[[#This Row],[QR Fabrication]],"_"),1,5)</f>
        <v>UNI SURPIQUE</v>
      </c>
      <c r="S142" s="16" t="str">
        <f>_xlfn.TEXTAFTER(coupe[[#This Row],[QR Fabrication]],"_",5)</f>
        <v>1626</v>
      </c>
      <c r="T142" s="82" t="e">
        <f>_xlfn.XLOOKUP(coupe[[#This Row],[Num OF]],#REF!,#REF!,0)</f>
        <v>#REF!</v>
      </c>
      <c r="U142" s="82" t="e">
        <f>_xlfn.XLOOKUP(coupe[[#This Row],[Num OF]],#REF!,#REF!,0)</f>
        <v>#REF!</v>
      </c>
      <c r="V142" s="82" t="str">
        <f>IF(
   COUNTIFS($A$2:A142,A142,
             $B$2:B142,B142,
             $D$2:D142,D142,
             $E$2:E142,E142,
             $F$2:F142,F142,
             $G$2:G142,G142,
             $H$2:H142,H142,
             $L$2:L142,L142)&gt;1,
   "Doublon",
   "Correcte"
)</f>
        <v>Correcte</v>
      </c>
    </row>
    <row r="143" spans="1:22" x14ac:dyDescent="0.25">
      <c r="A143" s="99" t="s">
        <v>2436</v>
      </c>
      <c r="B143" s="16" t="s">
        <v>684</v>
      </c>
      <c r="C143" s="68">
        <v>45928.628738425927</v>
      </c>
      <c r="D143" s="17">
        <v>21</v>
      </c>
      <c r="E143" s="17">
        <v>1</v>
      </c>
      <c r="F143" s="17">
        <v>1</v>
      </c>
      <c r="G143" s="17">
        <v>0</v>
      </c>
      <c r="H143" s="17">
        <v>0</v>
      </c>
      <c r="I143" s="16"/>
      <c r="J143" s="16"/>
      <c r="K143" s="16" t="s">
        <v>664</v>
      </c>
      <c r="L143" s="68">
        <v>45929.628738425927</v>
      </c>
      <c r="M143" s="68" t="str">
        <f t="shared" si="2"/>
        <v>Coupe</v>
      </c>
      <c r="N143" s="68" t="str">
        <f>INDEX(_xlfn.TEXTSPLIT(coupe[[#This Row],[QR Fabrication]],"_"),1,1)</f>
        <v>CA250051</v>
      </c>
      <c r="O143" s="68" t="str">
        <f>INDEX(_xlfn.TEXTSPLIT(coupe[[#This Row],[QR Fabrication]],"_"),1,2)</f>
        <v>All by Fouta</v>
      </c>
      <c r="P143" s="16" t="str">
        <f>INDEX(_xlfn.TEXTSPLIT(coupe[[#This Row],[QR Fabrication]],"_"),1,3)</f>
        <v>Stock</v>
      </c>
      <c r="Q143" s="16" t="str">
        <f>INDEX(_xlfn.TEXTSPLIT(coupe[[#This Row],[QR Fabrication]],"_"),1,4)</f>
        <v>UNS1626-19</v>
      </c>
      <c r="R143" s="16" t="str">
        <f>INDEX(_xlfn.TEXTSPLIT(coupe[[#This Row],[QR Fabrication]],"_"),1,5)</f>
        <v>UNI SURPIQUE</v>
      </c>
      <c r="S143" s="16" t="str">
        <f>_xlfn.TEXTAFTER(coupe[[#This Row],[QR Fabrication]],"_",5)</f>
        <v>1626</v>
      </c>
      <c r="T143" s="82" t="e">
        <f>_xlfn.XLOOKUP(coupe[[#This Row],[Num OF]],#REF!,#REF!,0)</f>
        <v>#REF!</v>
      </c>
      <c r="U143" s="82" t="e">
        <f>_xlfn.XLOOKUP(coupe[[#This Row],[Num OF]],#REF!,#REF!,0)</f>
        <v>#REF!</v>
      </c>
      <c r="V143" s="82" t="str">
        <f>IF(
   COUNTIFS($A$2:A143,A143,
             $B$2:B143,B143,
             $D$2:D143,D143,
             $E$2:E143,E143,
             $F$2:F143,F143,
             $G$2:G143,G143,
             $H$2:H143,H143,
             $L$2:L143,L143)&gt;1,
   "Doublon",
   "Correcte"
)</f>
        <v>Correcte</v>
      </c>
    </row>
    <row r="144" spans="1:22" x14ac:dyDescent="0.25">
      <c r="A144" s="99" t="s">
        <v>2470</v>
      </c>
      <c r="B144" s="16" t="s">
        <v>686</v>
      </c>
      <c r="C144" s="68">
        <v>45928.673611111109</v>
      </c>
      <c r="D144" s="17">
        <v>26</v>
      </c>
      <c r="E144" s="17">
        <v>0</v>
      </c>
      <c r="F144" s="17">
        <v>0</v>
      </c>
      <c r="G144" s="17">
        <v>0</v>
      </c>
      <c r="H144" s="17">
        <v>0</v>
      </c>
      <c r="I144" s="16"/>
      <c r="J144" s="16"/>
      <c r="K144" s="16" t="s">
        <v>664</v>
      </c>
      <c r="L144" s="68">
        <v>45929.673611111109</v>
      </c>
      <c r="M144" s="68" t="str">
        <f t="shared" si="2"/>
        <v>Coupe</v>
      </c>
      <c r="N144" s="68" t="str">
        <f>INDEX(_xlfn.TEXTSPLIT(coupe[[#This Row],[QR Fabrication]],"_"),1,1)</f>
        <v>CA250037</v>
      </c>
      <c r="O144" s="68" t="str">
        <f>INDEX(_xlfn.TEXTSPLIT(coupe[[#This Row],[QR Fabrication]],"_"),1,2)</f>
        <v>All by Fouta</v>
      </c>
      <c r="P144" s="16" t="str">
        <f>INDEX(_xlfn.TEXTSPLIT(coupe[[#This Row],[QR Fabrication]],"_"),1,3)</f>
        <v>Stock</v>
      </c>
      <c r="Q144" s="16" t="str">
        <f>INDEX(_xlfn.TEXTSPLIT(coupe[[#This Row],[QR Fabrication]],"_"),1,4)</f>
        <v>UNS2020-30</v>
      </c>
      <c r="R144" s="16" t="str">
        <f>INDEX(_xlfn.TEXTSPLIT(coupe[[#This Row],[QR Fabrication]],"_"),1,5)</f>
        <v>UNI SURPIQUE</v>
      </c>
      <c r="S144" s="16" t="str">
        <f>_xlfn.TEXTAFTER(coupe[[#This Row],[QR Fabrication]],"_",5)</f>
        <v>2020</v>
      </c>
      <c r="T144" s="82" t="e">
        <f>_xlfn.XLOOKUP(coupe[[#This Row],[Num OF]],#REF!,#REF!,0)</f>
        <v>#REF!</v>
      </c>
      <c r="U144" s="82" t="e">
        <f>_xlfn.XLOOKUP(coupe[[#This Row],[Num OF]],#REF!,#REF!,0)</f>
        <v>#REF!</v>
      </c>
      <c r="V144" s="82" t="str">
        <f>IF(
   COUNTIFS($A$2:A144,A144,
             $B$2:B144,B144,
             $D$2:D144,D144,
             $E$2:E144,E144,
             $F$2:F144,F144,
             $G$2:G144,G144,
             $H$2:H144,H144,
             $L$2:L144,L144)&gt;1,
   "Doublon",
   "Correcte"
)</f>
        <v>Correcte</v>
      </c>
    </row>
    <row r="145" spans="1:22" x14ac:dyDescent="0.25">
      <c r="A145" s="99" t="s">
        <v>2476</v>
      </c>
      <c r="B145" s="16" t="s">
        <v>686</v>
      </c>
      <c r="C145" s="68">
        <v>45928.685659722221</v>
      </c>
      <c r="D145" s="17">
        <v>53</v>
      </c>
      <c r="E145" s="17">
        <v>0</v>
      </c>
      <c r="F145" s="17">
        <v>3</v>
      </c>
      <c r="G145" s="17">
        <v>0</v>
      </c>
      <c r="H145" s="17">
        <v>0</v>
      </c>
      <c r="I145" s="16"/>
      <c r="J145" s="16"/>
      <c r="K145" s="16" t="s">
        <v>664</v>
      </c>
      <c r="L145" s="68">
        <v>45929.685659722221</v>
      </c>
      <c r="M145" s="68" t="str">
        <f t="shared" si="2"/>
        <v>Coupe</v>
      </c>
      <c r="N145" s="68" t="str">
        <f>INDEX(_xlfn.TEXTSPLIT(coupe[[#This Row],[QR Fabrication]],"_"),1,1)</f>
        <v>OF249859</v>
      </c>
      <c r="O145" s="68" t="str">
        <f>INDEX(_xlfn.TEXTSPLIT(coupe[[#This Row],[QR Fabrication]],"_"),1,2)</f>
        <v>CL00884</v>
      </c>
      <c r="P145" s="16" t="str">
        <f>INDEX(_xlfn.TEXTSPLIT(coupe[[#This Row],[QR Fabrication]],"_"),1,3)</f>
        <v>CM-FT0119</v>
      </c>
      <c r="Q145" s="16" t="str">
        <f>INDEX(_xlfn.TEXTSPLIT(coupe[[#This Row],[QR Fabrication]],"_"),1,4)</f>
        <v>AR2020-B29-01</v>
      </c>
      <c r="R145" s="16" t="str">
        <f>INDEX(_xlfn.TEXTSPLIT(coupe[[#This Row],[QR Fabrication]],"_"),1,5)</f>
        <v>ARTHUR</v>
      </c>
      <c r="S145" s="16" t="str">
        <f>_xlfn.TEXTAFTER(coupe[[#This Row],[QR Fabrication]],"_",5)</f>
        <v>2020</v>
      </c>
      <c r="T145" s="82" t="e">
        <f>_xlfn.XLOOKUP(coupe[[#This Row],[Num OF]],#REF!,#REF!,0)</f>
        <v>#REF!</v>
      </c>
      <c r="U145" s="82" t="e">
        <f>_xlfn.XLOOKUP(coupe[[#This Row],[Num OF]],#REF!,#REF!,0)</f>
        <v>#REF!</v>
      </c>
      <c r="V145" s="82" t="str">
        <f>IF(
   COUNTIFS($A$2:A145,A145,
             $B$2:B145,B145,
             $D$2:D145,D145,
             $E$2:E145,E145,
             $F$2:F145,F145,
             $G$2:G145,G145,
             $H$2:H145,H145,
             $L$2:L145,L145)&gt;1,
   "Doublon",
   "Correcte"
)</f>
        <v>Correcte</v>
      </c>
    </row>
    <row r="146" spans="1:22" x14ac:dyDescent="0.25">
      <c r="A146" s="99" t="s">
        <v>2470</v>
      </c>
      <c r="B146" s="16" t="s">
        <v>686</v>
      </c>
      <c r="C146" s="68">
        <v>45928.698009259257</v>
      </c>
      <c r="D146" s="17">
        <v>5</v>
      </c>
      <c r="E146" s="17">
        <v>0</v>
      </c>
      <c r="F146" s="17">
        <v>1</v>
      </c>
      <c r="G146" s="17">
        <v>0</v>
      </c>
      <c r="H146" s="17">
        <v>0</v>
      </c>
      <c r="I146" s="16"/>
      <c r="J146" s="16"/>
      <c r="K146" s="16" t="s">
        <v>664</v>
      </c>
      <c r="L146" s="68">
        <v>45929.698009259257</v>
      </c>
      <c r="M146" s="68" t="str">
        <f t="shared" si="2"/>
        <v>Coupe</v>
      </c>
      <c r="N146" s="68" t="str">
        <f>INDEX(_xlfn.TEXTSPLIT(coupe[[#This Row],[QR Fabrication]],"_"),1,1)</f>
        <v>CA250037</v>
      </c>
      <c r="O146" s="68" t="str">
        <f>INDEX(_xlfn.TEXTSPLIT(coupe[[#This Row],[QR Fabrication]],"_"),1,2)</f>
        <v>All by Fouta</v>
      </c>
      <c r="P146" s="16" t="str">
        <f>INDEX(_xlfn.TEXTSPLIT(coupe[[#This Row],[QR Fabrication]],"_"),1,3)</f>
        <v>Stock</v>
      </c>
      <c r="Q146" s="16" t="str">
        <f>INDEX(_xlfn.TEXTSPLIT(coupe[[#This Row],[QR Fabrication]],"_"),1,4)</f>
        <v>UNS2020-30</v>
      </c>
      <c r="R146" s="16" t="str">
        <f>INDEX(_xlfn.TEXTSPLIT(coupe[[#This Row],[QR Fabrication]],"_"),1,5)</f>
        <v>UNI SURPIQUE</v>
      </c>
      <c r="S146" s="16" t="str">
        <f>_xlfn.TEXTAFTER(coupe[[#This Row],[QR Fabrication]],"_",5)</f>
        <v>2020</v>
      </c>
      <c r="T146" s="82" t="e">
        <f>_xlfn.XLOOKUP(coupe[[#This Row],[Num OF]],#REF!,#REF!,0)</f>
        <v>#REF!</v>
      </c>
      <c r="U146" s="82" t="e">
        <f>_xlfn.XLOOKUP(coupe[[#This Row],[Num OF]],#REF!,#REF!,0)</f>
        <v>#REF!</v>
      </c>
      <c r="V146" s="82" t="str">
        <f>IF(
   COUNTIFS($A$2:A146,A146,
             $B$2:B146,B146,
             $D$2:D146,D146,
             $E$2:E146,E146,
             $F$2:F146,F146,
             $G$2:G146,G146,
             $H$2:H146,H146,
             $L$2:L146,L146)&gt;1,
   "Doublon",
   "Correcte"
)</f>
        <v>Correcte</v>
      </c>
    </row>
    <row r="147" spans="1:22" x14ac:dyDescent="0.25">
      <c r="A147" s="99" t="s">
        <v>2465</v>
      </c>
      <c r="B147" s="16" t="s">
        <v>686</v>
      </c>
      <c r="C147" s="68">
        <v>45928.708807870367</v>
      </c>
      <c r="D147" s="17">
        <v>32</v>
      </c>
      <c r="E147" s="17">
        <v>0</v>
      </c>
      <c r="F147" s="17">
        <v>1</v>
      </c>
      <c r="G147" s="17">
        <v>0</v>
      </c>
      <c r="H147" s="17">
        <v>0</v>
      </c>
      <c r="I147" s="16"/>
      <c r="J147" s="16"/>
      <c r="K147" s="16" t="s">
        <v>664</v>
      </c>
      <c r="L147" s="68">
        <v>45929.708807870367</v>
      </c>
      <c r="M147" s="68" t="str">
        <f t="shared" si="2"/>
        <v>Coupe</v>
      </c>
      <c r="N147" s="68" t="str">
        <f>INDEX(_xlfn.TEXTSPLIT(coupe[[#This Row],[QR Fabrication]],"_"),1,1)</f>
        <v>CA250038</v>
      </c>
      <c r="O147" s="68" t="str">
        <f>INDEX(_xlfn.TEXTSPLIT(coupe[[#This Row],[QR Fabrication]],"_"),1,2)</f>
        <v>All by Fouta</v>
      </c>
      <c r="P147" s="16" t="str">
        <f>INDEX(_xlfn.TEXTSPLIT(coupe[[#This Row],[QR Fabrication]],"_"),1,3)</f>
        <v>Stock</v>
      </c>
      <c r="Q147" s="16" t="str">
        <f>INDEX(_xlfn.TEXTSPLIT(coupe[[#This Row],[QR Fabrication]],"_"),1,4)</f>
        <v>UNS2020-31</v>
      </c>
      <c r="R147" s="16" t="str">
        <f>INDEX(_xlfn.TEXTSPLIT(coupe[[#This Row],[QR Fabrication]],"_"),1,5)</f>
        <v>UNI SURPIQUE</v>
      </c>
      <c r="S147" s="16" t="str">
        <f>_xlfn.TEXTAFTER(coupe[[#This Row],[QR Fabrication]],"_",5)</f>
        <v>2020</v>
      </c>
      <c r="T147" s="82" t="e">
        <f>_xlfn.XLOOKUP(coupe[[#This Row],[Num OF]],#REF!,#REF!,0)</f>
        <v>#REF!</v>
      </c>
      <c r="U147" s="82" t="e">
        <f>_xlfn.XLOOKUP(coupe[[#This Row],[Num OF]],#REF!,#REF!,0)</f>
        <v>#REF!</v>
      </c>
      <c r="V147" s="82" t="str">
        <f>IF(
   COUNTIFS($A$2:A147,A147,
             $B$2:B147,B147,
             $D$2:D147,D147,
             $E$2:E147,E147,
             $F$2:F147,F147,
             $G$2:G147,G147,
             $H$2:H147,H147,
             $L$2:L147,L147)&gt;1,
   "Doublon",
   "Correcte"
)</f>
        <v>Correcte</v>
      </c>
    </row>
    <row r="148" spans="1:22" x14ac:dyDescent="0.25">
      <c r="A148" s="99" t="s">
        <v>2475</v>
      </c>
      <c r="B148" s="16" t="s">
        <v>684</v>
      </c>
      <c r="C148" s="68">
        <v>45928.723171296297</v>
      </c>
      <c r="D148" s="17">
        <v>80</v>
      </c>
      <c r="E148" s="17">
        <v>0</v>
      </c>
      <c r="F148" s="17">
        <v>0</v>
      </c>
      <c r="G148" s="17">
        <v>0</v>
      </c>
      <c r="H148" s="17">
        <v>0</v>
      </c>
      <c r="I148" s="16"/>
      <c r="J148" s="16"/>
      <c r="K148" s="16" t="s">
        <v>664</v>
      </c>
      <c r="L148" s="68">
        <v>45929.723171296297</v>
      </c>
      <c r="M148" s="68" t="str">
        <f t="shared" si="2"/>
        <v>Coupe</v>
      </c>
      <c r="N148" s="68" t="str">
        <f>INDEX(_xlfn.TEXTSPLIT(coupe[[#This Row],[QR Fabrication]],"_"),1,1)</f>
        <v>CA250758</v>
      </c>
      <c r="O148" s="68" t="str">
        <f>INDEX(_xlfn.TEXTSPLIT(coupe[[#This Row],[QR Fabrication]],"_"),1,2)</f>
        <v>All by Fouta</v>
      </c>
      <c r="P148" s="16" t="str">
        <f>INDEX(_xlfn.TEXTSPLIT(coupe[[#This Row],[QR Fabrication]],"_"),1,3)</f>
        <v>Stock</v>
      </c>
      <c r="Q148" s="16" t="str">
        <f>INDEX(_xlfn.TEXTSPLIT(coupe[[#This Row],[QR Fabrication]],"_"),1,4)</f>
        <v>PACKSICL0507-B15-02</v>
      </c>
      <c r="R148" s="16" t="str">
        <f>INDEX(_xlfn.TEXTSPLIT(coupe[[#This Row],[QR Fabrication]],"_"),1,5)</f>
        <v>PACK CLASSIQUE</v>
      </c>
      <c r="S148" s="16" t="str">
        <f>_xlfn.TEXTAFTER(coupe[[#This Row],[QR Fabrication]],"_",5)</f>
        <v>0507</v>
      </c>
      <c r="T148" s="82" t="e">
        <f>_xlfn.XLOOKUP(coupe[[#This Row],[Num OF]],#REF!,#REF!,0)</f>
        <v>#REF!</v>
      </c>
      <c r="U148" s="82" t="e">
        <f>_xlfn.XLOOKUP(coupe[[#This Row],[Num OF]],#REF!,#REF!,0)</f>
        <v>#REF!</v>
      </c>
      <c r="V148" s="82" t="str">
        <f>IF(
   COUNTIFS($A$2:A148,A148,
             $B$2:B148,B148,
             $D$2:D148,D148,
             $E$2:E148,E148,
             $F$2:F148,F148,
             $G$2:G148,G148,
             $H$2:H148,H148,
             $L$2:L148,L148)&gt;1,
   "Doublon",
   "Correcte"
)</f>
        <v>Correcte</v>
      </c>
    </row>
    <row r="149" spans="1:22" x14ac:dyDescent="0.25">
      <c r="A149" s="99" t="s">
        <v>2474</v>
      </c>
      <c r="B149" s="16" t="s">
        <v>684</v>
      </c>
      <c r="C149" s="68">
        <v>45929.595625000002</v>
      </c>
      <c r="D149" s="17">
        <v>65</v>
      </c>
      <c r="E149" s="17">
        <v>0</v>
      </c>
      <c r="F149" s="17">
        <v>0</v>
      </c>
      <c r="G149" s="17">
        <v>0</v>
      </c>
      <c r="H149" s="17">
        <v>0</v>
      </c>
      <c r="I149" s="16"/>
      <c r="J149" s="16"/>
      <c r="K149" s="16" t="s">
        <v>664</v>
      </c>
      <c r="L149" s="68">
        <v>45930.595625000002</v>
      </c>
      <c r="M149" s="68" t="str">
        <f t="shared" si="2"/>
        <v>Coupe</v>
      </c>
      <c r="N149" s="68" t="str">
        <f>INDEX(_xlfn.TEXTSPLIT(coupe[[#This Row],[QR Fabrication]],"_"),1,1)</f>
        <v>CA250755</v>
      </c>
      <c r="O149" s="68" t="str">
        <f>INDEX(_xlfn.TEXTSPLIT(coupe[[#This Row],[QR Fabrication]],"_"),1,2)</f>
        <v>All by Fouta</v>
      </c>
      <c r="P149" s="16" t="str">
        <f>INDEX(_xlfn.TEXTSPLIT(coupe[[#This Row],[QR Fabrication]],"_"),1,3)</f>
        <v>Stock</v>
      </c>
      <c r="Q149" s="16" t="str">
        <f>INDEX(_xlfn.TEXTSPLIT(coupe[[#This Row],[QR Fabrication]],"_"),1,4)</f>
        <v>PACKSICL0507-B07-17</v>
      </c>
      <c r="R149" s="16" t="str">
        <f>INDEX(_xlfn.TEXTSPLIT(coupe[[#This Row],[QR Fabrication]],"_"),1,5)</f>
        <v>PACK CLASSIQUE</v>
      </c>
      <c r="S149" s="16" t="str">
        <f>_xlfn.TEXTAFTER(coupe[[#This Row],[QR Fabrication]],"_",5)</f>
        <v>0507</v>
      </c>
      <c r="T149" s="82" t="e">
        <f>_xlfn.XLOOKUP(coupe[[#This Row],[Num OF]],#REF!,#REF!,0)</f>
        <v>#REF!</v>
      </c>
      <c r="U149" s="82" t="e">
        <f>_xlfn.XLOOKUP(coupe[[#This Row],[Num OF]],#REF!,#REF!,0)</f>
        <v>#REF!</v>
      </c>
      <c r="V149" s="82" t="str">
        <f>IF(
   COUNTIFS($A$2:A149,A149,
             $B$2:B149,B149,
             $D$2:D149,D149,
             $E$2:E149,E149,
             $F$2:F149,F149,
             $G$2:G149,G149,
             $H$2:H149,H149,
             $L$2:L149,L149)&gt;1,
   "Doublon",
   "Correcte"
)</f>
        <v>Correcte</v>
      </c>
    </row>
    <row r="150" spans="1:22" x14ac:dyDescent="0.25">
      <c r="A150" s="99" t="s">
        <v>2471</v>
      </c>
      <c r="B150" s="16" t="s">
        <v>684</v>
      </c>
      <c r="C150" s="68">
        <v>45929.596782407411</v>
      </c>
      <c r="D150" s="17">
        <v>187</v>
      </c>
      <c r="E150" s="17">
        <v>0</v>
      </c>
      <c r="F150" s="17">
        <v>10</v>
      </c>
      <c r="G150" s="17">
        <v>0</v>
      </c>
      <c r="H150" s="17">
        <v>0</v>
      </c>
      <c r="I150" s="16"/>
      <c r="J150" s="16"/>
      <c r="K150" s="16" t="s">
        <v>664</v>
      </c>
      <c r="L150" s="68">
        <v>45930.596782407411</v>
      </c>
      <c r="M150" s="68" t="str">
        <f t="shared" si="2"/>
        <v>Coupe</v>
      </c>
      <c r="N150" s="68" t="str">
        <f>INDEX(_xlfn.TEXTSPLIT(coupe[[#This Row],[QR Fabrication]],"_"),1,1)</f>
        <v>OF249798</v>
      </c>
      <c r="O150" s="68" t="str">
        <f>INDEX(_xlfn.TEXTSPLIT(coupe[[#This Row],[QR Fabrication]],"_"),1,2)</f>
        <v>CL00884</v>
      </c>
      <c r="P150" s="16" t="str">
        <f>INDEX(_xlfn.TEXTSPLIT(coupe[[#This Row],[QR Fabrication]],"_"),1,3)</f>
        <v>CM-FT0119</v>
      </c>
      <c r="Q150" s="16" t="str">
        <f>INDEX(_xlfn.TEXTSPLIT(coupe[[#This Row],[QR Fabrication]],"_"),1,4)</f>
        <v>LI1020-B28-01</v>
      </c>
      <c r="R150" s="16" t="str">
        <f>INDEX(_xlfn.TEXTSPLIT(coupe[[#This Row],[QR Fabrication]],"_"),1,5)</f>
        <v>LILI</v>
      </c>
      <c r="S150" s="16" t="str">
        <f>_xlfn.TEXTAFTER(coupe[[#This Row],[QR Fabrication]],"_",5)</f>
        <v>1020</v>
      </c>
      <c r="T150" s="82" t="e">
        <f>_xlfn.XLOOKUP(coupe[[#This Row],[Num OF]],#REF!,#REF!,0)</f>
        <v>#REF!</v>
      </c>
      <c r="U150" s="82" t="e">
        <f>_xlfn.XLOOKUP(coupe[[#This Row],[Num OF]],#REF!,#REF!,0)</f>
        <v>#REF!</v>
      </c>
      <c r="V150" s="82" t="str">
        <f>IF(
   COUNTIFS($A$2:A150,A150,
             $B$2:B150,B150,
             $D$2:D150,D150,
             $E$2:E150,E150,
             $F$2:F150,F150,
             $G$2:G150,G150,
             $H$2:H150,H150,
             $L$2:L150,L150)&gt;1,
   "Doublon",
   "Correcte"
)</f>
        <v>Correcte</v>
      </c>
    </row>
    <row r="151" spans="1:22" x14ac:dyDescent="0.25">
      <c r="A151" s="99" t="s">
        <v>2447</v>
      </c>
      <c r="B151" s="16" t="s">
        <v>678</v>
      </c>
      <c r="C151" s="68">
        <v>45929.597233796296</v>
      </c>
      <c r="D151" s="17">
        <v>1</v>
      </c>
      <c r="E151" s="17">
        <v>0</v>
      </c>
      <c r="F151" s="17">
        <v>0</v>
      </c>
      <c r="G151" s="17">
        <v>0</v>
      </c>
      <c r="H151" s="17">
        <v>0</v>
      </c>
      <c r="I151" s="16"/>
      <c r="J151" s="16"/>
      <c r="K151" s="16" t="s">
        <v>664</v>
      </c>
      <c r="L151" s="68">
        <v>45930.597233796296</v>
      </c>
      <c r="M151" s="68" t="str">
        <f t="shared" si="2"/>
        <v>Coupe</v>
      </c>
      <c r="N151" s="68" t="str">
        <f>INDEX(_xlfn.TEXTSPLIT(coupe[[#This Row],[QR Fabrication]],"_"),1,1)</f>
        <v>OF246547</v>
      </c>
      <c r="O151" s="68" t="str">
        <f>INDEX(_xlfn.TEXTSPLIT(coupe[[#This Row],[QR Fabrication]],"_"),1,2)</f>
        <v>CL00296</v>
      </c>
      <c r="P151" s="16" t="str">
        <f>INDEX(_xlfn.TEXTSPLIT(coupe[[#This Row],[QR Fabrication]],"_"),1,3)</f>
        <v>CM-FT0108</v>
      </c>
      <c r="Q151" s="16" t="str">
        <f>INDEX(_xlfn.TEXTSPLIT(coupe[[#This Row],[QR Fabrication]],"_"),1,4)</f>
        <v>EPMA0919-B11-02</v>
      </c>
      <c r="R151" s="16" t="str">
        <f>INDEX(_xlfn.TEXTSPLIT(coupe[[#This Row],[QR Fabrication]],"_"),1,5)</f>
        <v>MARINIERE</v>
      </c>
      <c r="S151" s="16" t="str">
        <f>_xlfn.TEXTAFTER(coupe[[#This Row],[QR Fabrication]],"_",5)</f>
        <v>0919</v>
      </c>
      <c r="T151" s="82" t="e">
        <f>_xlfn.XLOOKUP(coupe[[#This Row],[Num OF]],#REF!,#REF!,0)</f>
        <v>#REF!</v>
      </c>
      <c r="U151" s="82" t="e">
        <f>_xlfn.XLOOKUP(coupe[[#This Row],[Num OF]],#REF!,#REF!,0)</f>
        <v>#REF!</v>
      </c>
      <c r="V151" s="82" t="str">
        <f>IF(
   COUNTIFS($A$2:A151,A151,
             $B$2:B151,B151,
             $D$2:D151,D151,
             $E$2:E151,E151,
             $F$2:F151,F151,
             $G$2:G151,G151,
             $H$2:H151,H151,
             $L$2:L151,L151)&gt;1,
   "Doublon",
   "Correcte"
)</f>
        <v>Correcte</v>
      </c>
    </row>
    <row r="152" spans="1:22" x14ac:dyDescent="0.25">
      <c r="A152" s="99" t="s">
        <v>2447</v>
      </c>
      <c r="B152" s="16" t="s">
        <v>678</v>
      </c>
      <c r="C152" s="68">
        <v>45929.597233796296</v>
      </c>
      <c r="D152" s="17">
        <v>4</v>
      </c>
      <c r="E152" s="17">
        <v>0</v>
      </c>
      <c r="F152" s="17">
        <v>0</v>
      </c>
      <c r="G152" s="17">
        <v>0</v>
      </c>
      <c r="H152" s="17">
        <v>0</v>
      </c>
      <c r="I152" s="16"/>
      <c r="J152" s="16" t="s">
        <v>699</v>
      </c>
      <c r="K152" s="16" t="s">
        <v>665</v>
      </c>
      <c r="L152" s="68">
        <v>45930.597233796296</v>
      </c>
      <c r="M152" s="68" t="str">
        <f t="shared" si="2"/>
        <v>Coupe</v>
      </c>
      <c r="N152" s="68" t="str">
        <f>INDEX(_xlfn.TEXTSPLIT(coupe[[#This Row],[QR Fabrication]],"_"),1,1)</f>
        <v>OF246547</v>
      </c>
      <c r="O152" s="68" t="str">
        <f>INDEX(_xlfn.TEXTSPLIT(coupe[[#This Row],[QR Fabrication]],"_"),1,2)</f>
        <v>CL00296</v>
      </c>
      <c r="P152" s="16" t="str">
        <f>INDEX(_xlfn.TEXTSPLIT(coupe[[#This Row],[QR Fabrication]],"_"),1,3)</f>
        <v>CM-FT0108</v>
      </c>
      <c r="Q152" s="16" t="str">
        <f>INDEX(_xlfn.TEXTSPLIT(coupe[[#This Row],[QR Fabrication]],"_"),1,4)</f>
        <v>EPMA0919-B11-02</v>
      </c>
      <c r="R152" s="16" t="str">
        <f>INDEX(_xlfn.TEXTSPLIT(coupe[[#This Row],[QR Fabrication]],"_"),1,5)</f>
        <v>MARINIERE</v>
      </c>
      <c r="S152" s="16" t="str">
        <f>_xlfn.TEXTAFTER(coupe[[#This Row],[QR Fabrication]],"_",5)</f>
        <v>0919</v>
      </c>
      <c r="T152" s="82" t="e">
        <f>_xlfn.XLOOKUP(coupe[[#This Row],[Num OF]],#REF!,#REF!,0)</f>
        <v>#REF!</v>
      </c>
      <c r="U152" s="82" t="e">
        <f>_xlfn.XLOOKUP(coupe[[#This Row],[Num OF]],#REF!,#REF!,0)</f>
        <v>#REF!</v>
      </c>
      <c r="V152" s="82" t="str">
        <f>IF(
   COUNTIFS($A$2:A156,A152,
             $B$2:B156,B152,
             $D$2:D156,D152,
             $E$2:E156,E152,
             $F$2:F156,F152,
             $G$2:G156,G152,
             $H$2:H156,H152,
             $L$2:L156,L152)&gt;1,
   "Doublon",
   "Correcte"
)</f>
        <v>Correcte</v>
      </c>
    </row>
    <row r="153" spans="1:22" x14ac:dyDescent="0.25">
      <c r="A153" s="99" t="s">
        <v>2472</v>
      </c>
      <c r="B153" s="16" t="s">
        <v>686</v>
      </c>
      <c r="C153" s="68">
        <v>45929.637858796297</v>
      </c>
      <c r="D153" s="17">
        <v>100</v>
      </c>
      <c r="E153" s="17">
        <v>2</v>
      </c>
      <c r="F153" s="17">
        <v>0</v>
      </c>
      <c r="G153" s="17">
        <v>2</v>
      </c>
      <c r="H153" s="17">
        <v>0</v>
      </c>
      <c r="I153" s="16" t="s">
        <v>697</v>
      </c>
      <c r="J153" s="16"/>
      <c r="K153" s="16" t="s">
        <v>664</v>
      </c>
      <c r="L153" s="68">
        <v>45930.637858796297</v>
      </c>
      <c r="M153" s="68" t="str">
        <f t="shared" si="2"/>
        <v>Coupe</v>
      </c>
      <c r="N153" s="68" t="str">
        <f>INDEX(_xlfn.TEXTSPLIT(coupe[[#This Row],[QR Fabrication]],"_"),1,1)</f>
        <v>OF249782</v>
      </c>
      <c r="O153" s="68" t="str">
        <f>INDEX(_xlfn.TEXTSPLIT(coupe[[#This Row],[QR Fabrication]],"_"),1,2)</f>
        <v>CL00884</v>
      </c>
      <c r="P153" s="16" t="str">
        <f>INDEX(_xlfn.TEXTSPLIT(coupe[[#This Row],[QR Fabrication]],"_"),1,3)</f>
        <v>CM-FT0119</v>
      </c>
      <c r="Q153" s="16" t="str">
        <f>INDEX(_xlfn.TEXTSPLIT(coupe[[#This Row],[QR Fabrication]],"_"),1,4)</f>
        <v>IB1020-B24-01</v>
      </c>
      <c r="R153" s="16" t="str">
        <f>INDEX(_xlfn.TEXTSPLIT(coupe[[#This Row],[QR Fabrication]],"_"),1,5)</f>
        <v>IBIZA</v>
      </c>
      <c r="S153" s="16" t="str">
        <f>_xlfn.TEXTAFTER(coupe[[#This Row],[QR Fabrication]],"_",5)</f>
        <v>1020</v>
      </c>
      <c r="T153" s="82" t="e">
        <f>_xlfn.XLOOKUP(coupe[[#This Row],[Num OF]],#REF!,#REF!,0)</f>
        <v>#REF!</v>
      </c>
      <c r="U153" s="82" t="e">
        <f>_xlfn.XLOOKUP(coupe[[#This Row],[Num OF]],#REF!,#REF!,0)</f>
        <v>#REF!</v>
      </c>
      <c r="V153" s="82" t="str">
        <f>IF(
   COUNTIFS($A$2:A153,A153,
             $B$2:B153,B153,
             $D$2:D153,D153,
             $E$2:E153,E153,
             $F$2:F153,F153,
             $G$2:G153,G153,
             $H$2:H153,H153,
             $L$2:L153,L153)&gt;1,
   "Doublon",
   "Correcte"
)</f>
        <v>Correcte</v>
      </c>
    </row>
    <row r="154" spans="1:22" x14ac:dyDescent="0.25">
      <c r="A154" s="99" t="s">
        <v>2480</v>
      </c>
      <c r="B154" s="16" t="s">
        <v>686</v>
      </c>
      <c r="C154" s="68">
        <v>45929.697071759256</v>
      </c>
      <c r="D154" s="17">
        <v>59</v>
      </c>
      <c r="E154" s="17">
        <v>0</v>
      </c>
      <c r="F154" s="17">
        <v>0</v>
      </c>
      <c r="G154" s="17">
        <v>0</v>
      </c>
      <c r="H154" s="17">
        <v>0</v>
      </c>
      <c r="I154" s="16" t="s">
        <v>698</v>
      </c>
      <c r="J154" s="16" t="s">
        <v>699</v>
      </c>
      <c r="K154" s="16" t="s">
        <v>664</v>
      </c>
      <c r="L154" s="68">
        <v>45930.697071759256</v>
      </c>
      <c r="M154" s="68" t="str">
        <f t="shared" si="2"/>
        <v>Coupe</v>
      </c>
      <c r="N154" s="68" t="str">
        <f>INDEX(_xlfn.TEXTSPLIT(coupe[[#This Row],[QR Fabrication]],"_"),1,1)</f>
        <v>OF249816</v>
      </c>
      <c r="O154" s="68" t="str">
        <f>INDEX(_xlfn.TEXTSPLIT(coupe[[#This Row],[QR Fabrication]],"_"),1,2)</f>
        <v>CL00884</v>
      </c>
      <c r="P154" s="16" t="str">
        <f>INDEX(_xlfn.TEXTSPLIT(coupe[[#This Row],[QR Fabrication]],"_"),1,3)</f>
        <v>CM-FT0119</v>
      </c>
      <c r="Q154" s="16" t="str">
        <f>INDEX(_xlfn.TEXTSPLIT(coupe[[#This Row],[QR Fabrication]],"_"),1,4)</f>
        <v>SO1020-Q29-11-14</v>
      </c>
      <c r="R154" s="16" t="str">
        <f>INDEX(_xlfn.TEXTSPLIT(coupe[[#This Row],[QR Fabrication]],"_"),1,5)</f>
        <v>SOUSSE</v>
      </c>
      <c r="S154" s="16" t="str">
        <f>_xlfn.TEXTAFTER(coupe[[#This Row],[QR Fabrication]],"_",5)</f>
        <v>1020</v>
      </c>
      <c r="T154" s="82" t="e">
        <f>_xlfn.XLOOKUP(coupe[[#This Row],[Num OF]],#REF!,#REF!,0)</f>
        <v>#REF!</v>
      </c>
      <c r="U154" s="82" t="e">
        <f>_xlfn.XLOOKUP(coupe[[#This Row],[Num OF]],#REF!,#REF!,0)</f>
        <v>#REF!</v>
      </c>
      <c r="V154" s="82" t="str">
        <f>IF(
   COUNTIFS($A$2:A154,A154,
             $B$2:B154,B154,
             $D$2:D154,D154,
             $E$2:E154,E154,
             $F$2:F154,F154,
             $G$2:G154,G154,
             $H$2:H154,H154,
             $L$2:L154,L154)&gt;1,
   "Doublon",
   "Correcte"
)</f>
        <v>Correcte</v>
      </c>
    </row>
    <row r="155" spans="1:22" x14ac:dyDescent="0.25">
      <c r="A155" s="99" t="s">
        <v>2460</v>
      </c>
      <c r="B155" s="16" t="s">
        <v>686</v>
      </c>
      <c r="C155" s="68">
        <v>45930.412604166668</v>
      </c>
      <c r="D155" s="17">
        <v>63</v>
      </c>
      <c r="E155" s="17">
        <v>2</v>
      </c>
      <c r="F155" s="17">
        <v>10</v>
      </c>
      <c r="G155" s="17">
        <v>0</v>
      </c>
      <c r="H155" s="17">
        <v>0</v>
      </c>
      <c r="I155" s="16" t="s">
        <v>700</v>
      </c>
      <c r="J155" s="16"/>
      <c r="K155" s="16" t="s">
        <v>664</v>
      </c>
      <c r="L155" s="68">
        <v>45931.412604166668</v>
      </c>
      <c r="M155" s="68" t="str">
        <f t="shared" si="2"/>
        <v>Coupe</v>
      </c>
      <c r="N155" s="68" t="str">
        <f>INDEX(_xlfn.TEXTSPLIT(coupe[[#This Row],[QR Fabrication]],"_"),1,1)</f>
        <v>OF249940</v>
      </c>
      <c r="O155" s="68" t="str">
        <f>INDEX(_xlfn.TEXTSPLIT(coupe[[#This Row],[QR Fabrication]],"_"),1,2)</f>
        <v>CL00884</v>
      </c>
      <c r="P155" s="16" t="str">
        <f>INDEX(_xlfn.TEXTSPLIT(coupe[[#This Row],[QR Fabrication]],"_"),1,3)</f>
        <v>CM-FT0120</v>
      </c>
      <c r="Q155" s="16" t="str">
        <f>INDEX(_xlfn.TEXTSPLIT(coupe[[#This Row],[QR Fabrication]],"_"),1,4)</f>
        <v>FI1020-C28-25-24</v>
      </c>
      <c r="R155" s="16" t="str">
        <f>INDEX(_xlfn.TEXTSPLIT(coupe[[#This Row],[QR Fabrication]],"_"),1,5)</f>
        <v>FIVE</v>
      </c>
      <c r="S155" s="16" t="str">
        <f>_xlfn.TEXTAFTER(coupe[[#This Row],[QR Fabrication]],"_",5)</f>
        <v>1020</v>
      </c>
      <c r="T155" s="82" t="e">
        <f>_xlfn.XLOOKUP(coupe[[#This Row],[Num OF]],#REF!,#REF!,0)</f>
        <v>#REF!</v>
      </c>
      <c r="U155" s="82" t="e">
        <f>_xlfn.XLOOKUP(coupe[[#This Row],[Num OF]],#REF!,#REF!,0)</f>
        <v>#REF!</v>
      </c>
      <c r="V155" s="82" t="str">
        <f>IF(
   COUNTIFS($A$2:A155,A155,
             $B$2:B155,B155,
             $D$2:D155,D155,
             $E$2:E155,E155,
             $F$2:F155,F155,
             $G$2:G155,G155,
             $H$2:H155,H155,
             $L$2:L155,L155)&gt;1,
   "Doublon",
   "Correcte"
)</f>
        <v>Correcte</v>
      </c>
    </row>
    <row r="156" spans="1:22" x14ac:dyDescent="0.25">
      <c r="A156" s="99" t="s">
        <v>2476</v>
      </c>
      <c r="B156" s="16" t="s">
        <v>686</v>
      </c>
      <c r="C156" s="68">
        <v>45930.459814814814</v>
      </c>
      <c r="D156" s="17">
        <v>27</v>
      </c>
      <c r="E156" s="17">
        <v>0</v>
      </c>
      <c r="F156" s="17">
        <v>0</v>
      </c>
      <c r="G156" s="17">
        <v>0</v>
      </c>
      <c r="H156" s="17">
        <v>0</v>
      </c>
      <c r="I156" s="16"/>
      <c r="J156" s="16"/>
      <c r="K156" s="16" t="s">
        <v>664</v>
      </c>
      <c r="L156" s="68">
        <v>45931.459814814814</v>
      </c>
      <c r="M156" s="68" t="str">
        <f t="shared" si="2"/>
        <v>Coupe</v>
      </c>
      <c r="N156" s="68" t="str">
        <f>INDEX(_xlfn.TEXTSPLIT(coupe[[#This Row],[QR Fabrication]],"_"),1,1)</f>
        <v>OF249859</v>
      </c>
      <c r="O156" s="68" t="str">
        <f>INDEX(_xlfn.TEXTSPLIT(coupe[[#This Row],[QR Fabrication]],"_"),1,2)</f>
        <v>CL00884</v>
      </c>
      <c r="P156" s="16" t="str">
        <f>INDEX(_xlfn.TEXTSPLIT(coupe[[#This Row],[QR Fabrication]],"_"),1,3)</f>
        <v>CM-FT0119</v>
      </c>
      <c r="Q156" s="16" t="str">
        <f>INDEX(_xlfn.TEXTSPLIT(coupe[[#This Row],[QR Fabrication]],"_"),1,4)</f>
        <v>AR2020-B29-01</v>
      </c>
      <c r="R156" s="16" t="str">
        <f>INDEX(_xlfn.TEXTSPLIT(coupe[[#This Row],[QR Fabrication]],"_"),1,5)</f>
        <v>ARTHUR</v>
      </c>
      <c r="S156" s="16" t="str">
        <f>_xlfn.TEXTAFTER(coupe[[#This Row],[QR Fabrication]],"_",5)</f>
        <v>2020</v>
      </c>
      <c r="T156" s="82" t="e">
        <f>_xlfn.XLOOKUP(coupe[[#This Row],[Num OF]],#REF!,#REF!,0)</f>
        <v>#REF!</v>
      </c>
      <c r="U156" s="82" t="e">
        <f>_xlfn.XLOOKUP(coupe[[#This Row],[Num OF]],#REF!,#REF!,0)</f>
        <v>#REF!</v>
      </c>
      <c r="V156" s="82" t="str">
        <f>IF(
   COUNTIFS($A$2:A156,A156,
             $B$2:B156,B156,
             $D$2:D156,D156,
             $E$2:E156,E156,
             $F$2:F156,F156,
             $G$2:G156,G156,
             $H$2:H156,H156,
             $L$2:L156,L156)&gt;1,
   "Doublon",
   "Correcte"
)</f>
        <v>Correcte</v>
      </c>
    </row>
    <row r="157" spans="1:22" x14ac:dyDescent="0.25">
      <c r="A157" s="99" t="s">
        <v>2414</v>
      </c>
      <c r="B157" s="16" t="s">
        <v>684</v>
      </c>
      <c r="C157" s="68">
        <v>45930.466874999998</v>
      </c>
      <c r="D157" s="17">
        <v>36</v>
      </c>
      <c r="E157" s="17">
        <v>0</v>
      </c>
      <c r="F157" s="17">
        <v>0</v>
      </c>
      <c r="G157" s="17">
        <v>0</v>
      </c>
      <c r="H157" s="17">
        <v>0</v>
      </c>
      <c r="I157" s="16"/>
      <c r="J157" s="16"/>
      <c r="K157" s="16" t="s">
        <v>664</v>
      </c>
      <c r="L157" s="68">
        <v>45931.466874999998</v>
      </c>
      <c r="M157" s="68" t="str">
        <f t="shared" si="2"/>
        <v>Coupe</v>
      </c>
      <c r="N157" s="68" t="str">
        <f>INDEX(_xlfn.TEXTSPLIT(coupe[[#This Row],[QR Fabrication]],"_"),1,1)</f>
        <v>CA250778</v>
      </c>
      <c r="O157" s="68" t="str">
        <f>INDEX(_xlfn.TEXTSPLIT(coupe[[#This Row],[QR Fabrication]],"_"),1,2)</f>
        <v>All by Fouta</v>
      </c>
      <c r="P157" s="16" t="str">
        <f>INDEX(_xlfn.TEXTSPLIT(coupe[[#This Row],[QR Fabrication]],"_"),1,3)</f>
        <v>Stock</v>
      </c>
      <c r="Q157" s="16" t="str">
        <f>INDEX(_xlfn.TEXTSPLIT(coupe[[#This Row],[QR Fabrication]],"_"),1,4)</f>
        <v>PACKSICHI0507-Q10-29-01</v>
      </c>
      <c r="R157" s="16" t="str">
        <f>INDEX(_xlfn.TEXTSPLIT(coupe[[#This Row],[QR Fabrication]],"_"),1,5)</f>
        <v>PACK CHIC</v>
      </c>
      <c r="S157" s="16" t="str">
        <f>_xlfn.TEXTAFTER(coupe[[#This Row],[QR Fabrication]],"_",5)</f>
        <v>0507</v>
      </c>
      <c r="T157" s="82" t="e">
        <f>_xlfn.XLOOKUP(coupe[[#This Row],[Num OF]],#REF!,#REF!,0)</f>
        <v>#REF!</v>
      </c>
      <c r="U157" s="82" t="e">
        <f>_xlfn.XLOOKUP(coupe[[#This Row],[Num OF]],#REF!,#REF!,0)</f>
        <v>#REF!</v>
      </c>
      <c r="V157" s="82" t="str">
        <f>IF(
   COUNTIFS($A$2:A157,A157,
             $B$2:B157,B157,
             $D$2:D157,D157,
             $E$2:E157,E157,
             $F$2:F157,F157,
             $G$2:G157,G157,
             $H$2:H157,H157,
             $L$2:L157,L157)&gt;1,
   "Doublon",
   "Correcte"
)</f>
        <v>Correcte</v>
      </c>
    </row>
    <row r="158" spans="1:22" x14ac:dyDescent="0.25">
      <c r="A158" s="99" t="s">
        <v>2489</v>
      </c>
      <c r="B158" s="16" t="s">
        <v>686</v>
      </c>
      <c r="C158" s="68">
        <v>45930.473530092589</v>
      </c>
      <c r="D158" s="17">
        <v>29</v>
      </c>
      <c r="E158" s="17">
        <v>0</v>
      </c>
      <c r="F158" s="17">
        <v>1</v>
      </c>
      <c r="G158" s="17">
        <v>0</v>
      </c>
      <c r="H158" s="17">
        <v>0</v>
      </c>
      <c r="I158" s="16"/>
      <c r="J158" s="16"/>
      <c r="K158" s="16" t="s">
        <v>664</v>
      </c>
      <c r="L158" s="68">
        <v>45931.473530092589</v>
      </c>
      <c r="M158" s="68" t="str">
        <f t="shared" si="2"/>
        <v>Coupe</v>
      </c>
      <c r="N158" s="68" t="str">
        <f>INDEX(_xlfn.TEXTSPLIT(coupe[[#This Row],[QR Fabrication]],"_"),1,1)</f>
        <v>OF249858</v>
      </c>
      <c r="O158" s="68" t="str">
        <f>INDEX(_xlfn.TEXTSPLIT(coupe[[#This Row],[QR Fabrication]],"_"),1,2)</f>
        <v>CL00884</v>
      </c>
      <c r="P158" s="16" t="str">
        <f>INDEX(_xlfn.TEXTSPLIT(coupe[[#This Row],[QR Fabrication]],"_"),1,3)</f>
        <v>CM-FT0119</v>
      </c>
      <c r="Q158" s="16" t="str">
        <f>INDEX(_xlfn.TEXTSPLIT(coupe[[#This Row],[QR Fabrication]],"_"),1,4)</f>
        <v>AR2020-B23-01</v>
      </c>
      <c r="R158" s="16" t="str">
        <f>INDEX(_xlfn.TEXTSPLIT(coupe[[#This Row],[QR Fabrication]],"_"),1,5)</f>
        <v>ARTHUR</v>
      </c>
      <c r="S158" s="16" t="str">
        <f>_xlfn.TEXTAFTER(coupe[[#This Row],[QR Fabrication]],"_",5)</f>
        <v>2020</v>
      </c>
      <c r="T158" s="82" t="e">
        <f>_xlfn.XLOOKUP(coupe[[#This Row],[Num OF]],#REF!,#REF!,0)</f>
        <v>#REF!</v>
      </c>
      <c r="U158" s="82" t="e">
        <f>_xlfn.XLOOKUP(coupe[[#This Row],[Num OF]],#REF!,#REF!,0)</f>
        <v>#REF!</v>
      </c>
      <c r="V158" s="82" t="str">
        <f>IF(
   COUNTIFS($A$2:A158,A158,
             $B$2:B158,B158,
             $D$2:D158,D158,
             $E$2:E158,E158,
             $F$2:F158,F158,
             $G$2:G158,G158,
             $H$2:H158,H158,
             $L$2:L158,L158)&gt;1,
   "Doublon",
   "Correcte"
)</f>
        <v>Correcte</v>
      </c>
    </row>
    <row r="159" spans="1:22" x14ac:dyDescent="0.25">
      <c r="A159" s="99" t="s">
        <v>2445</v>
      </c>
      <c r="B159" s="16" t="s">
        <v>684</v>
      </c>
      <c r="C159" s="68">
        <v>45930.521932870368</v>
      </c>
      <c r="D159" s="17">
        <v>64</v>
      </c>
      <c r="E159" s="17">
        <v>0</v>
      </c>
      <c r="F159" s="17">
        <v>0</v>
      </c>
      <c r="G159" s="17">
        <v>0</v>
      </c>
      <c r="H159" s="17">
        <v>0</v>
      </c>
      <c r="I159" s="16"/>
      <c r="J159" s="16"/>
      <c r="K159" s="16" t="s">
        <v>664</v>
      </c>
      <c r="L159" s="68">
        <v>45931.521932870368</v>
      </c>
      <c r="M159" s="68" t="str">
        <f t="shared" si="2"/>
        <v>Coupe</v>
      </c>
      <c r="N159" s="68" t="str">
        <f>INDEX(_xlfn.TEXTSPLIT(coupe[[#This Row],[QR Fabrication]],"_"),1,1)</f>
        <v>OF249809</v>
      </c>
      <c r="O159" s="68" t="str">
        <f>INDEX(_xlfn.TEXTSPLIT(coupe[[#This Row],[QR Fabrication]],"_"),1,2)</f>
        <v>CL00884</v>
      </c>
      <c r="P159" s="16" t="str">
        <f>INDEX(_xlfn.TEXTSPLIT(coupe[[#This Row],[QR Fabrication]],"_"),1,3)</f>
        <v>CM-FT0119</v>
      </c>
      <c r="Q159" s="16" t="str">
        <f>INDEX(_xlfn.TEXTSPLIT(coupe[[#This Row],[QR Fabrication]],"_"),1,4)</f>
        <v>IS1020-B14-01</v>
      </c>
      <c r="R159" s="16" t="str">
        <f>INDEX(_xlfn.TEXTSPLIT(coupe[[#This Row],[QR Fabrication]],"_"),1,5)</f>
        <v>ISTANBUL</v>
      </c>
      <c r="S159" s="16" t="str">
        <f>_xlfn.TEXTAFTER(coupe[[#This Row],[QR Fabrication]],"_",5)</f>
        <v>1020</v>
      </c>
      <c r="T159" s="82" t="e">
        <f>_xlfn.XLOOKUP(coupe[[#This Row],[Num OF]],#REF!,#REF!,0)</f>
        <v>#REF!</v>
      </c>
      <c r="U159" s="82" t="e">
        <f>_xlfn.XLOOKUP(coupe[[#This Row],[Num OF]],#REF!,#REF!,0)</f>
        <v>#REF!</v>
      </c>
      <c r="V159" s="82" t="str">
        <f>IF(
   COUNTIFS($A$2:A159,A159,
             $B$2:B159,B159,
             $D$2:D159,D159,
             $E$2:E159,E159,
             $F$2:F159,F159,
             $G$2:G159,G159,
             $H$2:H159,H159,
             $L$2:L159,L159)&gt;1,
   "Doublon",
   "Correcte"
)</f>
        <v>Correcte</v>
      </c>
    </row>
    <row r="160" spans="1:22" x14ac:dyDescent="0.25">
      <c r="A160" s="99" t="s">
        <v>2491</v>
      </c>
      <c r="B160" s="16" t="s">
        <v>686</v>
      </c>
      <c r="C160" s="68">
        <v>45930.538564814815</v>
      </c>
      <c r="D160" s="17">
        <v>64</v>
      </c>
      <c r="E160" s="17">
        <v>0</v>
      </c>
      <c r="F160" s="17">
        <v>0</v>
      </c>
      <c r="G160" s="17">
        <v>0</v>
      </c>
      <c r="H160" s="17">
        <v>0</v>
      </c>
      <c r="I160" s="16"/>
      <c r="J160" s="16"/>
      <c r="K160" s="16" t="s">
        <v>664</v>
      </c>
      <c r="L160" s="68">
        <v>45931.538564814815</v>
      </c>
      <c r="M160" s="68" t="str">
        <f t="shared" si="2"/>
        <v>Coupe</v>
      </c>
      <c r="N160" s="68" t="str">
        <f>INDEX(_xlfn.TEXTSPLIT(coupe[[#This Row],[QR Fabrication]],"_"),1,1)</f>
        <v>OF249946</v>
      </c>
      <c r="O160" s="68" t="str">
        <f>INDEX(_xlfn.TEXTSPLIT(coupe[[#This Row],[QR Fabrication]],"_"),1,2)</f>
        <v>CL00884</v>
      </c>
      <c r="P160" s="16" t="str">
        <f>INDEX(_xlfn.TEXTSPLIT(coupe[[#This Row],[QR Fabrication]],"_"),1,3)</f>
        <v>CM-FT0120</v>
      </c>
      <c r="Q160" s="16" t="str">
        <f>INDEX(_xlfn.TEXTSPLIT(coupe[[#This Row],[QR Fabrication]],"_"),1,4)</f>
        <v>ST1020-S14-16-17</v>
      </c>
      <c r="R160" s="16" t="str">
        <f>INDEX(_xlfn.TEXTSPLIT(coupe[[#This Row],[QR Fabrication]],"_"),1,5)</f>
        <v>ST TROPEZ</v>
      </c>
      <c r="S160" s="16" t="str">
        <f>_xlfn.TEXTAFTER(coupe[[#This Row],[QR Fabrication]],"_",5)</f>
        <v>1020</v>
      </c>
      <c r="T160" s="82" t="e">
        <f>_xlfn.XLOOKUP(coupe[[#This Row],[Num OF]],#REF!,#REF!,0)</f>
        <v>#REF!</v>
      </c>
      <c r="U160" s="82" t="e">
        <f>_xlfn.XLOOKUP(coupe[[#This Row],[Num OF]],#REF!,#REF!,0)</f>
        <v>#REF!</v>
      </c>
      <c r="V160" s="82" t="str">
        <f>IF(
   COUNTIFS($A$2:A160,A160,
             $B$2:B160,B160,
             $D$2:D160,D160,
             $E$2:E160,E160,
             $F$2:F160,F160,
             $G$2:G160,G160,
             $H$2:H160,H160,
             $L$2:L160,L160)&gt;1,
   "Doublon",
   "Correcte"
)</f>
        <v>Correcte</v>
      </c>
    </row>
    <row r="161" spans="1:22" x14ac:dyDescent="0.25">
      <c r="A161" s="99" t="s">
        <v>2457</v>
      </c>
      <c r="B161" s="16" t="s">
        <v>686</v>
      </c>
      <c r="C161" s="68">
        <v>45930.583136574074</v>
      </c>
      <c r="D161" s="17">
        <v>27</v>
      </c>
      <c r="E161" s="17">
        <v>2</v>
      </c>
      <c r="F161" s="17">
        <v>0</v>
      </c>
      <c r="G161" s="17">
        <v>0</v>
      </c>
      <c r="H161" s="17">
        <v>0</v>
      </c>
      <c r="I161" s="16"/>
      <c r="J161" s="16"/>
      <c r="K161" s="16" t="s">
        <v>664</v>
      </c>
      <c r="L161" s="68">
        <v>45931.583136574074</v>
      </c>
      <c r="M161" s="68" t="str">
        <f t="shared" si="2"/>
        <v>Coupe</v>
      </c>
      <c r="N161" s="68" t="str">
        <f>INDEX(_xlfn.TEXTSPLIT(coupe[[#This Row],[QR Fabrication]],"_"),1,1)</f>
        <v>OF249849</v>
      </c>
      <c r="O161" s="68" t="str">
        <f>INDEX(_xlfn.TEXTSPLIT(coupe[[#This Row],[QR Fabrication]],"_"),1,2)</f>
        <v>CL00884</v>
      </c>
      <c r="P161" s="16" t="str">
        <f>INDEX(_xlfn.TEXTSPLIT(coupe[[#This Row],[QR Fabrication]],"_"),1,3)</f>
        <v>CM-FT0119</v>
      </c>
      <c r="Q161" s="16" t="str">
        <f>INDEX(_xlfn.TEXTSPLIT(coupe[[#This Row],[QR Fabrication]],"_"),1,4)</f>
        <v>ST1020-S20-24-17</v>
      </c>
      <c r="R161" s="16" t="str">
        <f>INDEX(_xlfn.TEXTSPLIT(coupe[[#This Row],[QR Fabrication]],"_"),1,5)</f>
        <v>ST TROPEZ</v>
      </c>
      <c r="S161" s="16" t="str">
        <f>_xlfn.TEXTAFTER(coupe[[#This Row],[QR Fabrication]],"_",5)</f>
        <v>1020</v>
      </c>
      <c r="T161" s="82" t="e">
        <f>_xlfn.XLOOKUP(coupe[[#This Row],[Num OF]],#REF!,#REF!,0)</f>
        <v>#REF!</v>
      </c>
      <c r="U161" s="82" t="e">
        <f>_xlfn.XLOOKUP(coupe[[#This Row],[Num OF]],#REF!,#REF!,0)</f>
        <v>#REF!</v>
      </c>
      <c r="V161" s="82" t="str">
        <f>IF(
   COUNTIFS($A$2:A161,A161,
             $B$2:B161,B161,
             $D$2:D161,D161,
             $E$2:E161,E161,
             $F$2:F161,F161,
             $G$2:G161,G161,
             $H$2:H161,H161,
             $L$2:L161,L161)&gt;1,
   "Doublon",
   "Correcte"
)</f>
        <v>Correcte</v>
      </c>
    </row>
    <row r="162" spans="1:22" x14ac:dyDescent="0.25">
      <c r="A162" s="99" t="s">
        <v>2471</v>
      </c>
      <c r="B162" s="16" t="s">
        <v>684</v>
      </c>
      <c r="C162" s="68">
        <v>45930.61005787037</v>
      </c>
      <c r="D162" s="17">
        <v>20</v>
      </c>
      <c r="E162" s="17">
        <v>0</v>
      </c>
      <c r="F162" s="17">
        <v>0</v>
      </c>
      <c r="G162" s="17">
        <v>0</v>
      </c>
      <c r="H162" s="17">
        <v>0</v>
      </c>
      <c r="I162" s="16"/>
      <c r="J162" s="16"/>
      <c r="K162" s="16" t="s">
        <v>664</v>
      </c>
      <c r="L162" s="68">
        <v>45931.61005787037</v>
      </c>
      <c r="M162" s="68" t="str">
        <f t="shared" si="2"/>
        <v>Coupe</v>
      </c>
      <c r="N162" s="68" t="str">
        <f>INDEX(_xlfn.TEXTSPLIT(coupe[[#This Row],[QR Fabrication]],"_"),1,1)</f>
        <v>OF249798</v>
      </c>
      <c r="O162" s="68" t="str">
        <f>INDEX(_xlfn.TEXTSPLIT(coupe[[#This Row],[QR Fabrication]],"_"),1,2)</f>
        <v>CL00884</v>
      </c>
      <c r="P162" s="16" t="str">
        <f>INDEX(_xlfn.TEXTSPLIT(coupe[[#This Row],[QR Fabrication]],"_"),1,3)</f>
        <v>CM-FT0119</v>
      </c>
      <c r="Q162" s="16" t="str">
        <f>INDEX(_xlfn.TEXTSPLIT(coupe[[#This Row],[QR Fabrication]],"_"),1,4)</f>
        <v>LI1020-B28-01</v>
      </c>
      <c r="R162" s="16" t="str">
        <f>INDEX(_xlfn.TEXTSPLIT(coupe[[#This Row],[QR Fabrication]],"_"),1,5)</f>
        <v>LILI</v>
      </c>
      <c r="S162" s="16" t="str">
        <f>_xlfn.TEXTAFTER(coupe[[#This Row],[QR Fabrication]],"_",5)</f>
        <v>1020</v>
      </c>
      <c r="T162" s="82" t="e">
        <f>_xlfn.XLOOKUP(coupe[[#This Row],[Num OF]],#REF!,#REF!,0)</f>
        <v>#REF!</v>
      </c>
      <c r="U162" s="82" t="e">
        <f>_xlfn.XLOOKUP(coupe[[#This Row],[Num OF]],#REF!,#REF!,0)</f>
        <v>#REF!</v>
      </c>
      <c r="V162" s="82" t="str">
        <f>IF(
   COUNTIFS($A$2:A162,A162,
             $B$2:B162,B162,
             $D$2:D162,D162,
             $E$2:E162,E162,
             $F$2:F162,F162,
             $G$2:G162,G162,
             $H$2:H162,H162,
             $L$2:L162,L162)&gt;1,
   "Doublon",
   "Correcte"
)</f>
        <v>Correcte</v>
      </c>
    </row>
    <row r="163" spans="1:22" x14ac:dyDescent="0.25">
      <c r="A163" s="99" t="s">
        <v>2445</v>
      </c>
      <c r="B163" s="16" t="s">
        <v>684</v>
      </c>
      <c r="C163" s="68">
        <v>45930.652592592596</v>
      </c>
      <c r="D163" s="17">
        <v>31</v>
      </c>
      <c r="E163" s="17">
        <v>0</v>
      </c>
      <c r="F163" s="17">
        <v>1</v>
      </c>
      <c r="G163" s="17">
        <v>0</v>
      </c>
      <c r="H163" s="17">
        <v>0</v>
      </c>
      <c r="I163" s="16"/>
      <c r="J163" s="16"/>
      <c r="K163" s="16" t="s">
        <v>664</v>
      </c>
      <c r="L163" s="68">
        <v>45931.652592592596</v>
      </c>
      <c r="M163" s="68" t="str">
        <f t="shared" si="2"/>
        <v>Coupe</v>
      </c>
      <c r="N163" s="68" t="str">
        <f>INDEX(_xlfn.TEXTSPLIT(coupe[[#This Row],[QR Fabrication]],"_"),1,1)</f>
        <v>OF249809</v>
      </c>
      <c r="O163" s="68" t="str">
        <f>INDEX(_xlfn.TEXTSPLIT(coupe[[#This Row],[QR Fabrication]],"_"),1,2)</f>
        <v>CL00884</v>
      </c>
      <c r="P163" s="16" t="str">
        <f>INDEX(_xlfn.TEXTSPLIT(coupe[[#This Row],[QR Fabrication]],"_"),1,3)</f>
        <v>CM-FT0119</v>
      </c>
      <c r="Q163" s="16" t="str">
        <f>INDEX(_xlfn.TEXTSPLIT(coupe[[#This Row],[QR Fabrication]],"_"),1,4)</f>
        <v>IS1020-B14-01</v>
      </c>
      <c r="R163" s="16" t="str">
        <f>INDEX(_xlfn.TEXTSPLIT(coupe[[#This Row],[QR Fabrication]],"_"),1,5)</f>
        <v>ISTANBUL</v>
      </c>
      <c r="S163" s="16" t="str">
        <f>_xlfn.TEXTAFTER(coupe[[#This Row],[QR Fabrication]],"_",5)</f>
        <v>1020</v>
      </c>
      <c r="T163" s="82" t="e">
        <f>_xlfn.XLOOKUP(coupe[[#This Row],[Num OF]],#REF!,#REF!,0)</f>
        <v>#REF!</v>
      </c>
      <c r="U163" s="82" t="e">
        <f>_xlfn.XLOOKUP(coupe[[#This Row],[Num OF]],#REF!,#REF!,0)</f>
        <v>#REF!</v>
      </c>
      <c r="V163" s="82" t="str">
        <f>IF(
   COUNTIFS($A$2:A163,A163,
             $B$2:B163,B163,
             $D$2:D163,D163,
             $E$2:E163,E163,
             $F$2:F163,F163,
             $G$2:G163,G163,
             $H$2:H163,H163,
             $L$2:L163,L163)&gt;1,
   "Doublon",
   "Correcte"
)</f>
        <v>Correcte</v>
      </c>
    </row>
    <row r="164" spans="1:22" x14ac:dyDescent="0.25">
      <c r="A164" s="99" t="s">
        <v>2570</v>
      </c>
      <c r="B164" s="16" t="s">
        <v>678</v>
      </c>
      <c r="C164" s="68">
        <v>45930.660254629627</v>
      </c>
      <c r="D164" s="17">
        <v>70</v>
      </c>
      <c r="E164" s="17">
        <v>1</v>
      </c>
      <c r="F164" s="17">
        <v>0</v>
      </c>
      <c r="G164" s="17">
        <v>0</v>
      </c>
      <c r="H164" s="17">
        <v>0</v>
      </c>
      <c r="I164" s="16" t="s">
        <v>697</v>
      </c>
      <c r="J164" s="16" t="e" vm="4">
        <v>#VALUE!</v>
      </c>
      <c r="K164" s="16" t="s">
        <v>664</v>
      </c>
      <c r="L164" s="68">
        <v>45931.660254629627</v>
      </c>
      <c r="M164" s="68" t="str">
        <f t="shared" si="2"/>
        <v>Coupe</v>
      </c>
      <c r="N164" s="68" t="str">
        <f>INDEX(_xlfn.TEXTSPLIT(coupe[[#This Row],[QR Fabrication]],"_"),1,1)</f>
        <v>CA250635</v>
      </c>
      <c r="O164" s="68" t="str">
        <f>INDEX(_xlfn.TEXTSPLIT(coupe[[#This Row],[QR Fabrication]],"_"),1,2)</f>
        <v>All by Fouta</v>
      </c>
      <c r="P164" s="16" t="str">
        <f>INDEX(_xlfn.TEXTSPLIT(coupe[[#This Row],[QR Fabrication]],"_"),1,3)</f>
        <v>Stock</v>
      </c>
      <c r="Q164" s="16" t="str">
        <f>INDEX(_xlfn.TEXTSPLIT(coupe[[#This Row],[QR Fabrication]],"_"),1,4)</f>
        <v>EPMA0919-B11-02</v>
      </c>
      <c r="R164" s="16" t="str">
        <f>INDEX(_xlfn.TEXTSPLIT(coupe[[#This Row],[QR Fabrication]],"_"),1,5)</f>
        <v>MARINIERE</v>
      </c>
      <c r="S164" s="16" t="str">
        <f>_xlfn.TEXTAFTER(coupe[[#This Row],[QR Fabrication]],"_",5)</f>
        <v>0919</v>
      </c>
      <c r="T164" s="82" t="e">
        <f>_xlfn.XLOOKUP(coupe[[#This Row],[Num OF]],#REF!,#REF!,0)</f>
        <v>#REF!</v>
      </c>
      <c r="U164" s="82" t="e">
        <f>_xlfn.XLOOKUP(coupe[[#This Row],[Num OF]],#REF!,#REF!,0)</f>
        <v>#REF!</v>
      </c>
      <c r="V164" s="82" t="str">
        <f>IF(
   COUNTIFS($A$2:A164,A164,
             $B$2:B164,B164,
             $D$2:D164,D164,
             $E$2:E164,E164,
             $F$2:F164,F164,
             $G$2:G164,G164,
             $H$2:H164,H164,
             $L$2:L164,L164)&gt;1,
   "Doublon",
   "Correcte"
)</f>
        <v>Correcte</v>
      </c>
    </row>
    <row r="165" spans="1:22" x14ac:dyDescent="0.25">
      <c r="A165" s="99" t="s">
        <v>2482</v>
      </c>
      <c r="B165" s="16" t="s">
        <v>684</v>
      </c>
      <c r="C165" s="68">
        <v>45930.693611111114</v>
      </c>
      <c r="D165" s="17">
        <v>101</v>
      </c>
      <c r="E165" s="17">
        <v>0</v>
      </c>
      <c r="F165" s="17">
        <v>0</v>
      </c>
      <c r="G165" s="17">
        <v>0</v>
      </c>
      <c r="H165" s="17">
        <v>0</v>
      </c>
      <c r="I165" s="16"/>
      <c r="J165" s="16"/>
      <c r="K165" s="16" t="s">
        <v>664</v>
      </c>
      <c r="L165" s="68">
        <v>45931.693611111114</v>
      </c>
      <c r="M165" s="68" t="str">
        <f t="shared" si="2"/>
        <v>Coupe</v>
      </c>
      <c r="N165" s="68" t="str">
        <f>INDEX(_xlfn.TEXTSPLIT(coupe[[#This Row],[QR Fabrication]],"_"),1,1)</f>
        <v>CA250763</v>
      </c>
      <c r="O165" s="68" t="str">
        <f>INDEX(_xlfn.TEXTSPLIT(coupe[[#This Row],[QR Fabrication]],"_"),1,2)</f>
        <v>All by Fouta</v>
      </c>
      <c r="P165" s="16" t="str">
        <f>INDEX(_xlfn.TEXTSPLIT(coupe[[#This Row],[QR Fabrication]],"_"),1,3)</f>
        <v>Stock</v>
      </c>
      <c r="Q165" s="16" t="str">
        <f>INDEX(_xlfn.TEXTSPLIT(coupe[[#This Row],[QR Fabrication]],"_"),1,4)</f>
        <v>PACKSICL0507-B07-16</v>
      </c>
      <c r="R165" s="16" t="str">
        <f>INDEX(_xlfn.TEXTSPLIT(coupe[[#This Row],[QR Fabrication]],"_"),1,5)</f>
        <v>PACK CLASSIQUE</v>
      </c>
      <c r="S165" s="16" t="str">
        <f>_xlfn.TEXTAFTER(coupe[[#This Row],[QR Fabrication]],"_",5)</f>
        <v>0507</v>
      </c>
      <c r="T165" s="82" t="e">
        <f>_xlfn.XLOOKUP(coupe[[#This Row],[Num OF]],#REF!,#REF!,0)</f>
        <v>#REF!</v>
      </c>
      <c r="U165" s="82" t="e">
        <f>_xlfn.XLOOKUP(coupe[[#This Row],[Num OF]],#REF!,#REF!,0)</f>
        <v>#REF!</v>
      </c>
      <c r="V165" s="82" t="str">
        <f>IF(
   COUNTIFS($A$2:A165,A165,
             $B$2:B165,B165,
             $D$2:D165,D165,
             $E$2:E165,E165,
             $F$2:F165,F165,
             $G$2:G165,G165,
             $H$2:H165,H165,
             $L$2:L165,L165)&gt;1,
   "Doublon",
   "Correcte"
)</f>
        <v>Correcte</v>
      </c>
    </row>
    <row r="166" spans="1:22" x14ac:dyDescent="0.25">
      <c r="A166" s="99" t="s">
        <v>2475</v>
      </c>
      <c r="B166" s="16" t="s">
        <v>684</v>
      </c>
      <c r="C166" s="68">
        <v>45930.699270833335</v>
      </c>
      <c r="D166" s="17">
        <v>22</v>
      </c>
      <c r="E166" s="17">
        <v>0</v>
      </c>
      <c r="F166" s="17">
        <v>0</v>
      </c>
      <c r="G166" s="17">
        <v>0</v>
      </c>
      <c r="H166" s="17">
        <v>0</v>
      </c>
      <c r="I166" s="16"/>
      <c r="J166" s="16"/>
      <c r="K166" s="16" t="s">
        <v>664</v>
      </c>
      <c r="L166" s="68">
        <v>45931.699270833335</v>
      </c>
      <c r="M166" s="68" t="str">
        <f t="shared" si="2"/>
        <v>Coupe</v>
      </c>
      <c r="N166" s="68" t="str">
        <f>INDEX(_xlfn.TEXTSPLIT(coupe[[#This Row],[QR Fabrication]],"_"),1,1)</f>
        <v>CA250758</v>
      </c>
      <c r="O166" s="68" t="str">
        <f>INDEX(_xlfn.TEXTSPLIT(coupe[[#This Row],[QR Fabrication]],"_"),1,2)</f>
        <v>All by Fouta</v>
      </c>
      <c r="P166" s="16" t="str">
        <f>INDEX(_xlfn.TEXTSPLIT(coupe[[#This Row],[QR Fabrication]],"_"),1,3)</f>
        <v>Stock</v>
      </c>
      <c r="Q166" s="16" t="str">
        <f>INDEX(_xlfn.TEXTSPLIT(coupe[[#This Row],[QR Fabrication]],"_"),1,4)</f>
        <v>PACKSICL0507-B15-02</v>
      </c>
      <c r="R166" s="16" t="str">
        <f>INDEX(_xlfn.TEXTSPLIT(coupe[[#This Row],[QR Fabrication]],"_"),1,5)</f>
        <v>PACK CLASSIQUE</v>
      </c>
      <c r="S166" s="16" t="str">
        <f>_xlfn.TEXTAFTER(coupe[[#This Row],[QR Fabrication]],"_",5)</f>
        <v>0507</v>
      </c>
      <c r="T166" s="82" t="e">
        <f>_xlfn.XLOOKUP(coupe[[#This Row],[Num OF]],#REF!,#REF!,0)</f>
        <v>#REF!</v>
      </c>
      <c r="U166" s="82" t="e">
        <f>_xlfn.XLOOKUP(coupe[[#This Row],[Num OF]],#REF!,#REF!,0)</f>
        <v>#REF!</v>
      </c>
      <c r="V166" s="82" t="str">
        <f>IF(
   COUNTIFS($A$2:A166,A166,
             $B$2:B166,B166,
             $D$2:D166,D166,
             $E$2:E166,E166,
             $F$2:F166,F166,
             $G$2:G166,G166,
             $H$2:H166,H166,
             $L$2:L166,L166)&gt;1,
   "Doublon",
   "Correcte"
)</f>
        <v>Correcte</v>
      </c>
    </row>
    <row r="167" spans="1:22" x14ac:dyDescent="0.25">
      <c r="A167" s="99" t="s">
        <v>2495</v>
      </c>
      <c r="B167" s="16" t="s">
        <v>684</v>
      </c>
      <c r="C167" s="68">
        <v>45931.381539351853</v>
      </c>
      <c r="D167" s="17">
        <v>23</v>
      </c>
      <c r="E167" s="17">
        <v>0</v>
      </c>
      <c r="F167" s="17">
        <v>2</v>
      </c>
      <c r="G167" s="17">
        <v>0</v>
      </c>
      <c r="H167" s="17">
        <v>0</v>
      </c>
      <c r="I167" s="16"/>
      <c r="J167" s="16"/>
      <c r="K167" s="16" t="s">
        <v>664</v>
      </c>
      <c r="L167" s="68">
        <v>45932.381539351853</v>
      </c>
      <c r="M167" s="68" t="str">
        <f t="shared" si="2"/>
        <v>Coupe</v>
      </c>
      <c r="N167" s="68" t="str">
        <f>INDEX(_xlfn.TEXTSPLIT(coupe[[#This Row],[QR Fabrication]],"_"),1,1)</f>
        <v>CA250052</v>
      </c>
      <c r="O167" s="68" t="str">
        <f>INDEX(_xlfn.TEXTSPLIT(coupe[[#This Row],[QR Fabrication]],"_"),1,2)</f>
        <v>All by Fouta</v>
      </c>
      <c r="P167" s="16" t="str">
        <f>INDEX(_xlfn.TEXTSPLIT(coupe[[#This Row],[QR Fabrication]],"_"),1,3)</f>
        <v>Stock</v>
      </c>
      <c r="Q167" s="16" t="str">
        <f>INDEX(_xlfn.TEXTSPLIT(coupe[[#This Row],[QR Fabrication]],"_"),1,4)</f>
        <v>UNS1626-20</v>
      </c>
      <c r="R167" s="16" t="str">
        <f>INDEX(_xlfn.TEXTSPLIT(coupe[[#This Row],[QR Fabrication]],"_"),1,5)</f>
        <v>UNI SURPIQUE</v>
      </c>
      <c r="S167" s="16" t="str">
        <f>_xlfn.TEXTAFTER(coupe[[#This Row],[QR Fabrication]],"_",5)</f>
        <v>1626</v>
      </c>
      <c r="T167" s="82" t="e">
        <f>_xlfn.XLOOKUP(coupe[[#This Row],[Num OF]],#REF!,#REF!,0)</f>
        <v>#REF!</v>
      </c>
      <c r="U167" s="82" t="e">
        <f>_xlfn.XLOOKUP(coupe[[#This Row],[Num OF]],#REF!,#REF!,0)</f>
        <v>#REF!</v>
      </c>
      <c r="V167" s="82" t="str">
        <f>IF(
   COUNTIFS($A$2:A167,A167,
             $B$2:B167,B167,
             $D$2:D167,D167,
             $E$2:E167,E167,
             $F$2:F167,F167,
             $G$2:G167,G167,
             $H$2:H167,H167,
             $L$2:L167,L167)&gt;1,
   "Doublon",
   "Correcte"
)</f>
        <v>Correcte</v>
      </c>
    </row>
    <row r="168" spans="1:22" x14ac:dyDescent="0.25">
      <c r="A168" s="99" t="s">
        <v>2469</v>
      </c>
      <c r="B168" s="16" t="s">
        <v>684</v>
      </c>
      <c r="C168" s="68">
        <v>45931.39402777778</v>
      </c>
      <c r="D168" s="17">
        <v>15</v>
      </c>
      <c r="E168" s="17">
        <v>1</v>
      </c>
      <c r="F168" s="17">
        <v>2</v>
      </c>
      <c r="G168" s="17">
        <v>0</v>
      </c>
      <c r="H168" s="17">
        <v>0</v>
      </c>
      <c r="I168" s="16" t="s">
        <v>700</v>
      </c>
      <c r="J168" s="16" t="e" vm="5">
        <v>#VALUE!</v>
      </c>
      <c r="K168" s="16" t="s">
        <v>664</v>
      </c>
      <c r="L168" s="68">
        <v>45932.39402777778</v>
      </c>
      <c r="M168" s="68" t="str">
        <f t="shared" si="2"/>
        <v>Coupe</v>
      </c>
      <c r="N168" s="68" t="str">
        <f>INDEX(_xlfn.TEXTSPLIT(coupe[[#This Row],[QR Fabrication]],"_"),1,1)</f>
        <v>CA250056</v>
      </c>
      <c r="O168" s="68" t="str">
        <f>INDEX(_xlfn.TEXTSPLIT(coupe[[#This Row],[QR Fabrication]],"_"),1,2)</f>
        <v>All by Fouta</v>
      </c>
      <c r="P168" s="16" t="str">
        <f>INDEX(_xlfn.TEXTSPLIT(coupe[[#This Row],[QR Fabrication]],"_"),1,3)</f>
        <v>Stock</v>
      </c>
      <c r="Q168" s="16" t="str">
        <f>INDEX(_xlfn.TEXTSPLIT(coupe[[#This Row],[QR Fabrication]],"_"),1,4)</f>
        <v>UNS1626-27</v>
      </c>
      <c r="R168" s="16" t="str">
        <f>INDEX(_xlfn.TEXTSPLIT(coupe[[#This Row],[QR Fabrication]],"_"),1,5)</f>
        <v>UNI SURPIQUE</v>
      </c>
      <c r="S168" s="16" t="str">
        <f>_xlfn.TEXTAFTER(coupe[[#This Row],[QR Fabrication]],"_",5)</f>
        <v>1626</v>
      </c>
      <c r="T168" s="82" t="e">
        <f>_xlfn.XLOOKUP(coupe[[#This Row],[Num OF]],#REF!,#REF!,0)</f>
        <v>#REF!</v>
      </c>
      <c r="U168" s="82" t="e">
        <f>_xlfn.XLOOKUP(coupe[[#This Row],[Num OF]],#REF!,#REF!,0)</f>
        <v>#REF!</v>
      </c>
      <c r="V168" s="82" t="str">
        <f>IF(
   COUNTIFS($A$2:A168,A168,
             $B$2:B168,B168,
             $D$2:D168,D168,
             $E$2:E168,E168,
             $F$2:F168,F168,
             $G$2:G168,G168,
             $H$2:H168,H168,
             $L$2:L168,L168)&gt;1,
   "Doublon",
   "Correcte"
)</f>
        <v>Correcte</v>
      </c>
    </row>
    <row r="169" spans="1:22" x14ac:dyDescent="0.25">
      <c r="A169" s="99" t="s">
        <v>2436</v>
      </c>
      <c r="B169" s="16" t="s">
        <v>684</v>
      </c>
      <c r="C169" s="68">
        <v>45931.412152777775</v>
      </c>
      <c r="D169" s="17">
        <v>8</v>
      </c>
      <c r="E169" s="17">
        <v>0</v>
      </c>
      <c r="F169" s="17">
        <v>2</v>
      </c>
      <c r="G169" s="17">
        <v>0</v>
      </c>
      <c r="H169" s="17">
        <v>0</v>
      </c>
      <c r="I169" s="16"/>
      <c r="J169" s="16"/>
      <c r="K169" s="16" t="s">
        <v>664</v>
      </c>
      <c r="L169" s="68">
        <v>45932.412152777775</v>
      </c>
      <c r="M169" s="68" t="str">
        <f t="shared" si="2"/>
        <v>Coupe</v>
      </c>
      <c r="N169" s="68" t="str">
        <f>INDEX(_xlfn.TEXTSPLIT(coupe[[#This Row],[QR Fabrication]],"_"),1,1)</f>
        <v>CA250051</v>
      </c>
      <c r="O169" s="68" t="str">
        <f>INDEX(_xlfn.TEXTSPLIT(coupe[[#This Row],[QR Fabrication]],"_"),1,2)</f>
        <v>All by Fouta</v>
      </c>
      <c r="P169" s="16" t="str">
        <f>INDEX(_xlfn.TEXTSPLIT(coupe[[#This Row],[QR Fabrication]],"_"),1,3)</f>
        <v>Stock</v>
      </c>
      <c r="Q169" s="16" t="str">
        <f>INDEX(_xlfn.TEXTSPLIT(coupe[[#This Row],[QR Fabrication]],"_"),1,4)</f>
        <v>UNS1626-19</v>
      </c>
      <c r="R169" s="16" t="str">
        <f>INDEX(_xlfn.TEXTSPLIT(coupe[[#This Row],[QR Fabrication]],"_"),1,5)</f>
        <v>UNI SURPIQUE</v>
      </c>
      <c r="S169" s="16" t="str">
        <f>_xlfn.TEXTAFTER(coupe[[#This Row],[QR Fabrication]],"_",5)</f>
        <v>1626</v>
      </c>
      <c r="T169" s="82" t="e">
        <f>_xlfn.XLOOKUP(coupe[[#This Row],[Num OF]],#REF!,#REF!,0)</f>
        <v>#REF!</v>
      </c>
      <c r="U169" s="82" t="e">
        <f>_xlfn.XLOOKUP(coupe[[#This Row],[Num OF]],#REF!,#REF!,0)</f>
        <v>#REF!</v>
      </c>
      <c r="V169" s="82" t="str">
        <f>IF(
   COUNTIFS($A$2:A169,A169,
             $B$2:B169,B169,
             $D$2:D169,D169,
             $E$2:E169,E169,
             $F$2:F169,F169,
             $G$2:G169,G169,
             $H$2:H169,H169,
             $L$2:L169,L169)&gt;1,
   "Doublon",
   "Correcte"
)</f>
        <v>Correcte</v>
      </c>
    </row>
    <row r="170" spans="1:22" x14ac:dyDescent="0.25">
      <c r="A170" s="99" t="s">
        <v>2495</v>
      </c>
      <c r="B170" s="16" t="s">
        <v>684</v>
      </c>
      <c r="C170" s="68">
        <v>45931.414398148147</v>
      </c>
      <c r="D170" s="17">
        <v>8</v>
      </c>
      <c r="E170" s="17">
        <v>0</v>
      </c>
      <c r="F170" s="17">
        <v>0</v>
      </c>
      <c r="G170" s="17">
        <v>0</v>
      </c>
      <c r="H170" s="17">
        <v>0</v>
      </c>
      <c r="I170" s="16"/>
      <c r="J170" s="16"/>
      <c r="K170" s="16" t="s">
        <v>664</v>
      </c>
      <c r="L170" s="68">
        <v>45932.414398148147</v>
      </c>
      <c r="M170" s="68" t="str">
        <f t="shared" si="2"/>
        <v>Coupe</v>
      </c>
      <c r="N170" s="68" t="str">
        <f>INDEX(_xlfn.TEXTSPLIT(coupe[[#This Row],[QR Fabrication]],"_"),1,1)</f>
        <v>CA250052</v>
      </c>
      <c r="O170" s="68" t="str">
        <f>INDEX(_xlfn.TEXTSPLIT(coupe[[#This Row],[QR Fabrication]],"_"),1,2)</f>
        <v>All by Fouta</v>
      </c>
      <c r="P170" s="16" t="str">
        <f>INDEX(_xlfn.TEXTSPLIT(coupe[[#This Row],[QR Fabrication]],"_"),1,3)</f>
        <v>Stock</v>
      </c>
      <c r="Q170" s="16" t="str">
        <f>INDEX(_xlfn.TEXTSPLIT(coupe[[#This Row],[QR Fabrication]],"_"),1,4)</f>
        <v>UNS1626-20</v>
      </c>
      <c r="R170" s="16" t="str">
        <f>INDEX(_xlfn.TEXTSPLIT(coupe[[#This Row],[QR Fabrication]],"_"),1,5)</f>
        <v>UNI SURPIQUE</v>
      </c>
      <c r="S170" s="16" t="str">
        <f>_xlfn.TEXTAFTER(coupe[[#This Row],[QR Fabrication]],"_",5)</f>
        <v>1626</v>
      </c>
      <c r="T170" s="82" t="e">
        <f>_xlfn.XLOOKUP(coupe[[#This Row],[Num OF]],#REF!,#REF!,0)</f>
        <v>#REF!</v>
      </c>
      <c r="U170" s="82" t="e">
        <f>_xlfn.XLOOKUP(coupe[[#This Row],[Num OF]],#REF!,#REF!,0)</f>
        <v>#REF!</v>
      </c>
      <c r="V170" s="82" t="str">
        <f>IF(
   COUNTIFS($A$2:A170,A170,
             $B$2:B170,B170,
             $D$2:D170,D170,
             $E$2:E170,E170,
             $F$2:F170,F170,
             $G$2:G170,G170,
             $H$2:H170,H170,
             $L$2:L170,L170)&gt;1,
   "Doublon",
   "Correcte"
)</f>
        <v>Correcte</v>
      </c>
    </row>
    <row r="171" spans="1:22" x14ac:dyDescent="0.25">
      <c r="A171" s="99" t="s">
        <v>2480</v>
      </c>
      <c r="B171" s="16" t="s">
        <v>686</v>
      </c>
      <c r="C171" s="68">
        <v>45931.447881944441</v>
      </c>
      <c r="D171" s="17">
        <v>58</v>
      </c>
      <c r="E171" s="17">
        <v>1</v>
      </c>
      <c r="F171" s="17">
        <v>2</v>
      </c>
      <c r="G171" s="17">
        <v>0</v>
      </c>
      <c r="H171" s="17">
        <v>0</v>
      </c>
      <c r="I171" s="16" t="s">
        <v>700</v>
      </c>
      <c r="J171" s="16" t="e" vm="6">
        <v>#VALUE!</v>
      </c>
      <c r="K171" s="16" t="s">
        <v>664</v>
      </c>
      <c r="L171" s="68">
        <v>45932.447881944441</v>
      </c>
      <c r="M171" s="68" t="str">
        <f t="shared" si="2"/>
        <v>Coupe</v>
      </c>
      <c r="N171" s="68" t="str">
        <f>INDEX(_xlfn.TEXTSPLIT(coupe[[#This Row],[QR Fabrication]],"_"),1,1)</f>
        <v>OF249816</v>
      </c>
      <c r="O171" s="68" t="str">
        <f>INDEX(_xlfn.TEXTSPLIT(coupe[[#This Row],[QR Fabrication]],"_"),1,2)</f>
        <v>CL00884</v>
      </c>
      <c r="P171" s="16" t="str">
        <f>INDEX(_xlfn.TEXTSPLIT(coupe[[#This Row],[QR Fabrication]],"_"),1,3)</f>
        <v>CM-FT0119</v>
      </c>
      <c r="Q171" s="16" t="str">
        <f>INDEX(_xlfn.TEXTSPLIT(coupe[[#This Row],[QR Fabrication]],"_"),1,4)</f>
        <v>SO1020-Q29-11-14</v>
      </c>
      <c r="R171" s="16" t="str">
        <f>INDEX(_xlfn.TEXTSPLIT(coupe[[#This Row],[QR Fabrication]],"_"),1,5)</f>
        <v>SOUSSE</v>
      </c>
      <c r="S171" s="16" t="str">
        <f>_xlfn.TEXTAFTER(coupe[[#This Row],[QR Fabrication]],"_",5)</f>
        <v>1020</v>
      </c>
      <c r="T171" s="82" t="e">
        <f>_xlfn.XLOOKUP(coupe[[#This Row],[Num OF]],#REF!,#REF!,0)</f>
        <v>#REF!</v>
      </c>
      <c r="U171" s="82" t="e">
        <f>_xlfn.XLOOKUP(coupe[[#This Row],[Num OF]],#REF!,#REF!,0)</f>
        <v>#REF!</v>
      </c>
      <c r="V171" s="82" t="str">
        <f>IF(
   COUNTIFS($A$2:A171,A171,
             $B$2:B171,B171,
             $D$2:D171,D171,
             $E$2:E171,E171,
             $F$2:F171,F171,
             $G$2:G171,G171,
             $H$2:H171,H171,
             $L$2:L171,L171)&gt;1,
   "Doublon",
   "Correcte"
)</f>
        <v>Correcte</v>
      </c>
    </row>
    <row r="172" spans="1:22" x14ac:dyDescent="0.25">
      <c r="A172" s="99" t="s">
        <v>2444</v>
      </c>
      <c r="B172" s="16" t="s">
        <v>684</v>
      </c>
      <c r="C172" s="68">
        <v>45931.491527777776</v>
      </c>
      <c r="D172" s="17">
        <v>26</v>
      </c>
      <c r="E172" s="17">
        <v>0</v>
      </c>
      <c r="F172" s="17">
        <v>1</v>
      </c>
      <c r="G172" s="17">
        <v>0</v>
      </c>
      <c r="H172" s="17">
        <v>0</v>
      </c>
      <c r="I172" s="16"/>
      <c r="J172" s="16"/>
      <c r="K172" s="16" t="s">
        <v>664</v>
      </c>
      <c r="L172" s="68">
        <v>45932.491527777776</v>
      </c>
      <c r="M172" s="68" t="str">
        <f t="shared" si="2"/>
        <v>Coupe</v>
      </c>
      <c r="N172" s="68" t="str">
        <f>INDEX(_xlfn.TEXTSPLIT(coupe[[#This Row],[QR Fabrication]],"_"),1,1)</f>
        <v>CA250019</v>
      </c>
      <c r="O172" s="68" t="str">
        <f>INDEX(_xlfn.TEXTSPLIT(coupe[[#This Row],[QR Fabrication]],"_"),1,2)</f>
        <v>All by Fouta</v>
      </c>
      <c r="P172" s="16" t="str">
        <f>INDEX(_xlfn.TEXTSPLIT(coupe[[#This Row],[QR Fabrication]],"_"),1,3)</f>
        <v>Stock</v>
      </c>
      <c r="Q172" s="16" t="str">
        <f>INDEX(_xlfn.TEXTSPLIT(coupe[[#This Row],[QR Fabrication]],"_"),1,4)</f>
        <v>UNS1020-32</v>
      </c>
      <c r="R172" s="16" t="str">
        <f>INDEX(_xlfn.TEXTSPLIT(coupe[[#This Row],[QR Fabrication]],"_"),1,5)</f>
        <v>UNI SURPIQUE</v>
      </c>
      <c r="S172" s="16" t="str">
        <f>_xlfn.TEXTAFTER(coupe[[#This Row],[QR Fabrication]],"_",5)</f>
        <v>1020</v>
      </c>
      <c r="T172" s="82" t="e">
        <f>_xlfn.XLOOKUP(coupe[[#This Row],[Num OF]],#REF!,#REF!,0)</f>
        <v>#REF!</v>
      </c>
      <c r="U172" s="82" t="e">
        <f>_xlfn.XLOOKUP(coupe[[#This Row],[Num OF]],#REF!,#REF!,0)</f>
        <v>#REF!</v>
      </c>
      <c r="V172" s="82" t="str">
        <f>IF(
   COUNTIFS($A$2:A172,A172,
             $B$2:B172,B172,
             $D$2:D172,D172,
             $E$2:E172,E172,
             $F$2:F172,F172,
             $G$2:G172,G172,
             $H$2:H172,H172,
             $L$2:L172,L172)&gt;1,
   "Doublon",
   "Correcte"
)</f>
        <v>Correcte</v>
      </c>
    </row>
    <row r="173" spans="1:22" x14ac:dyDescent="0.25">
      <c r="A173" s="99" t="s">
        <v>2571</v>
      </c>
      <c r="B173" s="16" t="s">
        <v>678</v>
      </c>
      <c r="C173" s="68">
        <v>45931.627696759257</v>
      </c>
      <c r="D173" s="17">
        <v>70</v>
      </c>
      <c r="E173" s="17">
        <v>2</v>
      </c>
      <c r="F173" s="17">
        <v>0</v>
      </c>
      <c r="G173" s="17">
        <v>0</v>
      </c>
      <c r="H173" s="17">
        <v>0</v>
      </c>
      <c r="I173" s="16" t="s">
        <v>697</v>
      </c>
      <c r="J173" s="16" t="e" vm="7">
        <v>#VALUE!</v>
      </c>
      <c r="K173" s="16" t="s">
        <v>664</v>
      </c>
      <c r="L173" s="68">
        <v>45932.627696759257</v>
      </c>
      <c r="M173" s="68" t="str">
        <f t="shared" si="2"/>
        <v>Coupe</v>
      </c>
      <c r="N173" s="68" t="str">
        <f>INDEX(_xlfn.TEXTSPLIT(coupe[[#This Row],[QR Fabrication]],"_"),1,1)</f>
        <v>OF243179</v>
      </c>
      <c r="O173" s="68" t="str">
        <f>INDEX(_xlfn.TEXTSPLIT(coupe[[#This Row],[QR Fabrication]],"_"),1,2)</f>
        <v>All By Fouta</v>
      </c>
      <c r="P173" s="16" t="str">
        <f>INDEX(_xlfn.TEXTSPLIT(coupe[[#This Row],[QR Fabrication]],"_"),1,3)</f>
        <v>Stock</v>
      </c>
      <c r="Q173" s="16" t="str">
        <f>INDEX(_xlfn.TEXTSPLIT(coupe[[#This Row],[QR Fabrication]],"_"),1,4)</f>
        <v>PONADU-B18-17</v>
      </c>
      <c r="R173" s="16" t="str">
        <f>INDEX(_xlfn.TEXTSPLIT(coupe[[#This Row],[QR Fabrication]],"_"),1,5)</f>
        <v>PONCHO BICOULEUR</v>
      </c>
      <c r="S173" s="16" t="str">
        <f>_xlfn.TEXTAFTER(coupe[[#This Row],[QR Fabrication]],"_",5)</f>
        <v>ADU</v>
      </c>
      <c r="T173" s="82" t="e">
        <f>_xlfn.XLOOKUP(coupe[[#This Row],[Num OF]],#REF!,#REF!,0)</f>
        <v>#REF!</v>
      </c>
      <c r="U173" s="82" t="e">
        <f>_xlfn.XLOOKUP(coupe[[#This Row],[Num OF]],#REF!,#REF!,0)</f>
        <v>#REF!</v>
      </c>
      <c r="V173" s="82" t="str">
        <f>IF(
   COUNTIFS($A$2:A173,A173,
             $B$2:B173,B173,
             $D$2:D173,D173,
             $E$2:E173,E173,
             $F$2:F173,F173,
             $G$2:G173,G173,
             $H$2:H173,H173,
             $L$2:L173,L173)&gt;1,
   "Doublon",
   "Correcte"
)</f>
        <v>Correcte</v>
      </c>
    </row>
    <row r="174" spans="1:22" x14ac:dyDescent="0.25">
      <c r="A174" s="99" t="s">
        <v>2488</v>
      </c>
      <c r="B174" s="16" t="s">
        <v>678</v>
      </c>
      <c r="C174" s="68">
        <v>45931.659328703703</v>
      </c>
      <c r="D174" s="17">
        <v>50</v>
      </c>
      <c r="E174" s="17">
        <v>6</v>
      </c>
      <c r="F174" s="17">
        <v>0</v>
      </c>
      <c r="G174" s="17">
        <v>0</v>
      </c>
      <c r="H174" s="17">
        <v>0</v>
      </c>
      <c r="I174" s="16" t="s">
        <v>697</v>
      </c>
      <c r="J174" s="16" t="e" vm="8">
        <v>#VALUE!</v>
      </c>
      <c r="K174" s="16" t="s">
        <v>664</v>
      </c>
      <c r="L174" s="68">
        <v>45932.659328703703</v>
      </c>
      <c r="M174" s="68" t="str">
        <f t="shared" si="2"/>
        <v>Coupe</v>
      </c>
      <c r="N174" s="68" t="str">
        <f>INDEX(_xlfn.TEXTSPLIT(coupe[[#This Row],[QR Fabrication]],"_"),1,1)</f>
        <v>OF243177</v>
      </c>
      <c r="O174" s="68" t="str">
        <f>INDEX(_xlfn.TEXTSPLIT(coupe[[#This Row],[QR Fabrication]],"_"),1,2)</f>
        <v>All By Fouta</v>
      </c>
      <c r="P174" s="16" t="str">
        <f>INDEX(_xlfn.TEXTSPLIT(coupe[[#This Row],[QR Fabrication]],"_"),1,3)</f>
        <v>Stock</v>
      </c>
      <c r="Q174" s="16" t="str">
        <f>INDEX(_xlfn.TEXTSPLIT(coupe[[#This Row],[QR Fabrication]],"_"),1,4)</f>
        <v>PONADU-B16-10</v>
      </c>
      <c r="R174" s="16" t="str">
        <f>INDEX(_xlfn.TEXTSPLIT(coupe[[#This Row],[QR Fabrication]],"_"),1,5)</f>
        <v>PONCHO BICOULEUR</v>
      </c>
      <c r="S174" s="16" t="str">
        <f>_xlfn.TEXTAFTER(coupe[[#This Row],[QR Fabrication]],"_",5)</f>
        <v>ADU</v>
      </c>
      <c r="T174" s="82" t="e">
        <f>_xlfn.XLOOKUP(coupe[[#This Row],[Num OF]],#REF!,#REF!,0)</f>
        <v>#REF!</v>
      </c>
      <c r="U174" s="82" t="e">
        <f>_xlfn.XLOOKUP(coupe[[#This Row],[Num OF]],#REF!,#REF!,0)</f>
        <v>#REF!</v>
      </c>
      <c r="V174" s="82" t="str">
        <f>IF(
   COUNTIFS($A$2:A174,A174,
             $B$2:B174,B174,
             $D$2:D174,D174,
             $E$2:E174,E174,
             $F$2:F174,F174,
             $G$2:G174,G174,
             $H$2:H174,H174,
             $L$2:L174,L174)&gt;1,
   "Doublon",
   "Correcte"
)</f>
        <v>Correcte</v>
      </c>
    </row>
    <row r="175" spans="1:22" x14ac:dyDescent="0.25">
      <c r="A175" s="99" t="s">
        <v>2489</v>
      </c>
      <c r="B175" s="16" t="s">
        <v>686</v>
      </c>
      <c r="C175" s="68">
        <v>45931.709016203706</v>
      </c>
      <c r="D175" s="17">
        <v>31</v>
      </c>
      <c r="E175" s="17">
        <v>0</v>
      </c>
      <c r="F175" s="17">
        <v>2</v>
      </c>
      <c r="G175" s="17">
        <v>0</v>
      </c>
      <c r="H175" s="17">
        <v>0</v>
      </c>
      <c r="I175" s="16"/>
      <c r="J175" s="16"/>
      <c r="K175" s="16" t="s">
        <v>664</v>
      </c>
      <c r="L175" s="68">
        <v>45932.709016203706</v>
      </c>
      <c r="M175" s="68" t="str">
        <f t="shared" si="2"/>
        <v>Coupe</v>
      </c>
      <c r="N175" s="68" t="str">
        <f>INDEX(_xlfn.TEXTSPLIT(coupe[[#This Row],[QR Fabrication]],"_"),1,1)</f>
        <v>OF249858</v>
      </c>
      <c r="O175" s="68" t="str">
        <f>INDEX(_xlfn.TEXTSPLIT(coupe[[#This Row],[QR Fabrication]],"_"),1,2)</f>
        <v>CL00884</v>
      </c>
      <c r="P175" s="16" t="str">
        <f>INDEX(_xlfn.TEXTSPLIT(coupe[[#This Row],[QR Fabrication]],"_"),1,3)</f>
        <v>CM-FT0119</v>
      </c>
      <c r="Q175" s="16" t="str">
        <f>INDEX(_xlfn.TEXTSPLIT(coupe[[#This Row],[QR Fabrication]],"_"),1,4)</f>
        <v>AR2020-B23-01</v>
      </c>
      <c r="R175" s="16" t="str">
        <f>INDEX(_xlfn.TEXTSPLIT(coupe[[#This Row],[QR Fabrication]],"_"),1,5)</f>
        <v>ARTHUR</v>
      </c>
      <c r="S175" s="16" t="str">
        <f>_xlfn.TEXTAFTER(coupe[[#This Row],[QR Fabrication]],"_",5)</f>
        <v>2020</v>
      </c>
      <c r="T175" s="82" t="e">
        <f>_xlfn.XLOOKUP(coupe[[#This Row],[Num OF]],#REF!,#REF!,0)</f>
        <v>#REF!</v>
      </c>
      <c r="U175" s="82" t="e">
        <f>_xlfn.XLOOKUP(coupe[[#This Row],[Num OF]],#REF!,#REF!,0)</f>
        <v>#REF!</v>
      </c>
      <c r="V175" s="82" t="str">
        <f>IF(
   COUNTIFS($A$2:A175,A175,
             $B$2:B175,B175,
             $D$2:D175,D175,
             $E$2:E175,E175,
             $F$2:F175,F175,
             $G$2:G175,G175,
             $H$2:H175,H175,
             $L$2:L175,L175)&gt;1,
   "Doublon",
   "Correcte"
)</f>
        <v>Correcte</v>
      </c>
    </row>
    <row r="176" spans="1:22" x14ac:dyDescent="0.25">
      <c r="A176" s="99" t="s">
        <v>2491</v>
      </c>
      <c r="B176" s="16" t="s">
        <v>686</v>
      </c>
      <c r="C176" s="68">
        <v>45932.444467592592</v>
      </c>
      <c r="D176" s="17">
        <v>93</v>
      </c>
      <c r="E176" s="17">
        <v>3</v>
      </c>
      <c r="F176" s="17">
        <v>2</v>
      </c>
      <c r="G176" s="17">
        <v>0</v>
      </c>
      <c r="H176" s="17">
        <v>1</v>
      </c>
      <c r="I176" s="16"/>
      <c r="J176" s="16" t="e" vm="9">
        <v>#VALUE!</v>
      </c>
      <c r="K176" s="16" t="s">
        <v>664</v>
      </c>
      <c r="L176" s="68">
        <v>45933.444467592592</v>
      </c>
      <c r="M176" s="68" t="str">
        <f t="shared" si="2"/>
        <v>Coupe</v>
      </c>
      <c r="N176" s="68" t="str">
        <f>INDEX(_xlfn.TEXTSPLIT(coupe[[#This Row],[QR Fabrication]],"_"),1,1)</f>
        <v>OF249946</v>
      </c>
      <c r="O176" s="68" t="str">
        <f>INDEX(_xlfn.TEXTSPLIT(coupe[[#This Row],[QR Fabrication]],"_"),1,2)</f>
        <v>CL00884</v>
      </c>
      <c r="P176" s="16" t="str">
        <f>INDEX(_xlfn.TEXTSPLIT(coupe[[#This Row],[QR Fabrication]],"_"),1,3)</f>
        <v>CM-FT0120</v>
      </c>
      <c r="Q176" s="16" t="str">
        <f>INDEX(_xlfn.TEXTSPLIT(coupe[[#This Row],[QR Fabrication]],"_"),1,4)</f>
        <v>ST1020-S14-16-17</v>
      </c>
      <c r="R176" s="16" t="str">
        <f>INDEX(_xlfn.TEXTSPLIT(coupe[[#This Row],[QR Fabrication]],"_"),1,5)</f>
        <v>ST TROPEZ</v>
      </c>
      <c r="S176" s="16" t="str">
        <f>_xlfn.TEXTAFTER(coupe[[#This Row],[QR Fabrication]],"_",5)</f>
        <v>1020</v>
      </c>
      <c r="T176" s="82" t="e">
        <f>_xlfn.XLOOKUP(coupe[[#This Row],[Num OF]],#REF!,#REF!,0)</f>
        <v>#REF!</v>
      </c>
      <c r="U176" s="82" t="e">
        <f>_xlfn.XLOOKUP(coupe[[#This Row],[Num OF]],#REF!,#REF!,0)</f>
        <v>#REF!</v>
      </c>
      <c r="V176" s="82" t="str">
        <f>IF(
   COUNTIFS($A$2:A176,A176,
             $B$2:B176,B176,
             $D$2:D176,D176,
             $E$2:E176,E176,
             $F$2:F176,F176,
             $G$2:G176,G176,
             $H$2:H176,H176,
             $L$2:L176,L176)&gt;1,
   "Doublon",
   "Correcte"
)</f>
        <v>Correcte</v>
      </c>
    </row>
    <row r="177" spans="1:22" x14ac:dyDescent="0.25">
      <c r="A177" s="99" t="s">
        <v>2445</v>
      </c>
      <c r="B177" s="16" t="s">
        <v>684</v>
      </c>
      <c r="C177" s="68">
        <v>45932.462175925924</v>
      </c>
      <c r="D177" s="17">
        <v>1</v>
      </c>
      <c r="E177" s="17">
        <v>0</v>
      </c>
      <c r="F177" s="17">
        <v>0</v>
      </c>
      <c r="G177" s="17">
        <v>0</v>
      </c>
      <c r="H177" s="17">
        <v>0</v>
      </c>
      <c r="I177" s="16"/>
      <c r="J177" s="16"/>
      <c r="K177" s="16" t="s">
        <v>664</v>
      </c>
      <c r="L177" s="68">
        <v>45933.462175925924</v>
      </c>
      <c r="M177" s="68" t="str">
        <f t="shared" si="2"/>
        <v>Coupe</v>
      </c>
      <c r="N177" s="68" t="str">
        <f>INDEX(_xlfn.TEXTSPLIT(coupe[[#This Row],[QR Fabrication]],"_"),1,1)</f>
        <v>OF249809</v>
      </c>
      <c r="O177" s="68" t="str">
        <f>INDEX(_xlfn.TEXTSPLIT(coupe[[#This Row],[QR Fabrication]],"_"),1,2)</f>
        <v>CL00884</v>
      </c>
      <c r="P177" s="16" t="str">
        <f>INDEX(_xlfn.TEXTSPLIT(coupe[[#This Row],[QR Fabrication]],"_"),1,3)</f>
        <v>CM-FT0119</v>
      </c>
      <c r="Q177" s="16" t="str">
        <f>INDEX(_xlfn.TEXTSPLIT(coupe[[#This Row],[QR Fabrication]],"_"),1,4)</f>
        <v>IS1020-B14-01</v>
      </c>
      <c r="R177" s="16" t="str">
        <f>INDEX(_xlfn.TEXTSPLIT(coupe[[#This Row],[QR Fabrication]],"_"),1,5)</f>
        <v>ISTANBUL</v>
      </c>
      <c r="S177" s="16" t="str">
        <f>_xlfn.TEXTAFTER(coupe[[#This Row],[QR Fabrication]],"_",5)</f>
        <v>1020</v>
      </c>
      <c r="T177" s="82" t="e">
        <f>_xlfn.XLOOKUP(coupe[[#This Row],[Num OF]],#REF!,#REF!,0)</f>
        <v>#REF!</v>
      </c>
      <c r="U177" s="82" t="e">
        <f>_xlfn.XLOOKUP(coupe[[#This Row],[Num OF]],#REF!,#REF!,0)</f>
        <v>#REF!</v>
      </c>
      <c r="V177" s="82" t="str">
        <f>IF(
   COUNTIFS($A$2:A177,A177,
             $B$2:B177,B177,
             $D$2:D177,D177,
             $E$2:E177,E177,
             $F$2:F177,F177,
             $G$2:G177,G177,
             $H$2:H177,H177,
             $L$2:L177,L177)&gt;1,
   "Doublon",
   "Correcte"
)</f>
        <v>Correcte</v>
      </c>
    </row>
    <row r="178" spans="1:22" x14ac:dyDescent="0.25">
      <c r="A178" s="99" t="s">
        <v>2444</v>
      </c>
      <c r="B178" s="16" t="s">
        <v>684</v>
      </c>
      <c r="C178" s="68">
        <v>45932.467847222222</v>
      </c>
      <c r="D178" s="17">
        <v>3</v>
      </c>
      <c r="E178" s="17">
        <v>0</v>
      </c>
      <c r="F178" s="17">
        <v>0</v>
      </c>
      <c r="G178" s="17">
        <v>0</v>
      </c>
      <c r="H178" s="17">
        <v>0</v>
      </c>
      <c r="I178" s="16"/>
      <c r="J178" s="16"/>
      <c r="K178" s="16" t="s">
        <v>664</v>
      </c>
      <c r="L178" s="68">
        <v>45933.467847222222</v>
      </c>
      <c r="M178" s="68" t="str">
        <f t="shared" si="2"/>
        <v>Coupe</v>
      </c>
      <c r="N178" s="68" t="str">
        <f>INDEX(_xlfn.TEXTSPLIT(coupe[[#This Row],[QR Fabrication]],"_"),1,1)</f>
        <v>CA250019</v>
      </c>
      <c r="O178" s="68" t="str">
        <f>INDEX(_xlfn.TEXTSPLIT(coupe[[#This Row],[QR Fabrication]],"_"),1,2)</f>
        <v>All by Fouta</v>
      </c>
      <c r="P178" s="16" t="str">
        <f>INDEX(_xlfn.TEXTSPLIT(coupe[[#This Row],[QR Fabrication]],"_"),1,3)</f>
        <v>Stock</v>
      </c>
      <c r="Q178" s="16" t="str">
        <f>INDEX(_xlfn.TEXTSPLIT(coupe[[#This Row],[QR Fabrication]],"_"),1,4)</f>
        <v>UNS1020-32</v>
      </c>
      <c r="R178" s="16" t="str">
        <f>INDEX(_xlfn.TEXTSPLIT(coupe[[#This Row],[QR Fabrication]],"_"),1,5)</f>
        <v>UNI SURPIQUE</v>
      </c>
      <c r="S178" s="16" t="str">
        <f>_xlfn.TEXTAFTER(coupe[[#This Row],[QR Fabrication]],"_",5)</f>
        <v>1020</v>
      </c>
      <c r="T178" s="82" t="e">
        <f>_xlfn.XLOOKUP(coupe[[#This Row],[Num OF]],#REF!,#REF!,0)</f>
        <v>#REF!</v>
      </c>
      <c r="U178" s="82" t="e">
        <f>_xlfn.XLOOKUP(coupe[[#This Row],[Num OF]],#REF!,#REF!,0)</f>
        <v>#REF!</v>
      </c>
      <c r="V178" s="82" t="str">
        <f>IF(
   COUNTIFS($A$2:A178,A178,
             $B$2:B178,B178,
             $D$2:D178,D178,
             $E$2:E178,E178,
             $F$2:F178,F178,
             $G$2:G178,G178,
             $H$2:H178,H178,
             $L$2:L178,L178)&gt;1,
   "Doublon",
   "Correcte"
)</f>
        <v>Correcte</v>
      </c>
    </row>
    <row r="179" spans="1:22" x14ac:dyDescent="0.25">
      <c r="A179" s="99" t="s">
        <v>2460</v>
      </c>
      <c r="B179" s="16" t="s">
        <v>686</v>
      </c>
      <c r="C179" s="68">
        <v>45932.523854166669</v>
      </c>
      <c r="D179" s="17">
        <v>78</v>
      </c>
      <c r="E179" s="17">
        <v>0</v>
      </c>
      <c r="F179" s="17">
        <v>8</v>
      </c>
      <c r="G179" s="17">
        <v>0</v>
      </c>
      <c r="H179" s="17">
        <v>7</v>
      </c>
      <c r="I179" s="16" t="s">
        <v>701</v>
      </c>
      <c r="J179" s="16" t="e" vm="10">
        <v>#VALUE!</v>
      </c>
      <c r="K179" s="16" t="s">
        <v>664</v>
      </c>
      <c r="L179" s="68">
        <v>45933.523854166669</v>
      </c>
      <c r="M179" s="68" t="str">
        <f t="shared" si="2"/>
        <v>Coupe</v>
      </c>
      <c r="N179" s="68" t="str">
        <f>INDEX(_xlfn.TEXTSPLIT(coupe[[#This Row],[QR Fabrication]],"_"),1,1)</f>
        <v>OF249940</v>
      </c>
      <c r="O179" s="68" t="str">
        <f>INDEX(_xlfn.TEXTSPLIT(coupe[[#This Row],[QR Fabrication]],"_"),1,2)</f>
        <v>CL00884</v>
      </c>
      <c r="P179" s="16" t="str">
        <f>INDEX(_xlfn.TEXTSPLIT(coupe[[#This Row],[QR Fabrication]],"_"),1,3)</f>
        <v>CM-FT0120</v>
      </c>
      <c r="Q179" s="16" t="str">
        <f>INDEX(_xlfn.TEXTSPLIT(coupe[[#This Row],[QR Fabrication]],"_"),1,4)</f>
        <v>FI1020-C28-25-24</v>
      </c>
      <c r="R179" s="16" t="str">
        <f>INDEX(_xlfn.TEXTSPLIT(coupe[[#This Row],[QR Fabrication]],"_"),1,5)</f>
        <v>FIVE</v>
      </c>
      <c r="S179" s="16" t="str">
        <f>_xlfn.TEXTAFTER(coupe[[#This Row],[QR Fabrication]],"_",5)</f>
        <v>1020</v>
      </c>
      <c r="T179" s="82" t="e">
        <f>_xlfn.XLOOKUP(coupe[[#This Row],[Num OF]],#REF!,#REF!,0)</f>
        <v>#REF!</v>
      </c>
      <c r="U179" s="82" t="e">
        <f>_xlfn.XLOOKUP(coupe[[#This Row],[Num OF]],#REF!,#REF!,0)</f>
        <v>#REF!</v>
      </c>
      <c r="V179" s="82" t="str">
        <f>IF(
   COUNTIFS($A$2:A179,A179,
             $B$2:B179,B179,
             $D$2:D179,D179,
             $E$2:E179,E179,
             $F$2:F179,F179,
             $G$2:G179,G179,
             $H$2:H179,H179,
             $L$2:L179,L179)&gt;1,
   "Doublon",
   "Correcte"
)</f>
        <v>Correcte</v>
      </c>
    </row>
    <row r="180" spans="1:22" x14ac:dyDescent="0.25">
      <c r="A180" s="99" t="s">
        <v>2498</v>
      </c>
      <c r="B180" s="16" t="s">
        <v>684</v>
      </c>
      <c r="C180" s="68">
        <v>45932.617314814815</v>
      </c>
      <c r="D180" s="17">
        <v>102</v>
      </c>
      <c r="E180" s="17">
        <v>0</v>
      </c>
      <c r="F180" s="17">
        <v>0</v>
      </c>
      <c r="G180" s="17">
        <v>0</v>
      </c>
      <c r="H180" s="17">
        <v>0</v>
      </c>
      <c r="I180" s="16"/>
      <c r="J180" s="16"/>
      <c r="K180" s="16" t="s">
        <v>664</v>
      </c>
      <c r="L180" s="68">
        <v>45933.617314814815</v>
      </c>
      <c r="M180" s="68" t="str">
        <f t="shared" si="2"/>
        <v>Coupe</v>
      </c>
      <c r="N180" s="68" t="str">
        <f>INDEX(_xlfn.TEXTSPLIT(coupe[[#This Row],[QR Fabrication]],"_"),1,1)</f>
        <v>CA250764</v>
      </c>
      <c r="O180" s="68" t="str">
        <f>INDEX(_xlfn.TEXTSPLIT(coupe[[#This Row],[QR Fabrication]],"_"),1,2)</f>
        <v>All by Fouta</v>
      </c>
      <c r="P180" s="16" t="str">
        <f>INDEX(_xlfn.TEXTSPLIT(coupe[[#This Row],[QR Fabrication]],"_"),1,3)</f>
        <v>Stock</v>
      </c>
      <c r="Q180" s="16" t="str">
        <f>INDEX(_xlfn.TEXTSPLIT(coupe[[#This Row],[QR Fabrication]],"_"),1,4)</f>
        <v>PACKSICL0507-B18-19</v>
      </c>
      <c r="R180" s="16" t="str">
        <f>INDEX(_xlfn.TEXTSPLIT(coupe[[#This Row],[QR Fabrication]],"_"),1,5)</f>
        <v>PACK CLASSIQUE</v>
      </c>
      <c r="S180" s="16" t="str">
        <f>_xlfn.TEXTAFTER(coupe[[#This Row],[QR Fabrication]],"_",5)</f>
        <v>0507</v>
      </c>
      <c r="T180" s="82" t="e">
        <f>_xlfn.XLOOKUP(coupe[[#This Row],[Num OF]],#REF!,#REF!,0)</f>
        <v>#REF!</v>
      </c>
      <c r="U180" s="82" t="e">
        <f>_xlfn.XLOOKUP(coupe[[#This Row],[Num OF]],#REF!,#REF!,0)</f>
        <v>#REF!</v>
      </c>
      <c r="V180" s="82" t="str">
        <f>IF(
   COUNTIFS($A$2:A180,A180,
             $B$2:B180,B180,
             $D$2:D180,D180,
             $E$2:E180,E180,
             $F$2:F180,F180,
             $G$2:G180,G180,
             $H$2:H180,H180,
             $L$2:L180,L180)&gt;1,
   "Doublon",
   "Correcte"
)</f>
        <v>Correcte</v>
      </c>
    </row>
    <row r="181" spans="1:22" x14ac:dyDescent="0.25">
      <c r="A181" s="99" t="s">
        <v>2449</v>
      </c>
      <c r="B181" s="16" t="s">
        <v>686</v>
      </c>
      <c r="C181" s="68">
        <v>45932.633622685185</v>
      </c>
      <c r="D181" s="17">
        <v>1</v>
      </c>
      <c r="E181" s="17">
        <v>0</v>
      </c>
      <c r="F181" s="17">
        <v>0</v>
      </c>
      <c r="G181" s="17">
        <v>0</v>
      </c>
      <c r="H181" s="17">
        <v>0</v>
      </c>
      <c r="I181" s="16"/>
      <c r="J181" s="16"/>
      <c r="K181" s="16" t="s">
        <v>664</v>
      </c>
      <c r="L181" s="68">
        <v>45933.633622685185</v>
      </c>
      <c r="M181" s="68" t="str">
        <f t="shared" si="2"/>
        <v>Coupe</v>
      </c>
      <c r="N181" s="68" t="str">
        <f>INDEX(_xlfn.TEXTSPLIT(coupe[[#This Row],[QR Fabrication]],"_"),1,1)</f>
        <v>CA250024</v>
      </c>
      <c r="O181" s="68" t="str">
        <f>INDEX(_xlfn.TEXTSPLIT(coupe[[#This Row],[QR Fabrication]],"_"),1,2)</f>
        <v>All by Fouta</v>
      </c>
      <c r="P181" s="16" t="str">
        <f>INDEX(_xlfn.TEXTSPLIT(coupe[[#This Row],[QR Fabrication]],"_"),1,3)</f>
        <v>Stock</v>
      </c>
      <c r="Q181" s="16" t="str">
        <f>INDEX(_xlfn.TEXTSPLIT(coupe[[#This Row],[QR Fabrication]],"_"),1,4)</f>
        <v>UNS2020-09</v>
      </c>
      <c r="R181" s="16" t="str">
        <f>INDEX(_xlfn.TEXTSPLIT(coupe[[#This Row],[QR Fabrication]],"_"),1,5)</f>
        <v>UNI SURPIQUE</v>
      </c>
      <c r="S181" s="16" t="str">
        <f>_xlfn.TEXTAFTER(coupe[[#This Row],[QR Fabrication]],"_",5)</f>
        <v>2020</v>
      </c>
      <c r="T181" s="82" t="e">
        <f>_xlfn.XLOOKUP(coupe[[#This Row],[Num OF]],#REF!,#REF!,0)</f>
        <v>#REF!</v>
      </c>
      <c r="U181" s="82" t="e">
        <f>_xlfn.XLOOKUP(coupe[[#This Row],[Num OF]],#REF!,#REF!,0)</f>
        <v>#REF!</v>
      </c>
      <c r="V181" s="82" t="str">
        <f>IF(
   COUNTIFS($A$2:A181,A181,
             $B$2:B181,B181,
             $D$2:D181,D181,
             $E$2:E181,E181,
             $F$2:F181,F181,
             $G$2:G181,G181,
             $H$2:H181,H181,
             $L$2:L181,L181)&gt;1,
   "Doublon",
   "Correcte"
)</f>
        <v>Correcte</v>
      </c>
    </row>
    <row r="182" spans="1:22" x14ac:dyDescent="0.25">
      <c r="A182" s="99" t="s">
        <v>2492</v>
      </c>
      <c r="B182" s="16" t="s">
        <v>686</v>
      </c>
      <c r="C182" s="68">
        <v>45932.703900462962</v>
      </c>
      <c r="D182" s="17">
        <v>94</v>
      </c>
      <c r="E182" s="17">
        <v>0</v>
      </c>
      <c r="F182" s="17">
        <v>2</v>
      </c>
      <c r="G182" s="17">
        <v>0</v>
      </c>
      <c r="H182" s="17">
        <v>0</v>
      </c>
      <c r="I182" s="16" t="s">
        <v>700</v>
      </c>
      <c r="J182" s="16" t="e" vm="11">
        <v>#VALUE!</v>
      </c>
      <c r="K182" s="16" t="s">
        <v>665</v>
      </c>
      <c r="L182" s="68">
        <v>45933.703900462962</v>
      </c>
      <c r="M182" s="68" t="str">
        <f t="shared" si="2"/>
        <v>Coupe</v>
      </c>
      <c r="N182" s="68" t="str">
        <f>INDEX(_xlfn.TEXTSPLIT(coupe[[#This Row],[QR Fabrication]],"_"),1,1)</f>
        <v>OF249880</v>
      </c>
      <c r="O182" s="68" t="str">
        <f>INDEX(_xlfn.TEXTSPLIT(coupe[[#This Row],[QR Fabrication]],"_"),1,2)</f>
        <v>CL00884</v>
      </c>
      <c r="P182" s="16" t="str">
        <f>INDEX(_xlfn.TEXTSPLIT(coupe[[#This Row],[QR Fabrication]],"_"),1,3)</f>
        <v>CM-FT0120</v>
      </c>
      <c r="Q182" s="16" t="str">
        <f>INDEX(_xlfn.TEXTSPLIT(coupe[[#This Row],[QR Fabrication]],"_"),1,4)</f>
        <v>IB1020-B24-01</v>
      </c>
      <c r="R182" s="16" t="str">
        <f>INDEX(_xlfn.TEXTSPLIT(coupe[[#This Row],[QR Fabrication]],"_"),1,5)</f>
        <v>IBIZA</v>
      </c>
      <c r="S182" s="16" t="str">
        <f>_xlfn.TEXTAFTER(coupe[[#This Row],[QR Fabrication]],"_",5)</f>
        <v>1020</v>
      </c>
      <c r="T182" s="82" t="e">
        <f>_xlfn.XLOOKUP(coupe[[#This Row],[Num OF]],#REF!,#REF!,0)</f>
        <v>#REF!</v>
      </c>
      <c r="U182" s="82" t="e">
        <f>_xlfn.XLOOKUP(coupe[[#This Row],[Num OF]],#REF!,#REF!,0)</f>
        <v>#REF!</v>
      </c>
      <c r="V182" s="82" t="str">
        <f>IF(
   COUNTIFS($A$2:A182,A182,
             $B$2:B182,B182,
             $D$2:D182,D182,
             $E$2:E182,E182,
             $F$2:F182,F182,
             $G$2:G182,G182,
             $H$2:H182,H182,
             $L$2:L182,L182)&gt;1,
   "Doublon",
   "Correcte"
)</f>
        <v>Correcte</v>
      </c>
    </row>
    <row r="183" spans="1:22" x14ac:dyDescent="0.25">
      <c r="A183" s="99" t="s">
        <v>2484</v>
      </c>
      <c r="B183" s="16" t="s">
        <v>678</v>
      </c>
      <c r="C183" s="68">
        <v>45932.716226851851</v>
      </c>
      <c r="D183" s="17">
        <v>107</v>
      </c>
      <c r="E183" s="17">
        <v>5</v>
      </c>
      <c r="F183" s="17">
        <v>0</v>
      </c>
      <c r="G183" s="17">
        <v>0</v>
      </c>
      <c r="H183" s="17">
        <v>0</v>
      </c>
      <c r="I183" s="16" t="s">
        <v>697</v>
      </c>
      <c r="J183" s="16" t="e" vm="12">
        <v>#VALUE!</v>
      </c>
      <c r="K183" s="16" t="s">
        <v>665</v>
      </c>
      <c r="L183" s="68">
        <v>45933.716226851851</v>
      </c>
      <c r="M183" s="68" t="str">
        <f t="shared" si="2"/>
        <v>Coupe</v>
      </c>
      <c r="N183" s="68" t="str">
        <f>INDEX(_xlfn.TEXTSPLIT(coupe[[#This Row],[QR Fabrication]],"_"),1,1)</f>
        <v>OF249868</v>
      </c>
      <c r="O183" s="68" t="str">
        <f>INDEX(_xlfn.TEXTSPLIT(coupe[[#This Row],[QR Fabrication]],"_"),1,2)</f>
        <v>CL00884</v>
      </c>
      <c r="P183" s="16" t="str">
        <f>INDEX(_xlfn.TEXTSPLIT(coupe[[#This Row],[QR Fabrication]],"_"),1,3)</f>
        <v>CM-FT0119</v>
      </c>
      <c r="Q183" s="16" t="str">
        <f>INDEX(_xlfn.TEXTSPLIT(coupe[[#This Row],[QR Fabrication]],"_"),1,4)</f>
        <v>EPMA0919-B24-02</v>
      </c>
      <c r="R183" s="16" t="str">
        <f>INDEX(_xlfn.TEXTSPLIT(coupe[[#This Row],[QR Fabrication]],"_"),1,5)</f>
        <v>MARINIERE</v>
      </c>
      <c r="S183" s="16" t="str">
        <f>_xlfn.TEXTAFTER(coupe[[#This Row],[QR Fabrication]],"_",5)</f>
        <v>0919</v>
      </c>
      <c r="T183" s="82" t="e">
        <f>_xlfn.XLOOKUP(coupe[[#This Row],[Num OF]],#REF!,#REF!,0)</f>
        <v>#REF!</v>
      </c>
      <c r="U183" s="82" t="e">
        <f>_xlfn.XLOOKUP(coupe[[#This Row],[Num OF]],#REF!,#REF!,0)</f>
        <v>#REF!</v>
      </c>
      <c r="V183" s="82" t="str">
        <f>IF(
   COUNTIFS($A$2:A183,A183,
             $B$2:B183,B183,
             $D$2:D183,D183,
             $E$2:E183,E183,
             $F$2:F183,F183,
             $G$2:G183,G183,
             $H$2:H183,H183,
             $L$2:L183,L183)&gt;1,
   "Doublon",
   "Correcte"
)</f>
        <v>Correcte</v>
      </c>
    </row>
    <row r="184" spans="1:22" x14ac:dyDescent="0.25">
      <c r="A184" s="99" t="s">
        <v>2485</v>
      </c>
      <c r="B184" s="16" t="s">
        <v>678</v>
      </c>
      <c r="C184" s="68">
        <v>45932.722962962966</v>
      </c>
      <c r="D184" s="17">
        <v>30</v>
      </c>
      <c r="E184" s="17">
        <v>0</v>
      </c>
      <c r="F184" s="17">
        <v>0</v>
      </c>
      <c r="G184" s="17">
        <v>0</v>
      </c>
      <c r="H184" s="17">
        <v>0</v>
      </c>
      <c r="I184" s="16"/>
      <c r="J184" s="16"/>
      <c r="K184" s="16" t="s">
        <v>664</v>
      </c>
      <c r="L184" s="68">
        <v>45933.722962962966</v>
      </c>
      <c r="M184" s="68" t="str">
        <f t="shared" si="2"/>
        <v>Coupe</v>
      </c>
      <c r="N184" s="68" t="str">
        <f>INDEX(_xlfn.TEXTSPLIT(coupe[[#This Row],[QR Fabrication]],"_"),1,1)</f>
        <v>OF249869</v>
      </c>
      <c r="O184" s="68" t="str">
        <f>INDEX(_xlfn.TEXTSPLIT(coupe[[#This Row],[QR Fabrication]],"_"),1,2)</f>
        <v>CL00884</v>
      </c>
      <c r="P184" s="16" t="str">
        <f>INDEX(_xlfn.TEXTSPLIT(coupe[[#This Row],[QR Fabrication]],"_"),1,3)</f>
        <v>CM-FT0119</v>
      </c>
      <c r="Q184" s="16" t="str">
        <f>INDEX(_xlfn.TEXTSPLIT(coupe[[#This Row],[QR Fabrication]],"_"),1,4)</f>
        <v>EPMA0919-B29-02</v>
      </c>
      <c r="R184" s="16" t="str">
        <f>INDEX(_xlfn.TEXTSPLIT(coupe[[#This Row],[QR Fabrication]],"_"),1,5)</f>
        <v>MARINIERE</v>
      </c>
      <c r="S184" s="16" t="str">
        <f>_xlfn.TEXTAFTER(coupe[[#This Row],[QR Fabrication]],"_",5)</f>
        <v>0919</v>
      </c>
      <c r="T184" s="82" t="e">
        <f>_xlfn.XLOOKUP(coupe[[#This Row],[Num OF]],#REF!,#REF!,0)</f>
        <v>#REF!</v>
      </c>
      <c r="U184" s="82" t="e">
        <f>_xlfn.XLOOKUP(coupe[[#This Row],[Num OF]],#REF!,#REF!,0)</f>
        <v>#REF!</v>
      </c>
      <c r="V184" s="82" t="str">
        <f>IF(
   COUNTIFS($A$2:A184,A184,
             $B$2:B184,B184,
             $D$2:D184,D184,
             $E$2:E184,E184,
             $F$2:F184,F184,
             $G$2:G184,G184,
             $H$2:H184,H184,
             $L$2:L184,L184)&gt;1,
   "Doublon",
   "Correcte"
)</f>
        <v>Correcte</v>
      </c>
    </row>
    <row r="185" spans="1:22" x14ac:dyDescent="0.25">
      <c r="A185" s="99" t="s">
        <v>2570</v>
      </c>
      <c r="B185" s="16" t="s">
        <v>678</v>
      </c>
      <c r="C185" s="68">
        <v>45932.725486111114</v>
      </c>
      <c r="D185" s="17">
        <v>5</v>
      </c>
      <c r="E185" s="17">
        <v>0</v>
      </c>
      <c r="F185" s="17">
        <v>0</v>
      </c>
      <c r="G185" s="17">
        <v>0</v>
      </c>
      <c r="H185" s="17">
        <v>0</v>
      </c>
      <c r="I185" s="16"/>
      <c r="J185" s="16"/>
      <c r="K185" s="16" t="s">
        <v>664</v>
      </c>
      <c r="L185" s="68">
        <v>45933.725486111114</v>
      </c>
      <c r="M185" s="68" t="str">
        <f t="shared" si="2"/>
        <v>Coupe</v>
      </c>
      <c r="N185" s="68" t="str">
        <f>INDEX(_xlfn.TEXTSPLIT(coupe[[#This Row],[QR Fabrication]],"_"),1,1)</f>
        <v>CA250635</v>
      </c>
      <c r="O185" s="68" t="str">
        <f>INDEX(_xlfn.TEXTSPLIT(coupe[[#This Row],[QR Fabrication]],"_"),1,2)</f>
        <v>All by Fouta</v>
      </c>
      <c r="P185" s="16" t="str">
        <f>INDEX(_xlfn.TEXTSPLIT(coupe[[#This Row],[QR Fabrication]],"_"),1,3)</f>
        <v>Stock</v>
      </c>
      <c r="Q185" s="16" t="str">
        <f>INDEX(_xlfn.TEXTSPLIT(coupe[[#This Row],[QR Fabrication]],"_"),1,4)</f>
        <v>EPMA0919-B11-02</v>
      </c>
      <c r="R185" s="16" t="str">
        <f>INDEX(_xlfn.TEXTSPLIT(coupe[[#This Row],[QR Fabrication]],"_"),1,5)</f>
        <v>MARINIERE</v>
      </c>
      <c r="S185" s="16" t="str">
        <f>_xlfn.TEXTAFTER(coupe[[#This Row],[QR Fabrication]],"_",5)</f>
        <v>0919</v>
      </c>
      <c r="T185" s="82" t="e">
        <f>_xlfn.XLOOKUP(coupe[[#This Row],[Num OF]],#REF!,#REF!,0)</f>
        <v>#REF!</v>
      </c>
      <c r="U185" s="82" t="e">
        <f>_xlfn.XLOOKUP(coupe[[#This Row],[Num OF]],#REF!,#REF!,0)</f>
        <v>#REF!</v>
      </c>
      <c r="V185" s="82" t="str">
        <f>IF(
   COUNTIFS($A$2:A185,A185,
             $B$2:B185,B185,
             $D$2:D185,D185,
             $E$2:E185,E185,
             $F$2:F185,F185,
             $G$2:G185,G185,
             $H$2:H185,H185,
             $L$2:L185,L185)&gt;1,
   "Doublon",
   "Correcte"
)</f>
        <v>Correcte</v>
      </c>
    </row>
    <row r="186" spans="1:22" x14ac:dyDescent="0.25">
      <c r="A186" s="99" t="s">
        <v>2563</v>
      </c>
      <c r="B186" s="16" t="s">
        <v>684</v>
      </c>
      <c r="C186" s="68">
        <v>45933.450231481482</v>
      </c>
      <c r="D186" s="17">
        <v>55</v>
      </c>
      <c r="E186" s="17">
        <v>2</v>
      </c>
      <c r="F186" s="17">
        <v>0</v>
      </c>
      <c r="G186" s="17">
        <v>0</v>
      </c>
      <c r="H186" s="17">
        <v>0</v>
      </c>
      <c r="I186" s="16"/>
      <c r="J186" s="16"/>
      <c r="K186" s="16" t="s">
        <v>665</v>
      </c>
      <c r="L186" s="68">
        <v>45934.450231481482</v>
      </c>
      <c r="M186" s="68" t="str">
        <f t="shared" si="2"/>
        <v>Coupe</v>
      </c>
      <c r="N186" s="68" t="str">
        <f>INDEX(_xlfn.TEXTSPLIT(coupe[[#This Row],[QR Fabrication]],"_"),1,1)</f>
        <v>CA250016</v>
      </c>
      <c r="O186" s="68" t="str">
        <f>INDEX(_xlfn.TEXTSPLIT(coupe[[#This Row],[QR Fabrication]],"_"),1,2)</f>
        <v>All by Fouta</v>
      </c>
      <c r="P186" s="16" t="str">
        <f>INDEX(_xlfn.TEXTSPLIT(coupe[[#This Row],[QR Fabrication]],"_"),1,3)</f>
        <v>Stock</v>
      </c>
      <c r="Q186" s="16" t="str">
        <f>INDEX(_xlfn.TEXTSPLIT(coupe[[#This Row],[QR Fabrication]],"_"),1,4)</f>
        <v>UNS1020-27</v>
      </c>
      <c r="R186" s="16" t="str">
        <f>INDEX(_xlfn.TEXTSPLIT(coupe[[#This Row],[QR Fabrication]],"_"),1,5)</f>
        <v>UNI SURPIQUE</v>
      </c>
      <c r="S186" s="16" t="str">
        <f>_xlfn.TEXTAFTER(coupe[[#This Row],[QR Fabrication]],"_",5)</f>
        <v>1020</v>
      </c>
      <c r="T186" s="82" t="e">
        <f>_xlfn.XLOOKUP(coupe[[#This Row],[Num OF]],#REF!,#REF!,0)</f>
        <v>#REF!</v>
      </c>
      <c r="U186" s="82" t="e">
        <f>_xlfn.XLOOKUP(coupe[[#This Row],[Num OF]],#REF!,#REF!,0)</f>
        <v>#REF!</v>
      </c>
      <c r="V186" s="82" t="str">
        <f>IF(
   COUNTIFS($A$2:A186,A186,
             $B$2:B186,B186,
             $D$2:D186,D186,
             $E$2:E186,E186,
             $F$2:F186,F186,
             $G$2:G186,G186,
             $H$2:H186,H186,
             $L$2:L186,L186)&gt;1,
   "Doublon",
   "Correcte"
)</f>
        <v>Correcte</v>
      </c>
    </row>
    <row r="187" spans="1:22" x14ac:dyDescent="0.25">
      <c r="A187" s="99" t="s">
        <v>2494</v>
      </c>
      <c r="B187" s="16" t="s">
        <v>684</v>
      </c>
      <c r="C187" s="68">
        <v>45933.484351851854</v>
      </c>
      <c r="D187" s="17">
        <v>27</v>
      </c>
      <c r="E187" s="17">
        <v>0</v>
      </c>
      <c r="F187" s="17">
        <v>1</v>
      </c>
      <c r="G187" s="17">
        <v>0</v>
      </c>
      <c r="H187" s="17">
        <v>0</v>
      </c>
      <c r="I187" s="16" t="s">
        <v>697</v>
      </c>
      <c r="J187" s="16"/>
      <c r="K187" s="16" t="s">
        <v>665</v>
      </c>
      <c r="L187" s="68">
        <v>45934.484351851854</v>
      </c>
      <c r="M187" s="68" t="str">
        <f t="shared" si="2"/>
        <v>Coupe</v>
      </c>
      <c r="N187" s="68" t="str">
        <f>INDEX(_xlfn.TEXTSPLIT(coupe[[#This Row],[QR Fabrication]],"_"),1,1)</f>
        <v>CA250047</v>
      </c>
      <c r="O187" s="68" t="str">
        <f>INDEX(_xlfn.TEXTSPLIT(coupe[[#This Row],[QR Fabrication]],"_"),1,2)</f>
        <v>All by Fouta</v>
      </c>
      <c r="P187" s="16" t="str">
        <f>INDEX(_xlfn.TEXTSPLIT(coupe[[#This Row],[QR Fabrication]],"_"),1,3)</f>
        <v>Stock</v>
      </c>
      <c r="Q187" s="16" t="str">
        <f>INDEX(_xlfn.TEXTSPLIT(coupe[[#This Row],[QR Fabrication]],"_"),1,4)</f>
        <v>UNS1626-13</v>
      </c>
      <c r="R187" s="16" t="str">
        <f>INDEX(_xlfn.TEXTSPLIT(coupe[[#This Row],[QR Fabrication]],"_"),1,5)</f>
        <v>UNI SURPIQUE</v>
      </c>
      <c r="S187" s="16" t="str">
        <f>_xlfn.TEXTAFTER(coupe[[#This Row],[QR Fabrication]],"_",5)</f>
        <v>1626</v>
      </c>
      <c r="T187" s="82" t="e">
        <f>_xlfn.XLOOKUP(coupe[[#This Row],[Num OF]],#REF!,#REF!,0)</f>
        <v>#REF!</v>
      </c>
      <c r="U187" s="82" t="e">
        <f>_xlfn.XLOOKUP(coupe[[#This Row],[Num OF]],#REF!,#REF!,0)</f>
        <v>#REF!</v>
      </c>
      <c r="V187" s="82" t="str">
        <f>IF(
   COUNTIFS($A$2:A187,A187,
             $B$2:B187,B187,
             $D$2:D187,D187,
             $E$2:E187,E187,
             $F$2:F187,F187,
             $G$2:G187,G187,
             $H$2:H187,H187,
             $L$2:L187,L187)&gt;1,
   "Doublon",
   "Correcte"
)</f>
        <v>Correcte</v>
      </c>
    </row>
    <row r="188" spans="1:22" x14ac:dyDescent="0.25">
      <c r="A188" s="99" t="s">
        <v>2563</v>
      </c>
      <c r="B188" s="16" t="s">
        <v>684</v>
      </c>
      <c r="C188" s="68">
        <v>45933.490520833337</v>
      </c>
      <c r="D188" s="17">
        <v>5</v>
      </c>
      <c r="E188" s="17">
        <v>0</v>
      </c>
      <c r="F188" s="17">
        <v>0</v>
      </c>
      <c r="G188" s="17">
        <v>0</v>
      </c>
      <c r="H188" s="17">
        <v>0</v>
      </c>
      <c r="I188" s="16"/>
      <c r="J188" s="16" t="s">
        <v>699</v>
      </c>
      <c r="K188" s="16" t="s">
        <v>665</v>
      </c>
      <c r="L188" s="68">
        <v>45934.490520833337</v>
      </c>
      <c r="M188" s="68" t="str">
        <f t="shared" si="2"/>
        <v>Coupe</v>
      </c>
      <c r="N188" s="68" t="str">
        <f>INDEX(_xlfn.TEXTSPLIT(coupe[[#This Row],[QR Fabrication]],"_"),1,1)</f>
        <v>CA250016</v>
      </c>
      <c r="O188" s="68" t="str">
        <f>INDEX(_xlfn.TEXTSPLIT(coupe[[#This Row],[QR Fabrication]],"_"),1,2)</f>
        <v>All by Fouta</v>
      </c>
      <c r="P188" s="16" t="str">
        <f>INDEX(_xlfn.TEXTSPLIT(coupe[[#This Row],[QR Fabrication]],"_"),1,3)</f>
        <v>Stock</v>
      </c>
      <c r="Q188" s="16" t="str">
        <f>INDEX(_xlfn.TEXTSPLIT(coupe[[#This Row],[QR Fabrication]],"_"),1,4)</f>
        <v>UNS1020-27</v>
      </c>
      <c r="R188" s="16" t="str">
        <f>INDEX(_xlfn.TEXTSPLIT(coupe[[#This Row],[QR Fabrication]],"_"),1,5)</f>
        <v>UNI SURPIQUE</v>
      </c>
      <c r="S188" s="16" t="str">
        <f>_xlfn.TEXTAFTER(coupe[[#This Row],[QR Fabrication]],"_",5)</f>
        <v>1020</v>
      </c>
      <c r="T188" s="82" t="e">
        <f>_xlfn.XLOOKUP(coupe[[#This Row],[Num OF]],#REF!,#REF!,0)</f>
        <v>#REF!</v>
      </c>
      <c r="U188" s="82" t="e">
        <f>_xlfn.XLOOKUP(coupe[[#This Row],[Num OF]],#REF!,#REF!,0)</f>
        <v>#REF!</v>
      </c>
      <c r="V188" s="82" t="str">
        <f>IF(
   COUNTIFS($A$2:A188,A188,
             $B$2:B188,B188,
             $D$2:D188,D188,
             $E$2:E188,E188,
             $F$2:F188,F188,
             $G$2:G188,G188,
             $H$2:H188,H188,
             $L$2:L188,L188)&gt;1,
   "Doublon",
   "Correcte"
)</f>
        <v>Correcte</v>
      </c>
    </row>
    <row r="189" spans="1:22" x14ac:dyDescent="0.25">
      <c r="A189" s="99" t="s">
        <v>2480</v>
      </c>
      <c r="B189" s="16" t="s">
        <v>686</v>
      </c>
      <c r="C189" s="68">
        <v>45933.537754629629</v>
      </c>
      <c r="D189" s="17">
        <v>68</v>
      </c>
      <c r="E189" s="17">
        <v>0</v>
      </c>
      <c r="F189" s="17">
        <v>0</v>
      </c>
      <c r="G189" s="17">
        <v>0</v>
      </c>
      <c r="H189" s="17">
        <v>0</v>
      </c>
      <c r="I189" s="16"/>
      <c r="J189" s="16" t="s">
        <v>699</v>
      </c>
      <c r="K189" s="16" t="s">
        <v>665</v>
      </c>
      <c r="L189" s="68">
        <v>45934.537754629629</v>
      </c>
      <c r="M189" s="68" t="str">
        <f t="shared" si="2"/>
        <v>Coupe</v>
      </c>
      <c r="N189" s="68" t="str">
        <f>INDEX(_xlfn.TEXTSPLIT(coupe[[#This Row],[QR Fabrication]],"_"),1,1)</f>
        <v>OF249816</v>
      </c>
      <c r="O189" s="68" t="str">
        <f>INDEX(_xlfn.TEXTSPLIT(coupe[[#This Row],[QR Fabrication]],"_"),1,2)</f>
        <v>CL00884</v>
      </c>
      <c r="P189" s="16" t="str">
        <f>INDEX(_xlfn.TEXTSPLIT(coupe[[#This Row],[QR Fabrication]],"_"),1,3)</f>
        <v>CM-FT0119</v>
      </c>
      <c r="Q189" s="16" t="str">
        <f>INDEX(_xlfn.TEXTSPLIT(coupe[[#This Row],[QR Fabrication]],"_"),1,4)</f>
        <v>SO1020-Q29-11-14</v>
      </c>
      <c r="R189" s="16" t="str">
        <f>INDEX(_xlfn.TEXTSPLIT(coupe[[#This Row],[QR Fabrication]],"_"),1,5)</f>
        <v>SOUSSE</v>
      </c>
      <c r="S189" s="16" t="str">
        <f>_xlfn.TEXTAFTER(coupe[[#This Row],[QR Fabrication]],"_",5)</f>
        <v>1020</v>
      </c>
      <c r="T189" s="82" t="e">
        <f>_xlfn.XLOOKUP(coupe[[#This Row],[Num OF]],#REF!,#REF!,0)</f>
        <v>#REF!</v>
      </c>
      <c r="U189" s="82" t="e">
        <f>_xlfn.XLOOKUP(coupe[[#This Row],[Num OF]],#REF!,#REF!,0)</f>
        <v>#REF!</v>
      </c>
      <c r="V189" s="82" t="str">
        <f>IF(
   COUNTIFS($A$2:A189,A189,
             $B$2:B189,B189,
             $D$2:D189,D189,
             $E$2:E189,E189,
             $F$2:F189,F189,
             $G$2:G189,G189,
             $H$2:H189,H189,
             $L$2:L189,L189)&gt;1,
   "Doublon",
   "Correcte"
)</f>
        <v>Correcte</v>
      </c>
    </row>
    <row r="190" spans="1:22" x14ac:dyDescent="0.25">
      <c r="A190" s="99" t="s">
        <v>2437</v>
      </c>
      <c r="B190" s="16" t="s">
        <v>686</v>
      </c>
      <c r="C190" s="68">
        <v>45933.573645833334</v>
      </c>
      <c r="D190" s="17">
        <v>31</v>
      </c>
      <c r="E190" s="17">
        <v>2</v>
      </c>
      <c r="F190" s="17">
        <v>2</v>
      </c>
      <c r="G190" s="17">
        <v>0</v>
      </c>
      <c r="H190" s="17">
        <v>0</v>
      </c>
      <c r="I190" s="16" t="s">
        <v>700</v>
      </c>
      <c r="J190" s="16" t="e" vm="13">
        <v>#VALUE!</v>
      </c>
      <c r="K190" s="16" t="s">
        <v>665</v>
      </c>
      <c r="L190" s="68">
        <v>45934.573645833334</v>
      </c>
      <c r="M190" s="68" t="str">
        <f t="shared" si="2"/>
        <v>Coupe</v>
      </c>
      <c r="N190" s="68" t="str">
        <f>INDEX(_xlfn.TEXTSPLIT(coupe[[#This Row],[QR Fabrication]],"_"),1,1)</f>
        <v>CA250035</v>
      </c>
      <c r="O190" s="68" t="str">
        <f>INDEX(_xlfn.TEXTSPLIT(coupe[[#This Row],[QR Fabrication]],"_"),1,2)</f>
        <v>All by Fouta</v>
      </c>
      <c r="P190" s="16" t="str">
        <f>INDEX(_xlfn.TEXTSPLIT(coupe[[#This Row],[QR Fabrication]],"_"),1,3)</f>
        <v>Stock</v>
      </c>
      <c r="Q190" s="16" t="str">
        <f>INDEX(_xlfn.TEXTSPLIT(coupe[[#This Row],[QR Fabrication]],"_"),1,4)</f>
        <v>UNS2020-26</v>
      </c>
      <c r="R190" s="16" t="str">
        <f>INDEX(_xlfn.TEXTSPLIT(coupe[[#This Row],[QR Fabrication]],"_"),1,5)</f>
        <v>UNI SURPIQUE</v>
      </c>
      <c r="S190" s="16" t="str">
        <f>_xlfn.TEXTAFTER(coupe[[#This Row],[QR Fabrication]],"_",5)</f>
        <v>2020</v>
      </c>
      <c r="T190" s="82" t="e">
        <f>_xlfn.XLOOKUP(coupe[[#This Row],[Num OF]],#REF!,#REF!,0)</f>
        <v>#REF!</v>
      </c>
      <c r="U190" s="82" t="e">
        <f>_xlfn.XLOOKUP(coupe[[#This Row],[Num OF]],#REF!,#REF!,0)</f>
        <v>#REF!</v>
      </c>
      <c r="V190" s="82" t="str">
        <f>IF(
   COUNTIFS($A$2:A190,A190,
             $B$2:B190,B190,
             $D$2:D190,D190,
             $E$2:E190,E190,
             $F$2:F190,F190,
             $G$2:G190,G190,
             $H$2:H190,H190,
             $L$2:L190,L190)&gt;1,
   "Doublon",
   "Correcte"
)</f>
        <v>Correcte</v>
      </c>
    </row>
    <row r="191" spans="1:22" x14ac:dyDescent="0.25">
      <c r="A191" s="99" t="s">
        <v>2491</v>
      </c>
      <c r="B191" s="16" t="s">
        <v>686</v>
      </c>
      <c r="C191" s="68">
        <v>45935.391817129632</v>
      </c>
      <c r="D191" s="17">
        <v>92</v>
      </c>
      <c r="E191" s="17">
        <v>0</v>
      </c>
      <c r="F191" s="17">
        <v>0</v>
      </c>
      <c r="G191" s="17">
        <v>0</v>
      </c>
      <c r="H191" s="17">
        <v>4</v>
      </c>
      <c r="I191" s="16" t="s">
        <v>701</v>
      </c>
      <c r="J191" s="16" t="e" vm="14">
        <v>#VALUE!</v>
      </c>
      <c r="K191" s="16" t="s">
        <v>665</v>
      </c>
      <c r="L191" s="68">
        <v>45936.391817129632</v>
      </c>
      <c r="M191" s="68" t="str">
        <f t="shared" si="2"/>
        <v>Coupe</v>
      </c>
      <c r="N191" s="68" t="str">
        <f>INDEX(_xlfn.TEXTSPLIT(coupe[[#This Row],[QR Fabrication]],"_"),1,1)</f>
        <v>OF249946</v>
      </c>
      <c r="O191" s="68" t="str">
        <f>INDEX(_xlfn.TEXTSPLIT(coupe[[#This Row],[QR Fabrication]],"_"),1,2)</f>
        <v>CL00884</v>
      </c>
      <c r="P191" s="16" t="str">
        <f>INDEX(_xlfn.TEXTSPLIT(coupe[[#This Row],[QR Fabrication]],"_"),1,3)</f>
        <v>CM-FT0120</v>
      </c>
      <c r="Q191" s="16" t="str">
        <f>INDEX(_xlfn.TEXTSPLIT(coupe[[#This Row],[QR Fabrication]],"_"),1,4)</f>
        <v>ST1020-S14-16-17</v>
      </c>
      <c r="R191" s="16" t="str">
        <f>INDEX(_xlfn.TEXTSPLIT(coupe[[#This Row],[QR Fabrication]],"_"),1,5)</f>
        <v>ST TROPEZ</v>
      </c>
      <c r="S191" s="16" t="str">
        <f>_xlfn.TEXTAFTER(coupe[[#This Row],[QR Fabrication]],"_",5)</f>
        <v>1020</v>
      </c>
      <c r="T191" s="82" t="e">
        <f>_xlfn.XLOOKUP(coupe[[#This Row],[Num OF]],#REF!,#REF!,0)</f>
        <v>#REF!</v>
      </c>
      <c r="U191" s="82" t="e">
        <f>_xlfn.XLOOKUP(coupe[[#This Row],[Num OF]],#REF!,#REF!,0)</f>
        <v>#REF!</v>
      </c>
      <c r="V191" s="82" t="str">
        <f>IF(
   COUNTIFS($A$2:A191,A191,
             $B$2:B191,B191,
             $D$2:D191,D191,
             $E$2:E191,E191,
             $F$2:F191,F191,
             $G$2:G191,G191,
             $H$2:H191,H191,
             $L$2:L191,L191)&gt;1,
   "Doublon",
   "Correcte"
)</f>
        <v>Correcte</v>
      </c>
    </row>
    <row r="192" spans="1:22" x14ac:dyDescent="0.25">
      <c r="A192" s="99" t="s">
        <v>2438</v>
      </c>
      <c r="B192" s="16" t="s">
        <v>686</v>
      </c>
      <c r="C192" s="68">
        <v>45935.397986111115</v>
      </c>
      <c r="D192" s="17">
        <v>7</v>
      </c>
      <c r="E192" s="17">
        <v>0</v>
      </c>
      <c r="F192" s="17">
        <v>0</v>
      </c>
      <c r="G192" s="17">
        <v>0</v>
      </c>
      <c r="H192" s="17">
        <v>0</v>
      </c>
      <c r="I192" s="16"/>
      <c r="J192" s="16" t="s">
        <v>699</v>
      </c>
      <c r="K192" s="16" t="s">
        <v>665</v>
      </c>
      <c r="L192" s="68">
        <v>45936.397986111115</v>
      </c>
      <c r="M192" s="68" t="str">
        <f t="shared" si="2"/>
        <v>Coupe</v>
      </c>
      <c r="N192" s="68" t="str">
        <f>INDEX(_xlfn.TEXTSPLIT(coupe[[#This Row],[QR Fabrication]],"_"),1,1)</f>
        <v>CA250034</v>
      </c>
      <c r="O192" s="68" t="str">
        <f>INDEX(_xlfn.TEXTSPLIT(coupe[[#This Row],[QR Fabrication]],"_"),1,2)</f>
        <v>All by Fouta</v>
      </c>
      <c r="P192" s="16" t="str">
        <f>INDEX(_xlfn.TEXTSPLIT(coupe[[#This Row],[QR Fabrication]],"_"),1,3)</f>
        <v>Stock</v>
      </c>
      <c r="Q192" s="16" t="str">
        <f>INDEX(_xlfn.TEXTSPLIT(coupe[[#This Row],[QR Fabrication]],"_"),1,4)</f>
        <v>UNS2020-24</v>
      </c>
      <c r="R192" s="16" t="str">
        <f>INDEX(_xlfn.TEXTSPLIT(coupe[[#This Row],[QR Fabrication]],"_"),1,5)</f>
        <v>UNI SURPIQUE</v>
      </c>
      <c r="S192" s="16" t="str">
        <f>_xlfn.TEXTAFTER(coupe[[#This Row],[QR Fabrication]],"_",5)</f>
        <v>2020</v>
      </c>
      <c r="T192" s="82" t="e">
        <f>_xlfn.XLOOKUP(coupe[[#This Row],[Num OF]],#REF!,#REF!,0)</f>
        <v>#REF!</v>
      </c>
      <c r="U192" s="82" t="e">
        <f>_xlfn.XLOOKUP(coupe[[#This Row],[Num OF]],#REF!,#REF!,0)</f>
        <v>#REF!</v>
      </c>
      <c r="V192" s="82" t="str">
        <f>IF(
   COUNTIFS($A$2:A192,A192,
             $B$2:B192,B192,
             $D$2:D192,D192,
             $E$2:E192,E192,
             $F$2:F192,F192,
             $G$2:G192,G192,
             $H$2:H192,H192,
             $L$2:L192,L192)&gt;1,
   "Doublon",
   "Correcte"
)</f>
        <v>Correcte</v>
      </c>
    </row>
    <row r="193" spans="1:22" x14ac:dyDescent="0.25">
      <c r="A193" s="99" t="s">
        <v>2499</v>
      </c>
      <c r="B193" s="16" t="s">
        <v>684</v>
      </c>
      <c r="C193" s="68">
        <v>45935.459756944445</v>
      </c>
      <c r="D193" s="17">
        <v>99</v>
      </c>
      <c r="E193" s="17">
        <v>0</v>
      </c>
      <c r="F193" s="17">
        <v>0</v>
      </c>
      <c r="G193" s="17">
        <v>0</v>
      </c>
      <c r="H193" s="17">
        <v>0</v>
      </c>
      <c r="I193" s="16"/>
      <c r="J193" s="16" t="s">
        <v>699</v>
      </c>
      <c r="K193" s="16" t="s">
        <v>665</v>
      </c>
      <c r="L193" s="68">
        <v>45936.459756944445</v>
      </c>
      <c r="M193" s="68" t="str">
        <f t="shared" si="2"/>
        <v>Coupe</v>
      </c>
      <c r="N193" s="68" t="str">
        <f>INDEX(_xlfn.TEXTSPLIT(coupe[[#This Row],[QR Fabrication]],"_"),1,1)</f>
        <v>CA250756</v>
      </c>
      <c r="O193" s="68" t="str">
        <f>INDEX(_xlfn.TEXTSPLIT(coupe[[#This Row],[QR Fabrication]],"_"),1,2)</f>
        <v>All by Fouta</v>
      </c>
      <c r="P193" s="16" t="str">
        <f>INDEX(_xlfn.TEXTSPLIT(coupe[[#This Row],[QR Fabrication]],"_"),1,3)</f>
        <v>Stock</v>
      </c>
      <c r="Q193" s="16" t="str">
        <f>INDEX(_xlfn.TEXTSPLIT(coupe[[#This Row],[QR Fabrication]],"_"),1,4)</f>
        <v>PACKSICL0507-B10-25</v>
      </c>
      <c r="R193" s="16" t="str">
        <f>INDEX(_xlfn.TEXTSPLIT(coupe[[#This Row],[QR Fabrication]],"_"),1,5)</f>
        <v>PACK CLASSIQUE</v>
      </c>
      <c r="S193" s="16" t="str">
        <f>_xlfn.TEXTAFTER(coupe[[#This Row],[QR Fabrication]],"_",5)</f>
        <v>0507</v>
      </c>
      <c r="T193" s="82" t="e">
        <f>_xlfn.XLOOKUP(coupe[[#This Row],[Num OF]],#REF!,#REF!,0)</f>
        <v>#REF!</v>
      </c>
      <c r="U193" s="82" t="e">
        <f>_xlfn.XLOOKUP(coupe[[#This Row],[Num OF]],#REF!,#REF!,0)</f>
        <v>#REF!</v>
      </c>
      <c r="V193" s="82" t="str">
        <f>IF(
   COUNTIFS($A$2:A193,A193,
             $B$2:B193,B193,
             $D$2:D193,D193,
             $E$2:E193,E193,
             $F$2:F193,F193,
             $G$2:G193,G193,
             $H$2:H193,H193,
             $L$2:L193,L193)&gt;1,
   "Doublon",
   "Correcte"
)</f>
        <v>Correcte</v>
      </c>
    </row>
    <row r="194" spans="1:22" x14ac:dyDescent="0.25">
      <c r="A194" s="99" t="s">
        <v>2491</v>
      </c>
      <c r="B194" s="16" t="s">
        <v>702</v>
      </c>
      <c r="C194" s="68">
        <v>45935.647546296299</v>
      </c>
      <c r="D194" s="17">
        <v>55</v>
      </c>
      <c r="E194" s="17">
        <v>0</v>
      </c>
      <c r="F194" s="17">
        <v>0</v>
      </c>
      <c r="G194" s="17">
        <v>0</v>
      </c>
      <c r="H194" s="17">
        <v>0</v>
      </c>
      <c r="I194" s="16"/>
      <c r="J194" s="16" t="s">
        <v>699</v>
      </c>
      <c r="K194" s="16" t="s">
        <v>665</v>
      </c>
      <c r="L194" s="68">
        <v>45936.647546296299</v>
      </c>
      <c r="M194" s="68" t="str">
        <f t="shared" ref="M194:M257" si="3">"Coupe"</f>
        <v>Coupe</v>
      </c>
      <c r="N194" s="68" t="str">
        <f>INDEX(_xlfn.TEXTSPLIT(coupe[[#This Row],[QR Fabrication]],"_"),1,1)</f>
        <v>OF249946</v>
      </c>
      <c r="O194" s="68" t="str">
        <f>INDEX(_xlfn.TEXTSPLIT(coupe[[#This Row],[QR Fabrication]],"_"),1,2)</f>
        <v>CL00884</v>
      </c>
      <c r="P194" s="16" t="str">
        <f>INDEX(_xlfn.TEXTSPLIT(coupe[[#This Row],[QR Fabrication]],"_"),1,3)</f>
        <v>CM-FT0120</v>
      </c>
      <c r="Q194" s="16" t="str">
        <f>INDEX(_xlfn.TEXTSPLIT(coupe[[#This Row],[QR Fabrication]],"_"),1,4)</f>
        <v>ST1020-S14-16-17</v>
      </c>
      <c r="R194" s="16" t="str">
        <f>INDEX(_xlfn.TEXTSPLIT(coupe[[#This Row],[QR Fabrication]],"_"),1,5)</f>
        <v>ST TROPEZ</v>
      </c>
      <c r="S194" s="16" t="str">
        <f>_xlfn.TEXTAFTER(coupe[[#This Row],[QR Fabrication]],"_",5)</f>
        <v>1020</v>
      </c>
      <c r="T194" s="82" t="e">
        <f>_xlfn.XLOOKUP(coupe[[#This Row],[Num OF]],#REF!,#REF!,0)</f>
        <v>#REF!</v>
      </c>
      <c r="U194" s="82" t="e">
        <f>_xlfn.XLOOKUP(coupe[[#This Row],[Num OF]],#REF!,#REF!,0)</f>
        <v>#REF!</v>
      </c>
      <c r="V194" s="82" t="str">
        <f>IF(
   COUNTIFS($A$2:A194,A194,
             $B$2:B194,B194,
             $D$2:D194,D194,
             $E$2:E194,E194,
             $F$2:F194,F194,
             $G$2:G194,G194,
             $H$2:H194,H194,
             $L$2:L194,L194)&gt;1,
   "Doublon",
   "Correcte"
)</f>
        <v>Correcte</v>
      </c>
    </row>
    <row r="195" spans="1:22" x14ac:dyDescent="0.25">
      <c r="A195" s="99" t="s">
        <v>2480</v>
      </c>
      <c r="B195" s="16" t="s">
        <v>702</v>
      </c>
      <c r="C195" s="68">
        <v>45935.664259259262</v>
      </c>
      <c r="D195" s="17">
        <v>38</v>
      </c>
      <c r="E195" s="17">
        <v>0</v>
      </c>
      <c r="F195" s="17">
        <v>0</v>
      </c>
      <c r="G195" s="17">
        <v>0</v>
      </c>
      <c r="H195" s="17">
        <v>0</v>
      </c>
      <c r="I195" s="16"/>
      <c r="J195" s="16" t="s">
        <v>699</v>
      </c>
      <c r="K195" s="16" t="s">
        <v>665</v>
      </c>
      <c r="L195" s="68">
        <v>45936.664259259262</v>
      </c>
      <c r="M195" s="68" t="str">
        <f t="shared" si="3"/>
        <v>Coupe</v>
      </c>
      <c r="N195" s="68" t="str">
        <f>INDEX(_xlfn.TEXTSPLIT(coupe[[#This Row],[QR Fabrication]],"_"),1,1)</f>
        <v>OF249816</v>
      </c>
      <c r="O195" s="68" t="str">
        <f>INDEX(_xlfn.TEXTSPLIT(coupe[[#This Row],[QR Fabrication]],"_"),1,2)</f>
        <v>CL00884</v>
      </c>
      <c r="P195" s="16" t="str">
        <f>INDEX(_xlfn.TEXTSPLIT(coupe[[#This Row],[QR Fabrication]],"_"),1,3)</f>
        <v>CM-FT0119</v>
      </c>
      <c r="Q195" s="16" t="str">
        <f>INDEX(_xlfn.TEXTSPLIT(coupe[[#This Row],[QR Fabrication]],"_"),1,4)</f>
        <v>SO1020-Q29-11-14</v>
      </c>
      <c r="R195" s="16" t="str">
        <f>INDEX(_xlfn.TEXTSPLIT(coupe[[#This Row],[QR Fabrication]],"_"),1,5)</f>
        <v>SOUSSE</v>
      </c>
      <c r="S195" s="16" t="str">
        <f>_xlfn.TEXTAFTER(coupe[[#This Row],[QR Fabrication]],"_",5)</f>
        <v>1020</v>
      </c>
      <c r="T195" s="82" t="e">
        <f>_xlfn.XLOOKUP(coupe[[#This Row],[Num OF]],#REF!,#REF!,0)</f>
        <v>#REF!</v>
      </c>
      <c r="U195" s="82" t="e">
        <f>_xlfn.XLOOKUP(coupe[[#This Row],[Num OF]],#REF!,#REF!,0)</f>
        <v>#REF!</v>
      </c>
      <c r="V195" s="82" t="str">
        <f>IF(
   COUNTIFS($A$2:A195,A195,
             $B$2:B195,B195,
             $D$2:D195,D195,
             $E$2:E195,E195,
             $F$2:F195,F195,
             $G$2:G195,G195,
             $H$2:H195,H195,
             $L$2:L195,L195)&gt;1,
   "Doublon",
   "Correcte"
)</f>
        <v>Correcte</v>
      </c>
    </row>
    <row r="196" spans="1:22" x14ac:dyDescent="0.25">
      <c r="A196" s="99" t="s">
        <v>2489</v>
      </c>
      <c r="B196" s="16" t="s">
        <v>686</v>
      </c>
      <c r="C196" s="68">
        <v>45935.672662037039</v>
      </c>
      <c r="D196" s="17">
        <v>18</v>
      </c>
      <c r="E196" s="17">
        <v>0</v>
      </c>
      <c r="F196" s="17">
        <v>0</v>
      </c>
      <c r="G196" s="17">
        <v>0</v>
      </c>
      <c r="H196" s="17">
        <v>0</v>
      </c>
      <c r="I196" s="16"/>
      <c r="J196" s="16" t="s">
        <v>699</v>
      </c>
      <c r="K196" s="16" t="s">
        <v>665</v>
      </c>
      <c r="L196" s="68">
        <v>45936.672662037039</v>
      </c>
      <c r="M196" s="68" t="str">
        <f t="shared" si="3"/>
        <v>Coupe</v>
      </c>
      <c r="N196" s="68" t="str">
        <f>INDEX(_xlfn.TEXTSPLIT(coupe[[#This Row],[QR Fabrication]],"_"),1,1)</f>
        <v>OF249858</v>
      </c>
      <c r="O196" s="68" t="str">
        <f>INDEX(_xlfn.TEXTSPLIT(coupe[[#This Row],[QR Fabrication]],"_"),1,2)</f>
        <v>CL00884</v>
      </c>
      <c r="P196" s="16" t="str">
        <f>INDEX(_xlfn.TEXTSPLIT(coupe[[#This Row],[QR Fabrication]],"_"),1,3)</f>
        <v>CM-FT0119</v>
      </c>
      <c r="Q196" s="16" t="str">
        <f>INDEX(_xlfn.TEXTSPLIT(coupe[[#This Row],[QR Fabrication]],"_"),1,4)</f>
        <v>AR2020-B23-01</v>
      </c>
      <c r="R196" s="16" t="str">
        <f>INDEX(_xlfn.TEXTSPLIT(coupe[[#This Row],[QR Fabrication]],"_"),1,5)</f>
        <v>ARTHUR</v>
      </c>
      <c r="S196" s="16" t="str">
        <f>_xlfn.TEXTAFTER(coupe[[#This Row],[QR Fabrication]],"_",5)</f>
        <v>2020</v>
      </c>
      <c r="T196" s="82" t="e">
        <f>_xlfn.XLOOKUP(coupe[[#This Row],[Num OF]],#REF!,#REF!,0)</f>
        <v>#REF!</v>
      </c>
      <c r="U196" s="82" t="e">
        <f>_xlfn.XLOOKUP(coupe[[#This Row],[Num OF]],#REF!,#REF!,0)</f>
        <v>#REF!</v>
      </c>
      <c r="V196" s="82" t="str">
        <f>IF(
   COUNTIFS($A$2:A196,A196,
             $B$2:B196,B196,
             $D$2:D196,D196,
             $E$2:E196,E196,
             $F$2:F196,F196,
             $G$2:G196,G196,
             $H$2:H196,H196,
             $L$2:L196,L196)&gt;1,
   "Doublon",
   "Correcte"
)</f>
        <v>Correcte</v>
      </c>
    </row>
    <row r="197" spans="1:22" x14ac:dyDescent="0.25">
      <c r="A197" s="99" t="s">
        <v>2438</v>
      </c>
      <c r="B197" s="16" t="s">
        <v>702</v>
      </c>
      <c r="C197" s="68">
        <v>45935.682905092595</v>
      </c>
      <c r="D197" s="17">
        <v>23</v>
      </c>
      <c r="E197" s="17">
        <v>0</v>
      </c>
      <c r="F197" s="17">
        <v>0</v>
      </c>
      <c r="G197" s="17">
        <v>0</v>
      </c>
      <c r="H197" s="17">
        <v>0</v>
      </c>
      <c r="I197" s="16"/>
      <c r="J197" s="16" t="s">
        <v>699</v>
      </c>
      <c r="K197" s="16" t="s">
        <v>665</v>
      </c>
      <c r="L197" s="68">
        <v>45936.682905092595</v>
      </c>
      <c r="M197" s="68" t="str">
        <f t="shared" si="3"/>
        <v>Coupe</v>
      </c>
      <c r="N197" s="68" t="str">
        <f>INDEX(_xlfn.TEXTSPLIT(coupe[[#This Row],[QR Fabrication]],"_"),1,1)</f>
        <v>CA250034</v>
      </c>
      <c r="O197" s="68" t="str">
        <f>INDEX(_xlfn.TEXTSPLIT(coupe[[#This Row],[QR Fabrication]],"_"),1,2)</f>
        <v>All by Fouta</v>
      </c>
      <c r="P197" s="16" t="str">
        <f>INDEX(_xlfn.TEXTSPLIT(coupe[[#This Row],[QR Fabrication]],"_"),1,3)</f>
        <v>Stock</v>
      </c>
      <c r="Q197" s="16" t="str">
        <f>INDEX(_xlfn.TEXTSPLIT(coupe[[#This Row],[QR Fabrication]],"_"),1,4)</f>
        <v>UNS2020-24</v>
      </c>
      <c r="R197" s="16" t="str">
        <f>INDEX(_xlfn.TEXTSPLIT(coupe[[#This Row],[QR Fabrication]],"_"),1,5)</f>
        <v>UNI SURPIQUE</v>
      </c>
      <c r="S197" s="16" t="str">
        <f>_xlfn.TEXTAFTER(coupe[[#This Row],[QR Fabrication]],"_",5)</f>
        <v>2020</v>
      </c>
      <c r="T197" s="82" t="e">
        <f>_xlfn.XLOOKUP(coupe[[#This Row],[Num OF]],#REF!,#REF!,0)</f>
        <v>#REF!</v>
      </c>
      <c r="U197" s="82" t="e">
        <f>_xlfn.XLOOKUP(coupe[[#This Row],[Num OF]],#REF!,#REF!,0)</f>
        <v>#REF!</v>
      </c>
      <c r="V197" s="82" t="str">
        <f>IF(
   COUNTIFS($A$2:A197,A197,
             $B$2:B197,B197,
             $D$2:D197,D197,
             $E$2:E197,E197,
             $F$2:F197,F197,
             $G$2:G197,G197,
             $H$2:H197,H197,
             $L$2:L197,L197)&gt;1,
   "Doublon",
   "Correcte"
)</f>
        <v>Correcte</v>
      </c>
    </row>
    <row r="198" spans="1:22" x14ac:dyDescent="0.25">
      <c r="A198" s="99" t="s">
        <v>2492</v>
      </c>
      <c r="B198" s="16" t="s">
        <v>686</v>
      </c>
      <c r="C198" s="68">
        <v>45935.69630787037</v>
      </c>
      <c r="D198" s="17">
        <v>29</v>
      </c>
      <c r="E198" s="17">
        <v>0</v>
      </c>
      <c r="F198" s="17">
        <v>0</v>
      </c>
      <c r="G198" s="17">
        <v>0</v>
      </c>
      <c r="H198" s="17">
        <v>0</v>
      </c>
      <c r="I198" s="16"/>
      <c r="J198" s="16" t="s">
        <v>699</v>
      </c>
      <c r="K198" s="16" t="s">
        <v>665</v>
      </c>
      <c r="L198" s="68">
        <v>45936.69630787037</v>
      </c>
      <c r="M198" s="68" t="str">
        <f t="shared" si="3"/>
        <v>Coupe</v>
      </c>
      <c r="N198" s="68" t="str">
        <f>INDEX(_xlfn.TEXTSPLIT(coupe[[#This Row],[QR Fabrication]],"_"),1,1)</f>
        <v>OF249880</v>
      </c>
      <c r="O198" s="68" t="str">
        <f>INDEX(_xlfn.TEXTSPLIT(coupe[[#This Row],[QR Fabrication]],"_"),1,2)</f>
        <v>CL00884</v>
      </c>
      <c r="P198" s="16" t="str">
        <f>INDEX(_xlfn.TEXTSPLIT(coupe[[#This Row],[QR Fabrication]],"_"),1,3)</f>
        <v>CM-FT0120</v>
      </c>
      <c r="Q198" s="16" t="str">
        <f>INDEX(_xlfn.TEXTSPLIT(coupe[[#This Row],[QR Fabrication]],"_"),1,4)</f>
        <v>IB1020-B24-01</v>
      </c>
      <c r="R198" s="16" t="str">
        <f>INDEX(_xlfn.TEXTSPLIT(coupe[[#This Row],[QR Fabrication]],"_"),1,5)</f>
        <v>IBIZA</v>
      </c>
      <c r="S198" s="16" t="str">
        <f>_xlfn.TEXTAFTER(coupe[[#This Row],[QR Fabrication]],"_",5)</f>
        <v>1020</v>
      </c>
      <c r="T198" s="82" t="e">
        <f>_xlfn.XLOOKUP(coupe[[#This Row],[Num OF]],#REF!,#REF!,0)</f>
        <v>#REF!</v>
      </c>
      <c r="U198" s="82" t="e">
        <f>_xlfn.XLOOKUP(coupe[[#This Row],[Num OF]],#REF!,#REF!,0)</f>
        <v>#REF!</v>
      </c>
      <c r="V198" s="82" t="str">
        <f>IF(
   COUNTIFS($A$2:A198,A198,
             $B$2:B198,B198,
             $D$2:D198,D198,
             $E$2:E198,E198,
             $F$2:F198,F198,
             $G$2:G198,G198,
             $H$2:H198,H198,
             $L$2:L198,L198)&gt;1,
   "Doublon",
   "Correcte"
)</f>
        <v>Correcte</v>
      </c>
    </row>
    <row r="199" spans="1:22" x14ac:dyDescent="0.25">
      <c r="A199" s="99" t="s">
        <v>2496</v>
      </c>
      <c r="B199" s="16" t="s">
        <v>684</v>
      </c>
      <c r="C199" s="68">
        <v>45936.527604166666</v>
      </c>
      <c r="D199" s="17">
        <v>99</v>
      </c>
      <c r="E199" s="17">
        <v>1</v>
      </c>
      <c r="F199" s="17">
        <v>0</v>
      </c>
      <c r="G199" s="17">
        <v>0</v>
      </c>
      <c r="H199" s="17">
        <v>0</v>
      </c>
      <c r="I199" s="16"/>
      <c r="J199" s="16" t="e" vm="15">
        <v>#VALUE!</v>
      </c>
      <c r="K199" s="16" t="s">
        <v>665</v>
      </c>
      <c r="L199" s="68">
        <v>45937.527604166666</v>
      </c>
      <c r="M199" s="68" t="str">
        <f t="shared" si="3"/>
        <v>Coupe</v>
      </c>
      <c r="N199" s="68" t="str">
        <f>INDEX(_xlfn.TEXTSPLIT(coupe[[#This Row],[QR Fabrication]],"_"),1,1)</f>
        <v>CA250761</v>
      </c>
      <c r="O199" s="68" t="str">
        <f>INDEX(_xlfn.TEXTSPLIT(coupe[[#This Row],[QR Fabrication]],"_"),1,2)</f>
        <v>All by Fouta</v>
      </c>
      <c r="P199" s="16" t="str">
        <f>INDEX(_xlfn.TEXTSPLIT(coupe[[#This Row],[QR Fabrication]],"_"),1,3)</f>
        <v>Stock</v>
      </c>
      <c r="Q199" s="16" t="str">
        <f>INDEX(_xlfn.TEXTSPLIT(coupe[[#This Row],[QR Fabrication]],"_"),1,4)</f>
        <v>PACKSICL0507-B24-10</v>
      </c>
      <c r="R199" s="16" t="str">
        <f>INDEX(_xlfn.TEXTSPLIT(coupe[[#This Row],[QR Fabrication]],"_"),1,5)</f>
        <v>PACK CLASSIQUE</v>
      </c>
      <c r="S199" s="16" t="str">
        <f>_xlfn.TEXTAFTER(coupe[[#This Row],[QR Fabrication]],"_",5)</f>
        <v>0507</v>
      </c>
      <c r="T199" s="82" t="e">
        <f>_xlfn.XLOOKUP(coupe[[#This Row],[Num OF]],#REF!,#REF!,0)</f>
        <v>#REF!</v>
      </c>
      <c r="U199" s="82" t="e">
        <f>_xlfn.XLOOKUP(coupe[[#This Row],[Num OF]],#REF!,#REF!,0)</f>
        <v>#REF!</v>
      </c>
      <c r="V199" s="82" t="str">
        <f>IF(
   COUNTIFS($A$2:A199,A199,
             $B$2:B199,B199,
             $D$2:D199,D199,
             $E$2:E199,E199,
             $F$2:F199,F199,
             $G$2:G199,G199,
             $H$2:H199,H199,
             $L$2:L199,L199)&gt;1,
   "Doublon",
   "Correcte"
)</f>
        <v>Correcte</v>
      </c>
    </row>
    <row r="200" spans="1:22" x14ac:dyDescent="0.25">
      <c r="A200" s="99" t="s">
        <v>2493</v>
      </c>
      <c r="B200" s="16" t="s">
        <v>686</v>
      </c>
      <c r="C200" s="68">
        <v>45936.589988425927</v>
      </c>
      <c r="D200" s="17">
        <v>54</v>
      </c>
      <c r="E200" s="17">
        <v>2</v>
      </c>
      <c r="F200" s="17">
        <v>4</v>
      </c>
      <c r="G200" s="17">
        <v>0</v>
      </c>
      <c r="H200" s="17">
        <v>0</v>
      </c>
      <c r="I200" s="16" t="s">
        <v>698</v>
      </c>
      <c r="J200" s="16" t="e" vm="16">
        <v>#VALUE!</v>
      </c>
      <c r="K200" s="16" t="s">
        <v>665</v>
      </c>
      <c r="L200" s="68">
        <v>45937.589988425927</v>
      </c>
      <c r="M200" s="68" t="str">
        <f t="shared" si="3"/>
        <v>Coupe</v>
      </c>
      <c r="N200" s="68" t="str">
        <f>INDEX(_xlfn.TEXTSPLIT(coupe[[#This Row],[QR Fabrication]],"_"),1,1)</f>
        <v>OF249836</v>
      </c>
      <c r="O200" s="68" t="str">
        <f>INDEX(_xlfn.TEXTSPLIT(coupe[[#This Row],[QR Fabrication]],"_"),1,2)</f>
        <v>CL00884</v>
      </c>
      <c r="P200" s="16" t="str">
        <f>INDEX(_xlfn.TEXTSPLIT(coupe[[#This Row],[QR Fabrication]],"_"),1,3)</f>
        <v>CM-FT0119</v>
      </c>
      <c r="Q200" s="16" t="str">
        <f>INDEX(_xlfn.TEXTSPLIT(coupe[[#This Row],[QR Fabrication]],"_"),1,4)</f>
        <v>FI1020-C02-28-29</v>
      </c>
      <c r="R200" s="16" t="str">
        <f>INDEX(_xlfn.TEXTSPLIT(coupe[[#This Row],[QR Fabrication]],"_"),1,5)</f>
        <v>FIVE</v>
      </c>
      <c r="S200" s="16" t="str">
        <f>_xlfn.TEXTAFTER(coupe[[#This Row],[QR Fabrication]],"_",5)</f>
        <v>1020</v>
      </c>
      <c r="T200" s="82" t="e">
        <f>_xlfn.XLOOKUP(coupe[[#This Row],[Num OF]],#REF!,#REF!,0)</f>
        <v>#REF!</v>
      </c>
      <c r="U200" s="82" t="e">
        <f>_xlfn.XLOOKUP(coupe[[#This Row],[Num OF]],#REF!,#REF!,0)</f>
        <v>#REF!</v>
      </c>
      <c r="V200" s="82" t="str">
        <f>IF(
   COUNTIFS($A$2:A200,A200,
             $B$2:B200,B200,
             $D$2:D200,D200,
             $E$2:E200,E200,
             $F$2:F200,F200,
             $G$2:G200,G200,
             $H$2:H200,H200,
             $L$2:L200,L200)&gt;1,
   "Doublon",
   "Correcte"
)</f>
        <v>Correcte</v>
      </c>
    </row>
    <row r="201" spans="1:22" x14ac:dyDescent="0.25">
      <c r="A201" s="99" t="s">
        <v>2571</v>
      </c>
      <c r="B201" s="16" t="s">
        <v>678</v>
      </c>
      <c r="C201" s="68">
        <v>45936.598761574074</v>
      </c>
      <c r="D201" s="17">
        <v>-5</v>
      </c>
      <c r="E201" s="17">
        <v>0</v>
      </c>
      <c r="F201" s="17">
        <v>0</v>
      </c>
      <c r="G201" s="17">
        <v>0</v>
      </c>
      <c r="H201" s="17">
        <v>0</v>
      </c>
      <c r="I201" s="16"/>
      <c r="J201" s="16" t="s">
        <v>699</v>
      </c>
      <c r="K201" s="16" t="s">
        <v>665</v>
      </c>
      <c r="L201" s="68">
        <v>45937.598761574074</v>
      </c>
      <c r="M201" s="68" t="str">
        <f t="shared" si="3"/>
        <v>Coupe</v>
      </c>
      <c r="N201" s="68" t="str">
        <f>INDEX(_xlfn.TEXTSPLIT(coupe[[#This Row],[QR Fabrication]],"_"),1,1)</f>
        <v>OF243179</v>
      </c>
      <c r="O201" s="68" t="str">
        <f>INDEX(_xlfn.TEXTSPLIT(coupe[[#This Row],[QR Fabrication]],"_"),1,2)</f>
        <v>All By Fouta</v>
      </c>
      <c r="P201" s="16" t="str">
        <f>INDEX(_xlfn.TEXTSPLIT(coupe[[#This Row],[QR Fabrication]],"_"),1,3)</f>
        <v>Stock</v>
      </c>
      <c r="Q201" s="16" t="str">
        <f>INDEX(_xlfn.TEXTSPLIT(coupe[[#This Row],[QR Fabrication]],"_"),1,4)</f>
        <v>PONADU-B18-17</v>
      </c>
      <c r="R201" s="16" t="str">
        <f>INDEX(_xlfn.TEXTSPLIT(coupe[[#This Row],[QR Fabrication]],"_"),1,5)</f>
        <v>PONCHO BICOULEUR</v>
      </c>
      <c r="S201" s="16" t="str">
        <f>_xlfn.TEXTAFTER(coupe[[#This Row],[QR Fabrication]],"_",5)</f>
        <v>ADU</v>
      </c>
      <c r="T201" s="82" t="e">
        <f>_xlfn.XLOOKUP(coupe[[#This Row],[Num OF]],#REF!,#REF!,0)</f>
        <v>#REF!</v>
      </c>
      <c r="U201" s="82" t="e">
        <f>_xlfn.XLOOKUP(coupe[[#This Row],[Num OF]],#REF!,#REF!,0)</f>
        <v>#REF!</v>
      </c>
      <c r="V201" s="82" t="str">
        <f>IF(
   COUNTIFS($A$2:A201,A201,
             $B$2:B201,B201,
             $D$2:D201,D201,
             $E$2:E201,E201,
             $F$2:F201,F201,
             $G$2:G201,G201,
             $H$2:H201,H201,
             $L$2:L201,L201)&gt;1,
   "Doublon",
   "Correcte"
)</f>
        <v>Correcte</v>
      </c>
    </row>
    <row r="202" spans="1:22" x14ac:dyDescent="0.25">
      <c r="A202" s="99" t="s">
        <v>2491</v>
      </c>
      <c r="B202" s="16" t="s">
        <v>686</v>
      </c>
      <c r="C202" s="68">
        <v>45936.683865740742</v>
      </c>
      <c r="D202" s="17">
        <v>64</v>
      </c>
      <c r="E202" s="17">
        <v>0</v>
      </c>
      <c r="F202" s="17">
        <v>0</v>
      </c>
      <c r="G202" s="17">
        <v>0</v>
      </c>
      <c r="H202" s="17">
        <v>0</v>
      </c>
      <c r="I202" s="16"/>
      <c r="J202" s="16" t="s">
        <v>699</v>
      </c>
      <c r="K202" s="16" t="s">
        <v>665</v>
      </c>
      <c r="L202" s="68">
        <v>45937.683865740742</v>
      </c>
      <c r="M202" s="68" t="str">
        <f t="shared" si="3"/>
        <v>Coupe</v>
      </c>
      <c r="N202" s="68" t="str">
        <f>INDEX(_xlfn.TEXTSPLIT(coupe[[#This Row],[QR Fabrication]],"_"),1,1)</f>
        <v>OF249946</v>
      </c>
      <c r="O202" s="68" t="str">
        <f>INDEX(_xlfn.TEXTSPLIT(coupe[[#This Row],[QR Fabrication]],"_"),1,2)</f>
        <v>CL00884</v>
      </c>
      <c r="P202" s="16" t="str">
        <f>INDEX(_xlfn.TEXTSPLIT(coupe[[#This Row],[QR Fabrication]],"_"),1,3)</f>
        <v>CM-FT0120</v>
      </c>
      <c r="Q202" s="16" t="str">
        <f>INDEX(_xlfn.TEXTSPLIT(coupe[[#This Row],[QR Fabrication]],"_"),1,4)</f>
        <v>ST1020-S14-16-17</v>
      </c>
      <c r="R202" s="16" t="str">
        <f>INDEX(_xlfn.TEXTSPLIT(coupe[[#This Row],[QR Fabrication]],"_"),1,5)</f>
        <v>ST TROPEZ</v>
      </c>
      <c r="S202" s="16" t="str">
        <f>_xlfn.TEXTAFTER(coupe[[#This Row],[QR Fabrication]],"_",5)</f>
        <v>1020</v>
      </c>
      <c r="T202" s="82" t="e">
        <f>_xlfn.XLOOKUP(coupe[[#This Row],[Num OF]],#REF!,#REF!,0)</f>
        <v>#REF!</v>
      </c>
      <c r="U202" s="82" t="e">
        <f>_xlfn.XLOOKUP(coupe[[#This Row],[Num OF]],#REF!,#REF!,0)</f>
        <v>#REF!</v>
      </c>
      <c r="V202" s="82" t="str">
        <f>IF(
   COUNTIFS($A$2:A202,A202,
             $B$2:B202,B202,
             $D$2:D202,D202,
             $E$2:E202,E202,
             $F$2:F202,F202,
             $G$2:G202,G202,
             $H$2:H202,H202,
             $L$2:L202,L202)&gt;1,
   "Doublon",
   "Correcte"
)</f>
        <v>Correcte</v>
      </c>
    </row>
    <row r="203" spans="1:22" x14ac:dyDescent="0.25">
      <c r="A203" s="99" t="s">
        <v>2491</v>
      </c>
      <c r="B203" s="16" t="s">
        <v>686</v>
      </c>
      <c r="C203" s="68">
        <v>45936.692731481482</v>
      </c>
      <c r="D203" s="17">
        <v>-44</v>
      </c>
      <c r="E203" s="17">
        <v>0</v>
      </c>
      <c r="F203" s="17">
        <v>0</v>
      </c>
      <c r="G203" s="17">
        <v>0</v>
      </c>
      <c r="H203" s="17">
        <v>0</v>
      </c>
      <c r="I203" s="16"/>
      <c r="J203" s="16" t="s">
        <v>699</v>
      </c>
      <c r="K203" s="16" t="s">
        <v>665</v>
      </c>
      <c r="L203" s="68">
        <v>45937.692731481482</v>
      </c>
      <c r="M203" s="68" t="str">
        <f t="shared" si="3"/>
        <v>Coupe</v>
      </c>
      <c r="N203" s="68" t="str">
        <f>INDEX(_xlfn.TEXTSPLIT(coupe[[#This Row],[QR Fabrication]],"_"),1,1)</f>
        <v>OF249946</v>
      </c>
      <c r="O203" s="68" t="str">
        <f>INDEX(_xlfn.TEXTSPLIT(coupe[[#This Row],[QR Fabrication]],"_"),1,2)</f>
        <v>CL00884</v>
      </c>
      <c r="P203" s="16" t="str">
        <f>INDEX(_xlfn.TEXTSPLIT(coupe[[#This Row],[QR Fabrication]],"_"),1,3)</f>
        <v>CM-FT0120</v>
      </c>
      <c r="Q203" s="16" t="str">
        <f>INDEX(_xlfn.TEXTSPLIT(coupe[[#This Row],[QR Fabrication]],"_"),1,4)</f>
        <v>ST1020-S14-16-17</v>
      </c>
      <c r="R203" s="16" t="str">
        <f>INDEX(_xlfn.TEXTSPLIT(coupe[[#This Row],[QR Fabrication]],"_"),1,5)</f>
        <v>ST TROPEZ</v>
      </c>
      <c r="S203" s="16" t="str">
        <f>_xlfn.TEXTAFTER(coupe[[#This Row],[QR Fabrication]],"_",5)</f>
        <v>1020</v>
      </c>
      <c r="T203" s="82" t="e">
        <f>_xlfn.XLOOKUP(coupe[[#This Row],[Num OF]],#REF!,#REF!,0)</f>
        <v>#REF!</v>
      </c>
      <c r="U203" s="82" t="e">
        <f>_xlfn.XLOOKUP(coupe[[#This Row],[Num OF]],#REF!,#REF!,0)</f>
        <v>#REF!</v>
      </c>
      <c r="V203" s="82" t="str">
        <f>IF(
   COUNTIFS($A$2:A203,A203,
             $B$2:B203,B203,
             $D$2:D203,D203,
             $E$2:E203,E203,
             $F$2:F203,F203,
             $G$2:G203,G203,
             $H$2:H203,H203,
             $L$2:L203,L203)&gt;1,
   "Doublon",
   "Correcte"
)</f>
        <v>Correcte</v>
      </c>
    </row>
    <row r="204" spans="1:22" x14ac:dyDescent="0.25">
      <c r="A204" s="99" t="s">
        <v>2490</v>
      </c>
      <c r="B204" s="16" t="s">
        <v>686</v>
      </c>
      <c r="C204" s="68">
        <v>45936.695069444446</v>
      </c>
      <c r="D204" s="17">
        <v>44</v>
      </c>
      <c r="E204" s="17">
        <v>0</v>
      </c>
      <c r="F204" s="17">
        <v>0</v>
      </c>
      <c r="G204" s="17">
        <v>0</v>
      </c>
      <c r="H204" s="17">
        <v>0</v>
      </c>
      <c r="I204" s="16"/>
      <c r="J204" s="16" t="s">
        <v>699</v>
      </c>
      <c r="K204" s="16" t="s">
        <v>665</v>
      </c>
      <c r="L204" s="68">
        <v>45937.695069444446</v>
      </c>
      <c r="M204" s="68" t="str">
        <f t="shared" si="3"/>
        <v>Coupe</v>
      </c>
      <c r="N204" s="68" t="str">
        <f>INDEX(_xlfn.TEXTSPLIT(coupe[[#This Row],[QR Fabrication]],"_"),1,1)</f>
        <v>OF249848</v>
      </c>
      <c r="O204" s="68" t="str">
        <f>INDEX(_xlfn.TEXTSPLIT(coupe[[#This Row],[QR Fabrication]],"_"),1,2)</f>
        <v>CL00884</v>
      </c>
      <c r="P204" s="16" t="str">
        <f>INDEX(_xlfn.TEXTSPLIT(coupe[[#This Row],[QR Fabrication]],"_"),1,3)</f>
        <v>CM-FT0119</v>
      </c>
      <c r="Q204" s="16" t="str">
        <f>INDEX(_xlfn.TEXTSPLIT(coupe[[#This Row],[QR Fabrication]],"_"),1,4)</f>
        <v>ST1020-S14-16-17</v>
      </c>
      <c r="R204" s="16" t="str">
        <f>INDEX(_xlfn.TEXTSPLIT(coupe[[#This Row],[QR Fabrication]],"_"),1,5)</f>
        <v>ST TROPEZ</v>
      </c>
      <c r="S204" s="16" t="str">
        <f>_xlfn.TEXTAFTER(coupe[[#This Row],[QR Fabrication]],"_",5)</f>
        <v>1020</v>
      </c>
      <c r="T204" s="82" t="e">
        <f>_xlfn.XLOOKUP(coupe[[#This Row],[Num OF]],#REF!,#REF!,0)</f>
        <v>#REF!</v>
      </c>
      <c r="U204" s="82" t="e">
        <f>_xlfn.XLOOKUP(coupe[[#This Row],[Num OF]],#REF!,#REF!,0)</f>
        <v>#REF!</v>
      </c>
      <c r="V204" s="82" t="str">
        <f>IF(
   COUNTIFS($A$2:A204,A204,
             $B$2:B204,B204,
             $D$2:D204,D204,
             $E$2:E204,E204,
             $F$2:F204,F204,
             $G$2:G204,G204,
             $H$2:H204,H204,
             $L$2:L204,L204)&gt;1,
   "Doublon",
   "Correcte"
)</f>
        <v>Correcte</v>
      </c>
    </row>
    <row r="205" spans="1:22" x14ac:dyDescent="0.25">
      <c r="A205" s="99" t="s">
        <v>2480</v>
      </c>
      <c r="B205" s="16" t="s">
        <v>702</v>
      </c>
      <c r="C205" s="68">
        <v>45937.515648148146</v>
      </c>
      <c r="D205" s="17">
        <v>20</v>
      </c>
      <c r="E205" s="17">
        <v>0</v>
      </c>
      <c r="F205" s="17">
        <v>0</v>
      </c>
      <c r="G205" s="17">
        <v>0</v>
      </c>
      <c r="H205" s="17">
        <v>0</v>
      </c>
      <c r="I205" s="16"/>
      <c r="J205" s="16" t="s">
        <v>699</v>
      </c>
      <c r="K205" s="16" t="s">
        <v>665</v>
      </c>
      <c r="L205" s="68">
        <v>45938.515648148146</v>
      </c>
      <c r="M205" s="68" t="str">
        <f t="shared" si="3"/>
        <v>Coupe</v>
      </c>
      <c r="N205" s="68" t="str">
        <f>INDEX(_xlfn.TEXTSPLIT(coupe[[#This Row],[QR Fabrication]],"_"),1,1)</f>
        <v>OF249816</v>
      </c>
      <c r="O205" s="68" t="str">
        <f>INDEX(_xlfn.TEXTSPLIT(coupe[[#This Row],[QR Fabrication]],"_"),1,2)</f>
        <v>CL00884</v>
      </c>
      <c r="P205" s="16" t="str">
        <f>INDEX(_xlfn.TEXTSPLIT(coupe[[#This Row],[QR Fabrication]],"_"),1,3)</f>
        <v>CM-FT0119</v>
      </c>
      <c r="Q205" s="16" t="str">
        <f>INDEX(_xlfn.TEXTSPLIT(coupe[[#This Row],[QR Fabrication]],"_"),1,4)</f>
        <v>SO1020-Q29-11-14</v>
      </c>
      <c r="R205" s="16" t="str">
        <f>INDEX(_xlfn.TEXTSPLIT(coupe[[#This Row],[QR Fabrication]],"_"),1,5)</f>
        <v>SOUSSE</v>
      </c>
      <c r="S205" s="16" t="str">
        <f>_xlfn.TEXTAFTER(coupe[[#This Row],[QR Fabrication]],"_",5)</f>
        <v>1020</v>
      </c>
      <c r="T205" s="82" t="e">
        <f>_xlfn.XLOOKUP(coupe[[#This Row],[Num OF]],#REF!,#REF!,0)</f>
        <v>#REF!</v>
      </c>
      <c r="U205" s="82" t="e">
        <f>_xlfn.XLOOKUP(coupe[[#This Row],[Num OF]],#REF!,#REF!,0)</f>
        <v>#REF!</v>
      </c>
      <c r="V205" s="82" t="str">
        <f>IF(
   COUNTIFS($A$2:A205,A205,
             $B$2:B205,B205,
             $D$2:D205,D205,
             $E$2:E205,E205,
             $F$2:F205,F205,
             $G$2:G205,G205,
             $H$2:H205,H205,
             $L$2:L205,L205)&gt;1,
   "Doublon",
   "Correcte"
)</f>
        <v>Correcte</v>
      </c>
    </row>
    <row r="206" spans="1:22" x14ac:dyDescent="0.25">
      <c r="A206" s="99" t="s">
        <v>2501</v>
      </c>
      <c r="B206" s="16" t="s">
        <v>686</v>
      </c>
      <c r="C206" s="68">
        <v>45937.519756944443</v>
      </c>
      <c r="D206" s="17">
        <v>19</v>
      </c>
      <c r="E206" s="17">
        <v>0</v>
      </c>
      <c r="F206" s="17">
        <v>0</v>
      </c>
      <c r="G206" s="17">
        <v>0</v>
      </c>
      <c r="H206" s="17">
        <v>0</v>
      </c>
      <c r="I206" s="16"/>
      <c r="J206" s="16" t="s">
        <v>699</v>
      </c>
      <c r="K206" s="16" t="s">
        <v>665</v>
      </c>
      <c r="L206" s="68">
        <v>45938.519756944443</v>
      </c>
      <c r="M206" s="68" t="str">
        <f t="shared" si="3"/>
        <v>Coupe</v>
      </c>
      <c r="N206" s="68" t="str">
        <f>INDEX(_xlfn.TEXTSPLIT(coupe[[#This Row],[QR Fabrication]],"_"),1,1)</f>
        <v>OF249914</v>
      </c>
      <c r="O206" s="68" t="str">
        <f>INDEX(_xlfn.TEXTSPLIT(coupe[[#This Row],[QR Fabrication]],"_"),1,2)</f>
        <v>CL00884</v>
      </c>
      <c r="P206" s="16" t="str">
        <f>INDEX(_xlfn.TEXTSPLIT(coupe[[#This Row],[QR Fabrication]],"_"),1,3)</f>
        <v>CM-FT0120</v>
      </c>
      <c r="Q206" s="16" t="str">
        <f>INDEX(_xlfn.TEXTSPLIT(coupe[[#This Row],[QR Fabrication]],"_"),1,4)</f>
        <v>SO1020-Q29-11-14</v>
      </c>
      <c r="R206" s="16" t="str">
        <f>INDEX(_xlfn.TEXTSPLIT(coupe[[#This Row],[QR Fabrication]],"_"),1,5)</f>
        <v>SOUSSE</v>
      </c>
      <c r="S206" s="16" t="str">
        <f>_xlfn.TEXTAFTER(coupe[[#This Row],[QR Fabrication]],"_",5)</f>
        <v>1020</v>
      </c>
      <c r="T206" s="82" t="e">
        <f>_xlfn.XLOOKUP(coupe[[#This Row],[Num OF]],#REF!,#REF!,0)</f>
        <v>#REF!</v>
      </c>
      <c r="U206" s="82" t="e">
        <f>_xlfn.XLOOKUP(coupe[[#This Row],[Num OF]],#REF!,#REF!,0)</f>
        <v>#REF!</v>
      </c>
      <c r="V206" s="82" t="str">
        <f>IF(
   COUNTIFS($A$2:A206,A206,
             $B$2:B206,B206,
             $D$2:D206,D206,
             $E$2:E206,E206,
             $F$2:F206,F206,
             $G$2:G206,G206,
             $H$2:H206,H206,
             $L$2:L206,L206)&gt;1,
   "Doublon",
   "Correcte"
)</f>
        <v>Correcte</v>
      </c>
    </row>
    <row r="207" spans="1:22" x14ac:dyDescent="0.25">
      <c r="A207" s="99" t="s">
        <v>2497</v>
      </c>
      <c r="B207" s="16" t="s">
        <v>687</v>
      </c>
      <c r="C207" s="68">
        <v>45937.577372685184</v>
      </c>
      <c r="D207" s="17">
        <v>90</v>
      </c>
      <c r="E207" s="17">
        <v>15</v>
      </c>
      <c r="F207" s="17">
        <v>0</v>
      </c>
      <c r="G207" s="17">
        <v>15</v>
      </c>
      <c r="H207" s="17">
        <v>0</v>
      </c>
      <c r="I207" s="16" t="s">
        <v>703</v>
      </c>
      <c r="J207" s="16" t="e" vm="17">
        <v>#VALUE!</v>
      </c>
      <c r="K207" s="16" t="s">
        <v>665</v>
      </c>
      <c r="L207" s="68">
        <v>45938.577372685184</v>
      </c>
      <c r="M207" s="68" t="str">
        <f t="shared" si="3"/>
        <v>Coupe</v>
      </c>
      <c r="N207" s="68" t="str">
        <f>INDEX(_xlfn.TEXTSPLIT(coupe[[#This Row],[QR Fabrication]],"_"),1,1)</f>
        <v>CA250759</v>
      </c>
      <c r="O207" s="68" t="str">
        <f>INDEX(_xlfn.TEXTSPLIT(coupe[[#This Row],[QR Fabrication]],"_"),1,2)</f>
        <v>All by Fouta</v>
      </c>
      <c r="P207" s="16" t="str">
        <f>INDEX(_xlfn.TEXTSPLIT(coupe[[#This Row],[QR Fabrication]],"_"),1,3)</f>
        <v>Stock</v>
      </c>
      <c r="Q207" s="16" t="str">
        <f>INDEX(_xlfn.TEXTSPLIT(coupe[[#This Row],[QR Fabrication]],"_"),1,4)</f>
        <v>PACKSICL0507-B14-13</v>
      </c>
      <c r="R207" s="16" t="str">
        <f>INDEX(_xlfn.TEXTSPLIT(coupe[[#This Row],[QR Fabrication]],"_"),1,5)</f>
        <v>PACK CLASSIQUE</v>
      </c>
      <c r="S207" s="16" t="str">
        <f>_xlfn.TEXTAFTER(coupe[[#This Row],[QR Fabrication]],"_",5)</f>
        <v>0507</v>
      </c>
      <c r="T207" s="82" t="e">
        <f>_xlfn.XLOOKUP(coupe[[#This Row],[Num OF]],#REF!,#REF!,0)</f>
        <v>#REF!</v>
      </c>
      <c r="U207" s="82" t="e">
        <f>_xlfn.XLOOKUP(coupe[[#This Row],[Num OF]],#REF!,#REF!,0)</f>
        <v>#REF!</v>
      </c>
      <c r="V207" s="82" t="str">
        <f>IF(
   COUNTIFS($A$2:A207,A207,
             $B$2:B207,B207,
             $D$2:D207,D207,
             $E$2:E207,E207,
             $F$2:F207,F207,
             $G$2:G207,G207,
             $H$2:H207,H207,
             $L$2:L207,L207)&gt;1,
   "Doublon",
   "Correcte"
)</f>
        <v>Correcte</v>
      </c>
    </row>
    <row r="208" spans="1:22" x14ac:dyDescent="0.25">
      <c r="A208" s="99" t="s">
        <v>2501</v>
      </c>
      <c r="B208" s="16" t="s">
        <v>686</v>
      </c>
      <c r="C208" s="68">
        <v>45937.62127314815</v>
      </c>
      <c r="D208" s="17">
        <v>50</v>
      </c>
      <c r="E208" s="17">
        <v>0</v>
      </c>
      <c r="F208" s="17">
        <v>0</v>
      </c>
      <c r="G208" s="17">
        <v>0</v>
      </c>
      <c r="H208" s="17">
        <v>0</v>
      </c>
      <c r="I208" s="16"/>
      <c r="J208" s="16" t="s">
        <v>699</v>
      </c>
      <c r="K208" s="16" t="s">
        <v>665</v>
      </c>
      <c r="L208" s="68">
        <v>45938.62127314815</v>
      </c>
      <c r="M208" s="68" t="str">
        <f t="shared" si="3"/>
        <v>Coupe</v>
      </c>
      <c r="N208" s="68" t="str">
        <f>INDEX(_xlfn.TEXTSPLIT(coupe[[#This Row],[QR Fabrication]],"_"),1,1)</f>
        <v>OF249914</v>
      </c>
      <c r="O208" s="68" t="str">
        <f>INDEX(_xlfn.TEXTSPLIT(coupe[[#This Row],[QR Fabrication]],"_"),1,2)</f>
        <v>CL00884</v>
      </c>
      <c r="P208" s="16" t="str">
        <f>INDEX(_xlfn.TEXTSPLIT(coupe[[#This Row],[QR Fabrication]],"_"),1,3)</f>
        <v>CM-FT0120</v>
      </c>
      <c r="Q208" s="16" t="str">
        <f>INDEX(_xlfn.TEXTSPLIT(coupe[[#This Row],[QR Fabrication]],"_"),1,4)</f>
        <v>SO1020-Q29-11-14</v>
      </c>
      <c r="R208" s="16" t="str">
        <f>INDEX(_xlfn.TEXTSPLIT(coupe[[#This Row],[QR Fabrication]],"_"),1,5)</f>
        <v>SOUSSE</v>
      </c>
      <c r="S208" s="16" t="str">
        <f>_xlfn.TEXTAFTER(coupe[[#This Row],[QR Fabrication]],"_",5)</f>
        <v>1020</v>
      </c>
      <c r="T208" s="82" t="e">
        <f>_xlfn.XLOOKUP(coupe[[#This Row],[Num OF]],#REF!,#REF!,0)</f>
        <v>#REF!</v>
      </c>
      <c r="U208" s="82" t="e">
        <f>_xlfn.XLOOKUP(coupe[[#This Row],[Num OF]],#REF!,#REF!,0)</f>
        <v>#REF!</v>
      </c>
      <c r="V208" s="82" t="str">
        <f>IF(
   COUNTIFS($A$2:A208,A208,
             $B$2:B208,B208,
             $D$2:D208,D208,
             $E$2:E208,E208,
             $F$2:F208,F208,
             $G$2:G208,G208,
             $H$2:H208,H208,
             $L$2:L208,L208)&gt;1,
   "Doublon",
   "Correcte"
)</f>
        <v>Correcte</v>
      </c>
    </row>
    <row r="209" spans="1:22" x14ac:dyDescent="0.25">
      <c r="A209" s="99" t="s">
        <v>2563</v>
      </c>
      <c r="B209" s="16" t="s">
        <v>684</v>
      </c>
      <c r="C209" s="68">
        <v>45937.659074074072</v>
      </c>
      <c r="D209" s="17">
        <v>1</v>
      </c>
      <c r="E209" s="17">
        <v>0</v>
      </c>
      <c r="F209" s="17">
        <v>1</v>
      </c>
      <c r="G209" s="17">
        <v>0</v>
      </c>
      <c r="H209" s="17">
        <v>0</v>
      </c>
      <c r="I209" s="16" t="s">
        <v>700</v>
      </c>
      <c r="J209" s="16" t="e" vm="18">
        <v>#VALUE!</v>
      </c>
      <c r="K209" s="16" t="s">
        <v>665</v>
      </c>
      <c r="L209" s="68">
        <v>45938.659074074072</v>
      </c>
      <c r="M209" s="68" t="str">
        <f t="shared" si="3"/>
        <v>Coupe</v>
      </c>
      <c r="N209" s="68" t="str">
        <f>INDEX(_xlfn.TEXTSPLIT(coupe[[#This Row],[QR Fabrication]],"_"),1,1)</f>
        <v>CA250016</v>
      </c>
      <c r="O209" s="68" t="str">
        <f>INDEX(_xlfn.TEXTSPLIT(coupe[[#This Row],[QR Fabrication]],"_"),1,2)</f>
        <v>All by Fouta</v>
      </c>
      <c r="P209" s="16" t="str">
        <f>INDEX(_xlfn.TEXTSPLIT(coupe[[#This Row],[QR Fabrication]],"_"),1,3)</f>
        <v>Stock</v>
      </c>
      <c r="Q209" s="16" t="str">
        <f>INDEX(_xlfn.TEXTSPLIT(coupe[[#This Row],[QR Fabrication]],"_"),1,4)</f>
        <v>UNS1020-27</v>
      </c>
      <c r="R209" s="16" t="str">
        <f>INDEX(_xlfn.TEXTSPLIT(coupe[[#This Row],[QR Fabrication]],"_"),1,5)</f>
        <v>UNI SURPIQUE</v>
      </c>
      <c r="S209" s="16" t="str">
        <f>_xlfn.TEXTAFTER(coupe[[#This Row],[QR Fabrication]],"_",5)</f>
        <v>1020</v>
      </c>
      <c r="T209" s="82" t="e">
        <f>_xlfn.XLOOKUP(coupe[[#This Row],[Num OF]],#REF!,#REF!,0)</f>
        <v>#REF!</v>
      </c>
      <c r="U209" s="82" t="e">
        <f>_xlfn.XLOOKUP(coupe[[#This Row],[Num OF]],#REF!,#REF!,0)</f>
        <v>#REF!</v>
      </c>
      <c r="V209" s="82" t="str">
        <f>IF(
   COUNTIFS($A$2:A209,A209,
             $B$2:B209,B209,
             $D$2:D209,D209,
             $E$2:E209,E209,
             $F$2:F209,F209,
             $G$2:G209,G209,
             $H$2:H209,H209,
             $L$2:L209,L209)&gt;1,
   "Doublon",
   "Correcte"
)</f>
        <v>Correcte</v>
      </c>
    </row>
    <row r="210" spans="1:22" x14ac:dyDescent="0.25">
      <c r="A210" s="99" t="s">
        <v>2490</v>
      </c>
      <c r="B210" s="16" t="s">
        <v>686</v>
      </c>
      <c r="C210" s="68">
        <v>45937.668344907404</v>
      </c>
      <c r="D210" s="17">
        <v>56</v>
      </c>
      <c r="E210" s="17">
        <v>0</v>
      </c>
      <c r="F210" s="17">
        <v>2</v>
      </c>
      <c r="G210" s="17">
        <v>0</v>
      </c>
      <c r="H210" s="17">
        <v>0</v>
      </c>
      <c r="I210" s="16" t="s">
        <v>700</v>
      </c>
      <c r="J210" s="16" t="e" vm="19">
        <v>#VALUE!</v>
      </c>
      <c r="K210" s="16" t="s">
        <v>665</v>
      </c>
      <c r="L210" s="68">
        <v>45938.668344907404</v>
      </c>
      <c r="M210" s="68" t="str">
        <f t="shared" si="3"/>
        <v>Coupe</v>
      </c>
      <c r="N210" s="68" t="str">
        <f>INDEX(_xlfn.TEXTSPLIT(coupe[[#This Row],[QR Fabrication]],"_"),1,1)</f>
        <v>OF249848</v>
      </c>
      <c r="O210" s="68" t="str">
        <f>INDEX(_xlfn.TEXTSPLIT(coupe[[#This Row],[QR Fabrication]],"_"),1,2)</f>
        <v>CL00884</v>
      </c>
      <c r="P210" s="16" t="str">
        <f>INDEX(_xlfn.TEXTSPLIT(coupe[[#This Row],[QR Fabrication]],"_"),1,3)</f>
        <v>CM-FT0119</v>
      </c>
      <c r="Q210" s="16" t="str">
        <f>INDEX(_xlfn.TEXTSPLIT(coupe[[#This Row],[QR Fabrication]],"_"),1,4)</f>
        <v>ST1020-S14-16-17</v>
      </c>
      <c r="R210" s="16" t="str">
        <f>INDEX(_xlfn.TEXTSPLIT(coupe[[#This Row],[QR Fabrication]],"_"),1,5)</f>
        <v>ST TROPEZ</v>
      </c>
      <c r="S210" s="16" t="str">
        <f>_xlfn.TEXTAFTER(coupe[[#This Row],[QR Fabrication]],"_",5)</f>
        <v>1020</v>
      </c>
      <c r="T210" s="82" t="e">
        <f>_xlfn.XLOOKUP(coupe[[#This Row],[Num OF]],#REF!,#REF!,0)</f>
        <v>#REF!</v>
      </c>
      <c r="U210" s="82" t="e">
        <f>_xlfn.XLOOKUP(coupe[[#This Row],[Num OF]],#REF!,#REF!,0)</f>
        <v>#REF!</v>
      </c>
      <c r="V210" s="82" t="str">
        <f>IF(
   COUNTIFS($A$2:A210,A210,
             $B$2:B210,B210,
             $D$2:D210,D210,
             $E$2:E210,E210,
             $F$2:F210,F210,
             $G$2:G210,G210,
             $H$2:H210,H210,
             $L$2:L210,L210)&gt;1,
   "Doublon",
   "Correcte"
)</f>
        <v>Correcte</v>
      </c>
    </row>
    <row r="211" spans="1:22" x14ac:dyDescent="0.25">
      <c r="A211" s="99" t="s">
        <v>2500</v>
      </c>
      <c r="B211" s="16" t="s">
        <v>684</v>
      </c>
      <c r="C211" s="68">
        <v>45937.699340277781</v>
      </c>
      <c r="D211" s="17">
        <v>20</v>
      </c>
      <c r="E211" s="17">
        <v>0</v>
      </c>
      <c r="F211" s="17">
        <v>0</v>
      </c>
      <c r="G211" s="17">
        <v>0</v>
      </c>
      <c r="H211" s="17">
        <v>0</v>
      </c>
      <c r="I211" s="16"/>
      <c r="J211" s="16" t="s">
        <v>699</v>
      </c>
      <c r="K211" s="16" t="s">
        <v>665</v>
      </c>
      <c r="L211" s="68">
        <v>45938.699340277781</v>
      </c>
      <c r="M211" s="68" t="str">
        <f t="shared" si="3"/>
        <v>Coupe</v>
      </c>
      <c r="N211" s="68" t="str">
        <f>INDEX(_xlfn.TEXTSPLIT(coupe[[#This Row],[QR Fabrication]],"_"),1,1)</f>
        <v>OF249799</v>
      </c>
      <c r="O211" s="68" t="str">
        <f>INDEX(_xlfn.TEXTSPLIT(coupe[[#This Row],[QR Fabrication]],"_"),1,2)</f>
        <v>CL00884</v>
      </c>
      <c r="P211" s="16" t="str">
        <f>INDEX(_xlfn.TEXTSPLIT(coupe[[#This Row],[QR Fabrication]],"_"),1,3)</f>
        <v>CM-FT0119</v>
      </c>
      <c r="Q211" s="16" t="str">
        <f>INDEX(_xlfn.TEXTSPLIT(coupe[[#This Row],[QR Fabrication]],"_"),1,4)</f>
        <v>LI1020-B17-01</v>
      </c>
      <c r="R211" s="16" t="str">
        <f>INDEX(_xlfn.TEXTSPLIT(coupe[[#This Row],[QR Fabrication]],"_"),1,5)</f>
        <v>LILI</v>
      </c>
      <c r="S211" s="16" t="str">
        <f>_xlfn.TEXTAFTER(coupe[[#This Row],[QR Fabrication]],"_",5)</f>
        <v>1020</v>
      </c>
      <c r="T211" s="82" t="e">
        <f>_xlfn.XLOOKUP(coupe[[#This Row],[Num OF]],#REF!,#REF!,0)</f>
        <v>#REF!</v>
      </c>
      <c r="U211" s="82" t="e">
        <f>_xlfn.XLOOKUP(coupe[[#This Row],[Num OF]],#REF!,#REF!,0)</f>
        <v>#REF!</v>
      </c>
      <c r="V211" s="82" t="str">
        <f>IF(
   COUNTIFS($A$2:A211,A211,
             $B$2:B211,B211,
             $D$2:D211,D211,
             $E$2:E211,E211,
             $F$2:F211,F211,
             $G$2:G211,G211,
             $H$2:H211,H211,
             $L$2:L211,L211)&gt;1,
   "Doublon",
   "Correcte"
)</f>
        <v>Correcte</v>
      </c>
    </row>
    <row r="212" spans="1:22" x14ac:dyDescent="0.25">
      <c r="A212" s="99" t="s">
        <v>2513</v>
      </c>
      <c r="B212" s="16" t="s">
        <v>687</v>
      </c>
      <c r="C212" s="68">
        <v>45938.400092592594</v>
      </c>
      <c r="D212" s="17">
        <v>59</v>
      </c>
      <c r="E212" s="17">
        <v>1</v>
      </c>
      <c r="F212" s="17">
        <v>0</v>
      </c>
      <c r="G212" s="17">
        <v>0</v>
      </c>
      <c r="H212" s="17">
        <v>0</v>
      </c>
      <c r="I212" s="16" t="s">
        <v>700</v>
      </c>
      <c r="J212" s="16" t="e" vm="20">
        <v>#VALUE!</v>
      </c>
      <c r="K212" s="16" t="s">
        <v>665</v>
      </c>
      <c r="L212" s="68">
        <v>45939.400092592594</v>
      </c>
      <c r="M212" s="68" t="str">
        <f t="shared" si="3"/>
        <v>Coupe</v>
      </c>
      <c r="N212" s="68" t="str">
        <f>INDEX(_xlfn.TEXTSPLIT(coupe[[#This Row],[QR Fabrication]],"_"),1,1)</f>
        <v>CA250162</v>
      </c>
      <c r="O212" s="68" t="str">
        <f>INDEX(_xlfn.TEXTSPLIT(coupe[[#This Row],[QR Fabrication]],"_"),1,2)</f>
        <v>All by Fouta</v>
      </c>
      <c r="P212" s="16" t="str">
        <f>INDEX(_xlfn.TEXTSPLIT(coupe[[#This Row],[QR Fabrication]],"_"),1,3)</f>
        <v>Stock</v>
      </c>
      <c r="Q212" s="16" t="str">
        <f>INDEX(_xlfn.TEXTSPLIT(coupe[[#This Row],[QR Fabrication]],"_"),1,4)</f>
        <v>IB1020-B17-07</v>
      </c>
      <c r="R212" s="16" t="str">
        <f>INDEX(_xlfn.TEXTSPLIT(coupe[[#This Row],[QR Fabrication]],"_"),1,5)</f>
        <v>IBIZA</v>
      </c>
      <c r="S212" s="16" t="str">
        <f>_xlfn.TEXTAFTER(coupe[[#This Row],[QR Fabrication]],"_",5)</f>
        <v>1020</v>
      </c>
      <c r="T212" s="82" t="e">
        <f>_xlfn.XLOOKUP(coupe[[#This Row],[Num OF]],#REF!,#REF!,0)</f>
        <v>#REF!</v>
      </c>
      <c r="U212" s="82" t="e">
        <f>_xlfn.XLOOKUP(coupe[[#This Row],[Num OF]],#REF!,#REF!,0)</f>
        <v>#REF!</v>
      </c>
      <c r="V212" s="82" t="str">
        <f>IF(
   COUNTIFS($A$2:A212,A212,
             $B$2:B212,B212,
             $D$2:D212,D212,
             $E$2:E212,E212,
             $F$2:F212,F212,
             $G$2:G212,G212,
             $H$2:H212,H212,
             $L$2:L212,L212)&gt;1,
   "Doublon",
   "Correcte"
)</f>
        <v>Correcte</v>
      </c>
    </row>
    <row r="213" spans="1:22" x14ac:dyDescent="0.25">
      <c r="A213" s="99" t="s">
        <v>2501</v>
      </c>
      <c r="B213" s="16" t="s">
        <v>702</v>
      </c>
      <c r="C213" s="68">
        <v>45938.432962962965</v>
      </c>
      <c r="D213" s="17">
        <v>30</v>
      </c>
      <c r="E213" s="17">
        <v>0</v>
      </c>
      <c r="F213" s="17">
        <v>2</v>
      </c>
      <c r="G213" s="17">
        <v>0</v>
      </c>
      <c r="H213" s="17">
        <v>0</v>
      </c>
      <c r="I213" s="16" t="s">
        <v>700</v>
      </c>
      <c r="J213" s="16" t="e" vm="21">
        <v>#VALUE!</v>
      </c>
      <c r="K213" s="16" t="s">
        <v>665</v>
      </c>
      <c r="L213" s="68">
        <v>45939.432962962965</v>
      </c>
      <c r="M213" s="68" t="str">
        <f t="shared" si="3"/>
        <v>Coupe</v>
      </c>
      <c r="N213" s="68" t="str">
        <f>INDEX(_xlfn.TEXTSPLIT(coupe[[#This Row],[QR Fabrication]],"_"),1,1)</f>
        <v>OF249914</v>
      </c>
      <c r="O213" s="68" t="str">
        <f>INDEX(_xlfn.TEXTSPLIT(coupe[[#This Row],[QR Fabrication]],"_"),1,2)</f>
        <v>CL00884</v>
      </c>
      <c r="P213" s="16" t="str">
        <f>INDEX(_xlfn.TEXTSPLIT(coupe[[#This Row],[QR Fabrication]],"_"),1,3)</f>
        <v>CM-FT0120</v>
      </c>
      <c r="Q213" s="16" t="str">
        <f>INDEX(_xlfn.TEXTSPLIT(coupe[[#This Row],[QR Fabrication]],"_"),1,4)</f>
        <v>SO1020-Q29-11-14</v>
      </c>
      <c r="R213" s="16" t="str">
        <f>INDEX(_xlfn.TEXTSPLIT(coupe[[#This Row],[QR Fabrication]],"_"),1,5)</f>
        <v>SOUSSE</v>
      </c>
      <c r="S213" s="16" t="str">
        <f>_xlfn.TEXTAFTER(coupe[[#This Row],[QR Fabrication]],"_",5)</f>
        <v>1020</v>
      </c>
      <c r="T213" s="82" t="e">
        <f>_xlfn.XLOOKUP(coupe[[#This Row],[Num OF]],#REF!,#REF!,0)</f>
        <v>#REF!</v>
      </c>
      <c r="U213" s="82" t="e">
        <f>_xlfn.XLOOKUP(coupe[[#This Row],[Num OF]],#REF!,#REF!,0)</f>
        <v>#REF!</v>
      </c>
      <c r="V213" s="82" t="str">
        <f>IF(
   COUNTIFS($A$2:A213,A213,
             $B$2:B213,B213,
             $D$2:D213,D213,
             $E$2:E213,E213,
             $F$2:F213,F213,
             $G$2:G213,G213,
             $H$2:H213,H213,
             $L$2:L213,L213)&gt;1,
   "Doublon",
   "Correcte"
)</f>
        <v>Correcte</v>
      </c>
    </row>
    <row r="214" spans="1:22" x14ac:dyDescent="0.25">
      <c r="A214" s="99" t="s">
        <v>2490</v>
      </c>
      <c r="B214" s="16" t="s">
        <v>702</v>
      </c>
      <c r="C214" s="68">
        <v>45938.465682870374</v>
      </c>
      <c r="D214" s="17">
        <v>48</v>
      </c>
      <c r="E214" s="17">
        <v>0</v>
      </c>
      <c r="F214" s="17">
        <v>2</v>
      </c>
      <c r="G214" s="17">
        <v>0</v>
      </c>
      <c r="H214" s="17">
        <v>0</v>
      </c>
      <c r="I214" s="16" t="s">
        <v>697</v>
      </c>
      <c r="J214" s="16" t="e" vm="22">
        <v>#VALUE!</v>
      </c>
      <c r="K214" s="16" t="s">
        <v>665</v>
      </c>
      <c r="L214" s="68">
        <v>45939.465682870374</v>
      </c>
      <c r="M214" s="68" t="str">
        <f t="shared" si="3"/>
        <v>Coupe</v>
      </c>
      <c r="N214" s="68" t="str">
        <f>INDEX(_xlfn.TEXTSPLIT(coupe[[#This Row],[QR Fabrication]],"_"),1,1)</f>
        <v>OF249848</v>
      </c>
      <c r="O214" s="68" t="str">
        <f>INDEX(_xlfn.TEXTSPLIT(coupe[[#This Row],[QR Fabrication]],"_"),1,2)</f>
        <v>CL00884</v>
      </c>
      <c r="P214" s="16" t="str">
        <f>INDEX(_xlfn.TEXTSPLIT(coupe[[#This Row],[QR Fabrication]],"_"),1,3)</f>
        <v>CM-FT0119</v>
      </c>
      <c r="Q214" s="16" t="str">
        <f>INDEX(_xlfn.TEXTSPLIT(coupe[[#This Row],[QR Fabrication]],"_"),1,4)</f>
        <v>ST1020-S14-16-17</v>
      </c>
      <c r="R214" s="16" t="str">
        <f>INDEX(_xlfn.TEXTSPLIT(coupe[[#This Row],[QR Fabrication]],"_"),1,5)</f>
        <v>ST TROPEZ</v>
      </c>
      <c r="S214" s="16" t="str">
        <f>_xlfn.TEXTAFTER(coupe[[#This Row],[QR Fabrication]],"_",5)</f>
        <v>1020</v>
      </c>
      <c r="T214" s="82" t="e">
        <f>_xlfn.XLOOKUP(coupe[[#This Row],[Num OF]],#REF!,#REF!,0)</f>
        <v>#REF!</v>
      </c>
      <c r="U214" s="82" t="e">
        <f>_xlfn.XLOOKUP(coupe[[#This Row],[Num OF]],#REF!,#REF!,0)</f>
        <v>#REF!</v>
      </c>
      <c r="V214" s="82" t="str">
        <f>IF(
   COUNTIFS($A$2:A214,A214,
             $B$2:B214,B214,
             $D$2:D214,D214,
             $E$2:E214,E214,
             $F$2:F214,F214,
             $G$2:G214,G214,
             $H$2:H214,H214,
             $L$2:L214,L214)&gt;1,
   "Doublon",
   "Correcte"
)</f>
        <v>Correcte</v>
      </c>
    </row>
    <row r="215" spans="1:22" x14ac:dyDescent="0.25">
      <c r="A215" s="99" t="s">
        <v>2504</v>
      </c>
      <c r="B215" s="16" t="s">
        <v>687</v>
      </c>
      <c r="C215" s="68">
        <v>45938.507951388892</v>
      </c>
      <c r="D215" s="17">
        <v>42</v>
      </c>
      <c r="E215" s="17">
        <v>0</v>
      </c>
      <c r="F215" s="17">
        <v>2</v>
      </c>
      <c r="G215" s="17">
        <v>0</v>
      </c>
      <c r="H215" s="17">
        <v>0</v>
      </c>
      <c r="I215" s="16" t="s">
        <v>700</v>
      </c>
      <c r="J215" s="16" t="e" vm="23">
        <v>#VALUE!</v>
      </c>
      <c r="K215" s="16" t="s">
        <v>665</v>
      </c>
      <c r="L215" s="68">
        <v>45939.507951388892</v>
      </c>
      <c r="M215" s="68" t="str">
        <f t="shared" si="3"/>
        <v>Coupe</v>
      </c>
      <c r="N215" s="68" t="str">
        <f>INDEX(_xlfn.TEXTSPLIT(coupe[[#This Row],[QR Fabrication]],"_"),1,1)</f>
        <v>CA250155</v>
      </c>
      <c r="O215" s="68" t="str">
        <f>INDEX(_xlfn.TEXTSPLIT(coupe[[#This Row],[QR Fabrication]],"_"),1,2)</f>
        <v>All by Fouta</v>
      </c>
      <c r="P215" s="16" t="str">
        <f>INDEX(_xlfn.TEXTSPLIT(coupe[[#This Row],[QR Fabrication]],"_"),1,3)</f>
        <v>Stock</v>
      </c>
      <c r="Q215" s="16" t="str">
        <f>INDEX(_xlfn.TEXTSPLIT(coupe[[#This Row],[QR Fabrication]],"_"),1,4)</f>
        <v>IB1020-B02-10</v>
      </c>
      <c r="R215" s="16" t="str">
        <f>INDEX(_xlfn.TEXTSPLIT(coupe[[#This Row],[QR Fabrication]],"_"),1,5)</f>
        <v>IBIZA</v>
      </c>
      <c r="S215" s="16" t="str">
        <f>_xlfn.TEXTAFTER(coupe[[#This Row],[QR Fabrication]],"_",5)</f>
        <v>1020</v>
      </c>
      <c r="T215" s="82" t="e">
        <f>_xlfn.XLOOKUP(coupe[[#This Row],[Num OF]],#REF!,#REF!,0)</f>
        <v>#REF!</v>
      </c>
      <c r="U215" s="82" t="e">
        <f>_xlfn.XLOOKUP(coupe[[#This Row],[Num OF]],#REF!,#REF!,0)</f>
        <v>#REF!</v>
      </c>
      <c r="V215" s="82" t="str">
        <f>IF(
   COUNTIFS($A$2:A215,A215,
             $B$2:B215,B215,
             $D$2:D215,D215,
             $E$2:E215,E215,
             $F$2:F215,F215,
             $G$2:G215,G215,
             $H$2:H215,H215,
             $L$2:L215,L215)&gt;1,
   "Doublon",
   "Correcte"
)</f>
        <v>Correcte</v>
      </c>
    </row>
    <row r="216" spans="1:22" x14ac:dyDescent="0.25">
      <c r="A216" s="99" t="s">
        <v>2509</v>
      </c>
      <c r="B216" s="16" t="s">
        <v>687</v>
      </c>
      <c r="C216" s="68">
        <v>45938.520787037036</v>
      </c>
      <c r="D216" s="17">
        <v>21</v>
      </c>
      <c r="E216" s="17">
        <v>0</v>
      </c>
      <c r="F216" s="17">
        <v>0</v>
      </c>
      <c r="G216" s="17">
        <v>0</v>
      </c>
      <c r="H216" s="17">
        <v>0</v>
      </c>
      <c r="I216" s="16"/>
      <c r="J216" s="16" t="s">
        <v>699</v>
      </c>
      <c r="K216" s="16" t="s">
        <v>665</v>
      </c>
      <c r="L216" s="68">
        <v>45939.520787037036</v>
      </c>
      <c r="M216" s="68" t="str">
        <f t="shared" si="3"/>
        <v>Coupe</v>
      </c>
      <c r="N216" s="68" t="str">
        <f>INDEX(_xlfn.TEXTSPLIT(coupe[[#This Row],[QR Fabrication]],"_"),1,1)</f>
        <v>CA250156</v>
      </c>
      <c r="O216" s="68" t="str">
        <f>INDEX(_xlfn.TEXTSPLIT(coupe[[#This Row],[QR Fabrication]],"_"),1,2)</f>
        <v>All by Fouta</v>
      </c>
      <c r="P216" s="16" t="str">
        <f>INDEX(_xlfn.TEXTSPLIT(coupe[[#This Row],[QR Fabrication]],"_"),1,3)</f>
        <v>Stock</v>
      </c>
      <c r="Q216" s="16" t="str">
        <f>INDEX(_xlfn.TEXTSPLIT(coupe[[#This Row],[QR Fabrication]],"_"),1,4)</f>
        <v>IB1020-B06-08</v>
      </c>
      <c r="R216" s="16" t="str">
        <f>INDEX(_xlfn.TEXTSPLIT(coupe[[#This Row],[QR Fabrication]],"_"),1,5)</f>
        <v>IBIZA</v>
      </c>
      <c r="S216" s="16" t="str">
        <f>_xlfn.TEXTAFTER(coupe[[#This Row],[QR Fabrication]],"_",5)</f>
        <v>1020</v>
      </c>
      <c r="T216" s="82" t="e">
        <f>_xlfn.XLOOKUP(coupe[[#This Row],[Num OF]],#REF!,#REF!,0)</f>
        <v>#REF!</v>
      </c>
      <c r="U216" s="82" t="e">
        <f>_xlfn.XLOOKUP(coupe[[#This Row],[Num OF]],#REF!,#REF!,0)</f>
        <v>#REF!</v>
      </c>
      <c r="V216" s="82" t="str">
        <f>IF(
   COUNTIFS($A$2:A216,A216,
             $B$2:B216,B216,
             $D$2:D216,D216,
             $E$2:E216,E216,
             $F$2:F216,F216,
             $G$2:G216,G216,
             $H$2:H216,H216,
             $L$2:L216,L216)&gt;1,
   "Doublon",
   "Correcte"
)</f>
        <v>Correcte</v>
      </c>
    </row>
    <row r="217" spans="1:22" x14ac:dyDescent="0.25">
      <c r="A217" s="99" t="s">
        <v>2507</v>
      </c>
      <c r="B217" s="16" t="s">
        <v>686</v>
      </c>
      <c r="C217" s="68">
        <v>45938.536840277775</v>
      </c>
      <c r="D217" s="17">
        <v>16</v>
      </c>
      <c r="E217" s="17">
        <v>0</v>
      </c>
      <c r="F217" s="17">
        <v>0</v>
      </c>
      <c r="G217" s="17">
        <v>0</v>
      </c>
      <c r="H217" s="17">
        <v>0</v>
      </c>
      <c r="I217" s="16"/>
      <c r="J217" s="16" t="s">
        <v>699</v>
      </c>
      <c r="K217" s="16" t="s">
        <v>665</v>
      </c>
      <c r="L217" s="68">
        <v>45939.536840277775</v>
      </c>
      <c r="M217" s="68" t="str">
        <f t="shared" si="3"/>
        <v>Coupe</v>
      </c>
      <c r="N217" s="68" t="str">
        <f>INDEX(_xlfn.TEXTSPLIT(coupe[[#This Row],[QR Fabrication]],"_"),1,1)</f>
        <v>CA250182</v>
      </c>
      <c r="O217" s="68" t="str">
        <f>INDEX(_xlfn.TEXTSPLIT(coupe[[#This Row],[QR Fabrication]],"_"),1,2)</f>
        <v>All by Fouta</v>
      </c>
      <c r="P217" s="16" t="str">
        <f>INDEX(_xlfn.TEXTSPLIT(coupe[[#This Row],[QR Fabrication]],"_"),1,3)</f>
        <v>Stock</v>
      </c>
      <c r="Q217" s="16" t="str">
        <f>INDEX(_xlfn.TEXTSPLIT(coupe[[#This Row],[QR Fabrication]],"_"),1,4)</f>
        <v>IB2020-B02-10</v>
      </c>
      <c r="R217" s="16" t="str">
        <f>INDEX(_xlfn.TEXTSPLIT(coupe[[#This Row],[QR Fabrication]],"_"),1,5)</f>
        <v>IBIZA</v>
      </c>
      <c r="S217" s="16" t="str">
        <f>_xlfn.TEXTAFTER(coupe[[#This Row],[QR Fabrication]],"_",5)</f>
        <v>2020</v>
      </c>
      <c r="T217" s="82" t="e">
        <f>_xlfn.XLOOKUP(coupe[[#This Row],[Num OF]],#REF!,#REF!,0)</f>
        <v>#REF!</v>
      </c>
      <c r="U217" s="82" t="e">
        <f>_xlfn.XLOOKUP(coupe[[#This Row],[Num OF]],#REF!,#REF!,0)</f>
        <v>#REF!</v>
      </c>
      <c r="V217" s="82" t="str">
        <f>IF(
   COUNTIFS($A$2:A217,A217,
             $B$2:B217,B217,
             $D$2:D217,D217,
             $E$2:E217,E217,
             $F$2:F217,F217,
             $G$2:G217,G217,
             $H$2:H217,H217,
             $L$2:L217,L217)&gt;1,
   "Doublon",
   "Correcte"
)</f>
        <v>Correcte</v>
      </c>
    </row>
    <row r="218" spans="1:22" x14ac:dyDescent="0.25">
      <c r="A218" s="99" t="s">
        <v>2515</v>
      </c>
      <c r="B218" s="16" t="s">
        <v>702</v>
      </c>
      <c r="C218" s="68">
        <v>45938.568993055553</v>
      </c>
      <c r="D218" s="17">
        <v>12</v>
      </c>
      <c r="E218" s="17">
        <v>0</v>
      </c>
      <c r="F218" s="17">
        <v>0</v>
      </c>
      <c r="G218" s="17">
        <v>0</v>
      </c>
      <c r="H218" s="17">
        <v>0</v>
      </c>
      <c r="I218" s="16"/>
      <c r="J218" s="16" t="s">
        <v>699</v>
      </c>
      <c r="K218" s="16" t="s">
        <v>665</v>
      </c>
      <c r="L218" s="68">
        <v>45939.568993055553</v>
      </c>
      <c r="M218" s="68" t="str">
        <f t="shared" si="3"/>
        <v>Coupe</v>
      </c>
      <c r="N218" s="68" t="str">
        <f>INDEX(_xlfn.TEXTSPLIT(coupe[[#This Row],[QR Fabrication]],"_"),1,1)</f>
        <v>CA250183</v>
      </c>
      <c r="O218" s="68" t="str">
        <f>INDEX(_xlfn.TEXTSPLIT(coupe[[#This Row],[QR Fabrication]],"_"),1,2)</f>
        <v>All by Fouta</v>
      </c>
      <c r="P218" s="16" t="str">
        <f>INDEX(_xlfn.TEXTSPLIT(coupe[[#This Row],[QR Fabrication]],"_"),1,3)</f>
        <v>Stock</v>
      </c>
      <c r="Q218" s="16" t="str">
        <f>INDEX(_xlfn.TEXTSPLIT(coupe[[#This Row],[QR Fabrication]],"_"),1,4)</f>
        <v>IB2020-B06-08</v>
      </c>
      <c r="R218" s="16" t="str">
        <f>INDEX(_xlfn.TEXTSPLIT(coupe[[#This Row],[QR Fabrication]],"_"),1,5)</f>
        <v>IBIZA</v>
      </c>
      <c r="S218" s="16" t="str">
        <f>_xlfn.TEXTAFTER(coupe[[#This Row],[QR Fabrication]],"_",5)</f>
        <v>2020</v>
      </c>
      <c r="T218" s="82" t="e">
        <f>_xlfn.XLOOKUP(coupe[[#This Row],[Num OF]],#REF!,#REF!,0)</f>
        <v>#REF!</v>
      </c>
      <c r="U218" s="82" t="e">
        <f>_xlfn.XLOOKUP(coupe[[#This Row],[Num OF]],#REF!,#REF!,0)</f>
        <v>#REF!</v>
      </c>
      <c r="V218" s="82" t="str">
        <f>IF(
   COUNTIFS($A$2:A218,A218,
             $B$2:B218,B218,
             $D$2:D218,D218,
             $E$2:E218,E218,
             $F$2:F218,F218,
             $G$2:G218,G218,
             $H$2:H218,H218,
             $L$2:L218,L218)&gt;1,
   "Doublon",
   "Correcte"
)</f>
        <v>Correcte</v>
      </c>
    </row>
    <row r="219" spans="1:22" x14ac:dyDescent="0.25">
      <c r="A219" s="99" t="s">
        <v>2489</v>
      </c>
      <c r="B219" s="16" t="s">
        <v>686</v>
      </c>
      <c r="C219" s="68">
        <v>45938.571631944447</v>
      </c>
      <c r="D219" s="17">
        <v>1</v>
      </c>
      <c r="E219" s="17">
        <v>0</v>
      </c>
      <c r="F219" s="17">
        <v>0</v>
      </c>
      <c r="G219" s="17">
        <v>0</v>
      </c>
      <c r="H219" s="17">
        <v>0</v>
      </c>
      <c r="I219" s="16"/>
      <c r="J219" s="16" t="s">
        <v>699</v>
      </c>
      <c r="K219" s="16" t="s">
        <v>665</v>
      </c>
      <c r="L219" s="68">
        <v>45939.571631944447</v>
      </c>
      <c r="M219" s="68" t="str">
        <f t="shared" si="3"/>
        <v>Coupe</v>
      </c>
      <c r="N219" s="68" t="str">
        <f>INDEX(_xlfn.TEXTSPLIT(coupe[[#This Row],[QR Fabrication]],"_"),1,1)</f>
        <v>OF249858</v>
      </c>
      <c r="O219" s="68" t="str">
        <f>INDEX(_xlfn.TEXTSPLIT(coupe[[#This Row],[QR Fabrication]],"_"),1,2)</f>
        <v>CL00884</v>
      </c>
      <c r="P219" s="16" t="str">
        <f>INDEX(_xlfn.TEXTSPLIT(coupe[[#This Row],[QR Fabrication]],"_"),1,3)</f>
        <v>CM-FT0119</v>
      </c>
      <c r="Q219" s="16" t="str">
        <f>INDEX(_xlfn.TEXTSPLIT(coupe[[#This Row],[QR Fabrication]],"_"),1,4)</f>
        <v>AR2020-B23-01</v>
      </c>
      <c r="R219" s="16" t="str">
        <f>INDEX(_xlfn.TEXTSPLIT(coupe[[#This Row],[QR Fabrication]],"_"),1,5)</f>
        <v>ARTHUR</v>
      </c>
      <c r="S219" s="16" t="str">
        <f>_xlfn.TEXTAFTER(coupe[[#This Row],[QR Fabrication]],"_",5)</f>
        <v>2020</v>
      </c>
      <c r="T219" s="82" t="e">
        <f>_xlfn.XLOOKUP(coupe[[#This Row],[Num OF]],#REF!,#REF!,0)</f>
        <v>#REF!</v>
      </c>
      <c r="U219" s="82" t="e">
        <f>_xlfn.XLOOKUP(coupe[[#This Row],[Num OF]],#REF!,#REF!,0)</f>
        <v>#REF!</v>
      </c>
      <c r="V219" s="82" t="str">
        <f>IF(
   COUNTIFS($A$2:A219,A219,
             $B$2:B219,B219,
             $D$2:D219,D219,
             $E$2:E219,E219,
             $F$2:F219,F219,
             $G$2:G219,G219,
             $H$2:H219,H219,
             $L$2:L219,L219)&gt;1,
   "Doublon",
   "Correcte"
)</f>
        <v>Correcte</v>
      </c>
    </row>
    <row r="220" spans="1:22" x14ac:dyDescent="0.25">
      <c r="A220" s="100" t="s">
        <v>2508</v>
      </c>
      <c r="B220" s="64" t="s">
        <v>686</v>
      </c>
      <c r="C220" s="69">
        <v>45938.589930555558</v>
      </c>
      <c r="D220" s="65">
        <v>23</v>
      </c>
      <c r="E220" s="65">
        <v>4</v>
      </c>
      <c r="F220" s="65">
        <v>1</v>
      </c>
      <c r="G220" s="65">
        <v>0</v>
      </c>
      <c r="H220" s="65">
        <v>0</v>
      </c>
      <c r="I220" s="64" t="s">
        <v>700</v>
      </c>
      <c r="J220" s="64" t="e" vm="24">
        <v>#VALUE!</v>
      </c>
      <c r="K220" s="64" t="s">
        <v>665</v>
      </c>
      <c r="L220" s="69">
        <v>45939.589930555558</v>
      </c>
      <c r="M220" s="69" t="str">
        <f t="shared" si="3"/>
        <v>Coupe</v>
      </c>
      <c r="N220" s="69" t="str">
        <f>INDEX(_xlfn.TEXTSPLIT(coupe[[#This Row],[QR Fabrication]],"_"),1,1)</f>
        <v>CA250237</v>
      </c>
      <c r="O220" s="69" t="str">
        <f>INDEX(_xlfn.TEXTSPLIT(coupe[[#This Row],[QR Fabrication]],"_"),1,2)</f>
        <v>All by Fouta</v>
      </c>
      <c r="P220" s="64" t="str">
        <f>INDEX(_xlfn.TEXTSPLIT(coupe[[#This Row],[QR Fabrication]],"_"),1,3)</f>
        <v>Stock</v>
      </c>
      <c r="Q220" s="64" t="str">
        <f>INDEX(_xlfn.TEXTSPLIT(coupe[[#This Row],[QR Fabrication]],"_"),1,4)</f>
        <v>AR2020-B07-17</v>
      </c>
      <c r="R220" s="64" t="str">
        <f>INDEX(_xlfn.TEXTSPLIT(coupe[[#This Row],[QR Fabrication]],"_"),1,5)</f>
        <v>ARTHUR</v>
      </c>
      <c r="S220" s="64" t="str">
        <f>_xlfn.TEXTAFTER(coupe[[#This Row],[QR Fabrication]],"_",5)</f>
        <v>2020</v>
      </c>
      <c r="T220" s="123" t="e">
        <f>_xlfn.XLOOKUP(coupe[[#This Row],[Num OF]],#REF!,#REF!,0)</f>
        <v>#REF!</v>
      </c>
      <c r="U220" s="123" t="e">
        <f>_xlfn.XLOOKUP(coupe[[#This Row],[Num OF]],#REF!,#REF!,0)</f>
        <v>#REF!</v>
      </c>
      <c r="V220" s="82" t="str">
        <f>IF(
   COUNTIFS($A$2:A220,A220,
             $B$2:B220,B220,
             $D$2:D220,D220,
             $E$2:E220,E220,
             $F$2:F220,F220,
             $G$2:G220,G220,
             $H$2:H220,H220,
             $L$2:L220,L220)&gt;1,
   "Doublon",
   "Correcte"
)</f>
        <v>Correcte</v>
      </c>
    </row>
    <row r="221" spans="1:22" x14ac:dyDescent="0.25">
      <c r="A221" s="100" t="s">
        <v>2493</v>
      </c>
      <c r="B221" s="64" t="s">
        <v>686</v>
      </c>
      <c r="C221" s="69">
        <v>45938.649965277778</v>
      </c>
      <c r="D221" s="65">
        <v>84</v>
      </c>
      <c r="E221" s="65">
        <v>2</v>
      </c>
      <c r="F221" s="65">
        <v>0</v>
      </c>
      <c r="G221" s="65">
        <v>0</v>
      </c>
      <c r="H221" s="65">
        <v>0</v>
      </c>
      <c r="I221" s="64" t="s">
        <v>698</v>
      </c>
      <c r="J221" s="64" t="e" vm="25">
        <v>#VALUE!</v>
      </c>
      <c r="K221" s="64" t="s">
        <v>665</v>
      </c>
      <c r="L221" s="69">
        <v>45939.649965277778</v>
      </c>
      <c r="M221" s="69" t="str">
        <f t="shared" si="3"/>
        <v>Coupe</v>
      </c>
      <c r="N221" s="69" t="str">
        <f>INDEX(_xlfn.TEXTSPLIT(coupe[[#This Row],[QR Fabrication]],"_"),1,1)</f>
        <v>OF249836</v>
      </c>
      <c r="O221" s="69" t="str">
        <f>INDEX(_xlfn.TEXTSPLIT(coupe[[#This Row],[QR Fabrication]],"_"),1,2)</f>
        <v>CL00884</v>
      </c>
      <c r="P221" s="64" t="str">
        <f>INDEX(_xlfn.TEXTSPLIT(coupe[[#This Row],[QR Fabrication]],"_"),1,3)</f>
        <v>CM-FT0119</v>
      </c>
      <c r="Q221" s="64" t="str">
        <f>INDEX(_xlfn.TEXTSPLIT(coupe[[#This Row],[QR Fabrication]],"_"),1,4)</f>
        <v>FI1020-C02-28-29</v>
      </c>
      <c r="R221" s="64" t="str">
        <f>INDEX(_xlfn.TEXTSPLIT(coupe[[#This Row],[QR Fabrication]],"_"),1,5)</f>
        <v>FIVE</v>
      </c>
      <c r="S221" s="64" t="str">
        <f>_xlfn.TEXTAFTER(coupe[[#This Row],[QR Fabrication]],"_",5)</f>
        <v>1020</v>
      </c>
      <c r="T221" s="123" t="e">
        <f>_xlfn.XLOOKUP(coupe[[#This Row],[Num OF]],#REF!,#REF!,0)</f>
        <v>#REF!</v>
      </c>
      <c r="U221" s="123" t="e">
        <f>_xlfn.XLOOKUP(coupe[[#This Row],[Num OF]],#REF!,#REF!,0)</f>
        <v>#REF!</v>
      </c>
      <c r="V221" s="82" t="str">
        <f>IF(
   COUNTIFS($A$2:A221,A221,
             $B$2:B221,B221,
             $D$2:D221,D221,
             $E$2:E221,E221,
             $F$2:F221,F221,
             $G$2:G221,G221,
             $H$2:H221,H221,
             $L$2:L221,L221)&gt;1,
   "Doublon",
   "Correcte"
)</f>
        <v>Correcte</v>
      </c>
    </row>
    <row r="222" spans="1:22" x14ac:dyDescent="0.25">
      <c r="A222" s="100" t="s">
        <v>2515</v>
      </c>
      <c r="B222" s="64" t="s">
        <v>686</v>
      </c>
      <c r="C222" s="69">
        <v>45938.669039351851</v>
      </c>
      <c r="D222" s="65">
        <v>18</v>
      </c>
      <c r="E222" s="65">
        <v>0</v>
      </c>
      <c r="F222" s="65">
        <v>0</v>
      </c>
      <c r="G222" s="65">
        <v>0</v>
      </c>
      <c r="H222" s="65">
        <v>0</v>
      </c>
      <c r="I222" s="64"/>
      <c r="J222" s="64" t="s">
        <v>699</v>
      </c>
      <c r="K222" s="64" t="s">
        <v>665</v>
      </c>
      <c r="L222" s="69">
        <v>45939.669039351851</v>
      </c>
      <c r="M222" s="69" t="str">
        <f t="shared" si="3"/>
        <v>Coupe</v>
      </c>
      <c r="N222" s="69" t="str">
        <f>INDEX(_xlfn.TEXTSPLIT(coupe[[#This Row],[QR Fabrication]],"_"),1,1)</f>
        <v>CA250183</v>
      </c>
      <c r="O222" s="69" t="str">
        <f>INDEX(_xlfn.TEXTSPLIT(coupe[[#This Row],[QR Fabrication]],"_"),1,2)</f>
        <v>All by Fouta</v>
      </c>
      <c r="P222" s="64" t="str">
        <f>INDEX(_xlfn.TEXTSPLIT(coupe[[#This Row],[QR Fabrication]],"_"),1,3)</f>
        <v>Stock</v>
      </c>
      <c r="Q222" s="64" t="str">
        <f>INDEX(_xlfn.TEXTSPLIT(coupe[[#This Row],[QR Fabrication]],"_"),1,4)</f>
        <v>IB2020-B06-08</v>
      </c>
      <c r="R222" s="64" t="str">
        <f>INDEX(_xlfn.TEXTSPLIT(coupe[[#This Row],[QR Fabrication]],"_"),1,5)</f>
        <v>IBIZA</v>
      </c>
      <c r="S222" s="64" t="str">
        <f>_xlfn.TEXTAFTER(coupe[[#This Row],[QR Fabrication]],"_",5)</f>
        <v>2020</v>
      </c>
      <c r="T222" s="123" t="e">
        <f>_xlfn.XLOOKUP(coupe[[#This Row],[Num OF]],#REF!,#REF!,0)</f>
        <v>#REF!</v>
      </c>
      <c r="U222" s="123" t="e">
        <f>_xlfn.XLOOKUP(coupe[[#This Row],[Num OF]],#REF!,#REF!,0)</f>
        <v>#REF!</v>
      </c>
      <c r="V222" s="82" t="str">
        <f>IF(
   COUNTIFS($A$2:A222,A222,
             $B$2:B222,B222,
             $D$2:D222,D222,
             $E$2:E222,E222,
             $F$2:F222,F222,
             $G$2:G222,G222,
             $H$2:H222,H222,
             $L$2:L222,L222)&gt;1,
   "Doublon",
   "Correcte"
)</f>
        <v>Correcte</v>
      </c>
    </row>
    <row r="223" spans="1:22" x14ac:dyDescent="0.25">
      <c r="A223" s="100" t="s">
        <v>2502</v>
      </c>
      <c r="B223" s="64" t="s">
        <v>684</v>
      </c>
      <c r="C223" s="69">
        <v>45938.689282407409</v>
      </c>
      <c r="D223" s="65">
        <v>102</v>
      </c>
      <c r="E223" s="65">
        <v>0</v>
      </c>
      <c r="F223" s="65">
        <v>0</v>
      </c>
      <c r="G223" s="65">
        <v>0</v>
      </c>
      <c r="H223" s="65">
        <v>0</v>
      </c>
      <c r="I223" s="64"/>
      <c r="J223" s="64" t="s">
        <v>699</v>
      </c>
      <c r="K223" s="64" t="s">
        <v>665</v>
      </c>
      <c r="L223" s="69">
        <v>45939.689282407409</v>
      </c>
      <c r="M223" s="69" t="str">
        <f t="shared" si="3"/>
        <v>Coupe</v>
      </c>
      <c r="N223" s="69" t="str">
        <f>INDEX(_xlfn.TEXTSPLIT(coupe[[#This Row],[QR Fabrication]],"_"),1,1)</f>
        <v>CA250757</v>
      </c>
      <c r="O223" s="69" t="str">
        <f>INDEX(_xlfn.TEXTSPLIT(coupe[[#This Row],[QR Fabrication]],"_"),1,2)</f>
        <v>All by Fouta</v>
      </c>
      <c r="P223" s="64" t="str">
        <f>INDEX(_xlfn.TEXTSPLIT(coupe[[#This Row],[QR Fabrication]],"_"),1,3)</f>
        <v>Stock</v>
      </c>
      <c r="Q223" s="64" t="str">
        <f>INDEX(_xlfn.TEXTSPLIT(coupe[[#This Row],[QR Fabrication]],"_"),1,4)</f>
        <v>PACKSICL0507-B20-24</v>
      </c>
      <c r="R223" s="64" t="str">
        <f>INDEX(_xlfn.TEXTSPLIT(coupe[[#This Row],[QR Fabrication]],"_"),1,5)</f>
        <v>PACK CLASSIQUE</v>
      </c>
      <c r="S223" s="64" t="str">
        <f>_xlfn.TEXTAFTER(coupe[[#This Row],[QR Fabrication]],"_",5)</f>
        <v>0507</v>
      </c>
      <c r="T223" s="123" t="e">
        <f>_xlfn.XLOOKUP(coupe[[#This Row],[Num OF]],#REF!,#REF!,0)</f>
        <v>#REF!</v>
      </c>
      <c r="U223" s="123" t="e">
        <f>_xlfn.XLOOKUP(coupe[[#This Row],[Num OF]],#REF!,#REF!,0)</f>
        <v>#REF!</v>
      </c>
      <c r="V223" s="82" t="str">
        <f>IF(
   COUNTIFS($A$2:A223,A223,
             $B$2:B223,B223,
             $D$2:D223,D223,
             $E$2:E223,E223,
             $F$2:F223,F223,
             $G$2:G223,G223,
             $H$2:H223,H223,
             $L$2:L223,L223)&gt;1,
   "Doublon",
   "Correcte"
)</f>
        <v>Correcte</v>
      </c>
    </row>
    <row r="224" spans="1:22" x14ac:dyDescent="0.25">
      <c r="A224" s="100" t="s">
        <v>2497</v>
      </c>
      <c r="B224" s="64" t="s">
        <v>687</v>
      </c>
      <c r="C224" s="69">
        <v>45938.702037037037</v>
      </c>
      <c r="D224" s="65">
        <v>18</v>
      </c>
      <c r="E224" s="65">
        <v>0</v>
      </c>
      <c r="F224" s="65">
        <v>0</v>
      </c>
      <c r="G224" s="65">
        <v>0</v>
      </c>
      <c r="H224" s="65">
        <v>0</v>
      </c>
      <c r="I224" s="64"/>
      <c r="J224" s="64" t="s">
        <v>699</v>
      </c>
      <c r="K224" s="64" t="s">
        <v>665</v>
      </c>
      <c r="L224" s="69">
        <v>45939.702037037037</v>
      </c>
      <c r="M224" s="69" t="str">
        <f t="shared" si="3"/>
        <v>Coupe</v>
      </c>
      <c r="N224" s="69" t="str">
        <f>INDEX(_xlfn.TEXTSPLIT(coupe[[#This Row],[QR Fabrication]],"_"),1,1)</f>
        <v>CA250759</v>
      </c>
      <c r="O224" s="69" t="str">
        <f>INDEX(_xlfn.TEXTSPLIT(coupe[[#This Row],[QR Fabrication]],"_"),1,2)</f>
        <v>All by Fouta</v>
      </c>
      <c r="P224" s="64" t="str">
        <f>INDEX(_xlfn.TEXTSPLIT(coupe[[#This Row],[QR Fabrication]],"_"),1,3)</f>
        <v>Stock</v>
      </c>
      <c r="Q224" s="64" t="str">
        <f>INDEX(_xlfn.TEXTSPLIT(coupe[[#This Row],[QR Fabrication]],"_"),1,4)</f>
        <v>PACKSICL0507-B14-13</v>
      </c>
      <c r="R224" s="64" t="str">
        <f>INDEX(_xlfn.TEXTSPLIT(coupe[[#This Row],[QR Fabrication]],"_"),1,5)</f>
        <v>PACK CLASSIQUE</v>
      </c>
      <c r="S224" s="64" t="str">
        <f>_xlfn.TEXTAFTER(coupe[[#This Row],[QR Fabrication]],"_",5)</f>
        <v>0507</v>
      </c>
      <c r="T224" s="123" t="e">
        <f>_xlfn.XLOOKUP(coupe[[#This Row],[Num OF]],#REF!,#REF!,0)</f>
        <v>#REF!</v>
      </c>
      <c r="U224" s="123" t="e">
        <f>_xlfn.XLOOKUP(coupe[[#This Row],[Num OF]],#REF!,#REF!,0)</f>
        <v>#REF!</v>
      </c>
      <c r="V224" s="82" t="str">
        <f>IF(
   COUNTIFS($A$2:A224,A224,
             $B$2:B224,B224,
             $D$2:D224,D224,
             $E$2:E224,E224,
             $F$2:F224,F224,
             $G$2:G224,G224,
             $H$2:H224,H224,
             $L$2:L224,L224)&gt;1,
   "Doublon",
   "Correcte"
)</f>
        <v>Correcte</v>
      </c>
    </row>
    <row r="225" spans="1:22" x14ac:dyDescent="0.25">
      <c r="A225" s="100" t="s">
        <v>2509</v>
      </c>
      <c r="B225" s="64" t="s">
        <v>684</v>
      </c>
      <c r="C225" s="69">
        <v>45939.371342592596</v>
      </c>
      <c r="D225" s="65">
        <v>30</v>
      </c>
      <c r="E225" s="65">
        <v>0</v>
      </c>
      <c r="F225" s="65">
        <v>0</v>
      </c>
      <c r="G225" s="65">
        <v>0</v>
      </c>
      <c r="H225" s="65">
        <v>0</v>
      </c>
      <c r="I225" s="64"/>
      <c r="J225" s="64" t="s">
        <v>699</v>
      </c>
      <c r="K225" s="64" t="s">
        <v>665</v>
      </c>
      <c r="L225" s="69">
        <v>45940.371342592596</v>
      </c>
      <c r="M225" s="69" t="str">
        <f t="shared" si="3"/>
        <v>Coupe</v>
      </c>
      <c r="N225" s="69" t="str">
        <f>INDEX(_xlfn.TEXTSPLIT(coupe[[#This Row],[QR Fabrication]],"_"),1,1)</f>
        <v>CA250156</v>
      </c>
      <c r="O225" s="69" t="str">
        <f>INDEX(_xlfn.TEXTSPLIT(coupe[[#This Row],[QR Fabrication]],"_"),1,2)</f>
        <v>All by Fouta</v>
      </c>
      <c r="P225" s="64" t="str">
        <f>INDEX(_xlfn.TEXTSPLIT(coupe[[#This Row],[QR Fabrication]],"_"),1,3)</f>
        <v>Stock</v>
      </c>
      <c r="Q225" s="64" t="str">
        <f>INDEX(_xlfn.TEXTSPLIT(coupe[[#This Row],[QR Fabrication]],"_"),1,4)</f>
        <v>IB1020-B06-08</v>
      </c>
      <c r="R225" s="64" t="str">
        <f>INDEX(_xlfn.TEXTSPLIT(coupe[[#This Row],[QR Fabrication]],"_"),1,5)</f>
        <v>IBIZA</v>
      </c>
      <c r="S225" s="64" t="str">
        <f>_xlfn.TEXTAFTER(coupe[[#This Row],[QR Fabrication]],"_",5)</f>
        <v>1020</v>
      </c>
      <c r="T225" s="123" t="e">
        <f>_xlfn.XLOOKUP(coupe[[#This Row],[Num OF]],#REF!,#REF!,0)</f>
        <v>#REF!</v>
      </c>
      <c r="U225" s="123" t="e">
        <f>_xlfn.XLOOKUP(coupe[[#This Row],[Num OF]],#REF!,#REF!,0)</f>
        <v>#REF!</v>
      </c>
      <c r="V225" s="82" t="str">
        <f>IF(
   COUNTIFS($A$2:A225,A225,
             $B$2:B225,B225,
             $D$2:D225,D225,
             $E$2:E225,E225,
             $F$2:F225,F225,
             $G$2:G225,G225,
             $H$2:H225,H225,
             $L$2:L225,L225)&gt;1,
   "Doublon",
   "Correcte"
)</f>
        <v>Correcte</v>
      </c>
    </row>
    <row r="226" spans="1:22" x14ac:dyDescent="0.25">
      <c r="A226" s="100" t="s">
        <v>2509</v>
      </c>
      <c r="B226" s="64" t="s">
        <v>687</v>
      </c>
      <c r="C226" s="69">
        <v>45939.371631944443</v>
      </c>
      <c r="D226" s="65">
        <v>10</v>
      </c>
      <c r="E226" s="65">
        <v>0</v>
      </c>
      <c r="F226" s="65">
        <v>0</v>
      </c>
      <c r="G226" s="65">
        <v>0</v>
      </c>
      <c r="H226" s="65">
        <v>0</v>
      </c>
      <c r="I226" s="64"/>
      <c r="J226" s="64" t="s">
        <v>699</v>
      </c>
      <c r="K226" s="64" t="s">
        <v>665</v>
      </c>
      <c r="L226" s="69">
        <v>45940.371631944443</v>
      </c>
      <c r="M226" s="69" t="str">
        <f t="shared" si="3"/>
        <v>Coupe</v>
      </c>
      <c r="N226" s="69" t="str">
        <f>INDEX(_xlfn.TEXTSPLIT(coupe[[#This Row],[QR Fabrication]],"_"),1,1)</f>
        <v>CA250156</v>
      </c>
      <c r="O226" s="69" t="str">
        <f>INDEX(_xlfn.TEXTSPLIT(coupe[[#This Row],[QR Fabrication]],"_"),1,2)</f>
        <v>All by Fouta</v>
      </c>
      <c r="P226" s="64" t="str">
        <f>INDEX(_xlfn.TEXTSPLIT(coupe[[#This Row],[QR Fabrication]],"_"),1,3)</f>
        <v>Stock</v>
      </c>
      <c r="Q226" s="64" t="str">
        <f>INDEX(_xlfn.TEXTSPLIT(coupe[[#This Row],[QR Fabrication]],"_"),1,4)</f>
        <v>IB1020-B06-08</v>
      </c>
      <c r="R226" s="64" t="str">
        <f>INDEX(_xlfn.TEXTSPLIT(coupe[[#This Row],[QR Fabrication]],"_"),1,5)</f>
        <v>IBIZA</v>
      </c>
      <c r="S226" s="64" t="str">
        <f>_xlfn.TEXTAFTER(coupe[[#This Row],[QR Fabrication]],"_",5)</f>
        <v>1020</v>
      </c>
      <c r="T226" s="123" t="e">
        <f>_xlfn.XLOOKUP(coupe[[#This Row],[Num OF]],#REF!,#REF!,0)</f>
        <v>#REF!</v>
      </c>
      <c r="U226" s="123" t="e">
        <f>_xlfn.XLOOKUP(coupe[[#This Row],[Num OF]],#REF!,#REF!,0)</f>
        <v>#REF!</v>
      </c>
      <c r="V226" s="82" t="str">
        <f>IF(
   COUNTIFS($A$2:A226,A226,
             $B$2:B226,B226,
             $D$2:D226,D226,
             $E$2:E226,E226,
             $F$2:F226,F226,
             $G$2:G226,G226,
             $H$2:H226,H226,
             $L$2:L226,L226)&gt;1,
   "Doublon",
   "Correcte"
)</f>
        <v>Correcte</v>
      </c>
    </row>
    <row r="227" spans="1:22" x14ac:dyDescent="0.25">
      <c r="A227" s="100" t="s">
        <v>2523</v>
      </c>
      <c r="B227" s="64" t="s">
        <v>687</v>
      </c>
      <c r="C227" s="69">
        <v>45939.380416666667</v>
      </c>
      <c r="D227" s="65">
        <v>18</v>
      </c>
      <c r="E227" s="65">
        <v>0</v>
      </c>
      <c r="F227" s="65">
        <v>0</v>
      </c>
      <c r="G227" s="65">
        <v>0</v>
      </c>
      <c r="H227" s="65">
        <v>0</v>
      </c>
      <c r="I227" s="64"/>
      <c r="J227" s="64" t="s">
        <v>699</v>
      </c>
      <c r="K227" s="64" t="s">
        <v>665</v>
      </c>
      <c r="L227" s="69">
        <v>45940.380416666667</v>
      </c>
      <c r="M227" s="69" t="str">
        <f t="shared" si="3"/>
        <v>Coupe</v>
      </c>
      <c r="N227" s="69" t="str">
        <f>INDEX(_xlfn.TEXTSPLIT(coupe[[#This Row],[QR Fabrication]],"_"),1,1)</f>
        <v>CA250160</v>
      </c>
      <c r="O227" s="69" t="str">
        <f>INDEX(_xlfn.TEXTSPLIT(coupe[[#This Row],[QR Fabrication]],"_"),1,2)</f>
        <v>All by Fouta</v>
      </c>
      <c r="P227" s="64" t="str">
        <f>INDEX(_xlfn.TEXTSPLIT(coupe[[#This Row],[QR Fabrication]],"_"),1,3)</f>
        <v>Stock</v>
      </c>
      <c r="Q227" s="64" t="str">
        <f>INDEX(_xlfn.TEXTSPLIT(coupe[[#This Row],[QR Fabrication]],"_"),1,4)</f>
        <v>IB1020-B12-32</v>
      </c>
      <c r="R227" s="64" t="str">
        <f>INDEX(_xlfn.TEXTSPLIT(coupe[[#This Row],[QR Fabrication]],"_"),1,5)</f>
        <v>IBIZA</v>
      </c>
      <c r="S227" s="64" t="str">
        <f>_xlfn.TEXTAFTER(coupe[[#This Row],[QR Fabrication]],"_",5)</f>
        <v>1020</v>
      </c>
      <c r="T227" s="123" t="e">
        <f>_xlfn.XLOOKUP(coupe[[#This Row],[Num OF]],#REF!,#REF!,0)</f>
        <v>#REF!</v>
      </c>
      <c r="U227" s="123" t="e">
        <f>_xlfn.XLOOKUP(coupe[[#This Row],[Num OF]],#REF!,#REF!,0)</f>
        <v>#REF!</v>
      </c>
      <c r="V227" s="82" t="str">
        <f>IF(
   COUNTIFS($A$2:A227,A227,
             $B$2:B227,B227,
             $D$2:D227,D227,
             $E$2:E227,E227,
             $F$2:F227,F227,
             $G$2:G227,G227,
             $H$2:H227,H227,
             $L$2:L227,L227)&gt;1,
   "Doublon",
   "Correcte"
)</f>
        <v>Correcte</v>
      </c>
    </row>
    <row r="228" spans="1:22" x14ac:dyDescent="0.25">
      <c r="A228" s="100" t="s">
        <v>2501</v>
      </c>
      <c r="B228" s="64" t="s">
        <v>702</v>
      </c>
      <c r="C228" s="69">
        <v>45939.406539351854</v>
      </c>
      <c r="D228" s="65">
        <v>23</v>
      </c>
      <c r="E228" s="65">
        <v>0</v>
      </c>
      <c r="F228" s="65">
        <v>0</v>
      </c>
      <c r="G228" s="65">
        <v>0</v>
      </c>
      <c r="H228" s="65">
        <v>0</v>
      </c>
      <c r="I228" s="64"/>
      <c r="J228" s="64" t="s">
        <v>699</v>
      </c>
      <c r="K228" s="64" t="s">
        <v>665</v>
      </c>
      <c r="L228" s="69">
        <v>45940.406539351854</v>
      </c>
      <c r="M228" s="69" t="str">
        <f t="shared" si="3"/>
        <v>Coupe</v>
      </c>
      <c r="N228" s="69" t="str">
        <f>INDEX(_xlfn.TEXTSPLIT(coupe[[#This Row],[QR Fabrication]],"_"),1,1)</f>
        <v>OF249914</v>
      </c>
      <c r="O228" s="69" t="str">
        <f>INDEX(_xlfn.TEXTSPLIT(coupe[[#This Row],[QR Fabrication]],"_"),1,2)</f>
        <v>CL00884</v>
      </c>
      <c r="P228" s="64" t="str">
        <f>INDEX(_xlfn.TEXTSPLIT(coupe[[#This Row],[QR Fabrication]],"_"),1,3)</f>
        <v>CM-FT0120</v>
      </c>
      <c r="Q228" s="64" t="str">
        <f>INDEX(_xlfn.TEXTSPLIT(coupe[[#This Row],[QR Fabrication]],"_"),1,4)</f>
        <v>SO1020-Q29-11-14</v>
      </c>
      <c r="R228" s="64" t="str">
        <f>INDEX(_xlfn.TEXTSPLIT(coupe[[#This Row],[QR Fabrication]],"_"),1,5)</f>
        <v>SOUSSE</v>
      </c>
      <c r="S228" s="64" t="str">
        <f>_xlfn.TEXTAFTER(coupe[[#This Row],[QR Fabrication]],"_",5)</f>
        <v>1020</v>
      </c>
      <c r="T228" s="123" t="e">
        <f>_xlfn.XLOOKUP(coupe[[#This Row],[Num OF]],#REF!,#REF!,0)</f>
        <v>#REF!</v>
      </c>
      <c r="U228" s="123" t="e">
        <f>_xlfn.XLOOKUP(coupe[[#This Row],[Num OF]],#REF!,#REF!,0)</f>
        <v>#REF!</v>
      </c>
      <c r="V228" s="82" t="str">
        <f>IF(
   COUNTIFS($A$2:A228,A228,
             $B$2:B228,B228,
             $D$2:D228,D228,
             $E$2:E228,E228,
             $F$2:F228,F228,
             $G$2:G228,G228,
             $H$2:H228,H228,
             $L$2:L228,L228)&gt;1,
   "Doublon",
   "Correcte"
)</f>
        <v>Correcte</v>
      </c>
    </row>
    <row r="229" spans="1:22" x14ac:dyDescent="0.25">
      <c r="A229" s="100" t="s">
        <v>2501</v>
      </c>
      <c r="B229" s="64" t="s">
        <v>686</v>
      </c>
      <c r="C229" s="69">
        <v>45939.411874999998</v>
      </c>
      <c r="D229" s="65">
        <v>15</v>
      </c>
      <c r="E229" s="65">
        <v>1</v>
      </c>
      <c r="F229" s="65">
        <v>0</v>
      </c>
      <c r="G229" s="65">
        <v>0</v>
      </c>
      <c r="H229" s="65">
        <v>0</v>
      </c>
      <c r="I229" s="64" t="s">
        <v>700</v>
      </c>
      <c r="J229" s="64" t="e" vm="26">
        <v>#VALUE!</v>
      </c>
      <c r="K229" s="64" t="s">
        <v>665</v>
      </c>
      <c r="L229" s="69">
        <v>45940.411874999998</v>
      </c>
      <c r="M229" s="69" t="str">
        <f t="shared" si="3"/>
        <v>Coupe</v>
      </c>
      <c r="N229" s="69" t="str">
        <f>INDEX(_xlfn.TEXTSPLIT(coupe[[#This Row],[QR Fabrication]],"_"),1,1)</f>
        <v>OF249914</v>
      </c>
      <c r="O229" s="69" t="str">
        <f>INDEX(_xlfn.TEXTSPLIT(coupe[[#This Row],[QR Fabrication]],"_"),1,2)</f>
        <v>CL00884</v>
      </c>
      <c r="P229" s="64" t="str">
        <f>INDEX(_xlfn.TEXTSPLIT(coupe[[#This Row],[QR Fabrication]],"_"),1,3)</f>
        <v>CM-FT0120</v>
      </c>
      <c r="Q229" s="64" t="str">
        <f>INDEX(_xlfn.TEXTSPLIT(coupe[[#This Row],[QR Fabrication]],"_"),1,4)</f>
        <v>SO1020-Q29-11-14</v>
      </c>
      <c r="R229" s="64" t="str">
        <f>INDEX(_xlfn.TEXTSPLIT(coupe[[#This Row],[QR Fabrication]],"_"),1,5)</f>
        <v>SOUSSE</v>
      </c>
      <c r="S229" s="64" t="str">
        <f>_xlfn.TEXTAFTER(coupe[[#This Row],[QR Fabrication]],"_",5)</f>
        <v>1020</v>
      </c>
      <c r="T229" s="123" t="e">
        <f>_xlfn.XLOOKUP(coupe[[#This Row],[Num OF]],#REF!,#REF!,0)</f>
        <v>#REF!</v>
      </c>
      <c r="U229" s="123" t="e">
        <f>_xlfn.XLOOKUP(coupe[[#This Row],[Num OF]],#REF!,#REF!,0)</f>
        <v>#REF!</v>
      </c>
      <c r="V229" s="82" t="str">
        <f>IF(
   COUNTIFS($A$2:A229,A229,
             $B$2:B229,B229,
             $D$2:D229,D229,
             $E$2:E229,E229,
             $F$2:F229,F229,
             $G$2:G229,G229,
             $H$2:H229,H229,
             $L$2:L229,L229)&gt;1,
   "Doublon",
   "Correcte"
)</f>
        <v>Correcte</v>
      </c>
    </row>
    <row r="230" spans="1:22" x14ac:dyDescent="0.25">
      <c r="A230" s="100" t="s">
        <v>2493</v>
      </c>
      <c r="B230" s="64" t="s">
        <v>702</v>
      </c>
      <c r="C230" s="69">
        <v>45939.435567129629</v>
      </c>
      <c r="D230" s="65">
        <v>52</v>
      </c>
      <c r="E230" s="65">
        <v>2</v>
      </c>
      <c r="F230" s="65">
        <v>0</v>
      </c>
      <c r="G230" s="65">
        <v>0</v>
      </c>
      <c r="H230" s="65">
        <v>0</v>
      </c>
      <c r="I230" s="64" t="s">
        <v>700</v>
      </c>
      <c r="J230" s="64" t="e" vm="27">
        <v>#VALUE!</v>
      </c>
      <c r="K230" s="64" t="s">
        <v>665</v>
      </c>
      <c r="L230" s="69">
        <v>45940.435567129629</v>
      </c>
      <c r="M230" s="69" t="str">
        <f t="shared" si="3"/>
        <v>Coupe</v>
      </c>
      <c r="N230" s="69" t="str">
        <f>INDEX(_xlfn.TEXTSPLIT(coupe[[#This Row],[QR Fabrication]],"_"),1,1)</f>
        <v>OF249836</v>
      </c>
      <c r="O230" s="69" t="str">
        <f>INDEX(_xlfn.TEXTSPLIT(coupe[[#This Row],[QR Fabrication]],"_"),1,2)</f>
        <v>CL00884</v>
      </c>
      <c r="P230" s="64" t="str">
        <f>INDEX(_xlfn.TEXTSPLIT(coupe[[#This Row],[QR Fabrication]],"_"),1,3)</f>
        <v>CM-FT0119</v>
      </c>
      <c r="Q230" s="64" t="str">
        <f>INDEX(_xlfn.TEXTSPLIT(coupe[[#This Row],[QR Fabrication]],"_"),1,4)</f>
        <v>FI1020-C02-28-29</v>
      </c>
      <c r="R230" s="64" t="str">
        <f>INDEX(_xlfn.TEXTSPLIT(coupe[[#This Row],[QR Fabrication]],"_"),1,5)</f>
        <v>FIVE</v>
      </c>
      <c r="S230" s="64" t="str">
        <f>_xlfn.TEXTAFTER(coupe[[#This Row],[QR Fabrication]],"_",5)</f>
        <v>1020</v>
      </c>
      <c r="T230" s="123" t="e">
        <f>_xlfn.XLOOKUP(coupe[[#This Row],[Num OF]],#REF!,#REF!,0)</f>
        <v>#REF!</v>
      </c>
      <c r="U230" s="123" t="e">
        <f>_xlfn.XLOOKUP(coupe[[#This Row],[Num OF]],#REF!,#REF!,0)</f>
        <v>#REF!</v>
      </c>
      <c r="V230" s="82" t="str">
        <f>IF(
   COUNTIFS($A$2:A230,A230,
             $B$2:B230,B230,
             $D$2:D230,D230,
             $E$2:E230,E230,
             $F$2:F230,F230,
             $G$2:G230,G230,
             $H$2:H230,H230,
             $L$2:L230,L230)&gt;1,
   "Doublon",
   "Correcte"
)</f>
        <v>Correcte</v>
      </c>
    </row>
    <row r="231" spans="1:22" x14ac:dyDescent="0.25">
      <c r="A231" s="100" t="s">
        <v>2505</v>
      </c>
      <c r="B231" s="64" t="s">
        <v>684</v>
      </c>
      <c r="C231" s="69">
        <v>45939.486192129632</v>
      </c>
      <c r="D231" s="65">
        <v>0</v>
      </c>
      <c r="E231" s="65">
        <v>5</v>
      </c>
      <c r="F231" s="65">
        <v>0</v>
      </c>
      <c r="G231" s="65">
        <v>0</v>
      </c>
      <c r="H231" s="65">
        <v>0</v>
      </c>
      <c r="I231" s="64" t="s">
        <v>700</v>
      </c>
      <c r="J231" s="64" t="e" vm="28">
        <v>#VALUE!</v>
      </c>
      <c r="K231" s="64" t="s">
        <v>665</v>
      </c>
      <c r="L231" s="69">
        <v>45940.486192129632</v>
      </c>
      <c r="M231" s="69" t="str">
        <f t="shared" si="3"/>
        <v>Coupe</v>
      </c>
      <c r="N231" s="69" t="str">
        <f>INDEX(_xlfn.TEXTSPLIT(coupe[[#This Row],[QR Fabrication]],"_"),1,1)</f>
        <v>CA250163</v>
      </c>
      <c r="O231" s="69" t="str">
        <f>INDEX(_xlfn.TEXTSPLIT(coupe[[#This Row],[QR Fabrication]],"_"),1,2)</f>
        <v>All by Fouta</v>
      </c>
      <c r="P231" s="64" t="str">
        <f>INDEX(_xlfn.TEXTSPLIT(coupe[[#This Row],[QR Fabrication]],"_"),1,3)</f>
        <v>Stock</v>
      </c>
      <c r="Q231" s="64" t="str">
        <f>INDEX(_xlfn.TEXTSPLIT(coupe[[#This Row],[QR Fabrication]],"_"),1,4)</f>
        <v>IB1020-B20-24</v>
      </c>
      <c r="R231" s="64" t="str">
        <f>INDEX(_xlfn.TEXTSPLIT(coupe[[#This Row],[QR Fabrication]],"_"),1,5)</f>
        <v>IBIZA</v>
      </c>
      <c r="S231" s="64" t="str">
        <f>_xlfn.TEXTAFTER(coupe[[#This Row],[QR Fabrication]],"_",5)</f>
        <v>1020</v>
      </c>
      <c r="T231" s="123" t="e">
        <f>_xlfn.XLOOKUP(coupe[[#This Row],[Num OF]],#REF!,#REF!,0)</f>
        <v>#REF!</v>
      </c>
      <c r="U231" s="123" t="e">
        <f>_xlfn.XLOOKUP(coupe[[#This Row],[Num OF]],#REF!,#REF!,0)</f>
        <v>#REF!</v>
      </c>
      <c r="V231" s="82" t="str">
        <f>IF(
   COUNTIFS($A$2:A231,A231,
             $B$2:B231,B231,
             $D$2:D231,D231,
             $E$2:E231,E231,
             $F$2:F231,F231,
             $G$2:G231,G231,
             $H$2:H231,H231,
             $L$2:L231,L231)&gt;1,
   "Doublon",
   "Correcte"
)</f>
        <v>Correcte</v>
      </c>
    </row>
    <row r="232" spans="1:22" x14ac:dyDescent="0.25">
      <c r="A232" s="100" t="s">
        <v>2505</v>
      </c>
      <c r="B232" s="64" t="s">
        <v>684</v>
      </c>
      <c r="C232" s="69">
        <v>45939.486192129632</v>
      </c>
      <c r="D232" s="65">
        <v>55</v>
      </c>
      <c r="E232" s="65">
        <v>55</v>
      </c>
      <c r="F232" s="65">
        <v>0</v>
      </c>
      <c r="G232" s="65">
        <v>55</v>
      </c>
      <c r="H232" s="65">
        <v>0</v>
      </c>
      <c r="I232" s="64" t="s">
        <v>698</v>
      </c>
      <c r="J232" s="64"/>
      <c r="K232" s="64" t="s">
        <v>665</v>
      </c>
      <c r="L232" s="69">
        <v>45940.486192129632</v>
      </c>
      <c r="M232" s="69" t="str">
        <f t="shared" si="3"/>
        <v>Coupe</v>
      </c>
      <c r="N232" s="69" t="str">
        <f>INDEX(_xlfn.TEXTSPLIT(coupe[[#This Row],[QR Fabrication]],"_"),1,1)</f>
        <v>CA250163</v>
      </c>
      <c r="O232" s="69" t="str">
        <f>INDEX(_xlfn.TEXTSPLIT(coupe[[#This Row],[QR Fabrication]],"_"),1,2)</f>
        <v>All by Fouta</v>
      </c>
      <c r="P232" s="64" t="str">
        <f>INDEX(_xlfn.TEXTSPLIT(coupe[[#This Row],[QR Fabrication]],"_"),1,3)</f>
        <v>Stock</v>
      </c>
      <c r="Q232" s="64" t="str">
        <f>INDEX(_xlfn.TEXTSPLIT(coupe[[#This Row],[QR Fabrication]],"_"),1,4)</f>
        <v>IB1020-B20-24</v>
      </c>
      <c r="R232" s="64" t="str">
        <f>INDEX(_xlfn.TEXTSPLIT(coupe[[#This Row],[QR Fabrication]],"_"),1,5)</f>
        <v>IBIZA</v>
      </c>
      <c r="S232" s="64" t="str">
        <f>_xlfn.TEXTAFTER(coupe[[#This Row],[QR Fabrication]],"_",5)</f>
        <v>1020</v>
      </c>
      <c r="T232" s="123" t="e">
        <f>_xlfn.XLOOKUP(coupe[[#This Row],[Num OF]],#REF!,#REF!,0)</f>
        <v>#REF!</v>
      </c>
      <c r="U232" s="123" t="e">
        <f>_xlfn.XLOOKUP(coupe[[#This Row],[Num OF]],#REF!,#REF!,0)</f>
        <v>#REF!</v>
      </c>
      <c r="V232" s="82" t="str">
        <f>IF(
   COUNTIFS($A$2:A232,A232,
             $B$2:B232,B232,
             $D$2:D232,D232,
             $E$2:E232,E232,
             $F$2:F232,F232,
             $G$2:G232,G232,
             $H$2:H232,H232,
             $L$2:L232,L232)&gt;1,
   "Doublon",
   "Correcte"
)</f>
        <v>Correcte</v>
      </c>
    </row>
    <row r="233" spans="1:22" x14ac:dyDescent="0.25">
      <c r="A233" s="100" t="s">
        <v>2518</v>
      </c>
      <c r="B233" s="64" t="s">
        <v>687</v>
      </c>
      <c r="C233" s="69">
        <v>45939.516412037039</v>
      </c>
      <c r="D233" s="65">
        <v>42</v>
      </c>
      <c r="E233" s="65">
        <v>12</v>
      </c>
      <c r="F233" s="65">
        <v>0</v>
      </c>
      <c r="G233" s="65">
        <v>12</v>
      </c>
      <c r="H233" s="65">
        <v>0</v>
      </c>
      <c r="I233" s="64" t="s">
        <v>698</v>
      </c>
      <c r="J233" s="64" t="e" vm="29">
        <v>#VALUE!</v>
      </c>
      <c r="K233" s="64" t="s">
        <v>665</v>
      </c>
      <c r="L233" s="69">
        <v>45940.516412037039</v>
      </c>
      <c r="M233" s="69" t="str">
        <f t="shared" si="3"/>
        <v>Coupe</v>
      </c>
      <c r="N233" s="69" t="str">
        <f>INDEX(_xlfn.TEXTSPLIT(coupe[[#This Row],[QR Fabrication]],"_"),1,1)</f>
        <v>CA250159</v>
      </c>
      <c r="O233" s="69" t="str">
        <f>INDEX(_xlfn.TEXTSPLIT(coupe[[#This Row],[QR Fabrication]],"_"),1,2)</f>
        <v>All by Fouta</v>
      </c>
      <c r="P233" s="64" t="str">
        <f>INDEX(_xlfn.TEXTSPLIT(coupe[[#This Row],[QR Fabrication]],"_"),1,3)</f>
        <v>Stock</v>
      </c>
      <c r="Q233" s="64" t="str">
        <f>INDEX(_xlfn.TEXTSPLIT(coupe[[#This Row],[QR Fabrication]],"_"),1,4)</f>
        <v>IB1020-B11-14</v>
      </c>
      <c r="R233" s="64" t="str">
        <f>INDEX(_xlfn.TEXTSPLIT(coupe[[#This Row],[QR Fabrication]],"_"),1,5)</f>
        <v>IBIZA</v>
      </c>
      <c r="S233" s="64" t="str">
        <f>_xlfn.TEXTAFTER(coupe[[#This Row],[QR Fabrication]],"_",5)</f>
        <v>1020</v>
      </c>
      <c r="T233" s="123" t="e">
        <f>_xlfn.XLOOKUP(coupe[[#This Row],[Num OF]],#REF!,#REF!,0)</f>
        <v>#REF!</v>
      </c>
      <c r="U233" s="123" t="e">
        <f>_xlfn.XLOOKUP(coupe[[#This Row],[Num OF]],#REF!,#REF!,0)</f>
        <v>#REF!</v>
      </c>
      <c r="V233" s="82" t="str">
        <f>IF(
   COUNTIFS($A$2:A233,A233,
             $B$2:B233,B233,
             $D$2:D233,D233,
             $E$2:E233,E233,
             $F$2:F233,F233,
             $G$2:G233,G233,
             $H$2:H233,H233,
             $L$2:L233,L233)&gt;1,
   "Doublon",
   "Correcte"
)</f>
        <v>Correcte</v>
      </c>
    </row>
    <row r="234" spans="1:22" x14ac:dyDescent="0.25">
      <c r="A234" s="100" t="s">
        <v>2521</v>
      </c>
      <c r="B234" s="64" t="s">
        <v>686</v>
      </c>
      <c r="C234" s="69">
        <v>45939.562685185185</v>
      </c>
      <c r="D234" s="65">
        <v>30</v>
      </c>
      <c r="E234" s="65">
        <v>0</v>
      </c>
      <c r="F234" s="65">
        <v>0</v>
      </c>
      <c r="G234" s="65">
        <v>0</v>
      </c>
      <c r="H234" s="65">
        <v>0</v>
      </c>
      <c r="I234" s="64"/>
      <c r="J234" s="64" t="s">
        <v>699</v>
      </c>
      <c r="K234" s="64" t="s">
        <v>665</v>
      </c>
      <c r="L234" s="69">
        <v>45940.562685185185</v>
      </c>
      <c r="M234" s="69" t="str">
        <f t="shared" si="3"/>
        <v>Coupe</v>
      </c>
      <c r="N234" s="69" t="str">
        <f>INDEX(_xlfn.TEXTSPLIT(coupe[[#This Row],[QR Fabrication]],"_"),1,1)</f>
        <v>CA250185</v>
      </c>
      <c r="O234" s="69" t="str">
        <f>INDEX(_xlfn.TEXTSPLIT(coupe[[#This Row],[QR Fabrication]],"_"),1,2)</f>
        <v>All by Fouta</v>
      </c>
      <c r="P234" s="64" t="str">
        <f>INDEX(_xlfn.TEXTSPLIT(coupe[[#This Row],[QR Fabrication]],"_"),1,3)</f>
        <v>Stock</v>
      </c>
      <c r="Q234" s="64" t="str">
        <f>INDEX(_xlfn.TEXTSPLIT(coupe[[#This Row],[QR Fabrication]],"_"),1,4)</f>
        <v>IB2020-B11-25</v>
      </c>
      <c r="R234" s="64" t="str">
        <f>INDEX(_xlfn.TEXTSPLIT(coupe[[#This Row],[QR Fabrication]],"_"),1,5)</f>
        <v>IBIZA</v>
      </c>
      <c r="S234" s="64" t="str">
        <f>_xlfn.TEXTAFTER(coupe[[#This Row],[QR Fabrication]],"_",5)</f>
        <v>2020</v>
      </c>
      <c r="T234" s="123" t="e">
        <f>_xlfn.XLOOKUP(coupe[[#This Row],[Num OF]],#REF!,#REF!,0)</f>
        <v>#REF!</v>
      </c>
      <c r="U234" s="123" t="e">
        <f>_xlfn.XLOOKUP(coupe[[#This Row],[Num OF]],#REF!,#REF!,0)</f>
        <v>#REF!</v>
      </c>
      <c r="V234" s="82" t="str">
        <f>IF(
   COUNTIFS($A$2:A234,A234,
             $B$2:B234,B234,
             $D$2:D234,D234,
             $E$2:E234,E234,
             $F$2:F234,F234,
             $G$2:G234,G234,
             $H$2:H234,H234,
             $L$2:L234,L234)&gt;1,
   "Doublon",
   "Correcte"
)</f>
        <v>Correcte</v>
      </c>
    </row>
    <row r="235" spans="1:22" x14ac:dyDescent="0.25">
      <c r="A235" s="100" t="s">
        <v>2513</v>
      </c>
      <c r="B235" s="64" t="s">
        <v>687</v>
      </c>
      <c r="C235" s="69">
        <v>45939.569548611114</v>
      </c>
      <c r="D235" s="65">
        <v>7</v>
      </c>
      <c r="E235" s="65">
        <v>1</v>
      </c>
      <c r="F235" s="65">
        <v>0</v>
      </c>
      <c r="G235" s="65">
        <v>0</v>
      </c>
      <c r="H235" s="65">
        <v>0</v>
      </c>
      <c r="I235" s="64" t="s">
        <v>697</v>
      </c>
      <c r="J235" s="64" t="e" vm="30">
        <v>#VALUE!</v>
      </c>
      <c r="K235" s="64" t="s">
        <v>665</v>
      </c>
      <c r="L235" s="69">
        <v>45940.569548611114</v>
      </c>
      <c r="M235" s="69" t="str">
        <f t="shared" si="3"/>
        <v>Coupe</v>
      </c>
      <c r="N235" s="69" t="str">
        <f>INDEX(_xlfn.TEXTSPLIT(coupe[[#This Row],[QR Fabrication]],"_"),1,1)</f>
        <v>CA250162</v>
      </c>
      <c r="O235" s="69" t="str">
        <f>INDEX(_xlfn.TEXTSPLIT(coupe[[#This Row],[QR Fabrication]],"_"),1,2)</f>
        <v>All by Fouta</v>
      </c>
      <c r="P235" s="64" t="str">
        <f>INDEX(_xlfn.TEXTSPLIT(coupe[[#This Row],[QR Fabrication]],"_"),1,3)</f>
        <v>Stock</v>
      </c>
      <c r="Q235" s="64" t="str">
        <f>INDEX(_xlfn.TEXTSPLIT(coupe[[#This Row],[QR Fabrication]],"_"),1,4)</f>
        <v>IB1020-B17-07</v>
      </c>
      <c r="R235" s="64" t="str">
        <f>INDEX(_xlfn.TEXTSPLIT(coupe[[#This Row],[QR Fabrication]],"_"),1,5)</f>
        <v>IBIZA</v>
      </c>
      <c r="S235" s="64" t="str">
        <f>_xlfn.TEXTAFTER(coupe[[#This Row],[QR Fabrication]],"_",5)</f>
        <v>1020</v>
      </c>
      <c r="T235" s="123" t="e">
        <f>_xlfn.XLOOKUP(coupe[[#This Row],[Num OF]],#REF!,#REF!,0)</f>
        <v>#REF!</v>
      </c>
      <c r="U235" s="123" t="e">
        <f>_xlfn.XLOOKUP(coupe[[#This Row],[Num OF]],#REF!,#REF!,0)</f>
        <v>#REF!</v>
      </c>
      <c r="V235" s="82" t="str">
        <f>IF(
   COUNTIFS($A$2:A235,A235,
             $B$2:B235,B235,
             $D$2:D235,D235,
             $E$2:E235,E235,
             $F$2:F235,F235,
             $G$2:G235,G235,
             $H$2:H235,H235,
             $L$2:L235,L235)&gt;1,
   "Doublon",
   "Correcte"
)</f>
        <v>Correcte</v>
      </c>
    </row>
    <row r="236" spans="1:22" x14ac:dyDescent="0.25">
      <c r="A236" s="100" t="s">
        <v>2510</v>
      </c>
      <c r="B236" s="64" t="s">
        <v>684</v>
      </c>
      <c r="C236" s="69">
        <v>45939.593599537038</v>
      </c>
      <c r="D236" s="65">
        <v>62</v>
      </c>
      <c r="E236" s="65">
        <v>0</v>
      </c>
      <c r="F236" s="65">
        <v>0</v>
      </c>
      <c r="G236" s="65">
        <v>0</v>
      </c>
      <c r="H236" s="65">
        <v>1</v>
      </c>
      <c r="I236" s="16" t="s">
        <v>698</v>
      </c>
      <c r="J236" s="64" t="e" vm="31">
        <v>#VALUE!</v>
      </c>
      <c r="K236" s="64" t="s">
        <v>665</v>
      </c>
      <c r="L236" s="69">
        <v>45940.593599537038</v>
      </c>
      <c r="M236" s="69" t="str">
        <f t="shared" si="3"/>
        <v>Coupe</v>
      </c>
      <c r="N236" s="69" t="str">
        <f>INDEX(_xlfn.TEXTSPLIT(coupe[[#This Row],[QR Fabrication]],"_"),1,1)</f>
        <v>CA250158</v>
      </c>
      <c r="O236" s="69" t="str">
        <f>INDEX(_xlfn.TEXTSPLIT(coupe[[#This Row],[QR Fabrication]],"_"),1,2)</f>
        <v>All by Fouta</v>
      </c>
      <c r="P236" s="64" t="str">
        <f>INDEX(_xlfn.TEXTSPLIT(coupe[[#This Row],[QR Fabrication]],"_"),1,3)</f>
        <v>Stock</v>
      </c>
      <c r="Q236" s="64" t="str">
        <f>INDEX(_xlfn.TEXTSPLIT(coupe[[#This Row],[QR Fabrication]],"_"),1,4)</f>
        <v>IB1020-B11-25</v>
      </c>
      <c r="R236" s="64" t="str">
        <f>INDEX(_xlfn.TEXTSPLIT(coupe[[#This Row],[QR Fabrication]],"_"),1,5)</f>
        <v>IBIZA</v>
      </c>
      <c r="S236" s="64" t="str">
        <f>_xlfn.TEXTAFTER(coupe[[#This Row],[QR Fabrication]],"_",5)</f>
        <v>1020</v>
      </c>
      <c r="T236" s="123" t="e">
        <f>_xlfn.XLOOKUP(coupe[[#This Row],[Num OF]],#REF!,#REF!,0)</f>
        <v>#REF!</v>
      </c>
      <c r="U236" s="123" t="e">
        <f>_xlfn.XLOOKUP(coupe[[#This Row],[Num OF]],#REF!,#REF!,0)</f>
        <v>#REF!</v>
      </c>
      <c r="V236" s="82" t="str">
        <f>IF(
   COUNTIFS($A$2:A236,A236,
             $B$2:B236,B236,
             $D$2:D236,D236,
             $E$2:E236,E236,
             $F$2:F236,F236,
             $G$2:G236,G236,
             $H$2:H236,H236,
             $L$2:L236,L236)&gt;1,
   "Doublon",
   "Correcte"
)</f>
        <v>Correcte</v>
      </c>
    </row>
    <row r="237" spans="1:22" x14ac:dyDescent="0.25">
      <c r="A237" s="100" t="s">
        <v>2522</v>
      </c>
      <c r="B237" s="64" t="s">
        <v>702</v>
      </c>
      <c r="C237" s="69">
        <v>45939.608969907407</v>
      </c>
      <c r="D237" s="65">
        <v>15</v>
      </c>
      <c r="E237" s="65">
        <v>0</v>
      </c>
      <c r="F237" s="65">
        <v>0</v>
      </c>
      <c r="G237" s="65">
        <v>0</v>
      </c>
      <c r="H237" s="65">
        <v>0</v>
      </c>
      <c r="I237" s="64"/>
      <c r="J237" s="64" t="s">
        <v>699</v>
      </c>
      <c r="K237" s="64" t="s">
        <v>665</v>
      </c>
      <c r="L237" s="69">
        <v>45940.608969907407</v>
      </c>
      <c r="M237" s="69" t="str">
        <f t="shared" si="3"/>
        <v>Coupe</v>
      </c>
      <c r="N237" s="69" t="str">
        <f>INDEX(_xlfn.TEXTSPLIT(coupe[[#This Row],[QR Fabrication]],"_"),1,1)</f>
        <v>CA250238</v>
      </c>
      <c r="O237" s="69" t="str">
        <f>INDEX(_xlfn.TEXTSPLIT(coupe[[#This Row],[QR Fabrication]],"_"),1,2)</f>
        <v>All by Fouta</v>
      </c>
      <c r="P237" s="64" t="str">
        <f>INDEX(_xlfn.TEXTSPLIT(coupe[[#This Row],[QR Fabrication]],"_"),1,3)</f>
        <v>Stock</v>
      </c>
      <c r="Q237" s="64" t="str">
        <f>INDEX(_xlfn.TEXTSPLIT(coupe[[#This Row],[QR Fabrication]],"_"),1,4)</f>
        <v>AR2020-B11-25</v>
      </c>
      <c r="R237" s="64" t="str">
        <f>INDEX(_xlfn.TEXTSPLIT(coupe[[#This Row],[QR Fabrication]],"_"),1,5)</f>
        <v>ARTHUR</v>
      </c>
      <c r="S237" s="64" t="str">
        <f>_xlfn.TEXTAFTER(coupe[[#This Row],[QR Fabrication]],"_",5)</f>
        <v>2020</v>
      </c>
      <c r="T237" s="123" t="e">
        <f>_xlfn.XLOOKUP(coupe[[#This Row],[Num OF]],#REF!,#REF!,0)</f>
        <v>#REF!</v>
      </c>
      <c r="U237" s="123" t="e">
        <f>_xlfn.XLOOKUP(coupe[[#This Row],[Num OF]],#REF!,#REF!,0)</f>
        <v>#REF!</v>
      </c>
      <c r="V237" s="82" t="str">
        <f>IF(
   COUNTIFS($A$2:A237,A237,
             $B$2:B237,B237,
             $D$2:D237,D237,
             $E$2:E237,E237,
             $F$2:F237,F237,
             $G$2:G237,G237,
             $H$2:H237,H237,
             $L$2:L237,L237)&gt;1,
   "Doublon",
   "Correcte"
)</f>
        <v>Correcte</v>
      </c>
    </row>
    <row r="238" spans="1:22" x14ac:dyDescent="0.25">
      <c r="A238" s="100" t="s">
        <v>2519</v>
      </c>
      <c r="B238" s="64" t="s">
        <v>686</v>
      </c>
      <c r="C238" s="69">
        <v>45939.61141203704</v>
      </c>
      <c r="D238" s="65">
        <v>5</v>
      </c>
      <c r="E238" s="65">
        <v>0</v>
      </c>
      <c r="F238" s="65">
        <v>0</v>
      </c>
      <c r="G238" s="65">
        <v>0</v>
      </c>
      <c r="H238" s="65">
        <v>0</v>
      </c>
      <c r="I238" s="64"/>
      <c r="J238" s="64" t="s">
        <v>699</v>
      </c>
      <c r="K238" s="64" t="s">
        <v>665</v>
      </c>
      <c r="L238" s="69">
        <v>45940.61141203704</v>
      </c>
      <c r="M238" s="69" t="str">
        <f t="shared" si="3"/>
        <v>Coupe</v>
      </c>
      <c r="N238" s="69" t="str">
        <f>INDEX(_xlfn.TEXTSPLIT(coupe[[#This Row],[QR Fabrication]],"_"),1,1)</f>
        <v>CA250242</v>
      </c>
      <c r="O238" s="69" t="str">
        <f>INDEX(_xlfn.TEXTSPLIT(coupe[[#This Row],[QR Fabrication]],"_"),1,2)</f>
        <v>All by Fouta</v>
      </c>
      <c r="P238" s="64" t="str">
        <f>INDEX(_xlfn.TEXTSPLIT(coupe[[#This Row],[QR Fabrication]],"_"),1,3)</f>
        <v>Stock</v>
      </c>
      <c r="Q238" s="64" t="str">
        <f>INDEX(_xlfn.TEXTSPLIT(coupe[[#This Row],[QR Fabrication]],"_"),1,4)</f>
        <v>AR2020-B20-24</v>
      </c>
      <c r="R238" s="64" t="str">
        <f>INDEX(_xlfn.TEXTSPLIT(coupe[[#This Row],[QR Fabrication]],"_"),1,5)</f>
        <v>ARTHUR</v>
      </c>
      <c r="S238" s="64" t="str">
        <f>_xlfn.TEXTAFTER(coupe[[#This Row],[QR Fabrication]],"_",5)</f>
        <v>2020</v>
      </c>
      <c r="T238" s="123" t="e">
        <f>_xlfn.XLOOKUP(coupe[[#This Row],[Num OF]],#REF!,#REF!,0)</f>
        <v>#REF!</v>
      </c>
      <c r="U238" s="123" t="e">
        <f>_xlfn.XLOOKUP(coupe[[#This Row],[Num OF]],#REF!,#REF!,0)</f>
        <v>#REF!</v>
      </c>
      <c r="V238" s="82" t="str">
        <f>IF(
   COUNTIFS($A$2:A238,A238,
             $B$2:B238,B238,
             $D$2:D238,D238,
             $E$2:E238,E238,
             $F$2:F238,F238,
             $G$2:G238,G238,
             $H$2:H238,H238,
             $L$2:L238,L238)&gt;1,
   "Doublon",
   "Correcte"
)</f>
        <v>Correcte</v>
      </c>
    </row>
    <row r="239" spans="1:22" x14ac:dyDescent="0.25">
      <c r="A239" s="100" t="s">
        <v>2490</v>
      </c>
      <c r="B239" s="64" t="s">
        <v>686</v>
      </c>
      <c r="C239" s="69">
        <v>45939.63318287037</v>
      </c>
      <c r="D239" s="65">
        <v>40</v>
      </c>
      <c r="E239" s="65">
        <v>0</v>
      </c>
      <c r="F239" s="65">
        <v>0</v>
      </c>
      <c r="G239" s="65">
        <v>0</v>
      </c>
      <c r="H239" s="65">
        <v>0</v>
      </c>
      <c r="I239" s="64"/>
      <c r="J239" s="64" t="s">
        <v>699</v>
      </c>
      <c r="K239" s="64" t="s">
        <v>665</v>
      </c>
      <c r="L239" s="69">
        <v>45940.63318287037</v>
      </c>
      <c r="M239" s="69" t="str">
        <f t="shared" si="3"/>
        <v>Coupe</v>
      </c>
      <c r="N239" s="69" t="str">
        <f>INDEX(_xlfn.TEXTSPLIT(coupe[[#This Row],[QR Fabrication]],"_"),1,1)</f>
        <v>OF249848</v>
      </c>
      <c r="O239" s="69" t="str">
        <f>INDEX(_xlfn.TEXTSPLIT(coupe[[#This Row],[QR Fabrication]],"_"),1,2)</f>
        <v>CL00884</v>
      </c>
      <c r="P239" s="64" t="str">
        <f>INDEX(_xlfn.TEXTSPLIT(coupe[[#This Row],[QR Fabrication]],"_"),1,3)</f>
        <v>CM-FT0119</v>
      </c>
      <c r="Q239" s="64" t="str">
        <f>INDEX(_xlfn.TEXTSPLIT(coupe[[#This Row],[QR Fabrication]],"_"),1,4)</f>
        <v>ST1020-S14-16-17</v>
      </c>
      <c r="R239" s="64" t="str">
        <f>INDEX(_xlfn.TEXTSPLIT(coupe[[#This Row],[QR Fabrication]],"_"),1,5)</f>
        <v>ST TROPEZ</v>
      </c>
      <c r="S239" s="64" t="str">
        <f>_xlfn.TEXTAFTER(coupe[[#This Row],[QR Fabrication]],"_",5)</f>
        <v>1020</v>
      </c>
      <c r="T239" s="123" t="e">
        <f>_xlfn.XLOOKUP(coupe[[#This Row],[Num OF]],#REF!,#REF!,0)</f>
        <v>#REF!</v>
      </c>
      <c r="U239" s="123" t="e">
        <f>_xlfn.XLOOKUP(coupe[[#This Row],[Num OF]],#REF!,#REF!,0)</f>
        <v>#REF!</v>
      </c>
      <c r="V239" s="82" t="str">
        <f>IF(
   COUNTIFS($A$2:A239,A239,
             $B$2:B239,B239,
             $D$2:D239,D239,
             $E$2:E239,E239,
             $F$2:F239,F239,
             $G$2:G239,G239,
             $H$2:H239,H239,
             $L$2:L239,L239)&gt;1,
   "Doublon",
   "Correcte"
)</f>
        <v>Correcte</v>
      </c>
    </row>
    <row r="240" spans="1:22" x14ac:dyDescent="0.25">
      <c r="A240" s="100" t="s">
        <v>2514</v>
      </c>
      <c r="B240" s="64" t="s">
        <v>686</v>
      </c>
      <c r="C240" s="69">
        <v>45939.651979166665</v>
      </c>
      <c r="D240" s="65">
        <v>27</v>
      </c>
      <c r="E240" s="65">
        <v>1</v>
      </c>
      <c r="F240" s="65">
        <v>1</v>
      </c>
      <c r="G240" s="65">
        <v>0</v>
      </c>
      <c r="H240" s="65">
        <v>0</v>
      </c>
      <c r="I240" s="64" t="s">
        <v>700</v>
      </c>
      <c r="J240" s="64" t="e" vm="32">
        <v>#VALUE!</v>
      </c>
      <c r="K240" s="64" t="s">
        <v>665</v>
      </c>
      <c r="L240" s="69">
        <v>45940.651979166665</v>
      </c>
      <c r="M240" s="69" t="str">
        <f t="shared" si="3"/>
        <v>Coupe</v>
      </c>
      <c r="N240" s="69" t="str">
        <f>INDEX(_xlfn.TEXTSPLIT(coupe[[#This Row],[QR Fabrication]],"_"),1,1)</f>
        <v>CA250245</v>
      </c>
      <c r="O240" s="69" t="str">
        <f>INDEX(_xlfn.TEXTSPLIT(coupe[[#This Row],[QR Fabrication]],"_"),1,2)</f>
        <v>All by Fouta</v>
      </c>
      <c r="P240" s="64" t="str">
        <f>INDEX(_xlfn.TEXTSPLIT(coupe[[#This Row],[QR Fabrication]],"_"),1,3)</f>
        <v>Stock</v>
      </c>
      <c r="Q240" s="64" t="str">
        <f>INDEX(_xlfn.TEXTSPLIT(coupe[[#This Row],[QR Fabrication]],"_"),1,4)</f>
        <v>AR2020-T03-04-17</v>
      </c>
      <c r="R240" s="64" t="str">
        <f>INDEX(_xlfn.TEXTSPLIT(coupe[[#This Row],[QR Fabrication]],"_"),1,5)</f>
        <v>ARTHUR</v>
      </c>
      <c r="S240" s="64" t="str">
        <f>_xlfn.TEXTAFTER(coupe[[#This Row],[QR Fabrication]],"_",5)</f>
        <v>2020</v>
      </c>
      <c r="T240" s="123" t="e">
        <f>_xlfn.XLOOKUP(coupe[[#This Row],[Num OF]],#REF!,#REF!,0)</f>
        <v>#REF!</v>
      </c>
      <c r="U240" s="123" t="e">
        <f>_xlfn.XLOOKUP(coupe[[#This Row],[Num OF]],#REF!,#REF!,0)</f>
        <v>#REF!</v>
      </c>
      <c r="V240" s="82" t="str">
        <f>IF(
   COUNTIFS($A$2:A240,A240,
             $B$2:B240,B240,
             $D$2:D240,D240,
             $E$2:E240,E240,
             $F$2:F240,F240,
             $G$2:G240,G240,
             $H$2:H240,H240,
             $L$2:L240,L240)&gt;1,
   "Doublon",
   "Correcte"
)</f>
        <v>Correcte</v>
      </c>
    </row>
    <row r="241" spans="1:22" x14ac:dyDescent="0.25">
      <c r="A241" s="100" t="s">
        <v>2520</v>
      </c>
      <c r="B241" s="64" t="s">
        <v>686</v>
      </c>
      <c r="C241" s="69">
        <v>45939.670659722222</v>
      </c>
      <c r="D241" s="65">
        <v>28</v>
      </c>
      <c r="E241" s="65">
        <v>0</v>
      </c>
      <c r="F241" s="65">
        <v>0</v>
      </c>
      <c r="G241" s="65">
        <v>0</v>
      </c>
      <c r="H241" s="65">
        <v>0</v>
      </c>
      <c r="I241" s="64"/>
      <c r="J241" s="64" t="s">
        <v>699</v>
      </c>
      <c r="K241" s="64" t="s">
        <v>665</v>
      </c>
      <c r="L241" s="69">
        <v>45940.670659722222</v>
      </c>
      <c r="M241" s="69" t="str">
        <f t="shared" si="3"/>
        <v>Coupe</v>
      </c>
      <c r="N241" s="69" t="str">
        <f>INDEX(_xlfn.TEXTSPLIT(coupe[[#This Row],[QR Fabrication]],"_"),1,1)</f>
        <v>CA250186</v>
      </c>
      <c r="O241" s="69" t="str">
        <f>INDEX(_xlfn.TEXTSPLIT(coupe[[#This Row],[QR Fabrication]],"_"),1,2)</f>
        <v>All by Fouta</v>
      </c>
      <c r="P241" s="64" t="str">
        <f>INDEX(_xlfn.TEXTSPLIT(coupe[[#This Row],[QR Fabrication]],"_"),1,3)</f>
        <v>Stock</v>
      </c>
      <c r="Q241" s="64" t="str">
        <f>INDEX(_xlfn.TEXTSPLIT(coupe[[#This Row],[QR Fabrication]],"_"),1,4)</f>
        <v>IB2020-B11-14</v>
      </c>
      <c r="R241" s="64" t="str">
        <f>INDEX(_xlfn.TEXTSPLIT(coupe[[#This Row],[QR Fabrication]],"_"),1,5)</f>
        <v>IBIZA</v>
      </c>
      <c r="S241" s="64" t="str">
        <f>_xlfn.TEXTAFTER(coupe[[#This Row],[QR Fabrication]],"_",5)</f>
        <v>2020</v>
      </c>
      <c r="T241" s="123" t="e">
        <f>_xlfn.XLOOKUP(coupe[[#This Row],[Num OF]],#REF!,#REF!,0)</f>
        <v>#REF!</v>
      </c>
      <c r="U241" s="123" t="e">
        <f>_xlfn.XLOOKUP(coupe[[#This Row],[Num OF]],#REF!,#REF!,0)</f>
        <v>#REF!</v>
      </c>
      <c r="V241" s="82" t="str">
        <f>IF(
   COUNTIFS($A$2:A241,A241,
             $B$2:B241,B241,
             $D$2:D241,D241,
             $E$2:E241,E241,
             $F$2:F241,F241,
             $G$2:G241,G241,
             $H$2:H241,H241,
             $L$2:L241,L241)&gt;1,
   "Doublon",
   "Correcte"
)</f>
        <v>Correcte</v>
      </c>
    </row>
    <row r="242" spans="1:22" x14ac:dyDescent="0.25">
      <c r="A242" s="100" t="s">
        <v>2508</v>
      </c>
      <c r="B242" s="64" t="s">
        <v>686</v>
      </c>
      <c r="C242" s="69">
        <v>45939.673043981478</v>
      </c>
      <c r="D242" s="65">
        <v>3</v>
      </c>
      <c r="E242" s="65">
        <v>0</v>
      </c>
      <c r="F242" s="65">
        <v>0</v>
      </c>
      <c r="G242" s="65">
        <v>0</v>
      </c>
      <c r="H242" s="65">
        <v>0</v>
      </c>
      <c r="I242" s="64"/>
      <c r="J242" s="64" t="s">
        <v>699</v>
      </c>
      <c r="K242" s="64" t="s">
        <v>665</v>
      </c>
      <c r="L242" s="69">
        <v>45940.673043981478</v>
      </c>
      <c r="M242" s="69" t="str">
        <f t="shared" si="3"/>
        <v>Coupe</v>
      </c>
      <c r="N242" s="69" t="str">
        <f>INDEX(_xlfn.TEXTSPLIT(coupe[[#This Row],[QR Fabrication]],"_"),1,1)</f>
        <v>CA250237</v>
      </c>
      <c r="O242" s="69" t="str">
        <f>INDEX(_xlfn.TEXTSPLIT(coupe[[#This Row],[QR Fabrication]],"_"),1,2)</f>
        <v>All by Fouta</v>
      </c>
      <c r="P242" s="64" t="str">
        <f>INDEX(_xlfn.TEXTSPLIT(coupe[[#This Row],[QR Fabrication]],"_"),1,3)</f>
        <v>Stock</v>
      </c>
      <c r="Q242" s="64" t="str">
        <f>INDEX(_xlfn.TEXTSPLIT(coupe[[#This Row],[QR Fabrication]],"_"),1,4)</f>
        <v>AR2020-B07-17</v>
      </c>
      <c r="R242" s="64" t="str">
        <f>INDEX(_xlfn.TEXTSPLIT(coupe[[#This Row],[QR Fabrication]],"_"),1,5)</f>
        <v>ARTHUR</v>
      </c>
      <c r="S242" s="64" t="str">
        <f>_xlfn.TEXTAFTER(coupe[[#This Row],[QR Fabrication]],"_",5)</f>
        <v>2020</v>
      </c>
      <c r="T242" s="123" t="e">
        <f>_xlfn.XLOOKUP(coupe[[#This Row],[Num OF]],#REF!,#REF!,0)</f>
        <v>#REF!</v>
      </c>
      <c r="U242" s="123" t="e">
        <f>_xlfn.XLOOKUP(coupe[[#This Row],[Num OF]],#REF!,#REF!,0)</f>
        <v>#REF!</v>
      </c>
      <c r="V242" s="82" t="str">
        <f>IF(
   COUNTIFS($A$2:A242,A242,
             $B$2:B242,B242,
             $D$2:D242,D242,
             $E$2:E242,E242,
             $F$2:F242,F242,
             $G$2:G242,G242,
             $H$2:H242,H242,
             $L$2:L242,L242)&gt;1,
   "Doublon",
   "Correcte"
)</f>
        <v>Correcte</v>
      </c>
    </row>
    <row r="243" spans="1:22" x14ac:dyDescent="0.25">
      <c r="A243" s="100" t="s">
        <v>2516</v>
      </c>
      <c r="B243" s="64" t="s">
        <v>687</v>
      </c>
      <c r="C243" s="69">
        <v>45939.698900462965</v>
      </c>
      <c r="D243" s="65">
        <v>84</v>
      </c>
      <c r="E243" s="65">
        <v>0</v>
      </c>
      <c r="F243" s="65">
        <v>0</v>
      </c>
      <c r="G243" s="65">
        <v>0</v>
      </c>
      <c r="H243" s="65">
        <v>0</v>
      </c>
      <c r="I243" s="64"/>
      <c r="J243" s="64" t="s">
        <v>699</v>
      </c>
      <c r="K243" s="64" t="s">
        <v>665</v>
      </c>
      <c r="L243" s="69">
        <v>45940.698900462965</v>
      </c>
      <c r="M243" s="69" t="str">
        <f t="shared" si="3"/>
        <v>Coupe</v>
      </c>
      <c r="N243" s="69" t="str">
        <f>INDEX(_xlfn.TEXTSPLIT(coupe[[#This Row],[QR Fabrication]],"_"),1,1)</f>
        <v>CA250766</v>
      </c>
      <c r="O243" s="69" t="str">
        <f>INDEX(_xlfn.TEXTSPLIT(coupe[[#This Row],[QR Fabrication]],"_"),1,2)</f>
        <v>All by Fouta</v>
      </c>
      <c r="P243" s="64" t="str">
        <f>INDEX(_xlfn.TEXTSPLIT(coupe[[#This Row],[QR Fabrication]],"_"),1,3)</f>
        <v>Stock</v>
      </c>
      <c r="Q243" s="64" t="str">
        <f>INDEX(_xlfn.TEXTSPLIT(coupe[[#This Row],[QR Fabrication]],"_"),1,4)</f>
        <v>PACKSILO0507-T12-06-32</v>
      </c>
      <c r="R243" s="64" t="str">
        <f>INDEX(_xlfn.TEXTSPLIT(coupe[[#This Row],[QR Fabrication]],"_"),1,5)</f>
        <v>PACK LONDON</v>
      </c>
      <c r="S243" s="64" t="str">
        <f>_xlfn.TEXTAFTER(coupe[[#This Row],[QR Fabrication]],"_",5)</f>
        <v>0507</v>
      </c>
      <c r="T243" s="123" t="e">
        <f>_xlfn.XLOOKUP(coupe[[#This Row],[Num OF]],#REF!,#REF!,0)</f>
        <v>#REF!</v>
      </c>
      <c r="U243" s="123" t="e">
        <f>_xlfn.XLOOKUP(coupe[[#This Row],[Num OF]],#REF!,#REF!,0)</f>
        <v>#REF!</v>
      </c>
      <c r="V243" s="82" t="str">
        <f>IF(
   COUNTIFS($A$2:A243,A243,
             $B$2:B243,B243,
             $D$2:D243,D243,
             $E$2:E243,E243,
             $F$2:F243,F243,
             $G$2:G243,G243,
             $H$2:H243,H243,
             $L$2:L243,L243)&gt;1,
   "Doublon",
   "Correcte"
)</f>
        <v>Correcte</v>
      </c>
    </row>
    <row r="244" spans="1:22" x14ac:dyDescent="0.25">
      <c r="A244" s="100" t="s">
        <v>2512</v>
      </c>
      <c r="B244" s="64" t="s">
        <v>684</v>
      </c>
      <c r="C244" s="69">
        <v>45939.701423611114</v>
      </c>
      <c r="D244" s="65">
        <v>70</v>
      </c>
      <c r="E244" s="65">
        <v>0</v>
      </c>
      <c r="F244" s="65">
        <v>0</v>
      </c>
      <c r="G244" s="65">
        <v>0</v>
      </c>
      <c r="H244" s="65">
        <v>0</v>
      </c>
      <c r="I244" s="64"/>
      <c r="J244" s="64" t="s">
        <v>699</v>
      </c>
      <c r="K244" s="64" t="s">
        <v>665</v>
      </c>
      <c r="L244" s="69">
        <v>45940.701423611114</v>
      </c>
      <c r="M244" s="69" t="str">
        <f t="shared" si="3"/>
        <v>Coupe</v>
      </c>
      <c r="N244" s="69" t="str">
        <f>INDEX(_xlfn.TEXTSPLIT(coupe[[#This Row],[QR Fabrication]],"_"),1,1)</f>
        <v>CA250770</v>
      </c>
      <c r="O244" s="69" t="str">
        <f>INDEX(_xlfn.TEXTSPLIT(coupe[[#This Row],[QR Fabrication]],"_"),1,2)</f>
        <v>All by Fouta</v>
      </c>
      <c r="P244" s="64" t="str">
        <f>INDEX(_xlfn.TEXTSPLIT(coupe[[#This Row],[QR Fabrication]],"_"),1,3)</f>
        <v>Stock</v>
      </c>
      <c r="Q244" s="64" t="str">
        <f>INDEX(_xlfn.TEXTSPLIT(coupe[[#This Row],[QR Fabrication]],"_"),1,4)</f>
        <v>PACKSILO0507-T18-10-02</v>
      </c>
      <c r="R244" s="64" t="str">
        <f>INDEX(_xlfn.TEXTSPLIT(coupe[[#This Row],[QR Fabrication]],"_"),1,5)</f>
        <v>PACK LONDON</v>
      </c>
      <c r="S244" s="64" t="str">
        <f>_xlfn.TEXTAFTER(coupe[[#This Row],[QR Fabrication]],"_",5)</f>
        <v>0507</v>
      </c>
      <c r="T244" s="123" t="e">
        <f>_xlfn.XLOOKUP(coupe[[#This Row],[Num OF]],#REF!,#REF!,0)</f>
        <v>#REF!</v>
      </c>
      <c r="U244" s="123" t="e">
        <f>_xlfn.XLOOKUP(coupe[[#This Row],[Num OF]],#REF!,#REF!,0)</f>
        <v>#REF!</v>
      </c>
      <c r="V244" s="82" t="str">
        <f>IF(
   COUNTIFS($A$2:A244,A244,
             $B$2:B244,B244,
             $D$2:D244,D244,
             $E$2:E244,E244,
             $F$2:F244,F244,
             $G$2:G244,G244,
             $H$2:H244,H244,
             $L$2:L244,L244)&gt;1,
   "Doublon",
   "Correcte"
)</f>
        <v>Correcte</v>
      </c>
    </row>
    <row r="245" spans="1:22" x14ac:dyDescent="0.25">
      <c r="A245" s="100" t="s">
        <v>2522</v>
      </c>
      <c r="B245" s="64" t="s">
        <v>686</v>
      </c>
      <c r="C245" s="69">
        <v>45939.704861111109</v>
      </c>
      <c r="D245" s="65">
        <v>15</v>
      </c>
      <c r="E245" s="65">
        <v>0</v>
      </c>
      <c r="F245" s="65">
        <v>0</v>
      </c>
      <c r="G245" s="65">
        <v>0</v>
      </c>
      <c r="H245" s="65">
        <v>0</v>
      </c>
      <c r="I245" s="64"/>
      <c r="J245" s="64" t="s">
        <v>699</v>
      </c>
      <c r="K245" s="64" t="s">
        <v>665</v>
      </c>
      <c r="L245" s="69">
        <v>45940.704861111109</v>
      </c>
      <c r="M245" s="69" t="str">
        <f t="shared" si="3"/>
        <v>Coupe</v>
      </c>
      <c r="N245" s="69" t="str">
        <f>INDEX(_xlfn.TEXTSPLIT(coupe[[#This Row],[QR Fabrication]],"_"),1,1)</f>
        <v>CA250238</v>
      </c>
      <c r="O245" s="69" t="str">
        <f>INDEX(_xlfn.TEXTSPLIT(coupe[[#This Row],[QR Fabrication]],"_"),1,2)</f>
        <v>All by Fouta</v>
      </c>
      <c r="P245" s="64" t="str">
        <f>INDEX(_xlfn.TEXTSPLIT(coupe[[#This Row],[QR Fabrication]],"_"),1,3)</f>
        <v>Stock</v>
      </c>
      <c r="Q245" s="64" t="str">
        <f>INDEX(_xlfn.TEXTSPLIT(coupe[[#This Row],[QR Fabrication]],"_"),1,4)</f>
        <v>AR2020-B11-25</v>
      </c>
      <c r="R245" s="64" t="str">
        <f>INDEX(_xlfn.TEXTSPLIT(coupe[[#This Row],[QR Fabrication]],"_"),1,5)</f>
        <v>ARTHUR</v>
      </c>
      <c r="S245" s="64" t="str">
        <f>_xlfn.TEXTAFTER(coupe[[#This Row],[QR Fabrication]],"_",5)</f>
        <v>2020</v>
      </c>
      <c r="T245" s="123" t="e">
        <f>_xlfn.XLOOKUP(coupe[[#This Row],[Num OF]],#REF!,#REF!,0)</f>
        <v>#REF!</v>
      </c>
      <c r="U245" s="123" t="e">
        <f>_xlfn.XLOOKUP(coupe[[#This Row],[Num OF]],#REF!,#REF!,0)</f>
        <v>#REF!</v>
      </c>
      <c r="V245" s="82" t="str">
        <f>IF(
   COUNTIFS($A$2:A245,A245,
             $B$2:B245,B245,
             $D$2:D245,D245,
             $E$2:E245,E245,
             $F$2:F245,F245,
             $G$2:G245,G245,
             $H$2:H245,H245,
             $L$2:L245,L245)&gt;1,
   "Doublon",
   "Correcte"
)</f>
        <v>Correcte</v>
      </c>
    </row>
    <row r="246" spans="1:22" x14ac:dyDescent="0.25">
      <c r="A246" s="100" t="s">
        <v>2506</v>
      </c>
      <c r="B246" s="64" t="s">
        <v>686</v>
      </c>
      <c r="C246" s="69">
        <v>45939.707152777781</v>
      </c>
      <c r="D246" s="65">
        <v>54</v>
      </c>
      <c r="E246" s="65">
        <v>0</v>
      </c>
      <c r="F246" s="65">
        <v>0</v>
      </c>
      <c r="G246" s="65">
        <v>0</v>
      </c>
      <c r="H246" s="65">
        <v>0</v>
      </c>
      <c r="I246" s="64"/>
      <c r="J246" s="64"/>
      <c r="K246" s="64" t="s">
        <v>665</v>
      </c>
      <c r="L246" s="69">
        <v>45940.707152777781</v>
      </c>
      <c r="M246" s="69" t="str">
        <f t="shared" si="3"/>
        <v>Coupe</v>
      </c>
      <c r="N246" s="69" t="str">
        <f>INDEX(_xlfn.TEXTSPLIT(coupe[[#This Row],[QR Fabrication]],"_"),1,1)</f>
        <v>CA250208</v>
      </c>
      <c r="O246" s="69" t="str">
        <f>INDEX(_xlfn.TEXTSPLIT(coupe[[#This Row],[QR Fabrication]],"_"),1,2)</f>
        <v>All by Fouta</v>
      </c>
      <c r="P246" s="64" t="str">
        <f>INDEX(_xlfn.TEXTSPLIT(coupe[[#This Row],[QR Fabrication]],"_"),1,3)</f>
        <v>Stock</v>
      </c>
      <c r="Q246" s="64" t="str">
        <f>INDEX(_xlfn.TEXTSPLIT(coupe[[#This Row],[QR Fabrication]],"_"),1,4)</f>
        <v>AR1020-B11-25</v>
      </c>
      <c r="R246" s="64" t="str">
        <f>INDEX(_xlfn.TEXTSPLIT(coupe[[#This Row],[QR Fabrication]],"_"),1,5)</f>
        <v>ARTHUR</v>
      </c>
      <c r="S246" s="64" t="str">
        <f>_xlfn.TEXTAFTER(coupe[[#This Row],[QR Fabrication]],"_",5)</f>
        <v>1020</v>
      </c>
      <c r="T246" s="123" t="e">
        <f>_xlfn.XLOOKUP(coupe[[#This Row],[Num OF]],#REF!,#REF!,0)</f>
        <v>#REF!</v>
      </c>
      <c r="U246" s="123" t="e">
        <f>_xlfn.XLOOKUP(coupe[[#This Row],[Num OF]],#REF!,#REF!,0)</f>
        <v>#REF!</v>
      </c>
      <c r="V246" s="82" t="str">
        <f>IF(
   COUNTIFS($A$2:A246,A246,
             $B$2:B246,B246,
             $D$2:D246,D246,
             $E$2:E246,E246,
             $F$2:F246,F246,
             $G$2:G246,G246,
             $H$2:H246,H246,
             $L$2:L246,L246)&gt;1,
   "Doublon",
   "Correcte"
)</f>
        <v>Correcte</v>
      </c>
    </row>
    <row r="247" spans="1:22" x14ac:dyDescent="0.25">
      <c r="A247" s="100" t="s">
        <v>2506</v>
      </c>
      <c r="B247" s="64" t="s">
        <v>686</v>
      </c>
      <c r="C247" s="69">
        <v>45939.707812499997</v>
      </c>
      <c r="D247" s="65">
        <v>0</v>
      </c>
      <c r="E247" s="65">
        <v>0</v>
      </c>
      <c r="F247" s="65">
        <v>12</v>
      </c>
      <c r="G247" s="65">
        <v>0</v>
      </c>
      <c r="H247" s="65">
        <v>0</v>
      </c>
      <c r="I247" s="64" t="s">
        <v>697</v>
      </c>
      <c r="J247" s="64" t="e" vm="33">
        <v>#VALUE!</v>
      </c>
      <c r="K247" s="64" t="s">
        <v>665</v>
      </c>
      <c r="L247" s="69">
        <v>45940.707812499997</v>
      </c>
      <c r="M247" s="69" t="str">
        <f t="shared" si="3"/>
        <v>Coupe</v>
      </c>
      <c r="N247" s="69" t="str">
        <f>INDEX(_xlfn.TEXTSPLIT(coupe[[#This Row],[QR Fabrication]],"_"),1,1)</f>
        <v>CA250208</v>
      </c>
      <c r="O247" s="69" t="str">
        <f>INDEX(_xlfn.TEXTSPLIT(coupe[[#This Row],[QR Fabrication]],"_"),1,2)</f>
        <v>All by Fouta</v>
      </c>
      <c r="P247" s="64" t="str">
        <f>INDEX(_xlfn.TEXTSPLIT(coupe[[#This Row],[QR Fabrication]],"_"),1,3)</f>
        <v>Stock</v>
      </c>
      <c r="Q247" s="64" t="str">
        <f>INDEX(_xlfn.TEXTSPLIT(coupe[[#This Row],[QR Fabrication]],"_"),1,4)</f>
        <v>AR1020-B11-25</v>
      </c>
      <c r="R247" s="64" t="str">
        <f>INDEX(_xlfn.TEXTSPLIT(coupe[[#This Row],[QR Fabrication]],"_"),1,5)</f>
        <v>ARTHUR</v>
      </c>
      <c r="S247" s="64" t="str">
        <f>_xlfn.TEXTAFTER(coupe[[#This Row],[QR Fabrication]],"_",5)</f>
        <v>1020</v>
      </c>
      <c r="T247" s="123" t="e">
        <f>_xlfn.XLOOKUP(coupe[[#This Row],[Num OF]],#REF!,#REF!,0)</f>
        <v>#REF!</v>
      </c>
      <c r="U247" s="123" t="e">
        <f>_xlfn.XLOOKUP(coupe[[#This Row],[Num OF]],#REF!,#REF!,0)</f>
        <v>#REF!</v>
      </c>
      <c r="V247" s="82" t="str">
        <f>IF(
   COUNTIFS($A$2:A247,A247,
             $B$2:B247,B247,
             $D$2:D247,D247,
             $E$2:E247,E247,
             $F$2:F247,F247,
             $G$2:G247,G247,
             $H$2:H247,H247,
             $L$2:L247,L247)&gt;1,
   "Doublon",
   "Correcte"
)</f>
        <v>Correcte</v>
      </c>
    </row>
    <row r="248" spans="1:22" x14ac:dyDescent="0.25">
      <c r="A248" s="100" t="s">
        <v>2501</v>
      </c>
      <c r="B248" s="64" t="s">
        <v>686</v>
      </c>
      <c r="C248" s="69">
        <v>45939.722372685188</v>
      </c>
      <c r="D248" s="65">
        <v>42</v>
      </c>
      <c r="E248" s="65">
        <v>0</v>
      </c>
      <c r="F248" s="65">
        <v>0</v>
      </c>
      <c r="G248" s="65">
        <v>0</v>
      </c>
      <c r="H248" s="65">
        <v>0</v>
      </c>
      <c r="I248" s="64"/>
      <c r="J248" s="64" t="s">
        <v>699</v>
      </c>
      <c r="K248" s="64" t="s">
        <v>665</v>
      </c>
      <c r="L248" s="69">
        <v>45940.722372685188</v>
      </c>
      <c r="M248" s="69" t="str">
        <f t="shared" si="3"/>
        <v>Coupe</v>
      </c>
      <c r="N248" s="69" t="str">
        <f>INDEX(_xlfn.TEXTSPLIT(coupe[[#This Row],[QR Fabrication]],"_"),1,1)</f>
        <v>OF249914</v>
      </c>
      <c r="O248" s="69" t="str">
        <f>INDEX(_xlfn.TEXTSPLIT(coupe[[#This Row],[QR Fabrication]],"_"),1,2)</f>
        <v>CL00884</v>
      </c>
      <c r="P248" s="64" t="str">
        <f>INDEX(_xlfn.TEXTSPLIT(coupe[[#This Row],[QR Fabrication]],"_"),1,3)</f>
        <v>CM-FT0120</v>
      </c>
      <c r="Q248" s="64" t="str">
        <f>INDEX(_xlfn.TEXTSPLIT(coupe[[#This Row],[QR Fabrication]],"_"),1,4)</f>
        <v>SO1020-Q29-11-14</v>
      </c>
      <c r="R248" s="64" t="str">
        <f>INDEX(_xlfn.TEXTSPLIT(coupe[[#This Row],[QR Fabrication]],"_"),1,5)</f>
        <v>SOUSSE</v>
      </c>
      <c r="S248" s="64" t="str">
        <f>_xlfn.TEXTAFTER(coupe[[#This Row],[QR Fabrication]],"_",5)</f>
        <v>1020</v>
      </c>
      <c r="T248" s="123" t="e">
        <f>_xlfn.XLOOKUP(coupe[[#This Row],[Num OF]],#REF!,#REF!,0)</f>
        <v>#REF!</v>
      </c>
      <c r="U248" s="123" t="e">
        <f>_xlfn.XLOOKUP(coupe[[#This Row],[Num OF]],#REF!,#REF!,0)</f>
        <v>#REF!</v>
      </c>
      <c r="V248" s="82" t="str">
        <f>IF(
   COUNTIFS($A$2:A248,A248,
             $B$2:B248,B248,
             $D$2:D248,D248,
             $E$2:E248,E248,
             $F$2:F248,F248,
             $G$2:G248,G248,
             $H$2:H248,H248,
             $L$2:L248,L248)&gt;1,
   "Doublon",
   "Correcte"
)</f>
        <v>Correcte</v>
      </c>
    </row>
    <row r="249" spans="1:22" x14ac:dyDescent="0.25">
      <c r="A249" s="100" t="s">
        <v>2528</v>
      </c>
      <c r="B249" s="64" t="s">
        <v>686</v>
      </c>
      <c r="C249" s="69">
        <v>45940.436550925922</v>
      </c>
      <c r="D249" s="65">
        <v>29</v>
      </c>
      <c r="E249" s="65">
        <v>0</v>
      </c>
      <c r="F249" s="65">
        <v>0</v>
      </c>
      <c r="G249" s="65">
        <v>0</v>
      </c>
      <c r="H249" s="65">
        <v>0</v>
      </c>
      <c r="I249" s="64"/>
      <c r="J249" s="64" t="s">
        <v>699</v>
      </c>
      <c r="K249" s="64" t="s">
        <v>665</v>
      </c>
      <c r="L249" s="69">
        <v>45941.436550925922</v>
      </c>
      <c r="M249" s="69" t="str">
        <f t="shared" si="3"/>
        <v>Coupe</v>
      </c>
      <c r="N249" s="69" t="str">
        <f>INDEX(_xlfn.TEXTSPLIT(coupe[[#This Row],[QR Fabrication]],"_"),1,1)</f>
        <v>CA250187</v>
      </c>
      <c r="O249" s="69" t="str">
        <f>INDEX(_xlfn.TEXTSPLIT(coupe[[#This Row],[QR Fabrication]],"_"),1,2)</f>
        <v>All by Fouta</v>
      </c>
      <c r="P249" s="64" t="str">
        <f>INDEX(_xlfn.TEXTSPLIT(coupe[[#This Row],[QR Fabrication]],"_"),1,3)</f>
        <v>Stock</v>
      </c>
      <c r="Q249" s="64" t="str">
        <f>INDEX(_xlfn.TEXTSPLIT(coupe[[#This Row],[QR Fabrication]],"_"),1,4)</f>
        <v>IB2020-B12-32</v>
      </c>
      <c r="R249" s="64" t="str">
        <f>INDEX(_xlfn.TEXTSPLIT(coupe[[#This Row],[QR Fabrication]],"_"),1,5)</f>
        <v>IBIZA</v>
      </c>
      <c r="S249" s="64" t="str">
        <f>_xlfn.TEXTAFTER(coupe[[#This Row],[QR Fabrication]],"_",5)</f>
        <v>2020</v>
      </c>
      <c r="T249" s="123" t="e">
        <f>_xlfn.XLOOKUP(coupe[[#This Row],[Num OF]],#REF!,#REF!,0)</f>
        <v>#REF!</v>
      </c>
      <c r="U249" s="123" t="e">
        <f>_xlfn.XLOOKUP(coupe[[#This Row],[Num OF]],#REF!,#REF!,0)</f>
        <v>#REF!</v>
      </c>
      <c r="V249" s="82" t="str">
        <f>IF(
   COUNTIFS($A$2:A249,A249,
             $B$2:B249,B249,
             $D$2:D249,D249,
             $E$2:E249,E249,
             $F$2:F249,F249,
             $G$2:G249,G249,
             $H$2:H249,H249,
             $L$2:L249,L249)&gt;1,
   "Doublon",
   "Correcte"
)</f>
        <v>Correcte</v>
      </c>
    </row>
    <row r="250" spans="1:22" x14ac:dyDescent="0.25">
      <c r="A250" s="100" t="s">
        <v>2513</v>
      </c>
      <c r="B250" s="64" t="s">
        <v>687</v>
      </c>
      <c r="C250" s="69">
        <v>45940.446238425924</v>
      </c>
      <c r="D250" s="65">
        <v>52</v>
      </c>
      <c r="E250" s="65">
        <v>2</v>
      </c>
      <c r="F250" s="65">
        <v>1</v>
      </c>
      <c r="G250" s="65">
        <v>0</v>
      </c>
      <c r="H250" s="65">
        <v>0</v>
      </c>
      <c r="I250" s="64" t="s">
        <v>700</v>
      </c>
      <c r="J250" s="64" t="e" vm="34">
        <v>#VALUE!</v>
      </c>
      <c r="K250" s="64" t="s">
        <v>665</v>
      </c>
      <c r="L250" s="69">
        <v>45941.446238425924</v>
      </c>
      <c r="M250" s="69" t="str">
        <f t="shared" si="3"/>
        <v>Coupe</v>
      </c>
      <c r="N250" s="69" t="str">
        <f>INDEX(_xlfn.TEXTSPLIT(coupe[[#This Row],[QR Fabrication]],"_"),1,1)</f>
        <v>CA250162</v>
      </c>
      <c r="O250" s="69" t="str">
        <f>INDEX(_xlfn.TEXTSPLIT(coupe[[#This Row],[QR Fabrication]],"_"),1,2)</f>
        <v>All by Fouta</v>
      </c>
      <c r="P250" s="64" t="str">
        <f>INDEX(_xlfn.TEXTSPLIT(coupe[[#This Row],[QR Fabrication]],"_"),1,3)</f>
        <v>Stock</v>
      </c>
      <c r="Q250" s="64" t="str">
        <f>INDEX(_xlfn.TEXTSPLIT(coupe[[#This Row],[QR Fabrication]],"_"),1,4)</f>
        <v>IB1020-B17-07</v>
      </c>
      <c r="R250" s="64" t="str">
        <f>INDEX(_xlfn.TEXTSPLIT(coupe[[#This Row],[QR Fabrication]],"_"),1,5)</f>
        <v>IBIZA</v>
      </c>
      <c r="S250" s="64" t="str">
        <f>_xlfn.TEXTAFTER(coupe[[#This Row],[QR Fabrication]],"_",5)</f>
        <v>1020</v>
      </c>
      <c r="T250" s="123" t="e">
        <f>_xlfn.XLOOKUP(coupe[[#This Row],[Num OF]],#REF!,#REF!,0)</f>
        <v>#REF!</v>
      </c>
      <c r="U250" s="123" t="e">
        <f>_xlfn.XLOOKUP(coupe[[#This Row],[Num OF]],#REF!,#REF!,0)</f>
        <v>#REF!</v>
      </c>
      <c r="V250" s="82" t="str">
        <f>IF(
   COUNTIFS($A$2:A250,A250,
             $B$2:B250,B250,
             $D$2:D250,D250,
             $E$2:E250,E250,
             $F$2:F250,F250,
             $G$2:G250,G250,
             $H$2:H250,H250,
             $L$2:L250,L250)&gt;1,
   "Doublon",
   "Correcte"
)</f>
        <v>Correcte</v>
      </c>
    </row>
    <row r="251" spans="1:22" x14ac:dyDescent="0.25">
      <c r="A251" s="100" t="s">
        <v>2523</v>
      </c>
      <c r="B251" s="64" t="s">
        <v>687</v>
      </c>
      <c r="C251" s="69">
        <v>45940.450196759259</v>
      </c>
      <c r="D251" s="65">
        <v>42</v>
      </c>
      <c r="E251" s="65">
        <v>0</v>
      </c>
      <c r="F251" s="65">
        <v>0</v>
      </c>
      <c r="G251" s="65">
        <v>0</v>
      </c>
      <c r="H251" s="65">
        <v>0</v>
      </c>
      <c r="I251" s="64"/>
      <c r="J251" s="64" t="s">
        <v>699</v>
      </c>
      <c r="K251" s="64" t="s">
        <v>665</v>
      </c>
      <c r="L251" s="69">
        <v>45941.450196759259</v>
      </c>
      <c r="M251" s="69" t="str">
        <f t="shared" si="3"/>
        <v>Coupe</v>
      </c>
      <c r="N251" s="69" t="str">
        <f>INDEX(_xlfn.TEXTSPLIT(coupe[[#This Row],[QR Fabrication]],"_"),1,1)</f>
        <v>CA250160</v>
      </c>
      <c r="O251" s="69" t="str">
        <f>INDEX(_xlfn.TEXTSPLIT(coupe[[#This Row],[QR Fabrication]],"_"),1,2)</f>
        <v>All by Fouta</v>
      </c>
      <c r="P251" s="64" t="str">
        <f>INDEX(_xlfn.TEXTSPLIT(coupe[[#This Row],[QR Fabrication]],"_"),1,3)</f>
        <v>Stock</v>
      </c>
      <c r="Q251" s="64" t="str">
        <f>INDEX(_xlfn.TEXTSPLIT(coupe[[#This Row],[QR Fabrication]],"_"),1,4)</f>
        <v>IB1020-B12-32</v>
      </c>
      <c r="R251" s="64" t="str">
        <f>INDEX(_xlfn.TEXTSPLIT(coupe[[#This Row],[QR Fabrication]],"_"),1,5)</f>
        <v>IBIZA</v>
      </c>
      <c r="S251" s="64" t="str">
        <f>_xlfn.TEXTAFTER(coupe[[#This Row],[QR Fabrication]],"_",5)</f>
        <v>1020</v>
      </c>
      <c r="T251" s="123" t="e">
        <f>_xlfn.XLOOKUP(coupe[[#This Row],[Num OF]],#REF!,#REF!,0)</f>
        <v>#REF!</v>
      </c>
      <c r="U251" s="123" t="e">
        <f>_xlfn.XLOOKUP(coupe[[#This Row],[Num OF]],#REF!,#REF!,0)</f>
        <v>#REF!</v>
      </c>
      <c r="V251" s="82" t="str">
        <f>IF(
   COUNTIFS($A$2:A251,A251,
             $B$2:B251,B251,
             $D$2:D251,D251,
             $E$2:E251,E251,
             $F$2:F251,F251,
             $G$2:G251,G251,
             $H$2:H251,H251,
             $L$2:L251,L251)&gt;1,
   "Doublon",
   "Correcte"
)</f>
        <v>Correcte</v>
      </c>
    </row>
    <row r="252" spans="1:22" x14ac:dyDescent="0.25">
      <c r="A252" s="100" t="s">
        <v>2518</v>
      </c>
      <c r="B252" s="64" t="s">
        <v>687</v>
      </c>
      <c r="C252" s="69">
        <v>45940.45453703704</v>
      </c>
      <c r="D252" s="65">
        <v>18</v>
      </c>
      <c r="E252" s="65">
        <v>0</v>
      </c>
      <c r="F252" s="65">
        <v>0</v>
      </c>
      <c r="G252" s="65">
        <v>0</v>
      </c>
      <c r="H252" s="65">
        <v>0</v>
      </c>
      <c r="I252" s="64"/>
      <c r="J252" s="64" t="s">
        <v>699</v>
      </c>
      <c r="K252" s="64" t="s">
        <v>665</v>
      </c>
      <c r="L252" s="69">
        <v>45941.45453703704</v>
      </c>
      <c r="M252" s="69" t="str">
        <f t="shared" si="3"/>
        <v>Coupe</v>
      </c>
      <c r="N252" s="69" t="str">
        <f>INDEX(_xlfn.TEXTSPLIT(coupe[[#This Row],[QR Fabrication]],"_"),1,1)</f>
        <v>CA250159</v>
      </c>
      <c r="O252" s="69" t="str">
        <f>INDEX(_xlfn.TEXTSPLIT(coupe[[#This Row],[QR Fabrication]],"_"),1,2)</f>
        <v>All by Fouta</v>
      </c>
      <c r="P252" s="64" t="str">
        <f>INDEX(_xlfn.TEXTSPLIT(coupe[[#This Row],[QR Fabrication]],"_"),1,3)</f>
        <v>Stock</v>
      </c>
      <c r="Q252" s="64" t="str">
        <f>INDEX(_xlfn.TEXTSPLIT(coupe[[#This Row],[QR Fabrication]],"_"),1,4)</f>
        <v>IB1020-B11-14</v>
      </c>
      <c r="R252" s="64" t="str">
        <f>INDEX(_xlfn.TEXTSPLIT(coupe[[#This Row],[QR Fabrication]],"_"),1,5)</f>
        <v>IBIZA</v>
      </c>
      <c r="S252" s="64" t="str">
        <f>_xlfn.TEXTAFTER(coupe[[#This Row],[QR Fabrication]],"_",5)</f>
        <v>1020</v>
      </c>
      <c r="T252" s="123" t="e">
        <f>_xlfn.XLOOKUP(coupe[[#This Row],[Num OF]],#REF!,#REF!,0)</f>
        <v>#REF!</v>
      </c>
      <c r="U252" s="123" t="e">
        <f>_xlfn.XLOOKUP(coupe[[#This Row],[Num OF]],#REF!,#REF!,0)</f>
        <v>#REF!</v>
      </c>
      <c r="V252" s="82" t="str">
        <f>IF(
   COUNTIFS($A$2:A252,A252,
             $B$2:B252,B252,
             $D$2:D252,D252,
             $E$2:E252,E252,
             $F$2:F252,F252,
             $G$2:G252,G252,
             $H$2:H252,H252,
             $L$2:L252,L252)&gt;1,
   "Doublon",
   "Correcte"
)</f>
        <v>Correcte</v>
      </c>
    </row>
    <row r="253" spans="1:22" x14ac:dyDescent="0.25">
      <c r="A253" s="100" t="s">
        <v>2501</v>
      </c>
      <c r="B253" s="64" t="s">
        <v>686</v>
      </c>
      <c r="C253" s="69">
        <v>45940.456238425926</v>
      </c>
      <c r="D253" s="65">
        <v>7</v>
      </c>
      <c r="E253" s="65">
        <v>0</v>
      </c>
      <c r="F253" s="65">
        <v>0</v>
      </c>
      <c r="G253" s="65">
        <v>0</v>
      </c>
      <c r="H253" s="65">
        <v>0</v>
      </c>
      <c r="I253" s="64"/>
      <c r="J253" s="64" t="s">
        <v>699</v>
      </c>
      <c r="K253" s="64" t="s">
        <v>665</v>
      </c>
      <c r="L253" s="69">
        <v>45941.456238425926</v>
      </c>
      <c r="M253" s="69" t="str">
        <f t="shared" si="3"/>
        <v>Coupe</v>
      </c>
      <c r="N253" s="69" t="str">
        <f>INDEX(_xlfn.TEXTSPLIT(coupe[[#This Row],[QR Fabrication]],"_"),1,1)</f>
        <v>OF249914</v>
      </c>
      <c r="O253" s="69" t="str">
        <f>INDEX(_xlfn.TEXTSPLIT(coupe[[#This Row],[QR Fabrication]],"_"),1,2)</f>
        <v>CL00884</v>
      </c>
      <c r="P253" s="64" t="str">
        <f>INDEX(_xlfn.TEXTSPLIT(coupe[[#This Row],[QR Fabrication]],"_"),1,3)</f>
        <v>CM-FT0120</v>
      </c>
      <c r="Q253" s="64" t="str">
        <f>INDEX(_xlfn.TEXTSPLIT(coupe[[#This Row],[QR Fabrication]],"_"),1,4)</f>
        <v>SO1020-Q29-11-14</v>
      </c>
      <c r="R253" s="64" t="str">
        <f>INDEX(_xlfn.TEXTSPLIT(coupe[[#This Row],[QR Fabrication]],"_"),1,5)</f>
        <v>SOUSSE</v>
      </c>
      <c r="S253" s="64" t="str">
        <f>_xlfn.TEXTAFTER(coupe[[#This Row],[QR Fabrication]],"_",5)</f>
        <v>1020</v>
      </c>
      <c r="T253" s="123" t="e">
        <f>_xlfn.XLOOKUP(coupe[[#This Row],[Num OF]],#REF!,#REF!,0)</f>
        <v>#REF!</v>
      </c>
      <c r="U253" s="123" t="e">
        <f>_xlfn.XLOOKUP(coupe[[#This Row],[Num OF]],#REF!,#REF!,0)</f>
        <v>#REF!</v>
      </c>
      <c r="V253" s="82" t="str">
        <f>IF(
   COUNTIFS($A$2:A253,A253,
             $B$2:B253,B253,
             $D$2:D253,D253,
             $E$2:E253,E253,
             $F$2:F253,F253,
             $G$2:G253,G253,
             $H$2:H253,H253,
             $L$2:L253,L253)&gt;1,
   "Doublon",
   "Correcte"
)</f>
        <v>Correcte</v>
      </c>
    </row>
    <row r="254" spans="1:22" x14ac:dyDescent="0.25">
      <c r="A254" s="100" t="s">
        <v>2501</v>
      </c>
      <c r="B254" s="64" t="s">
        <v>702</v>
      </c>
      <c r="C254" s="69">
        <v>45940.45652777778</v>
      </c>
      <c r="D254" s="65">
        <v>30</v>
      </c>
      <c r="E254" s="65">
        <v>0</v>
      </c>
      <c r="F254" s="65">
        <v>0</v>
      </c>
      <c r="G254" s="65">
        <v>0</v>
      </c>
      <c r="H254" s="65">
        <v>0</v>
      </c>
      <c r="I254" s="64"/>
      <c r="J254" s="64" t="s">
        <v>699</v>
      </c>
      <c r="K254" s="64" t="s">
        <v>665</v>
      </c>
      <c r="L254" s="69">
        <v>45941.45652777778</v>
      </c>
      <c r="M254" s="69" t="str">
        <f t="shared" si="3"/>
        <v>Coupe</v>
      </c>
      <c r="N254" s="69" t="str">
        <f>INDEX(_xlfn.TEXTSPLIT(coupe[[#This Row],[QR Fabrication]],"_"),1,1)</f>
        <v>OF249914</v>
      </c>
      <c r="O254" s="69" t="str">
        <f>INDEX(_xlfn.TEXTSPLIT(coupe[[#This Row],[QR Fabrication]],"_"),1,2)</f>
        <v>CL00884</v>
      </c>
      <c r="P254" s="64" t="str">
        <f>INDEX(_xlfn.TEXTSPLIT(coupe[[#This Row],[QR Fabrication]],"_"),1,3)</f>
        <v>CM-FT0120</v>
      </c>
      <c r="Q254" s="64" t="str">
        <f>INDEX(_xlfn.TEXTSPLIT(coupe[[#This Row],[QR Fabrication]],"_"),1,4)</f>
        <v>SO1020-Q29-11-14</v>
      </c>
      <c r="R254" s="64" t="str">
        <f>INDEX(_xlfn.TEXTSPLIT(coupe[[#This Row],[QR Fabrication]],"_"),1,5)</f>
        <v>SOUSSE</v>
      </c>
      <c r="S254" s="64" t="str">
        <f>_xlfn.TEXTAFTER(coupe[[#This Row],[QR Fabrication]],"_",5)</f>
        <v>1020</v>
      </c>
      <c r="T254" s="123" t="e">
        <f>_xlfn.XLOOKUP(coupe[[#This Row],[Num OF]],#REF!,#REF!,0)</f>
        <v>#REF!</v>
      </c>
      <c r="U254" s="123" t="e">
        <f>_xlfn.XLOOKUP(coupe[[#This Row],[Num OF]],#REF!,#REF!,0)</f>
        <v>#REF!</v>
      </c>
      <c r="V254" s="82" t="str">
        <f>IF(
   COUNTIFS($A$2:A254,A254,
             $B$2:B254,B254,
             $D$2:D254,D254,
             $E$2:E254,E254,
             $F$2:F254,F254,
             $G$2:G254,G254,
             $H$2:H254,H254,
             $L$2:L254,L254)&gt;1,
   "Doublon",
   "Correcte"
)</f>
        <v>Correcte</v>
      </c>
    </row>
    <row r="255" spans="1:22" x14ac:dyDescent="0.25">
      <c r="A255" s="100" t="s">
        <v>2524</v>
      </c>
      <c r="B255" s="64" t="s">
        <v>687</v>
      </c>
      <c r="C255" s="69">
        <v>45940.488842592589</v>
      </c>
      <c r="D255" s="65">
        <v>18</v>
      </c>
      <c r="E255" s="65">
        <v>0</v>
      </c>
      <c r="F255" s="65">
        <v>3</v>
      </c>
      <c r="G255" s="65">
        <v>0</v>
      </c>
      <c r="H255" s="65">
        <v>0</v>
      </c>
      <c r="I255" s="64"/>
      <c r="J255" s="64" t="e" vm="35">
        <v>#VALUE!</v>
      </c>
      <c r="K255" s="64" t="s">
        <v>665</v>
      </c>
      <c r="L255" s="69">
        <v>45941.488842592589</v>
      </c>
      <c r="M255" s="69" t="str">
        <f t="shared" si="3"/>
        <v>Coupe</v>
      </c>
      <c r="N255" s="69" t="str">
        <f>INDEX(_xlfn.TEXTSPLIT(coupe[[#This Row],[QR Fabrication]],"_"),1,1)</f>
        <v>CA250210</v>
      </c>
      <c r="O255" s="69" t="str">
        <f>INDEX(_xlfn.TEXTSPLIT(coupe[[#This Row],[QR Fabrication]],"_"),1,2)</f>
        <v>All by Fouta</v>
      </c>
      <c r="P255" s="64" t="str">
        <f>INDEX(_xlfn.TEXTSPLIT(coupe[[#This Row],[QR Fabrication]],"_"),1,3)</f>
        <v>Stock</v>
      </c>
      <c r="Q255" s="64" t="str">
        <f>INDEX(_xlfn.TEXTSPLIT(coupe[[#This Row],[QR Fabrication]],"_"),1,4)</f>
        <v>AR1020-B13-14</v>
      </c>
      <c r="R255" s="64" t="str">
        <f>INDEX(_xlfn.TEXTSPLIT(coupe[[#This Row],[QR Fabrication]],"_"),1,5)</f>
        <v>ARTHUR</v>
      </c>
      <c r="S255" s="64" t="str">
        <f>_xlfn.TEXTAFTER(coupe[[#This Row],[QR Fabrication]],"_",5)</f>
        <v>1020</v>
      </c>
      <c r="T255" s="123" t="e">
        <f>_xlfn.XLOOKUP(coupe[[#This Row],[Num OF]],#REF!,#REF!,0)</f>
        <v>#REF!</v>
      </c>
      <c r="U255" s="123" t="e">
        <f>_xlfn.XLOOKUP(coupe[[#This Row],[Num OF]],#REF!,#REF!,0)</f>
        <v>#REF!</v>
      </c>
      <c r="V255" s="82" t="str">
        <f>IF(
   COUNTIFS($A$2:A255,A255,
             $B$2:B255,B255,
             $D$2:D255,D255,
             $E$2:E255,E255,
             $F$2:F255,F255,
             $G$2:G255,G255,
             $H$2:H255,H255,
             $L$2:L255,L255)&gt;1,
   "Doublon",
   "Correcte"
)</f>
        <v>Correcte</v>
      </c>
    </row>
    <row r="256" spans="1:22" x14ac:dyDescent="0.25">
      <c r="A256" s="100" t="s">
        <v>2493</v>
      </c>
      <c r="B256" s="64" t="s">
        <v>702</v>
      </c>
      <c r="C256" s="69">
        <v>45940.503564814811</v>
      </c>
      <c r="D256" s="65">
        <v>6</v>
      </c>
      <c r="E256" s="65">
        <v>0</v>
      </c>
      <c r="F256" s="65">
        <v>0</v>
      </c>
      <c r="G256" s="65">
        <v>0</v>
      </c>
      <c r="H256" s="65">
        <v>0</v>
      </c>
      <c r="I256" s="64"/>
      <c r="J256" s="64" t="s">
        <v>699</v>
      </c>
      <c r="K256" s="64" t="s">
        <v>665</v>
      </c>
      <c r="L256" s="69">
        <v>45941.503564814811</v>
      </c>
      <c r="M256" s="69" t="str">
        <f t="shared" si="3"/>
        <v>Coupe</v>
      </c>
      <c r="N256" s="69" t="str">
        <f>INDEX(_xlfn.TEXTSPLIT(coupe[[#This Row],[QR Fabrication]],"_"),1,1)</f>
        <v>OF249836</v>
      </c>
      <c r="O256" s="69" t="str">
        <f>INDEX(_xlfn.TEXTSPLIT(coupe[[#This Row],[QR Fabrication]],"_"),1,2)</f>
        <v>CL00884</v>
      </c>
      <c r="P256" s="64" t="str">
        <f>INDEX(_xlfn.TEXTSPLIT(coupe[[#This Row],[QR Fabrication]],"_"),1,3)</f>
        <v>CM-FT0119</v>
      </c>
      <c r="Q256" s="64" t="str">
        <f>INDEX(_xlfn.TEXTSPLIT(coupe[[#This Row],[QR Fabrication]],"_"),1,4)</f>
        <v>FI1020-C02-28-29</v>
      </c>
      <c r="R256" s="64" t="str">
        <f>INDEX(_xlfn.TEXTSPLIT(coupe[[#This Row],[QR Fabrication]],"_"),1,5)</f>
        <v>FIVE</v>
      </c>
      <c r="S256" s="64" t="str">
        <f>_xlfn.TEXTAFTER(coupe[[#This Row],[QR Fabrication]],"_",5)</f>
        <v>1020</v>
      </c>
      <c r="T256" s="123" t="e">
        <f>_xlfn.XLOOKUP(coupe[[#This Row],[Num OF]],#REF!,#REF!,0)</f>
        <v>#REF!</v>
      </c>
      <c r="U256" s="123" t="e">
        <f>_xlfn.XLOOKUP(coupe[[#This Row],[Num OF]],#REF!,#REF!,0)</f>
        <v>#REF!</v>
      </c>
      <c r="V256" s="82" t="str">
        <f>IF(
   COUNTIFS($A$2:A256,A256,
             $B$2:B256,B256,
             $D$2:D256,D256,
             $E$2:E256,E256,
             $F$2:F256,F256,
             $G$2:G256,G256,
             $H$2:H256,H256,
             $L$2:L256,L256)&gt;1,
   "Doublon",
   "Correcte"
)</f>
        <v>Correcte</v>
      </c>
    </row>
    <row r="257" spans="1:22" x14ac:dyDescent="0.25">
      <c r="A257" s="100" t="s">
        <v>2532</v>
      </c>
      <c r="B257" s="64" t="s">
        <v>702</v>
      </c>
      <c r="C257" s="69">
        <v>45940.553229166668</v>
      </c>
      <c r="D257" s="65">
        <v>58</v>
      </c>
      <c r="E257" s="65">
        <v>0</v>
      </c>
      <c r="F257" s="65">
        <v>0</v>
      </c>
      <c r="G257" s="65">
        <v>0</v>
      </c>
      <c r="H257" s="65">
        <v>0</v>
      </c>
      <c r="I257" s="64"/>
      <c r="J257" s="64" t="s">
        <v>699</v>
      </c>
      <c r="K257" s="64" t="s">
        <v>665</v>
      </c>
      <c r="L257" s="69">
        <v>45941.553229166668</v>
      </c>
      <c r="M257" s="69" t="str">
        <f t="shared" si="3"/>
        <v>Coupe</v>
      </c>
      <c r="N257" s="69" t="str">
        <f>INDEX(_xlfn.TEXTSPLIT(coupe[[#This Row],[QR Fabrication]],"_"),1,1)</f>
        <v>OF249844</v>
      </c>
      <c r="O257" s="69" t="str">
        <f>INDEX(_xlfn.TEXTSPLIT(coupe[[#This Row],[QR Fabrication]],"_"),1,2)</f>
        <v>CL00884</v>
      </c>
      <c r="P257" s="64" t="str">
        <f>INDEX(_xlfn.TEXTSPLIT(coupe[[#This Row],[QR Fabrication]],"_"),1,3)</f>
        <v>CM-FT0119</v>
      </c>
      <c r="Q257" s="64" t="str">
        <f>INDEX(_xlfn.TEXTSPLIT(coupe[[#This Row],[QR Fabrication]],"_"),1,4)</f>
        <v>FI1020-C07-17-06</v>
      </c>
      <c r="R257" s="64" t="str">
        <f>INDEX(_xlfn.TEXTSPLIT(coupe[[#This Row],[QR Fabrication]],"_"),1,5)</f>
        <v>FIVE</v>
      </c>
      <c r="S257" s="64" t="str">
        <f>_xlfn.TEXTAFTER(coupe[[#This Row],[QR Fabrication]],"_",5)</f>
        <v>1020</v>
      </c>
      <c r="T257" s="123" t="e">
        <f>_xlfn.XLOOKUP(coupe[[#This Row],[Num OF]],#REF!,#REF!,0)</f>
        <v>#REF!</v>
      </c>
      <c r="U257" s="123" t="e">
        <f>_xlfn.XLOOKUP(coupe[[#This Row],[Num OF]],#REF!,#REF!,0)</f>
        <v>#REF!</v>
      </c>
      <c r="V257" s="82" t="str">
        <f>IF(
   COUNTIFS($A$2:A257,A257,
             $B$2:B257,B257,
             $D$2:D257,D257,
             $E$2:E257,E257,
             $F$2:F257,F257,
             $G$2:G257,G257,
             $H$2:H257,H257,
             $L$2:L257,L257)&gt;1,
   "Doublon",
   "Correcte"
)</f>
        <v>Correcte</v>
      </c>
    </row>
    <row r="258" spans="1:22" x14ac:dyDescent="0.25">
      <c r="A258" s="100" t="s">
        <v>2532</v>
      </c>
      <c r="B258" s="64" t="s">
        <v>704</v>
      </c>
      <c r="C258" s="69">
        <v>45940.565347222226</v>
      </c>
      <c r="D258" s="65">
        <v>6</v>
      </c>
      <c r="E258" s="65">
        <v>0</v>
      </c>
      <c r="F258" s="65">
        <v>0</v>
      </c>
      <c r="G258" s="65">
        <v>0</v>
      </c>
      <c r="H258" s="65">
        <v>0</v>
      </c>
      <c r="I258" s="64"/>
      <c r="J258" s="64" t="s">
        <v>699</v>
      </c>
      <c r="K258" s="64" t="s">
        <v>665</v>
      </c>
      <c r="L258" s="69">
        <v>45941.565347222226</v>
      </c>
      <c r="M258" s="69" t="str">
        <f t="shared" ref="M258:M280" si="4">"Coupe"</f>
        <v>Coupe</v>
      </c>
      <c r="N258" s="69" t="str">
        <f>INDEX(_xlfn.TEXTSPLIT(coupe[[#This Row],[QR Fabrication]],"_"),1,1)</f>
        <v>OF249844</v>
      </c>
      <c r="O258" s="69" t="str">
        <f>INDEX(_xlfn.TEXTSPLIT(coupe[[#This Row],[QR Fabrication]],"_"),1,2)</f>
        <v>CL00884</v>
      </c>
      <c r="P258" s="64" t="str">
        <f>INDEX(_xlfn.TEXTSPLIT(coupe[[#This Row],[QR Fabrication]],"_"),1,3)</f>
        <v>CM-FT0119</v>
      </c>
      <c r="Q258" s="64" t="str">
        <f>INDEX(_xlfn.TEXTSPLIT(coupe[[#This Row],[QR Fabrication]],"_"),1,4)</f>
        <v>FI1020-C07-17-06</v>
      </c>
      <c r="R258" s="64" t="str">
        <f>INDEX(_xlfn.TEXTSPLIT(coupe[[#This Row],[QR Fabrication]],"_"),1,5)</f>
        <v>FIVE</v>
      </c>
      <c r="S258" s="64" t="str">
        <f>_xlfn.TEXTAFTER(coupe[[#This Row],[QR Fabrication]],"_",5)</f>
        <v>1020</v>
      </c>
      <c r="T258" s="123" t="e">
        <f>_xlfn.XLOOKUP(coupe[[#This Row],[Num OF]],#REF!,#REF!,0)</f>
        <v>#REF!</v>
      </c>
      <c r="U258" s="123" t="e">
        <f>_xlfn.XLOOKUP(coupe[[#This Row],[Num OF]],#REF!,#REF!,0)</f>
        <v>#REF!</v>
      </c>
      <c r="V258" s="82" t="str">
        <f>IF(
   COUNTIFS($A$2:A258,A258,
             $B$2:B258,B258,
             $D$2:D258,D258,
             $E$2:E258,E258,
             $F$2:F258,F258,
             $G$2:G258,G258,
             $H$2:H258,H258,
             $L$2:L258,L258)&gt;1,
   "Doublon",
   "Correcte"
)</f>
        <v>Correcte</v>
      </c>
    </row>
    <row r="259" spans="1:22" x14ac:dyDescent="0.25">
      <c r="A259" s="100" t="s">
        <v>2530</v>
      </c>
      <c r="B259" s="64" t="s">
        <v>686</v>
      </c>
      <c r="C259" s="69">
        <v>45940.581574074073</v>
      </c>
      <c r="D259" s="65">
        <v>55</v>
      </c>
      <c r="E259" s="65">
        <v>0</v>
      </c>
      <c r="F259" s="65">
        <v>0</v>
      </c>
      <c r="G259" s="65">
        <v>0</v>
      </c>
      <c r="H259" s="65">
        <v>0</v>
      </c>
      <c r="I259" s="64"/>
      <c r="J259" s="64" t="s">
        <v>699</v>
      </c>
      <c r="K259" s="64" t="s">
        <v>665</v>
      </c>
      <c r="L259" s="69">
        <v>45941.581574074073</v>
      </c>
      <c r="M259" s="69" t="str">
        <f t="shared" si="4"/>
        <v>Coupe</v>
      </c>
      <c r="N259" s="69" t="str">
        <f>INDEX(_xlfn.TEXTSPLIT(coupe[[#This Row],[QR Fabrication]],"_"),1,1)</f>
        <v>CA250217</v>
      </c>
      <c r="O259" s="69" t="str">
        <f>INDEX(_xlfn.TEXTSPLIT(coupe[[#This Row],[QR Fabrication]],"_"),1,2)</f>
        <v>All by Fouta</v>
      </c>
      <c r="P259" s="64" t="str">
        <f>INDEX(_xlfn.TEXTSPLIT(coupe[[#This Row],[QR Fabrication]],"_"),1,3)</f>
        <v>Stock</v>
      </c>
      <c r="Q259" s="64" t="str">
        <f>INDEX(_xlfn.TEXTSPLIT(coupe[[#This Row],[QR Fabrication]],"_"),1,4)</f>
        <v>AR1020-T10-14-25</v>
      </c>
      <c r="R259" s="64" t="str">
        <f>INDEX(_xlfn.TEXTSPLIT(coupe[[#This Row],[QR Fabrication]],"_"),1,5)</f>
        <v>ARTHUR</v>
      </c>
      <c r="S259" s="64" t="str">
        <f>_xlfn.TEXTAFTER(coupe[[#This Row],[QR Fabrication]],"_",5)</f>
        <v>1020</v>
      </c>
      <c r="T259" s="123" t="e">
        <f>_xlfn.XLOOKUP(coupe[[#This Row],[Num OF]],#REF!,#REF!,0)</f>
        <v>#REF!</v>
      </c>
      <c r="U259" s="123" t="e">
        <f>_xlfn.XLOOKUP(coupe[[#This Row],[Num OF]],#REF!,#REF!,0)</f>
        <v>#REF!</v>
      </c>
      <c r="V259" s="82" t="str">
        <f>IF(
   COUNTIFS($A$2:A259,A259,
             $B$2:B259,B259,
             $D$2:D259,D259,
             $E$2:E259,E259,
             $F$2:F259,F259,
             $G$2:G259,G259,
             $H$2:H259,H259,
             $L$2:L259,L259)&gt;1,
   "Doublon",
   "Correcte"
)</f>
        <v>Correcte</v>
      </c>
    </row>
    <row r="260" spans="1:22" x14ac:dyDescent="0.25">
      <c r="A260" s="100" t="s">
        <v>2530</v>
      </c>
      <c r="B260" s="64" t="s">
        <v>686</v>
      </c>
      <c r="C260" s="69">
        <v>45940.583275462966</v>
      </c>
      <c r="D260" s="65">
        <v>5</v>
      </c>
      <c r="E260" s="65">
        <v>0</v>
      </c>
      <c r="F260" s="65">
        <v>0</v>
      </c>
      <c r="G260" s="65">
        <v>0</v>
      </c>
      <c r="H260" s="65">
        <v>0</v>
      </c>
      <c r="I260" s="64"/>
      <c r="J260" s="64" t="s">
        <v>699</v>
      </c>
      <c r="K260" s="64" t="s">
        <v>665</v>
      </c>
      <c r="L260" s="69">
        <v>45941.583275462966</v>
      </c>
      <c r="M260" s="69" t="str">
        <f t="shared" si="4"/>
        <v>Coupe</v>
      </c>
      <c r="N260" s="69" t="str">
        <f>INDEX(_xlfn.TEXTSPLIT(coupe[[#This Row],[QR Fabrication]],"_"),1,1)</f>
        <v>CA250217</v>
      </c>
      <c r="O260" s="69" t="str">
        <f>INDEX(_xlfn.TEXTSPLIT(coupe[[#This Row],[QR Fabrication]],"_"),1,2)</f>
        <v>All by Fouta</v>
      </c>
      <c r="P260" s="64" t="str">
        <f>INDEX(_xlfn.TEXTSPLIT(coupe[[#This Row],[QR Fabrication]],"_"),1,3)</f>
        <v>Stock</v>
      </c>
      <c r="Q260" s="64" t="str">
        <f>INDEX(_xlfn.TEXTSPLIT(coupe[[#This Row],[QR Fabrication]],"_"),1,4)</f>
        <v>AR1020-T10-14-25</v>
      </c>
      <c r="R260" s="64" t="str">
        <f>INDEX(_xlfn.TEXTSPLIT(coupe[[#This Row],[QR Fabrication]],"_"),1,5)</f>
        <v>ARTHUR</v>
      </c>
      <c r="S260" s="64" t="str">
        <f>_xlfn.TEXTAFTER(coupe[[#This Row],[QR Fabrication]],"_",5)</f>
        <v>1020</v>
      </c>
      <c r="T260" s="123" t="e">
        <f>_xlfn.XLOOKUP(coupe[[#This Row],[Num OF]],#REF!,#REF!,0)</f>
        <v>#REF!</v>
      </c>
      <c r="U260" s="123" t="e">
        <f>_xlfn.XLOOKUP(coupe[[#This Row],[Num OF]],#REF!,#REF!,0)</f>
        <v>#REF!</v>
      </c>
      <c r="V260" s="82" t="str">
        <f>IF(
   COUNTIFS($A$2:A260,A260,
             $B$2:B260,B260,
             $D$2:D260,D260,
             $E$2:E260,E260,
             $F$2:F260,F260,
             $G$2:G260,G260,
             $H$2:H260,H260,
             $L$2:L260,L260)&gt;1,
   "Doublon",
   "Correcte"
)</f>
        <v>Correcte</v>
      </c>
    </row>
    <row r="261" spans="1:22" x14ac:dyDescent="0.25">
      <c r="A261" s="100" t="s">
        <v>2535</v>
      </c>
      <c r="B261" s="64" t="s">
        <v>687</v>
      </c>
      <c r="C261" s="69">
        <v>45942.387094907404</v>
      </c>
      <c r="D261" s="65">
        <v>52</v>
      </c>
      <c r="E261" s="65">
        <v>0</v>
      </c>
      <c r="F261" s="65">
        <v>0</v>
      </c>
      <c r="G261" s="65">
        <v>0</v>
      </c>
      <c r="H261" s="65">
        <v>0</v>
      </c>
      <c r="I261" s="64"/>
      <c r="J261" s="64" t="s">
        <v>699</v>
      </c>
      <c r="K261" s="64" t="s">
        <v>665</v>
      </c>
      <c r="L261" s="69">
        <v>45943.387094907404</v>
      </c>
      <c r="M261" s="69" t="str">
        <f t="shared" si="4"/>
        <v>Coupe</v>
      </c>
      <c r="N261" s="69" t="str">
        <f>INDEX(_xlfn.TEXTSPLIT(coupe[[#This Row],[QR Fabrication]],"_"),1,1)</f>
        <v>CA250543</v>
      </c>
      <c r="O261" s="69" t="str">
        <f>INDEX(_xlfn.TEXTSPLIT(coupe[[#This Row],[QR Fabrication]],"_"),1,2)</f>
        <v>All by Fouta</v>
      </c>
      <c r="P261" s="64" t="str">
        <f>INDEX(_xlfn.TEXTSPLIT(coupe[[#This Row],[QR Fabrication]],"_"),1,3)</f>
        <v>Stock</v>
      </c>
      <c r="Q261" s="64" t="str">
        <f>INDEX(_xlfn.TEXTSPLIT(coupe[[#This Row],[QR Fabrication]],"_"),1,4)</f>
        <v>NDFL1020-B06-02</v>
      </c>
      <c r="R261" s="64" t="str">
        <f>INDEX(_xlfn.TEXTSPLIT(coupe[[#This Row],[QR Fabrication]],"_"),1,5)</f>
        <v>ND FLY</v>
      </c>
      <c r="S261" s="64" t="str">
        <f>_xlfn.TEXTAFTER(coupe[[#This Row],[QR Fabrication]],"_",5)</f>
        <v>1020</v>
      </c>
      <c r="T261" s="123" t="e">
        <f>_xlfn.XLOOKUP(coupe[[#This Row],[Num OF]],#REF!,#REF!,0)</f>
        <v>#REF!</v>
      </c>
      <c r="U261" s="123" t="e">
        <f>_xlfn.XLOOKUP(coupe[[#This Row],[Num OF]],#REF!,#REF!,0)</f>
        <v>#REF!</v>
      </c>
      <c r="V261" s="82" t="str">
        <f>IF(
   COUNTIFS($A$2:A261,A261,
             $B$2:B261,B261,
             $D$2:D261,D261,
             $E$2:E261,E261,
             $F$2:F261,F261,
             $G$2:G261,G261,
             $H$2:H261,H261,
             $L$2:L261,L261)&gt;1,
   "Doublon",
   "Correcte"
)</f>
        <v>Correcte</v>
      </c>
    </row>
    <row r="262" spans="1:22" x14ac:dyDescent="0.25">
      <c r="A262" s="100" t="s">
        <v>2534</v>
      </c>
      <c r="B262" s="64" t="s">
        <v>687</v>
      </c>
      <c r="C262" s="69">
        <v>45942.405578703707</v>
      </c>
      <c r="D262" s="65">
        <v>20</v>
      </c>
      <c r="E262" s="65">
        <v>0</v>
      </c>
      <c r="F262" s="65">
        <v>0</v>
      </c>
      <c r="G262" s="65">
        <v>0</v>
      </c>
      <c r="H262" s="65">
        <v>0</v>
      </c>
      <c r="I262" s="64"/>
      <c r="J262" s="64" t="s">
        <v>699</v>
      </c>
      <c r="K262" s="64" t="s">
        <v>665</v>
      </c>
      <c r="L262" s="69">
        <v>45943.405578703707</v>
      </c>
      <c r="M262" s="69" t="str">
        <f t="shared" si="4"/>
        <v>Coupe</v>
      </c>
      <c r="N262" s="69" t="str">
        <f>INDEX(_xlfn.TEXTSPLIT(coupe[[#This Row],[QR Fabrication]],"_"),1,1)</f>
        <v>CA250542</v>
      </c>
      <c r="O262" s="69" t="str">
        <f>INDEX(_xlfn.TEXTSPLIT(coupe[[#This Row],[QR Fabrication]],"_"),1,2)</f>
        <v>All by Fouta</v>
      </c>
      <c r="P262" s="64" t="str">
        <f>INDEX(_xlfn.TEXTSPLIT(coupe[[#This Row],[QR Fabrication]],"_"),1,3)</f>
        <v>Stock</v>
      </c>
      <c r="Q262" s="64" t="str">
        <f>INDEX(_xlfn.TEXTSPLIT(coupe[[#This Row],[QR Fabrication]],"_"),1,4)</f>
        <v>NDFL1020-B04-02</v>
      </c>
      <c r="R262" s="64" t="str">
        <f>INDEX(_xlfn.TEXTSPLIT(coupe[[#This Row],[QR Fabrication]],"_"),1,5)</f>
        <v>ND FLY</v>
      </c>
      <c r="S262" s="64" t="str">
        <f>_xlfn.TEXTAFTER(coupe[[#This Row],[QR Fabrication]],"_",5)</f>
        <v>1020</v>
      </c>
      <c r="T262" s="123" t="e">
        <f>_xlfn.XLOOKUP(coupe[[#This Row],[Num OF]],#REF!,#REF!,0)</f>
        <v>#REF!</v>
      </c>
      <c r="U262" s="123" t="e">
        <f>_xlfn.XLOOKUP(coupe[[#This Row],[Num OF]],#REF!,#REF!,0)</f>
        <v>#REF!</v>
      </c>
      <c r="V262" s="82" t="str">
        <f>IF(
   COUNTIFS($A$2:A262,A262,
             $B$2:B262,B262,
             $D$2:D262,D262,
             $E$2:E262,E262,
             $F$2:F262,F262,
             $G$2:G262,G262,
             $H$2:H262,H262,
             $L$2:L262,L262)&gt;1,
   "Doublon",
   "Correcte"
)</f>
        <v>Correcte</v>
      </c>
    </row>
    <row r="263" spans="1:22" x14ac:dyDescent="0.25">
      <c r="A263" s="100" t="s">
        <v>2519</v>
      </c>
      <c r="B263" s="64" t="s">
        <v>686</v>
      </c>
      <c r="C263" s="69">
        <v>45942.420474537037</v>
      </c>
      <c r="D263" s="65">
        <v>13</v>
      </c>
      <c r="E263" s="65">
        <v>0</v>
      </c>
      <c r="F263" s="65">
        <v>0</v>
      </c>
      <c r="G263" s="65">
        <v>0</v>
      </c>
      <c r="H263" s="65">
        <v>1</v>
      </c>
      <c r="I263" s="64" t="s">
        <v>701</v>
      </c>
      <c r="J263" s="64" t="e" vm="36">
        <v>#VALUE!</v>
      </c>
      <c r="K263" s="64" t="s">
        <v>665</v>
      </c>
      <c r="L263" s="69">
        <v>45943.420474537037</v>
      </c>
      <c r="M263" s="69" t="str">
        <f t="shared" si="4"/>
        <v>Coupe</v>
      </c>
      <c r="N263" s="69" t="str">
        <f>INDEX(_xlfn.TEXTSPLIT(coupe[[#This Row],[QR Fabrication]],"_"),1,1)</f>
        <v>CA250242</v>
      </c>
      <c r="O263" s="69" t="str">
        <f>INDEX(_xlfn.TEXTSPLIT(coupe[[#This Row],[QR Fabrication]],"_"),1,2)</f>
        <v>All by Fouta</v>
      </c>
      <c r="P263" s="64" t="str">
        <f>INDEX(_xlfn.TEXTSPLIT(coupe[[#This Row],[QR Fabrication]],"_"),1,3)</f>
        <v>Stock</v>
      </c>
      <c r="Q263" s="64" t="str">
        <f>INDEX(_xlfn.TEXTSPLIT(coupe[[#This Row],[QR Fabrication]],"_"),1,4)</f>
        <v>AR2020-B20-24</v>
      </c>
      <c r="R263" s="64" t="str">
        <f>INDEX(_xlfn.TEXTSPLIT(coupe[[#This Row],[QR Fabrication]],"_"),1,5)</f>
        <v>ARTHUR</v>
      </c>
      <c r="S263" s="64" t="str">
        <f>_xlfn.TEXTAFTER(coupe[[#This Row],[QR Fabrication]],"_",5)</f>
        <v>2020</v>
      </c>
      <c r="T263" s="123" t="e">
        <f>_xlfn.XLOOKUP(coupe[[#This Row],[Num OF]],#REF!,#REF!,0)</f>
        <v>#REF!</v>
      </c>
      <c r="U263" s="123" t="e">
        <f>_xlfn.XLOOKUP(coupe[[#This Row],[Num OF]],#REF!,#REF!,0)</f>
        <v>#REF!</v>
      </c>
      <c r="V263" s="82" t="str">
        <f>IF(
   COUNTIFS($A$2:A263,A263,
             $B$2:B263,B263,
             $D$2:D263,D263,
             $E$2:E263,E263,
             $F$2:F263,F263,
             $G$2:G263,G263,
             $H$2:H263,H263,
             $L$2:L263,L263)&gt;1,
   "Doublon",
   "Correcte"
)</f>
        <v>Correcte</v>
      </c>
    </row>
    <row r="264" spans="1:22" x14ac:dyDescent="0.25">
      <c r="A264" s="100" t="s">
        <v>2536</v>
      </c>
      <c r="B264" s="64" t="s">
        <v>702</v>
      </c>
      <c r="C264" s="69">
        <v>45942.452557870369</v>
      </c>
      <c r="D264" s="65">
        <v>20</v>
      </c>
      <c r="E264" s="65">
        <v>0</v>
      </c>
      <c r="F264" s="65">
        <v>0</v>
      </c>
      <c r="G264" s="65">
        <v>0</v>
      </c>
      <c r="H264" s="65">
        <v>0</v>
      </c>
      <c r="I264" s="64"/>
      <c r="J264" s="64" t="s">
        <v>699</v>
      </c>
      <c r="K264" s="64" t="s">
        <v>665</v>
      </c>
      <c r="L264" s="69">
        <v>45943.452557870369</v>
      </c>
      <c r="M264" s="69" t="str">
        <f t="shared" si="4"/>
        <v>Coupe</v>
      </c>
      <c r="N264" s="69" t="str">
        <f>INDEX(_xlfn.TEXTSPLIT(coupe[[#This Row],[QR Fabrication]],"_"),1,1)</f>
        <v>CA250250</v>
      </c>
      <c r="O264" s="69" t="str">
        <f>INDEX(_xlfn.TEXTSPLIT(coupe[[#This Row],[QR Fabrication]],"_"),1,2)</f>
        <v>All by Fouta</v>
      </c>
      <c r="P264" s="64" t="str">
        <f>INDEX(_xlfn.TEXTSPLIT(coupe[[#This Row],[QR Fabrication]],"_"),1,3)</f>
        <v>Stock</v>
      </c>
      <c r="Q264" s="64" t="str">
        <f>INDEX(_xlfn.TEXTSPLIT(coupe[[#This Row],[QR Fabrication]],"_"),1,4)</f>
        <v>AR2020-T32-06-12</v>
      </c>
      <c r="R264" s="64" t="str">
        <f>INDEX(_xlfn.TEXTSPLIT(coupe[[#This Row],[QR Fabrication]],"_"),1,5)</f>
        <v>ARTHUR</v>
      </c>
      <c r="S264" s="64" t="str">
        <f>_xlfn.TEXTAFTER(coupe[[#This Row],[QR Fabrication]],"_",5)</f>
        <v>2020</v>
      </c>
      <c r="T264" s="123" t="e">
        <f>_xlfn.XLOOKUP(coupe[[#This Row],[Num OF]],#REF!,#REF!,0)</f>
        <v>#REF!</v>
      </c>
      <c r="U264" s="123" t="e">
        <f>_xlfn.XLOOKUP(coupe[[#This Row],[Num OF]],#REF!,#REF!,0)</f>
        <v>#REF!</v>
      </c>
      <c r="V264" s="82" t="str">
        <f>IF(
   COUNTIFS($A$2:A264,A264,
             $B$2:B264,B264,
             $D$2:D264,D264,
             $E$2:E264,E264,
             $F$2:F264,F264,
             $G$2:G264,G264,
             $H$2:H264,H264,
             $L$2:L264,L264)&gt;1,
   "Doublon",
   "Correcte"
)</f>
        <v>Correcte</v>
      </c>
    </row>
    <row r="265" spans="1:22" x14ac:dyDescent="0.25">
      <c r="A265" s="100" t="s">
        <v>2501</v>
      </c>
      <c r="B265" s="64" t="s">
        <v>702</v>
      </c>
      <c r="C265" s="69">
        <v>45942.518263888887</v>
      </c>
      <c r="D265" s="65">
        <v>74</v>
      </c>
      <c r="E265" s="65">
        <v>0</v>
      </c>
      <c r="F265" s="65">
        <v>0</v>
      </c>
      <c r="G265" s="65">
        <v>0</v>
      </c>
      <c r="H265" s="65">
        <v>0</v>
      </c>
      <c r="I265" s="64"/>
      <c r="J265" s="64" t="s">
        <v>699</v>
      </c>
      <c r="K265" s="64" t="s">
        <v>665</v>
      </c>
      <c r="L265" s="69">
        <v>45943.518263888887</v>
      </c>
      <c r="M265" s="69" t="str">
        <f t="shared" si="4"/>
        <v>Coupe</v>
      </c>
      <c r="N265" s="69" t="str">
        <f>INDEX(_xlfn.TEXTSPLIT(coupe[[#This Row],[QR Fabrication]],"_"),1,1)</f>
        <v>OF249914</v>
      </c>
      <c r="O265" s="69" t="str">
        <f>INDEX(_xlfn.TEXTSPLIT(coupe[[#This Row],[QR Fabrication]],"_"),1,2)</f>
        <v>CL00884</v>
      </c>
      <c r="P265" s="64" t="str">
        <f>INDEX(_xlfn.TEXTSPLIT(coupe[[#This Row],[QR Fabrication]],"_"),1,3)</f>
        <v>CM-FT0120</v>
      </c>
      <c r="Q265" s="64" t="str">
        <f>INDEX(_xlfn.TEXTSPLIT(coupe[[#This Row],[QR Fabrication]],"_"),1,4)</f>
        <v>SO1020-Q29-11-14</v>
      </c>
      <c r="R265" s="64" t="str">
        <f>INDEX(_xlfn.TEXTSPLIT(coupe[[#This Row],[QR Fabrication]],"_"),1,5)</f>
        <v>SOUSSE</v>
      </c>
      <c r="S265" s="64" t="str">
        <f>_xlfn.TEXTAFTER(coupe[[#This Row],[QR Fabrication]],"_",5)</f>
        <v>1020</v>
      </c>
      <c r="T265" s="123" t="e">
        <f>_xlfn.XLOOKUP(coupe[[#This Row],[Num OF]],#REF!,#REF!,0)</f>
        <v>#REF!</v>
      </c>
      <c r="U265" s="123" t="e">
        <f>_xlfn.XLOOKUP(coupe[[#This Row],[Num OF]],#REF!,#REF!,0)</f>
        <v>#REF!</v>
      </c>
      <c r="V265" s="82" t="str">
        <f>IF(
   COUNTIFS($A$2:A265,A265,
             $B$2:B265,B265,
             $D$2:D265,D265,
             $E$2:E265,E265,
             $F$2:F265,F265,
             $G$2:G265,G265,
             $H$2:H265,H265,
             $L$2:L265,L265)&gt;1,
   "Doublon",
   "Correcte"
)</f>
        <v>Correcte</v>
      </c>
    </row>
    <row r="266" spans="1:22" x14ac:dyDescent="0.25">
      <c r="A266" s="100" t="s">
        <v>2524</v>
      </c>
      <c r="B266" s="64" t="s">
        <v>687</v>
      </c>
      <c r="C266" s="69">
        <v>45942.563368055555</v>
      </c>
      <c r="D266" s="65">
        <v>44</v>
      </c>
      <c r="E266" s="65">
        <v>0</v>
      </c>
      <c r="F266" s="65">
        <v>0</v>
      </c>
      <c r="G266" s="65">
        <v>0</v>
      </c>
      <c r="H266" s="65">
        <v>0</v>
      </c>
      <c r="I266" s="64"/>
      <c r="J266" s="64" t="s">
        <v>699</v>
      </c>
      <c r="K266" s="64" t="s">
        <v>665</v>
      </c>
      <c r="L266" s="69">
        <v>45943.563368055555</v>
      </c>
      <c r="M266" s="69" t="str">
        <f t="shared" si="4"/>
        <v>Coupe</v>
      </c>
      <c r="N266" s="69" t="str">
        <f>INDEX(_xlfn.TEXTSPLIT(coupe[[#This Row],[QR Fabrication]],"_"),1,1)</f>
        <v>CA250210</v>
      </c>
      <c r="O266" s="69" t="str">
        <f>INDEX(_xlfn.TEXTSPLIT(coupe[[#This Row],[QR Fabrication]],"_"),1,2)</f>
        <v>All by Fouta</v>
      </c>
      <c r="P266" s="64" t="str">
        <f>INDEX(_xlfn.TEXTSPLIT(coupe[[#This Row],[QR Fabrication]],"_"),1,3)</f>
        <v>Stock</v>
      </c>
      <c r="Q266" s="64" t="str">
        <f>INDEX(_xlfn.TEXTSPLIT(coupe[[#This Row],[QR Fabrication]],"_"),1,4)</f>
        <v>AR1020-B13-14</v>
      </c>
      <c r="R266" s="64" t="str">
        <f>INDEX(_xlfn.TEXTSPLIT(coupe[[#This Row],[QR Fabrication]],"_"),1,5)</f>
        <v>ARTHUR</v>
      </c>
      <c r="S266" s="64" t="str">
        <f>_xlfn.TEXTAFTER(coupe[[#This Row],[QR Fabrication]],"_",5)</f>
        <v>1020</v>
      </c>
      <c r="T266" s="123" t="e">
        <f>_xlfn.XLOOKUP(coupe[[#This Row],[Num OF]],#REF!,#REF!,0)</f>
        <v>#REF!</v>
      </c>
      <c r="U266" s="123" t="e">
        <f>_xlfn.XLOOKUP(coupe[[#This Row],[Num OF]],#REF!,#REF!,0)</f>
        <v>#REF!</v>
      </c>
      <c r="V266" s="82" t="str">
        <f>IF(
   COUNTIFS($A$2:A271,A266,
             $B$2:B271,B266,
             $D$2:D271,D266,
             $E$2:E271,E266,
             $F$2:F271,F266,
             $G$2:G271,G266,
             $H$2:H271,H266,
             $L$2:L271,L266)&gt;1,
   "Doublon",
   "Correcte"
)</f>
        <v>Correcte</v>
      </c>
    </row>
    <row r="267" spans="1:22" x14ac:dyDescent="0.25">
      <c r="A267" s="100" t="s">
        <v>2525</v>
      </c>
      <c r="B267" s="64" t="s">
        <v>687</v>
      </c>
      <c r="C267" s="69">
        <v>45942.579652777778</v>
      </c>
      <c r="D267" s="65">
        <v>31</v>
      </c>
      <c r="E267" s="65">
        <v>1</v>
      </c>
      <c r="F267" s="65">
        <v>0</v>
      </c>
      <c r="G267" s="65">
        <v>0</v>
      </c>
      <c r="H267" s="65">
        <v>0</v>
      </c>
      <c r="I267" s="64" t="s">
        <v>700</v>
      </c>
      <c r="J267" s="64" t="e" vm="37">
        <v>#VALUE!</v>
      </c>
      <c r="K267" s="64" t="s">
        <v>665</v>
      </c>
      <c r="L267" s="69">
        <v>45943.579652777778</v>
      </c>
      <c r="M267" s="69" t="str">
        <f t="shared" si="4"/>
        <v>Coupe</v>
      </c>
      <c r="N267" s="69" t="str">
        <f>INDEX(_xlfn.TEXTSPLIT(coupe[[#This Row],[QR Fabrication]],"_"),1,1)</f>
        <v>CA250161</v>
      </c>
      <c r="O267" s="69" t="str">
        <f>INDEX(_xlfn.TEXTSPLIT(coupe[[#This Row],[QR Fabrication]],"_"),1,2)</f>
        <v>All by Fouta</v>
      </c>
      <c r="P267" s="64" t="str">
        <f>INDEX(_xlfn.TEXTSPLIT(coupe[[#This Row],[QR Fabrication]],"_"),1,3)</f>
        <v>Stock</v>
      </c>
      <c r="Q267" s="64" t="str">
        <f>INDEX(_xlfn.TEXTSPLIT(coupe[[#This Row],[QR Fabrication]],"_"),1,4)</f>
        <v>IB1020-B13-14</v>
      </c>
      <c r="R267" s="64" t="str">
        <f>INDEX(_xlfn.TEXTSPLIT(coupe[[#This Row],[QR Fabrication]],"_"),1,5)</f>
        <v>IBIZA</v>
      </c>
      <c r="S267" s="64" t="str">
        <f>_xlfn.TEXTAFTER(coupe[[#This Row],[QR Fabrication]],"_",5)</f>
        <v>1020</v>
      </c>
      <c r="T267" s="123" t="e">
        <f>_xlfn.XLOOKUP(coupe[[#This Row],[Num OF]],#REF!,#REF!,0)</f>
        <v>#REF!</v>
      </c>
      <c r="U267" s="123" t="e">
        <f>_xlfn.XLOOKUP(coupe[[#This Row],[Num OF]],#REF!,#REF!,0)</f>
        <v>#REF!</v>
      </c>
      <c r="V267" s="82" t="str">
        <f>IF(
   COUNTIFS($A$2:A267,A267,
             $B$2:B267,B267,
             $D$2:D267,D267,
             $E$2:E267,E267,
             $F$2:F267,F267,
             $G$2:G267,G267,
             $H$2:H267,H267,
             $L$2:L267,L267)&gt;1,
   "Doublon",
   "Correcte"
)</f>
        <v>Correcte</v>
      </c>
    </row>
    <row r="268" spans="1:22" x14ac:dyDescent="0.25">
      <c r="A268" s="100" t="s">
        <v>2490</v>
      </c>
      <c r="B268" s="64" t="s">
        <v>702</v>
      </c>
      <c r="C268" s="69">
        <v>45942.615231481483</v>
      </c>
      <c r="D268" s="65">
        <v>68</v>
      </c>
      <c r="E268" s="65">
        <v>0</v>
      </c>
      <c r="F268" s="65">
        <v>2</v>
      </c>
      <c r="G268" s="65">
        <v>0</v>
      </c>
      <c r="H268" s="65">
        <v>0</v>
      </c>
      <c r="I268" s="64" t="s">
        <v>700</v>
      </c>
      <c r="J268" s="64" t="e" vm="38">
        <v>#VALUE!</v>
      </c>
      <c r="K268" s="64" t="s">
        <v>665</v>
      </c>
      <c r="L268" s="69">
        <v>45943.615231481483</v>
      </c>
      <c r="M268" s="69" t="str">
        <f t="shared" si="4"/>
        <v>Coupe</v>
      </c>
      <c r="N268" s="69" t="str">
        <f>INDEX(_xlfn.TEXTSPLIT(coupe[[#This Row],[QR Fabrication]],"_"),1,1)</f>
        <v>OF249848</v>
      </c>
      <c r="O268" s="69" t="str">
        <f>INDEX(_xlfn.TEXTSPLIT(coupe[[#This Row],[QR Fabrication]],"_"),1,2)</f>
        <v>CL00884</v>
      </c>
      <c r="P268" s="64" t="str">
        <f>INDEX(_xlfn.TEXTSPLIT(coupe[[#This Row],[QR Fabrication]],"_"),1,3)</f>
        <v>CM-FT0119</v>
      </c>
      <c r="Q268" s="64" t="str">
        <f>INDEX(_xlfn.TEXTSPLIT(coupe[[#This Row],[QR Fabrication]],"_"),1,4)</f>
        <v>ST1020-S14-16-17</v>
      </c>
      <c r="R268" s="64" t="str">
        <f>INDEX(_xlfn.TEXTSPLIT(coupe[[#This Row],[QR Fabrication]],"_"),1,5)</f>
        <v>ST TROPEZ</v>
      </c>
      <c r="S268" s="64" t="str">
        <f>_xlfn.TEXTAFTER(coupe[[#This Row],[QR Fabrication]],"_",5)</f>
        <v>1020</v>
      </c>
      <c r="T268" s="123" t="e">
        <f>_xlfn.XLOOKUP(coupe[[#This Row],[Num OF]],#REF!,#REF!,0)</f>
        <v>#REF!</v>
      </c>
      <c r="U268" s="123" t="e">
        <f>_xlfn.XLOOKUP(coupe[[#This Row],[Num OF]],#REF!,#REF!,0)</f>
        <v>#REF!</v>
      </c>
      <c r="V268" s="82" t="str">
        <f>IF(
   COUNTIFS($A$2:A268,A268,
             $B$2:B268,B268,
             $D$2:D268,D268,
             $E$2:E268,E268,
             $F$2:F268,F268,
             $G$2:G268,G268,
             $H$2:H268,H268,
             $L$2:L268,L268)&gt;1,
   "Doublon",
   "Correcte"
)</f>
        <v>Correcte</v>
      </c>
    </row>
    <row r="269" spans="1:22" x14ac:dyDescent="0.25">
      <c r="A269" s="100" t="s">
        <v>2532</v>
      </c>
      <c r="B269" s="64" t="s">
        <v>702</v>
      </c>
      <c r="C269" s="69">
        <v>45942.638425925928</v>
      </c>
      <c r="D269" s="65">
        <v>60</v>
      </c>
      <c r="E269" s="65">
        <v>0</v>
      </c>
      <c r="F269" s="65">
        <v>0</v>
      </c>
      <c r="G269" s="65">
        <v>0</v>
      </c>
      <c r="H269" s="65">
        <v>0</v>
      </c>
      <c r="I269" s="64"/>
      <c r="J269" s="64" t="s">
        <v>699</v>
      </c>
      <c r="K269" s="64" t="s">
        <v>665</v>
      </c>
      <c r="L269" s="69">
        <v>45943.638425925928</v>
      </c>
      <c r="M269" s="69" t="str">
        <f t="shared" si="4"/>
        <v>Coupe</v>
      </c>
      <c r="N269" s="69" t="str">
        <f>INDEX(_xlfn.TEXTSPLIT(coupe[[#This Row],[QR Fabrication]],"_"),1,1)</f>
        <v>OF249844</v>
      </c>
      <c r="O269" s="69" t="str">
        <f>INDEX(_xlfn.TEXTSPLIT(coupe[[#This Row],[QR Fabrication]],"_"),1,2)</f>
        <v>CL00884</v>
      </c>
      <c r="P269" s="64" t="str">
        <f>INDEX(_xlfn.TEXTSPLIT(coupe[[#This Row],[QR Fabrication]],"_"),1,3)</f>
        <v>CM-FT0119</v>
      </c>
      <c r="Q269" s="64" t="str">
        <f>INDEX(_xlfn.TEXTSPLIT(coupe[[#This Row],[QR Fabrication]],"_"),1,4)</f>
        <v>FI1020-C07-17-06</v>
      </c>
      <c r="R269" s="64" t="str">
        <f>INDEX(_xlfn.TEXTSPLIT(coupe[[#This Row],[QR Fabrication]],"_"),1,5)</f>
        <v>FIVE</v>
      </c>
      <c r="S269" s="64" t="str">
        <f>_xlfn.TEXTAFTER(coupe[[#This Row],[QR Fabrication]],"_",5)</f>
        <v>1020</v>
      </c>
      <c r="T269" s="123" t="e">
        <f>_xlfn.XLOOKUP(coupe[[#This Row],[Num OF]],#REF!,#REF!,0)</f>
        <v>#REF!</v>
      </c>
      <c r="U269" s="123" t="e">
        <f>_xlfn.XLOOKUP(coupe[[#This Row],[Num OF]],#REF!,#REF!,0)</f>
        <v>#REF!</v>
      </c>
      <c r="V269" s="82" t="str">
        <f>IF(
   COUNTIFS($A$2:A269,A269,
             $B$2:B269,B269,
             $D$2:D269,D269,
             $E$2:E269,E269,
             $F$2:F269,F269,
             $G$2:G269,G269,
             $H$2:H269,H269,
             $L$2:L269,L269)&gt;1,
   "Doublon",
   "Correcte"
)</f>
        <v>Correcte</v>
      </c>
    </row>
    <row r="270" spans="1:22" x14ac:dyDescent="0.25">
      <c r="A270" s="100" t="s">
        <v>2517</v>
      </c>
      <c r="B270" s="64" t="s">
        <v>702</v>
      </c>
      <c r="C270" s="69">
        <v>45942.664780092593</v>
      </c>
      <c r="D270" s="65">
        <v>46</v>
      </c>
      <c r="E270" s="65">
        <v>0</v>
      </c>
      <c r="F270" s="65">
        <v>2</v>
      </c>
      <c r="G270" s="65">
        <v>0</v>
      </c>
      <c r="H270" s="65">
        <v>0</v>
      </c>
      <c r="I270" s="64" t="s">
        <v>700</v>
      </c>
      <c r="J270" s="64" t="e" vm="39">
        <v>#VALUE!</v>
      </c>
      <c r="K270" s="64" t="s">
        <v>665</v>
      </c>
      <c r="L270" s="69">
        <v>45943.664780092593</v>
      </c>
      <c r="M270" s="69" t="str">
        <f t="shared" si="4"/>
        <v>Coupe</v>
      </c>
      <c r="N270" s="69" t="str">
        <f>INDEX(_xlfn.TEXTSPLIT(coupe[[#This Row],[QR Fabrication]],"_"),1,1)</f>
        <v>CA250207</v>
      </c>
      <c r="O270" s="69" t="str">
        <f>INDEX(_xlfn.TEXTSPLIT(coupe[[#This Row],[QR Fabrication]],"_"),1,2)</f>
        <v>All by Fouta</v>
      </c>
      <c r="P270" s="64" t="str">
        <f>INDEX(_xlfn.TEXTSPLIT(coupe[[#This Row],[QR Fabrication]],"_"),1,3)</f>
        <v>Stock</v>
      </c>
      <c r="Q270" s="64" t="str">
        <f>INDEX(_xlfn.TEXTSPLIT(coupe[[#This Row],[QR Fabrication]],"_"),1,4)</f>
        <v>AR1020-B07-17</v>
      </c>
      <c r="R270" s="64" t="str">
        <f>INDEX(_xlfn.TEXTSPLIT(coupe[[#This Row],[QR Fabrication]],"_"),1,5)</f>
        <v>ARTHUR</v>
      </c>
      <c r="S270" s="64" t="str">
        <f>_xlfn.TEXTAFTER(coupe[[#This Row],[QR Fabrication]],"_",5)</f>
        <v>1020</v>
      </c>
      <c r="T270" s="123" t="e">
        <f>_xlfn.XLOOKUP(coupe[[#This Row],[Num OF]],#REF!,#REF!,0)</f>
        <v>#REF!</v>
      </c>
      <c r="U270" s="123" t="e">
        <f>_xlfn.XLOOKUP(coupe[[#This Row],[Num OF]],#REF!,#REF!,0)</f>
        <v>#REF!</v>
      </c>
      <c r="V270" s="82" t="str">
        <f>IF(
   COUNTIFS($A$2:A270,A270,
             $B$2:B270,B270,
             $D$2:D270,D270,
             $E$2:E270,E270,
             $F$2:F270,F270,
             $G$2:G270,G270,
             $H$2:H270,H270,
             $L$2:L270,L270)&gt;1,
   "Doublon",
   "Correcte"
)</f>
        <v>Correcte</v>
      </c>
    </row>
    <row r="271" spans="1:22" x14ac:dyDescent="0.25">
      <c r="A271" s="100" t="s">
        <v>2512</v>
      </c>
      <c r="B271" s="64" t="s">
        <v>684</v>
      </c>
      <c r="C271" s="69">
        <v>45942.690532407411</v>
      </c>
      <c r="D271" s="65">
        <v>108</v>
      </c>
      <c r="E271" s="65">
        <v>0</v>
      </c>
      <c r="F271" s="65">
        <v>0</v>
      </c>
      <c r="G271" s="65">
        <v>0</v>
      </c>
      <c r="H271" s="65">
        <v>0</v>
      </c>
      <c r="I271" s="64"/>
      <c r="J271" s="64" t="s">
        <v>699</v>
      </c>
      <c r="K271" s="64" t="s">
        <v>665</v>
      </c>
      <c r="L271" s="69">
        <v>45943.690532407411</v>
      </c>
      <c r="M271" s="69" t="str">
        <f t="shared" si="4"/>
        <v>Coupe</v>
      </c>
      <c r="N271" s="69" t="str">
        <f>INDEX(_xlfn.TEXTSPLIT(coupe[[#This Row],[QR Fabrication]],"_"),1,1)</f>
        <v>CA250770</v>
      </c>
      <c r="O271" s="69" t="str">
        <f>INDEX(_xlfn.TEXTSPLIT(coupe[[#This Row],[QR Fabrication]],"_"),1,2)</f>
        <v>All by Fouta</v>
      </c>
      <c r="P271" s="64" t="str">
        <f>INDEX(_xlfn.TEXTSPLIT(coupe[[#This Row],[QR Fabrication]],"_"),1,3)</f>
        <v>Stock</v>
      </c>
      <c r="Q271" s="64" t="str">
        <f>INDEX(_xlfn.TEXTSPLIT(coupe[[#This Row],[QR Fabrication]],"_"),1,4)</f>
        <v>PACKSILO0507-T18-10-02</v>
      </c>
      <c r="R271" s="64" t="str">
        <f>INDEX(_xlfn.TEXTSPLIT(coupe[[#This Row],[QR Fabrication]],"_"),1,5)</f>
        <v>PACK LONDON</v>
      </c>
      <c r="S271" s="64" t="str">
        <f>_xlfn.TEXTAFTER(coupe[[#This Row],[QR Fabrication]],"_",5)</f>
        <v>0507</v>
      </c>
      <c r="T271" s="123" t="e">
        <f>_xlfn.XLOOKUP(coupe[[#This Row],[Num OF]],#REF!,#REF!,0)</f>
        <v>#REF!</v>
      </c>
      <c r="U271" s="123" t="e">
        <f>_xlfn.XLOOKUP(coupe[[#This Row],[Num OF]],#REF!,#REF!,0)</f>
        <v>#REF!</v>
      </c>
      <c r="V271" s="82" t="str">
        <f>IF(
   COUNTIFS($A$2:A271,A271,
             $B$2:B271,B271,
             $D$2:D271,D271,
             $E$2:E271,E271,
             $F$2:F271,F271,
             $G$2:G271,G271,
             $H$2:H271,H271,
             $L$2:L271,L271)&gt;1,
   "Doublon",
   "Correcte"
)</f>
        <v>Correcte</v>
      </c>
    </row>
    <row r="272" spans="1:22" x14ac:dyDescent="0.25">
      <c r="A272" s="100" t="s">
        <v>2516</v>
      </c>
      <c r="B272" s="64" t="s">
        <v>687</v>
      </c>
      <c r="C272" s="69">
        <v>45942.692083333335</v>
      </c>
      <c r="D272" s="65">
        <v>120</v>
      </c>
      <c r="E272" s="65">
        <v>0</v>
      </c>
      <c r="F272" s="65">
        <v>0</v>
      </c>
      <c r="G272" s="65">
        <v>0</v>
      </c>
      <c r="H272" s="65">
        <v>0</v>
      </c>
      <c r="I272" s="64"/>
      <c r="J272" s="64" t="s">
        <v>699</v>
      </c>
      <c r="K272" s="64" t="s">
        <v>665</v>
      </c>
      <c r="L272" s="69">
        <v>45943.692083333335</v>
      </c>
      <c r="M272" s="69" t="str">
        <f t="shared" si="4"/>
        <v>Coupe</v>
      </c>
      <c r="N272" s="69" t="str">
        <f>INDEX(_xlfn.TEXTSPLIT(coupe[[#This Row],[QR Fabrication]],"_"),1,1)</f>
        <v>CA250766</v>
      </c>
      <c r="O272" s="69" t="str">
        <f>INDEX(_xlfn.TEXTSPLIT(coupe[[#This Row],[QR Fabrication]],"_"),1,2)</f>
        <v>All by Fouta</v>
      </c>
      <c r="P272" s="64" t="str">
        <f>INDEX(_xlfn.TEXTSPLIT(coupe[[#This Row],[QR Fabrication]],"_"),1,3)</f>
        <v>Stock</v>
      </c>
      <c r="Q272" s="64" t="str">
        <f>INDEX(_xlfn.TEXTSPLIT(coupe[[#This Row],[QR Fabrication]],"_"),1,4)</f>
        <v>PACKSILO0507-T12-06-32</v>
      </c>
      <c r="R272" s="64" t="str">
        <f>INDEX(_xlfn.TEXTSPLIT(coupe[[#This Row],[QR Fabrication]],"_"),1,5)</f>
        <v>PACK LONDON</v>
      </c>
      <c r="S272" s="64" t="str">
        <f>_xlfn.TEXTAFTER(coupe[[#This Row],[QR Fabrication]],"_",5)</f>
        <v>0507</v>
      </c>
      <c r="T272" s="64" t="e">
        <f>_xlfn.XLOOKUP(coupe[[#This Row],[Num OF]],#REF!,#REF!,0)</f>
        <v>#REF!</v>
      </c>
      <c r="U272" s="64" t="e">
        <f>_xlfn.XLOOKUP(coupe[[#This Row],[Num OF]],#REF!,#REF!,0)</f>
        <v>#REF!</v>
      </c>
      <c r="V272" s="64" t="str">
        <f>IF(
   COUNTIFS($A$2:A272,A272,
             $B$2:B272,B272,
             $D$2:D272,D272,
             $E$2:E272,E272,
             $F$2:F272,F272,
             $G$2:G272,G272,
             $H$2:H272,H272,
             $L$2:L272,L272)&gt;1,
   "Doublon",
   "Correcte"
)</f>
        <v>Correcte</v>
      </c>
    </row>
    <row r="273" spans="1:22" x14ac:dyDescent="0.25">
      <c r="A273" s="100" t="s">
        <v>2533</v>
      </c>
      <c r="B273" s="64" t="s">
        <v>702</v>
      </c>
      <c r="C273" s="69">
        <v>45942.694062499999</v>
      </c>
      <c r="D273" s="65">
        <v>31</v>
      </c>
      <c r="E273" s="65">
        <v>0</v>
      </c>
      <c r="F273" s="65">
        <v>0</v>
      </c>
      <c r="G273" s="65">
        <v>0</v>
      </c>
      <c r="H273" s="65">
        <v>0</v>
      </c>
      <c r="I273" s="64"/>
      <c r="J273" s="64" t="s">
        <v>699</v>
      </c>
      <c r="K273" s="64" t="s">
        <v>665</v>
      </c>
      <c r="L273" s="69">
        <v>45943.694062499999</v>
      </c>
      <c r="M273" s="69" t="str">
        <f t="shared" si="4"/>
        <v>Coupe</v>
      </c>
      <c r="N273" s="69" t="str">
        <f>INDEX(_xlfn.TEXTSPLIT(coupe[[#This Row],[QR Fabrication]],"_"),1,1)</f>
        <v>CA250189</v>
      </c>
      <c r="O273" s="69" t="str">
        <f>INDEX(_xlfn.TEXTSPLIT(coupe[[#This Row],[QR Fabrication]],"_"),1,2)</f>
        <v>All by Fouta</v>
      </c>
      <c r="P273" s="64" t="str">
        <f>INDEX(_xlfn.TEXTSPLIT(coupe[[#This Row],[QR Fabrication]],"_"),1,3)</f>
        <v>Stock</v>
      </c>
      <c r="Q273" s="64" t="str">
        <f>INDEX(_xlfn.TEXTSPLIT(coupe[[#This Row],[QR Fabrication]],"_"),1,4)</f>
        <v>IB2020-B17-07</v>
      </c>
      <c r="R273" s="64" t="str">
        <f>INDEX(_xlfn.TEXTSPLIT(coupe[[#This Row],[QR Fabrication]],"_"),1,5)</f>
        <v>IBIZA</v>
      </c>
      <c r="S273" s="64" t="str">
        <f>_xlfn.TEXTAFTER(coupe[[#This Row],[QR Fabrication]],"_",5)</f>
        <v>2020</v>
      </c>
      <c r="T273" s="64" t="e">
        <f>_xlfn.XLOOKUP(coupe[[#This Row],[Num OF]],#REF!,#REF!,0)</f>
        <v>#REF!</v>
      </c>
      <c r="U273" s="64" t="e">
        <f>_xlfn.XLOOKUP(coupe[[#This Row],[Num OF]],#REF!,#REF!,0)</f>
        <v>#REF!</v>
      </c>
      <c r="V273" s="64" t="str">
        <f>IF(
   COUNTIFS($A$2:A279,A273,
             $B$2:B279,B273,
             $D$2:D279,D273,
             $E$2:E279,E273,
             $F$2:F279,F273,
             $G$2:G279,G273,
             $H$2:H279,H273,
             $L$2:L279,L273)&gt;1,
   "Doublon",
   "Correcte"
)</f>
        <v>Correcte</v>
      </c>
    </row>
    <row r="274" spans="1:22" x14ac:dyDescent="0.25">
      <c r="A274" s="100" t="s">
        <v>2527</v>
      </c>
      <c r="B274" s="64" t="s">
        <v>702</v>
      </c>
      <c r="C274" s="69">
        <v>45942.709305555552</v>
      </c>
      <c r="D274" s="65">
        <v>24</v>
      </c>
      <c r="E274" s="65">
        <v>0</v>
      </c>
      <c r="F274" s="65">
        <v>0</v>
      </c>
      <c r="G274" s="65">
        <v>0</v>
      </c>
      <c r="H274" s="65">
        <v>0</v>
      </c>
      <c r="I274" s="64"/>
      <c r="J274" s="64" t="s">
        <v>699</v>
      </c>
      <c r="K274" s="64" t="s">
        <v>665</v>
      </c>
      <c r="L274" s="69">
        <v>45943.709305555552</v>
      </c>
      <c r="M274" s="69" t="str">
        <f t="shared" si="4"/>
        <v>Coupe</v>
      </c>
      <c r="N274" s="69" t="str">
        <f>INDEX(_xlfn.TEXTSPLIT(coupe[[#This Row],[QR Fabrication]],"_"),1,1)</f>
        <v>CA250239</v>
      </c>
      <c r="O274" s="69" t="str">
        <f>INDEX(_xlfn.TEXTSPLIT(coupe[[#This Row],[QR Fabrication]],"_"),1,2)</f>
        <v>All by Fouta</v>
      </c>
      <c r="P274" s="64" t="str">
        <f>INDEX(_xlfn.TEXTSPLIT(coupe[[#This Row],[QR Fabrication]],"_"),1,3)</f>
        <v>Stock</v>
      </c>
      <c r="Q274" s="64" t="str">
        <f>INDEX(_xlfn.TEXTSPLIT(coupe[[#This Row],[QR Fabrication]],"_"),1,4)</f>
        <v>AR2020-B12-32</v>
      </c>
      <c r="R274" s="64" t="str">
        <f>INDEX(_xlfn.TEXTSPLIT(coupe[[#This Row],[QR Fabrication]],"_"),1,5)</f>
        <v>ARTHUR</v>
      </c>
      <c r="S274" s="64" t="str">
        <f>_xlfn.TEXTAFTER(coupe[[#This Row],[QR Fabrication]],"_",5)</f>
        <v>2020</v>
      </c>
      <c r="T274" s="64" t="e">
        <f>_xlfn.XLOOKUP(coupe[[#This Row],[Num OF]],#REF!,#REF!,0)</f>
        <v>#REF!</v>
      </c>
      <c r="U274" s="64" t="e">
        <f>_xlfn.XLOOKUP(coupe[[#This Row],[Num OF]],#REF!,#REF!,0)</f>
        <v>#REF!</v>
      </c>
      <c r="V274" s="64" t="str">
        <f>IF(
   COUNTIFS($A$2:A281,A274,
             $B$2:B281,B274,
             $D$2:D281,D274,
             $E$2:E281,E274,
             $F$2:F281,F274,
             $G$2:G281,G274,
             $H$2:H281,H274,
             $L$2:L281,L274)&gt;1,
   "Doublon",
   "Correcte"
)</f>
        <v>Correcte</v>
      </c>
    </row>
    <row r="275" spans="1:22" x14ac:dyDescent="0.25">
      <c r="A275" s="100" t="s">
        <v>2536</v>
      </c>
      <c r="B275" s="64" t="s">
        <v>702</v>
      </c>
      <c r="C275" s="69">
        <v>45942.718587962961</v>
      </c>
      <c r="D275" s="65">
        <v>9</v>
      </c>
      <c r="E275" s="65">
        <v>0</v>
      </c>
      <c r="F275" s="65">
        <v>0</v>
      </c>
      <c r="G275" s="65">
        <v>0</v>
      </c>
      <c r="H275" s="65">
        <v>0</v>
      </c>
      <c r="I275" s="64"/>
      <c r="J275" s="64" t="s">
        <v>699</v>
      </c>
      <c r="K275" s="64" t="s">
        <v>665</v>
      </c>
      <c r="L275" s="69">
        <v>45943.718587962961</v>
      </c>
      <c r="M275" s="69" t="str">
        <f t="shared" si="4"/>
        <v>Coupe</v>
      </c>
      <c r="N275" s="69" t="str">
        <f>INDEX(_xlfn.TEXTSPLIT(coupe[[#This Row],[QR Fabrication]],"_"),1,1)</f>
        <v>CA250250</v>
      </c>
      <c r="O275" s="69" t="str">
        <f>INDEX(_xlfn.TEXTSPLIT(coupe[[#This Row],[QR Fabrication]],"_"),1,2)</f>
        <v>All by Fouta</v>
      </c>
      <c r="P275" s="64" t="str">
        <f>INDEX(_xlfn.TEXTSPLIT(coupe[[#This Row],[QR Fabrication]],"_"),1,3)</f>
        <v>Stock</v>
      </c>
      <c r="Q275" s="64" t="str">
        <f>INDEX(_xlfn.TEXTSPLIT(coupe[[#This Row],[QR Fabrication]],"_"),1,4)</f>
        <v>AR2020-T32-06-12</v>
      </c>
      <c r="R275" s="64" t="str">
        <f>INDEX(_xlfn.TEXTSPLIT(coupe[[#This Row],[QR Fabrication]],"_"),1,5)</f>
        <v>ARTHUR</v>
      </c>
      <c r="S275" s="64" t="str">
        <f>_xlfn.TEXTAFTER(coupe[[#This Row],[QR Fabrication]],"_",5)</f>
        <v>2020</v>
      </c>
      <c r="T275" s="64" t="e">
        <f>_xlfn.XLOOKUP(coupe[[#This Row],[Num OF]],#REF!,#REF!,0)</f>
        <v>#REF!</v>
      </c>
      <c r="U275" s="64" t="e">
        <f>_xlfn.XLOOKUP(coupe[[#This Row],[Num OF]],#REF!,#REF!,0)</f>
        <v>#REF!</v>
      </c>
      <c r="V275" s="64" t="str">
        <f>IF(
   COUNTIFS($A$2:A283,A275,
             $B$2:B283,B275,
             $D$2:D283,D275,
             $E$2:E283,E275,
             $F$2:F283,F275,
             $G$2:G283,G275,
             $H$2:H283,H275,
             $L$2:L283,L275)&gt;1,
   "Doublon",
   "Correcte"
)</f>
        <v>Correcte</v>
      </c>
    </row>
    <row r="276" spans="1:22" x14ac:dyDescent="0.25">
      <c r="A276" s="100" t="s">
        <v>2501</v>
      </c>
      <c r="B276" s="64" t="s">
        <v>702</v>
      </c>
      <c r="C276" s="69">
        <v>45942.728217592594</v>
      </c>
      <c r="D276" s="65">
        <v>22</v>
      </c>
      <c r="E276" s="65">
        <v>0</v>
      </c>
      <c r="F276" s="65">
        <v>0</v>
      </c>
      <c r="G276" s="65">
        <v>0</v>
      </c>
      <c r="H276" s="65">
        <v>0</v>
      </c>
      <c r="I276" s="64"/>
      <c r="J276" s="64" t="s">
        <v>699</v>
      </c>
      <c r="K276" s="64" t="s">
        <v>665</v>
      </c>
      <c r="L276" s="69">
        <v>45943.728217592594</v>
      </c>
      <c r="M276" s="69" t="str">
        <f t="shared" si="4"/>
        <v>Coupe</v>
      </c>
      <c r="N276" s="69" t="str">
        <f>INDEX(_xlfn.TEXTSPLIT(coupe[[#This Row],[QR Fabrication]],"_"),1,1)</f>
        <v>OF249914</v>
      </c>
      <c r="O276" s="69" t="str">
        <f>INDEX(_xlfn.TEXTSPLIT(coupe[[#This Row],[QR Fabrication]],"_"),1,2)</f>
        <v>CL00884</v>
      </c>
      <c r="P276" s="64" t="str">
        <f>INDEX(_xlfn.TEXTSPLIT(coupe[[#This Row],[QR Fabrication]],"_"),1,3)</f>
        <v>CM-FT0120</v>
      </c>
      <c r="Q276" s="64" t="str">
        <f>INDEX(_xlfn.TEXTSPLIT(coupe[[#This Row],[QR Fabrication]],"_"),1,4)</f>
        <v>SO1020-Q29-11-14</v>
      </c>
      <c r="R276" s="64" t="str">
        <f>INDEX(_xlfn.TEXTSPLIT(coupe[[#This Row],[QR Fabrication]],"_"),1,5)</f>
        <v>SOUSSE</v>
      </c>
      <c r="S276" s="64" t="str">
        <f>_xlfn.TEXTAFTER(coupe[[#This Row],[QR Fabrication]],"_",5)</f>
        <v>1020</v>
      </c>
      <c r="T276" s="64" t="e">
        <f>_xlfn.XLOOKUP(coupe[[#This Row],[Num OF]],#REF!,#REF!,0)</f>
        <v>#REF!</v>
      </c>
      <c r="U276" s="64" t="e">
        <f>_xlfn.XLOOKUP(coupe[[#This Row],[Num OF]],#REF!,#REF!,0)</f>
        <v>#REF!</v>
      </c>
      <c r="V276" s="64" t="str">
        <f>IF(
   COUNTIFS($A$2:A276,A276,
             $B$2:B276,B276,
             $D$2:D276,D276,
             $E$2:E276,E276,
             $F$2:F276,F276,
             $G$2:G276,G276,
             $H$2:H276,H276,
             $L$2:L276,L276)&gt;1,
   "Doublon",
   "Correcte"
)</f>
        <v>Correcte</v>
      </c>
    </row>
    <row r="277" spans="1:22" x14ac:dyDescent="0.25">
      <c r="A277" s="100" t="s">
        <v>2534</v>
      </c>
      <c r="B277" s="64" t="s">
        <v>1226</v>
      </c>
      <c r="C277" s="69">
        <v>45942.739733796298</v>
      </c>
      <c r="D277" s="65">
        <v>28</v>
      </c>
      <c r="E277" s="65">
        <v>2</v>
      </c>
      <c r="F277" s="65">
        <v>0</v>
      </c>
      <c r="G277" s="65">
        <v>0</v>
      </c>
      <c r="H277" s="65">
        <v>0</v>
      </c>
      <c r="I277" s="64" t="s">
        <v>700</v>
      </c>
      <c r="J277" s="64" t="e" vm="40">
        <v>#VALUE!</v>
      </c>
      <c r="K277" s="64" t="s">
        <v>665</v>
      </c>
      <c r="L277" s="69">
        <v>45943.739733796298</v>
      </c>
      <c r="M277" s="69" t="str">
        <f t="shared" si="4"/>
        <v>Coupe</v>
      </c>
      <c r="N277" s="69" t="str">
        <f>INDEX(_xlfn.TEXTSPLIT(coupe[[#This Row],[QR Fabrication]],"_"),1,1)</f>
        <v>CA250542</v>
      </c>
      <c r="O277" s="69" t="str">
        <f>INDEX(_xlfn.TEXTSPLIT(coupe[[#This Row],[QR Fabrication]],"_"),1,2)</f>
        <v>All by Fouta</v>
      </c>
      <c r="P277" s="64" t="str">
        <f>INDEX(_xlfn.TEXTSPLIT(coupe[[#This Row],[QR Fabrication]],"_"),1,3)</f>
        <v>Stock</v>
      </c>
      <c r="Q277" s="64" t="str">
        <f>INDEX(_xlfn.TEXTSPLIT(coupe[[#This Row],[QR Fabrication]],"_"),1,4)</f>
        <v>NDFL1020-B04-02</v>
      </c>
      <c r="R277" s="64" t="str">
        <f>INDEX(_xlfn.TEXTSPLIT(coupe[[#This Row],[QR Fabrication]],"_"),1,5)</f>
        <v>ND FLY</v>
      </c>
      <c r="S277" s="64" t="str">
        <f>_xlfn.TEXTAFTER(coupe[[#This Row],[QR Fabrication]],"_",5)</f>
        <v>1020</v>
      </c>
      <c r="T277" s="64" t="e">
        <f>_xlfn.XLOOKUP(coupe[[#This Row],[Num OF]],#REF!,#REF!,0)</f>
        <v>#REF!</v>
      </c>
      <c r="U277" s="64" t="e">
        <f>_xlfn.XLOOKUP(coupe[[#This Row],[Num OF]],#REF!,#REF!,0)</f>
        <v>#REF!</v>
      </c>
      <c r="V277" s="64" t="str">
        <f>IF(
   COUNTIFS($A$2:A277,A277,
             $B$2:B277,B277,
             $D$2:D277,D277,
             $E$2:E277,E277,
             $F$2:F277,F277,
             $G$2:G277,G277,
             $H$2:H277,H277,
             $L$2:L277,L277)&gt;1,
   "Doublon",
   "Correcte"
)</f>
        <v>Correcte</v>
      </c>
    </row>
    <row r="278" spans="1:22" x14ac:dyDescent="0.25">
      <c r="A278" s="100" t="s">
        <v>2531</v>
      </c>
      <c r="B278" s="64" t="s">
        <v>702</v>
      </c>
      <c r="C278" s="69">
        <v>45942.75472222222</v>
      </c>
      <c r="D278" s="65">
        <v>60</v>
      </c>
      <c r="E278" s="65">
        <v>1</v>
      </c>
      <c r="F278" s="65">
        <v>0</v>
      </c>
      <c r="G278" s="65">
        <v>1</v>
      </c>
      <c r="H278" s="65">
        <v>0</v>
      </c>
      <c r="I278" s="64"/>
      <c r="J278" s="64" t="s">
        <v>699</v>
      </c>
      <c r="K278" s="64" t="s">
        <v>665</v>
      </c>
      <c r="L278" s="69">
        <v>45943.75472222222</v>
      </c>
      <c r="M278" s="69" t="str">
        <f t="shared" si="4"/>
        <v>Coupe</v>
      </c>
      <c r="N278" s="69" t="str">
        <f>INDEX(_xlfn.TEXTSPLIT(coupe[[#This Row],[QR Fabrication]],"_"),1,1)</f>
        <v>CA250215</v>
      </c>
      <c r="O278" s="69" t="str">
        <f>INDEX(_xlfn.TEXTSPLIT(coupe[[#This Row],[QR Fabrication]],"_"),1,2)</f>
        <v>All by Fouta</v>
      </c>
      <c r="P278" s="64" t="str">
        <f>INDEX(_xlfn.TEXTSPLIT(coupe[[#This Row],[QR Fabrication]],"_"),1,3)</f>
        <v>Stock</v>
      </c>
      <c r="Q278" s="64" t="str">
        <f>INDEX(_xlfn.TEXTSPLIT(coupe[[#This Row],[QR Fabrication]],"_"),1,4)</f>
        <v>AR1020-T03-04-17</v>
      </c>
      <c r="R278" s="64" t="str">
        <f>INDEX(_xlfn.TEXTSPLIT(coupe[[#This Row],[QR Fabrication]],"_"),1,5)</f>
        <v>ARTHUR</v>
      </c>
      <c r="S278" s="64" t="str">
        <f>_xlfn.TEXTAFTER(coupe[[#This Row],[QR Fabrication]],"_",5)</f>
        <v>1020</v>
      </c>
      <c r="T278" s="64" t="e">
        <f>_xlfn.XLOOKUP(coupe[[#This Row],[Num OF]],#REF!,#REF!,0)</f>
        <v>#REF!</v>
      </c>
      <c r="U278" s="64" t="e">
        <f>_xlfn.XLOOKUP(coupe[[#This Row],[Num OF]],#REF!,#REF!,0)</f>
        <v>#REF!</v>
      </c>
      <c r="V278" s="64" t="str">
        <f>IF(
   COUNTIFS($A$2:A278,A278,
             $B$2:B278,B278,
             $D$2:D278,D278,
             $E$2:E278,E278,
             $F$2:F278,F278,
             $G$2:G278,G278,
             $H$2:H278,H278,
             $L$2:L278,L278)&gt;1,
   "Doublon",
   "Correcte"
)</f>
        <v>Correcte</v>
      </c>
    </row>
    <row r="279" spans="1:22" x14ac:dyDescent="0.25">
      <c r="A279" s="100" t="s">
        <v>2572</v>
      </c>
      <c r="B279" s="64" t="s">
        <v>702</v>
      </c>
      <c r="C279" s="69">
        <v>45942.758310185185</v>
      </c>
      <c r="D279" s="65">
        <v>8</v>
      </c>
      <c r="E279" s="65">
        <v>0</v>
      </c>
      <c r="F279" s="65">
        <v>0</v>
      </c>
      <c r="G279" s="65">
        <v>0</v>
      </c>
      <c r="H279" s="65">
        <v>0</v>
      </c>
      <c r="I279" s="64"/>
      <c r="J279" s="64" t="s">
        <v>699</v>
      </c>
      <c r="K279" s="64" t="s">
        <v>665</v>
      </c>
      <c r="L279" s="69">
        <v>45943.758310185185</v>
      </c>
      <c r="M279" s="69" t="str">
        <f t="shared" si="4"/>
        <v>Coupe</v>
      </c>
      <c r="N279" s="69" t="str">
        <f>INDEX(_xlfn.TEXTSPLIT(coupe[[#This Row],[QR Fabrication]],"_"),1,1)</f>
        <v>OF249817</v>
      </c>
      <c r="O279" s="69" t="str">
        <f>INDEX(_xlfn.TEXTSPLIT(coupe[[#This Row],[QR Fabrication]],"_"),1,2)</f>
        <v>CL00884</v>
      </c>
      <c r="P279" s="64" t="str">
        <f>INDEX(_xlfn.TEXTSPLIT(coupe[[#This Row],[QR Fabrication]],"_"),1,3)</f>
        <v>CM-FT0119</v>
      </c>
      <c r="Q279" s="64" t="str">
        <f>INDEX(_xlfn.TEXTSPLIT(coupe[[#This Row],[QR Fabrication]],"_"),1,4)</f>
        <v>SO1020-Q17-11-16</v>
      </c>
      <c r="R279" s="64" t="str">
        <f>INDEX(_xlfn.TEXTSPLIT(coupe[[#This Row],[QR Fabrication]],"_"),1,5)</f>
        <v>SOUSSE</v>
      </c>
      <c r="S279" s="64" t="str">
        <f>_xlfn.TEXTAFTER(coupe[[#This Row],[QR Fabrication]],"_",5)</f>
        <v>1020</v>
      </c>
      <c r="T279" s="64" t="e">
        <f>_xlfn.XLOOKUP(coupe[[#This Row],[Num OF]],#REF!,#REF!,0)</f>
        <v>#REF!</v>
      </c>
      <c r="U279" s="64" t="e">
        <f>_xlfn.XLOOKUP(coupe[[#This Row],[Num OF]],#REF!,#REF!,0)</f>
        <v>#REF!</v>
      </c>
      <c r="V279" s="64" t="str">
        <f>IF(
   COUNTIFS($A$2:A279,A279,
             $B$2:B279,B279,
             $D$2:D279,D279,
             $E$2:E279,E279,
             $F$2:F279,F279,
             $G$2:G279,G279,
             $H$2:H279,H279,
             $L$2:L279,L279)&gt;1,
   "Doublon",
   "Correcte"
)</f>
        <v>Correcte</v>
      </c>
    </row>
    <row r="280" spans="1:22" x14ac:dyDescent="0.25">
      <c r="A280" s="100" t="s">
        <v>2573</v>
      </c>
      <c r="B280" s="64" t="s">
        <v>702</v>
      </c>
      <c r="C280" s="69">
        <v>45942.76059027778</v>
      </c>
      <c r="D280" s="65">
        <v>5</v>
      </c>
      <c r="E280" s="65">
        <v>0</v>
      </c>
      <c r="F280" s="65">
        <v>0</v>
      </c>
      <c r="G280" s="65">
        <v>0</v>
      </c>
      <c r="H280" s="65">
        <v>0</v>
      </c>
      <c r="I280" s="64"/>
      <c r="J280" s="64" t="s">
        <v>699</v>
      </c>
      <c r="K280" s="64" t="s">
        <v>665</v>
      </c>
      <c r="L280" s="69">
        <v>45943.76059027778</v>
      </c>
      <c r="M280" s="69" t="str">
        <f t="shared" si="4"/>
        <v>Coupe</v>
      </c>
      <c r="N280" s="69" t="str">
        <f>INDEX(_xlfn.TEXTSPLIT(coupe[[#This Row],[QR Fabrication]],"_"),1,1)</f>
        <v>CA250190</v>
      </c>
      <c r="O280" s="69" t="str">
        <f>INDEX(_xlfn.TEXTSPLIT(coupe[[#This Row],[QR Fabrication]],"_"),1,2)</f>
        <v>All by Fouta</v>
      </c>
      <c r="P280" s="64" t="str">
        <f>INDEX(_xlfn.TEXTSPLIT(coupe[[#This Row],[QR Fabrication]],"_"),1,3)</f>
        <v>Stock</v>
      </c>
      <c r="Q280" s="64" t="str">
        <f>INDEX(_xlfn.TEXTSPLIT(coupe[[#This Row],[QR Fabrication]],"_"),1,4)</f>
        <v>IB2020-B20-24</v>
      </c>
      <c r="R280" s="64" t="str">
        <f>INDEX(_xlfn.TEXTSPLIT(coupe[[#This Row],[QR Fabrication]],"_"),1,5)</f>
        <v>IBIZA</v>
      </c>
      <c r="S280" s="64" t="str">
        <f>_xlfn.TEXTAFTER(coupe[[#This Row],[QR Fabrication]],"_",5)</f>
        <v>2020</v>
      </c>
      <c r="T280" s="64" t="e">
        <f>_xlfn.XLOOKUP(coupe[[#This Row],[Num OF]],#REF!,#REF!,0)</f>
        <v>#REF!</v>
      </c>
      <c r="U280" s="64" t="e">
        <f>_xlfn.XLOOKUP(coupe[[#This Row],[Num OF]],#REF!,#REF!,0)</f>
        <v>#REF!</v>
      </c>
      <c r="V280" s="64" t="str">
        <f>IF(
   COUNTIFS($A$2:A280,A280,
             $B$2:B280,B280,
             $D$2:D280,D280,
             $E$2:E280,E280,
             $F$2:F280,F280,
             $G$2:G280,G280,
             $H$2:H280,H280,
             $L$2:L280,L280)&gt;1,
   "Doublon",
   "Correcte"
)</f>
        <v>Correcte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56"/>
  <sheetViews>
    <sheetView topLeftCell="A2036" workbookViewId="0">
      <selection activeCell="C2051" sqref="C2051"/>
    </sheetView>
  </sheetViews>
  <sheetFormatPr baseColWidth="10" defaultColWidth="9.140625" defaultRowHeight="15" x14ac:dyDescent="0.25"/>
  <cols>
    <col min="1" max="1" width="13.7109375" customWidth="1"/>
    <col min="2" max="2" width="15.5703125" bestFit="1" customWidth="1"/>
    <col min="3" max="3" width="9.85546875" bestFit="1" customWidth="1"/>
    <col min="4" max="4" width="10.7109375" bestFit="1" customWidth="1"/>
    <col min="5" max="5" width="9.7109375" bestFit="1" customWidth="1"/>
    <col min="6" max="6" width="11.140625" bestFit="1" customWidth="1"/>
    <col min="7" max="7" width="13.5703125" customWidth="1"/>
    <col min="8" max="8" width="16" customWidth="1"/>
    <col min="9" max="9" width="15.7109375" customWidth="1"/>
    <col min="10" max="10" width="10.7109375" bestFit="1" customWidth="1"/>
    <col min="11" max="11" width="11.140625" bestFit="1" customWidth="1"/>
    <col min="12" max="12" width="14.42578125" customWidth="1"/>
    <col min="13" max="13" width="12" bestFit="1" customWidth="1"/>
    <col min="14" max="14" width="15" customWidth="1"/>
    <col min="15" max="16" width="18.7109375" customWidth="1"/>
    <col min="17" max="17" width="13.5703125" customWidth="1"/>
    <col min="18" max="18" width="10.7109375" customWidth="1"/>
  </cols>
  <sheetData>
    <row r="1" spans="1:18" s="1" customFormat="1" ht="45" x14ac:dyDescent="0.25">
      <c r="A1" s="33" t="s">
        <v>2391</v>
      </c>
      <c r="B1" s="33" t="s">
        <v>705</v>
      </c>
      <c r="C1" s="33" t="s">
        <v>706</v>
      </c>
      <c r="D1" s="33" t="s">
        <v>707</v>
      </c>
      <c r="E1" s="33" t="s">
        <v>696</v>
      </c>
      <c r="F1" s="34" t="s">
        <v>658</v>
      </c>
      <c r="G1" s="34" t="s">
        <v>659</v>
      </c>
      <c r="H1" s="44" t="s">
        <v>2684</v>
      </c>
      <c r="I1" s="33" t="s">
        <v>0</v>
      </c>
      <c r="J1" s="33" t="s">
        <v>708</v>
      </c>
      <c r="K1" s="33" t="s">
        <v>709</v>
      </c>
      <c r="L1" s="33" t="s">
        <v>652</v>
      </c>
      <c r="M1" s="33" t="s">
        <v>2</v>
      </c>
      <c r="N1" s="33" t="s">
        <v>1</v>
      </c>
      <c r="O1" s="33" t="s">
        <v>3</v>
      </c>
      <c r="P1" s="33" t="s">
        <v>4</v>
      </c>
      <c r="Q1" s="33" t="s">
        <v>5</v>
      </c>
      <c r="R1" s="83" t="s">
        <v>1227</v>
      </c>
    </row>
    <row r="2" spans="1:18" s="1" customFormat="1" x14ac:dyDescent="0.25">
      <c r="A2" s="103" t="s">
        <v>1300</v>
      </c>
      <c r="B2" s="38" t="s">
        <v>710</v>
      </c>
      <c r="C2" s="39">
        <v>0</v>
      </c>
      <c r="D2" s="39">
        <v>0</v>
      </c>
      <c r="E2" s="38"/>
      <c r="F2" s="40"/>
      <c r="G2" s="41"/>
      <c r="H2" s="41" t="str">
        <f>INDEX(_xlfn.TEXTSPLIT(mvtst[[#This Row],[QR Suivis]],"_"),1,1)</f>
        <v>CA250004</v>
      </c>
      <c r="I2" s="38" t="str">
        <f>_xlfn.TEXTBEFORE(mvtst[[#This Row],[Num Suivis]],"-",,,1)</f>
        <v>CA250004</v>
      </c>
      <c r="J2" s="39">
        <f>SUMIF(mvtst[QR Suivis],mvtst[[#This Row],[QR Suivis]],mvtst[QTE SORTIS])-SUMIF(mvtst[QR Suivis],mvtst[[#This Row],[QR Suivis]],mvtst[QTE RETOUR])</f>
        <v>0</v>
      </c>
      <c r="K2" s="38" t="str">
        <f>"Usine"</f>
        <v>Usine</v>
      </c>
      <c r="L2" s="38" t="str">
        <f>_xlfn.XLOOKUP(mvtst[[#This Row],[Sous Traitant]],coordonnee_st[Identification],coordonnee_st[SERVICE],"Non Trouvé")</f>
        <v>Personnalisation</v>
      </c>
      <c r="M2" s="38" t="str">
        <f>INDEX(_xlfn.TEXTSPLIT(mvtst[[#This Row],[QR Suivis]],"_"),1,2)</f>
        <v>All by Fouta</v>
      </c>
      <c r="N2" s="38" t="str">
        <f>INDEX(_xlfn.TEXTSPLIT(mvtst[[#This Row],[QR Suivis]],"_"),1,3)</f>
        <v>Stock</v>
      </c>
      <c r="O2" s="38" t="str">
        <f>INDEX(_xlfn.TEXTSPLIT(mvtst[[#This Row],[QR Suivis]],"_"),1,4)</f>
        <v>UNS1020-09</v>
      </c>
      <c r="P2" s="38" t="str">
        <f>INDEX(_xlfn.TEXTSPLIT(mvtst[[#This Row],[QR Suivis]],"_"),1,5)</f>
        <v>UNI SURPIQUE</v>
      </c>
      <c r="Q2" s="38" t="str">
        <f>_xlfn.TEXTAFTER(mvtst[[#This Row],[QR Suivis]],"_",5)</f>
        <v>1020</v>
      </c>
      <c r="R2" s="84" t="str">
        <f>IF(
   COUNTIFS($A$2:A2,A2,
             $B$2:B2,B2,
             $C$2:C2,C2,
             $D$2:D2,D2,
             $G$2:G2,G2)&gt;1,
   "Doublon",
   "Correcte"
)</f>
        <v>Correcte</v>
      </c>
    </row>
    <row r="3" spans="1:18" s="1" customFormat="1" x14ac:dyDescent="0.25">
      <c r="A3" s="104" t="s">
        <v>1316</v>
      </c>
      <c r="B3" s="35" t="s">
        <v>712</v>
      </c>
      <c r="C3" s="36">
        <v>5</v>
      </c>
      <c r="D3" s="36">
        <v>0</v>
      </c>
      <c r="E3" s="35"/>
      <c r="F3" s="35" t="s">
        <v>664</v>
      </c>
      <c r="G3" s="37">
        <v>45918</v>
      </c>
      <c r="H3" s="37" t="str">
        <f>INDEX(_xlfn.TEXTSPLIT(mvtst[[#This Row],[QR Suivis]],"_"),1,1)</f>
        <v>CA250004-11</v>
      </c>
      <c r="I3" s="35" t="str">
        <f>_xlfn.TEXTBEFORE(mvtst[[#This Row],[Num Suivis]],"-",,,1)</f>
        <v>CA250004</v>
      </c>
      <c r="J3" s="36">
        <f>SUMIF(mvtst[QR Suivis],mvtst[[#This Row],[QR Suivis]],mvtst[QTE SORTIS])-SUMIF(mvtst[QR Suivis],mvtst[[#This Row],[QR Suivis]],mvtst[QTE RETOUR])</f>
        <v>0</v>
      </c>
      <c r="K3" s="35" t="str">
        <f t="shared" ref="K3:K66" si="0">"Usine"</f>
        <v>Usine</v>
      </c>
      <c r="L3" s="35" t="str">
        <f>_xlfn.XLOOKUP(mvtst[[#This Row],[Sous Traitant]],coordonnee_st[Identification],coordonnee_st[SERVICE],"Non Trouvé")</f>
        <v>Frange</v>
      </c>
      <c r="M3" s="35" t="str">
        <f>INDEX(_xlfn.TEXTSPLIT(mvtst[[#This Row],[QR Suivis]],"_"),1,2)</f>
        <v>All by Fouta</v>
      </c>
      <c r="N3" s="35" t="str">
        <f>INDEX(_xlfn.TEXTSPLIT(mvtst[[#This Row],[QR Suivis]],"_"),1,3)</f>
        <v>Stock</v>
      </c>
      <c r="O3" s="35" t="str">
        <f>INDEX(_xlfn.TEXTSPLIT(mvtst[[#This Row],[QR Suivis]],"_"),1,4)</f>
        <v>UNS1020-09</v>
      </c>
      <c r="P3" s="35" t="str">
        <f>INDEX(_xlfn.TEXTSPLIT(mvtst[[#This Row],[QR Suivis]],"_"),1,5)</f>
        <v>UNI SURPIQUE</v>
      </c>
      <c r="Q3" s="35" t="str">
        <f>_xlfn.TEXTAFTER(mvtst[[#This Row],[QR Suivis]],"_",5)</f>
        <v>1020</v>
      </c>
      <c r="R3" s="84" t="str">
        <f>IF(
   COUNTIFS($A$2:A3,A3,
             $B$2:B3,B3,
             $C$2:C3,C3,
             $D$2:D3,D3,
             $G$2:G3,G3)&gt;1,
   "Doublon",
   "Correcte"
)</f>
        <v>Correcte</v>
      </c>
    </row>
    <row r="4" spans="1:18" s="1" customFormat="1" x14ac:dyDescent="0.25">
      <c r="A4" s="104" t="s">
        <v>1317</v>
      </c>
      <c r="B4" s="35" t="s">
        <v>712</v>
      </c>
      <c r="C4" s="36">
        <v>5</v>
      </c>
      <c r="D4" s="36">
        <v>0</v>
      </c>
      <c r="E4" s="35"/>
      <c r="F4" s="35" t="s">
        <v>664</v>
      </c>
      <c r="G4" s="37">
        <v>45918</v>
      </c>
      <c r="H4" s="37" t="str">
        <f>INDEX(_xlfn.TEXTSPLIT(mvtst[[#This Row],[QR Suivis]],"_"),1,1)</f>
        <v>CA250009-6</v>
      </c>
      <c r="I4" s="35" t="str">
        <f>_xlfn.TEXTBEFORE(mvtst[[#This Row],[Num Suivis]],"-",,,1)</f>
        <v>CA250009</v>
      </c>
      <c r="J4" s="36">
        <f>SUMIF(mvtst[QR Suivis],mvtst[[#This Row],[QR Suivis]],mvtst[QTE SORTIS])-SUMIF(mvtst[QR Suivis],mvtst[[#This Row],[QR Suivis]],mvtst[QTE RETOUR])</f>
        <v>0</v>
      </c>
      <c r="K4" s="35" t="str">
        <f t="shared" si="0"/>
        <v>Usine</v>
      </c>
      <c r="L4" s="35" t="str">
        <f>_xlfn.XLOOKUP(mvtst[[#This Row],[Sous Traitant]],coordonnee_st[Identification],coordonnee_st[SERVICE],"Non Trouvé")</f>
        <v>Frange</v>
      </c>
      <c r="M4" s="35" t="str">
        <f>INDEX(_xlfn.TEXTSPLIT(mvtst[[#This Row],[QR Suivis]],"_"),1,2)</f>
        <v>All by Fouta</v>
      </c>
      <c r="N4" s="35" t="str">
        <f>INDEX(_xlfn.TEXTSPLIT(mvtst[[#This Row],[QR Suivis]],"_"),1,3)</f>
        <v>Stock</v>
      </c>
      <c r="O4" s="35" t="str">
        <f>INDEX(_xlfn.TEXTSPLIT(mvtst[[#This Row],[QR Suivis]],"_"),1,4)</f>
        <v>UNS1020-17</v>
      </c>
      <c r="P4" s="35" t="str">
        <f>INDEX(_xlfn.TEXTSPLIT(mvtst[[#This Row],[QR Suivis]],"_"),1,5)</f>
        <v>UNI SURPIQUE</v>
      </c>
      <c r="Q4" s="35" t="str">
        <f>_xlfn.TEXTAFTER(mvtst[[#This Row],[QR Suivis]],"_",5)</f>
        <v>1020</v>
      </c>
      <c r="R4" s="84" t="str">
        <f>IF(
   COUNTIFS($A$2:A4,A4,
             $B$2:B4,B4,
             $C$2:C4,C4,
             $D$2:D4,D4,
             $G$2:G4,G4)&gt;1,
   "Doublon",
   "Correcte"
)</f>
        <v>Correcte</v>
      </c>
    </row>
    <row r="5" spans="1:18" x14ac:dyDescent="0.25">
      <c r="A5" s="104" t="s">
        <v>1318</v>
      </c>
      <c r="B5" s="35" t="s">
        <v>712</v>
      </c>
      <c r="C5" s="36">
        <v>5</v>
      </c>
      <c r="D5" s="36">
        <v>0</v>
      </c>
      <c r="E5" s="35"/>
      <c r="F5" s="35" t="s">
        <v>664</v>
      </c>
      <c r="G5" s="37">
        <v>45918</v>
      </c>
      <c r="H5" s="37" t="str">
        <f>INDEX(_xlfn.TEXTSPLIT(mvtst[[#This Row],[QR Suivis]],"_"),1,1)</f>
        <v>CA250006-10</v>
      </c>
      <c r="I5" s="35" t="str">
        <f>_xlfn.TEXTBEFORE(mvtst[[#This Row],[Num Suivis]],"-",,,1)</f>
        <v>CA250006</v>
      </c>
      <c r="J5" s="36">
        <f>SUMIF(mvtst[QR Suivis],mvtst[[#This Row],[QR Suivis]],mvtst[QTE SORTIS])-SUMIF(mvtst[QR Suivis],mvtst[[#This Row],[QR Suivis]],mvtst[QTE RETOUR])</f>
        <v>0</v>
      </c>
      <c r="K5" s="35" t="str">
        <f t="shared" si="0"/>
        <v>Usine</v>
      </c>
      <c r="L5" s="35" t="str">
        <f>_xlfn.XLOOKUP(mvtst[[#This Row],[Sous Traitant]],coordonnee_st[Identification],coordonnee_st[SERVICE],"Non Trouvé")</f>
        <v>Frange</v>
      </c>
      <c r="M5" s="35" t="str">
        <f>INDEX(_xlfn.TEXTSPLIT(mvtst[[#This Row],[QR Suivis]],"_"),1,2)</f>
        <v>All by Fouta</v>
      </c>
      <c r="N5" s="35" t="str">
        <f>INDEX(_xlfn.TEXTSPLIT(mvtst[[#This Row],[QR Suivis]],"_"),1,3)</f>
        <v>Stock</v>
      </c>
      <c r="O5" s="35" t="str">
        <f>INDEX(_xlfn.TEXTSPLIT(mvtst[[#This Row],[QR Suivis]],"_"),1,4)</f>
        <v>UNS1020-12</v>
      </c>
      <c r="P5" s="35" t="str">
        <f>INDEX(_xlfn.TEXTSPLIT(mvtst[[#This Row],[QR Suivis]],"_"),1,5)</f>
        <v>UNI SURPIQUE</v>
      </c>
      <c r="Q5" s="35" t="str">
        <f>_xlfn.TEXTAFTER(mvtst[[#This Row],[QR Suivis]],"_",5)</f>
        <v>1020</v>
      </c>
      <c r="R5" s="84" t="str">
        <f>IF(
   COUNTIFS($A$2:A5,A5,
             $B$2:B5,B5,
             $C$2:C5,C5,
             $D$2:D5,D5,
             $G$2:G5,G5)&gt;1,
   "Doublon",
   "Correcte"
)</f>
        <v>Correcte</v>
      </c>
    </row>
    <row r="6" spans="1:18" x14ac:dyDescent="0.25">
      <c r="A6" s="104" t="s">
        <v>1319</v>
      </c>
      <c r="B6" s="35" t="s">
        <v>712</v>
      </c>
      <c r="C6" s="36">
        <v>5</v>
      </c>
      <c r="D6" s="36">
        <v>0</v>
      </c>
      <c r="E6" s="35"/>
      <c r="F6" s="35" t="s">
        <v>664</v>
      </c>
      <c r="G6" s="37">
        <v>45918</v>
      </c>
      <c r="H6" s="37" t="str">
        <f>INDEX(_xlfn.TEXTSPLIT(mvtst[[#This Row],[QR Suivis]],"_"),1,1)</f>
        <v>CA250011-6</v>
      </c>
      <c r="I6" s="35" t="str">
        <f>_xlfn.TEXTBEFORE(mvtst[[#This Row],[Num Suivis]],"-",,,1)</f>
        <v>CA250011</v>
      </c>
      <c r="J6" s="36">
        <f>SUMIF(mvtst[QR Suivis],mvtst[[#This Row],[QR Suivis]],mvtst[QTE SORTIS])-SUMIF(mvtst[QR Suivis],mvtst[[#This Row],[QR Suivis]],mvtst[QTE RETOUR])</f>
        <v>0</v>
      </c>
      <c r="K6" s="35" t="str">
        <f t="shared" si="0"/>
        <v>Usine</v>
      </c>
      <c r="L6" s="35" t="str">
        <f>_xlfn.XLOOKUP(mvtst[[#This Row],[Sous Traitant]],coordonnee_st[Identification],coordonnee_st[SERVICE],"Non Trouvé")</f>
        <v>Frange</v>
      </c>
      <c r="M6" s="35" t="str">
        <f>INDEX(_xlfn.TEXTSPLIT(mvtst[[#This Row],[QR Suivis]],"_"),1,2)</f>
        <v>All by Fouta</v>
      </c>
      <c r="N6" s="35" t="str">
        <f>INDEX(_xlfn.TEXTSPLIT(mvtst[[#This Row],[QR Suivis]],"_"),1,3)</f>
        <v>Stock</v>
      </c>
      <c r="O6" s="35" t="str">
        <f>INDEX(_xlfn.TEXTSPLIT(mvtst[[#This Row],[QR Suivis]],"_"),1,4)</f>
        <v>UNS1020-19</v>
      </c>
      <c r="P6" s="35" t="str">
        <f>INDEX(_xlfn.TEXTSPLIT(mvtst[[#This Row],[QR Suivis]],"_"),1,5)</f>
        <v>UNI SURPIQUE</v>
      </c>
      <c r="Q6" s="35" t="str">
        <f>_xlfn.TEXTAFTER(mvtst[[#This Row],[QR Suivis]],"_",5)</f>
        <v>1020</v>
      </c>
      <c r="R6" s="84" t="str">
        <f>IF(
   COUNTIFS($A$2:A6,A6,
             $B$2:B6,B6,
             $C$2:C6,C6,
             $D$2:D6,D6,
             $G$2:G6,G6)&gt;1,
   "Doublon",
   "Correcte"
)</f>
        <v>Correcte</v>
      </c>
    </row>
    <row r="7" spans="1:18" x14ac:dyDescent="0.25">
      <c r="A7" s="104" t="s">
        <v>1320</v>
      </c>
      <c r="B7" s="35" t="s">
        <v>712</v>
      </c>
      <c r="C7" s="36">
        <v>5</v>
      </c>
      <c r="D7" s="36">
        <v>0</v>
      </c>
      <c r="E7" s="35"/>
      <c r="F7" s="35" t="s">
        <v>664</v>
      </c>
      <c r="G7" s="37">
        <v>45918</v>
      </c>
      <c r="H7" s="37" t="str">
        <f>INDEX(_xlfn.TEXTSPLIT(mvtst[[#This Row],[QR Suivis]],"_"),1,1)</f>
        <v>CA250064-1</v>
      </c>
      <c r="I7" s="35" t="str">
        <f>_xlfn.TEXTBEFORE(mvtst[[#This Row],[Num Suivis]],"-",,,1)</f>
        <v>CA250064</v>
      </c>
      <c r="J7" s="36">
        <f>SUMIF(mvtst[QR Suivis],mvtst[[#This Row],[QR Suivis]],mvtst[QTE SORTIS])-SUMIF(mvtst[QR Suivis],mvtst[[#This Row],[QR Suivis]],mvtst[QTE RETOUR])</f>
        <v>0</v>
      </c>
      <c r="K7" s="35" t="str">
        <f t="shared" si="0"/>
        <v>Usine</v>
      </c>
      <c r="L7" s="35" t="str">
        <f>_xlfn.XLOOKUP(mvtst[[#This Row],[Sous Traitant]],coordonnee_st[Identification],coordonnee_st[SERVICE],"Non Trouvé")</f>
        <v>Frange</v>
      </c>
      <c r="M7" s="35" t="str">
        <f>INDEX(_xlfn.TEXTSPLIT(mvtst[[#This Row],[QR Suivis]],"_"),1,2)</f>
        <v>All by Fouta</v>
      </c>
      <c r="N7" s="35" t="str">
        <f>INDEX(_xlfn.TEXTSPLIT(mvtst[[#This Row],[QR Suivis]],"_"),1,3)</f>
        <v>Stock</v>
      </c>
      <c r="O7" s="35" t="str">
        <f>INDEX(_xlfn.TEXTSPLIT(mvtst[[#This Row],[QR Suivis]],"_"),1,4)</f>
        <v>UNS2030-09</v>
      </c>
      <c r="P7" s="35" t="str">
        <f>INDEX(_xlfn.TEXTSPLIT(mvtst[[#This Row],[QR Suivis]],"_"),1,5)</f>
        <v>UNI SURPIQUE</v>
      </c>
      <c r="Q7" s="35" t="str">
        <f>_xlfn.TEXTAFTER(mvtst[[#This Row],[QR Suivis]],"_",5)</f>
        <v>2030</v>
      </c>
      <c r="R7" s="84" t="str">
        <f>IF(
   COUNTIFS($A$2:A7,A7,
             $B$2:B7,B7,
             $C$2:C7,C7,
             $D$2:D7,D7,
             $G$2:G7,G7)&gt;1,
   "Doublon",
   "Correcte"
)</f>
        <v>Correcte</v>
      </c>
    </row>
    <row r="8" spans="1:18" x14ac:dyDescent="0.25">
      <c r="A8" s="104" t="s">
        <v>1321</v>
      </c>
      <c r="B8" s="35" t="s">
        <v>712</v>
      </c>
      <c r="C8" s="36">
        <v>5</v>
      </c>
      <c r="D8" s="36">
        <v>0</v>
      </c>
      <c r="E8" s="35"/>
      <c r="F8" s="35" t="s">
        <v>664</v>
      </c>
      <c r="G8" s="37">
        <v>45918</v>
      </c>
      <c r="H8" s="37" t="str">
        <f>INDEX(_xlfn.TEXTSPLIT(mvtst[[#This Row],[QR Suivis]],"_"),1,1)</f>
        <v>CA250062</v>
      </c>
      <c r="I8" s="35" t="str">
        <f>_xlfn.TEXTBEFORE(mvtst[[#This Row],[Num Suivis]],"-",,,1)</f>
        <v>CA250062</v>
      </c>
      <c r="J8" s="36">
        <f>SUMIF(mvtst[QR Suivis],mvtst[[#This Row],[QR Suivis]],mvtst[QTE SORTIS])-SUMIF(mvtst[QR Suivis],mvtst[[#This Row],[QR Suivis]],mvtst[QTE RETOUR])</f>
        <v>0</v>
      </c>
      <c r="K8" s="35" t="str">
        <f t="shared" si="0"/>
        <v>Usine</v>
      </c>
      <c r="L8" s="35" t="str">
        <f>_xlfn.XLOOKUP(mvtst[[#This Row],[Sous Traitant]],coordonnee_st[Identification],coordonnee_st[SERVICE],"Non Trouvé")</f>
        <v>Frange</v>
      </c>
      <c r="M8" s="35" t="str">
        <f>INDEX(_xlfn.TEXTSPLIT(mvtst[[#This Row],[QR Suivis]],"_"),1,2)</f>
        <v>All by Fouta</v>
      </c>
      <c r="N8" s="35" t="str">
        <f>INDEX(_xlfn.TEXTSPLIT(mvtst[[#This Row],[QR Suivis]],"_"),1,3)</f>
        <v>Stock</v>
      </c>
      <c r="O8" s="35" t="str">
        <f>INDEX(_xlfn.TEXTSPLIT(mvtst[[#This Row],[QR Suivis]],"_"),1,4)</f>
        <v>UNS2030-04</v>
      </c>
      <c r="P8" s="35" t="str">
        <f>INDEX(_xlfn.TEXTSPLIT(mvtst[[#This Row],[QR Suivis]],"_"),1,5)</f>
        <v>UNI SURPIQUE</v>
      </c>
      <c r="Q8" s="35" t="str">
        <f>_xlfn.TEXTAFTER(mvtst[[#This Row],[QR Suivis]],"_",5)</f>
        <v>2030</v>
      </c>
      <c r="R8" s="84" t="str">
        <f>IF(
   COUNTIFS($A$2:A8,A8,
             $B$2:B8,B8,
             $C$2:C8,C8,
             $D$2:D8,D8,
             $G$2:G8,G8)&gt;1,
   "Doublon",
   "Correcte"
)</f>
        <v>Correcte</v>
      </c>
    </row>
    <row r="9" spans="1:18" x14ac:dyDescent="0.25">
      <c r="A9" s="104" t="s">
        <v>1322</v>
      </c>
      <c r="B9" s="35" t="s">
        <v>712</v>
      </c>
      <c r="C9" s="36">
        <v>5</v>
      </c>
      <c r="D9" s="36">
        <v>0</v>
      </c>
      <c r="E9" s="35"/>
      <c r="F9" s="35" t="s">
        <v>664</v>
      </c>
      <c r="G9" s="37">
        <v>45918</v>
      </c>
      <c r="H9" s="37" t="str">
        <f>INDEX(_xlfn.TEXTSPLIT(mvtst[[#This Row],[QR Suivis]],"_"),1,1)</f>
        <v>CA250066</v>
      </c>
      <c r="I9" s="35" t="str">
        <f>_xlfn.TEXTBEFORE(mvtst[[#This Row],[Num Suivis]],"-",,,1)</f>
        <v>CA250066</v>
      </c>
      <c r="J9" s="36">
        <f>SUMIF(mvtst[QR Suivis],mvtst[[#This Row],[QR Suivis]],mvtst[QTE SORTIS])-SUMIF(mvtst[QR Suivis],mvtst[[#This Row],[QR Suivis]],mvtst[QTE RETOUR])</f>
        <v>0</v>
      </c>
      <c r="K9" s="35" t="str">
        <f t="shared" si="0"/>
        <v>Usine</v>
      </c>
      <c r="L9" s="35" t="str">
        <f>_xlfn.XLOOKUP(mvtst[[#This Row],[Sous Traitant]],coordonnee_st[Identification],coordonnee_st[SERVICE],"Non Trouvé")</f>
        <v>Frange</v>
      </c>
      <c r="M9" s="35" t="str">
        <f>INDEX(_xlfn.TEXTSPLIT(mvtst[[#This Row],[QR Suivis]],"_"),1,2)</f>
        <v>All by Fouta</v>
      </c>
      <c r="N9" s="35" t="str">
        <f>INDEX(_xlfn.TEXTSPLIT(mvtst[[#This Row],[QR Suivis]],"_"),1,3)</f>
        <v>Stock</v>
      </c>
      <c r="O9" s="35" t="str">
        <f>INDEX(_xlfn.TEXTSPLIT(mvtst[[#This Row],[QR Suivis]],"_"),1,4)</f>
        <v>UNS2030-12</v>
      </c>
      <c r="P9" s="35" t="str">
        <f>INDEX(_xlfn.TEXTSPLIT(mvtst[[#This Row],[QR Suivis]],"_"),1,5)</f>
        <v>UNI SURPIQUE</v>
      </c>
      <c r="Q9" s="35" t="str">
        <f>_xlfn.TEXTAFTER(mvtst[[#This Row],[QR Suivis]],"_",5)</f>
        <v>2030</v>
      </c>
      <c r="R9" s="84" t="str">
        <f>IF(
   COUNTIFS($A$2:A9,A9,
             $B$2:B9,B9,
             $C$2:C9,C9,
             $D$2:D9,D9,
             $G$2:G9,G9)&gt;1,
   "Doublon",
   "Correcte"
)</f>
        <v>Correcte</v>
      </c>
    </row>
    <row r="10" spans="1:18" x14ac:dyDescent="0.25">
      <c r="A10" s="104" t="s">
        <v>1312</v>
      </c>
      <c r="B10" s="35" t="s">
        <v>712</v>
      </c>
      <c r="C10" s="36">
        <v>5</v>
      </c>
      <c r="D10" s="36">
        <v>0</v>
      </c>
      <c r="E10" s="35"/>
      <c r="F10" s="35" t="s">
        <v>664</v>
      </c>
      <c r="G10" s="37">
        <v>45918</v>
      </c>
      <c r="H10" s="37" t="str">
        <f>INDEX(_xlfn.TEXTSPLIT(mvtst[[#This Row],[QR Suivis]],"_"),1,1)</f>
        <v>CA250075</v>
      </c>
      <c r="I10" s="35" t="str">
        <f>_xlfn.TEXTBEFORE(mvtst[[#This Row],[Num Suivis]],"-",,,1)</f>
        <v>CA250075</v>
      </c>
      <c r="J10" s="36">
        <f>SUMIF(mvtst[QR Suivis],mvtst[[#This Row],[QR Suivis]],mvtst[QTE SORTIS])-SUMIF(mvtst[QR Suivis],mvtst[[#This Row],[QR Suivis]],mvtst[QTE RETOUR])</f>
        <v>0</v>
      </c>
      <c r="K10" s="35" t="str">
        <f t="shared" si="0"/>
        <v>Usine</v>
      </c>
      <c r="L10" s="35" t="str">
        <f>_xlfn.XLOOKUP(mvtst[[#This Row],[Sous Traitant]],coordonnee_st[Identification],coordonnee_st[SERVICE],"Non Trouvé")</f>
        <v>Frange</v>
      </c>
      <c r="M10" s="35" t="str">
        <f>INDEX(_xlfn.TEXTSPLIT(mvtst[[#This Row],[QR Suivis]],"_"),1,2)</f>
        <v>All by Fouta</v>
      </c>
      <c r="N10" s="35" t="str">
        <f>INDEX(_xlfn.TEXTSPLIT(mvtst[[#This Row],[QR Suivis]],"_"),1,3)</f>
        <v>Stock</v>
      </c>
      <c r="O10" s="35" t="str">
        <f>INDEX(_xlfn.TEXTSPLIT(mvtst[[#This Row],[QR Suivis]],"_"),1,4)</f>
        <v>UNS2030-26</v>
      </c>
      <c r="P10" s="35" t="str">
        <f>INDEX(_xlfn.TEXTSPLIT(mvtst[[#This Row],[QR Suivis]],"_"),1,5)</f>
        <v>UNI SURPIQUE</v>
      </c>
      <c r="Q10" s="35" t="str">
        <f>_xlfn.TEXTAFTER(mvtst[[#This Row],[QR Suivis]],"_",5)</f>
        <v>2030</v>
      </c>
      <c r="R10" s="84" t="str">
        <f>IF(
   COUNTIFS($A$2:A10,A10,
             $B$2:B10,B10,
             $C$2:C10,C10,
             $D$2:D10,D10,
             $G$2:G10,G10)&gt;1,
   "Doublon",
   "Correcte"
)</f>
        <v>Correcte</v>
      </c>
    </row>
    <row r="11" spans="1:18" x14ac:dyDescent="0.25">
      <c r="A11" s="104" t="s">
        <v>1310</v>
      </c>
      <c r="B11" s="35" t="s">
        <v>596</v>
      </c>
      <c r="C11" s="36">
        <v>61</v>
      </c>
      <c r="D11" s="36">
        <v>0</v>
      </c>
      <c r="E11" s="35"/>
      <c r="F11" s="35" t="s">
        <v>664</v>
      </c>
      <c r="G11" s="37">
        <v>45919</v>
      </c>
      <c r="H11" s="37" t="str">
        <f>INDEX(_xlfn.TEXTSPLIT(mvtst[[#This Row],[QR Suivis]],"_"),1,1)</f>
        <v>CA250392</v>
      </c>
      <c r="I11" s="35" t="str">
        <f>_xlfn.TEXTBEFORE(mvtst[[#This Row],[Num Suivis]],"-",,,1)</f>
        <v>CA250392</v>
      </c>
      <c r="J11" s="36">
        <f>SUMIF(mvtst[QR Suivis],mvtst[[#This Row],[QR Suivis]],mvtst[QTE SORTIS])-SUMIF(mvtst[QR Suivis],mvtst[[#This Row],[QR Suivis]],mvtst[QTE RETOUR])</f>
        <v>0</v>
      </c>
      <c r="K11" s="35" t="str">
        <f t="shared" si="0"/>
        <v>Usine</v>
      </c>
      <c r="L11" s="35" t="str">
        <f>_xlfn.XLOOKUP(mvtst[[#This Row],[Sous Traitant]],coordonnee_st[Identification],coordonnee_st[SERVICE],"Non Trouvé")</f>
        <v>Frange</v>
      </c>
      <c r="M11" s="35" t="str">
        <f>INDEX(_xlfn.TEXTSPLIT(mvtst[[#This Row],[QR Suivis]],"_"),1,2)</f>
        <v>All by Fouta</v>
      </c>
      <c r="N11" s="35" t="str">
        <f>INDEX(_xlfn.TEXTSPLIT(mvtst[[#This Row],[QR Suivis]],"_"),1,3)</f>
        <v>Stock</v>
      </c>
      <c r="O11" s="35" t="str">
        <f>INDEX(_xlfn.TEXTSPLIT(mvtst[[#This Row],[QR Suivis]],"_"),1,4)</f>
        <v>BE1020-Q26-13-01</v>
      </c>
      <c r="P11" s="35" t="str">
        <f>INDEX(_xlfn.TEXTSPLIT(mvtst[[#This Row],[QR Suivis]],"_"),1,5)</f>
        <v>BERBER</v>
      </c>
      <c r="Q11" s="35" t="str">
        <f>_xlfn.TEXTAFTER(mvtst[[#This Row],[QR Suivis]],"_",5)</f>
        <v>1020</v>
      </c>
      <c r="R11" s="84" t="str">
        <f>IF(
   COUNTIFS($A$2:A11,A11,
             $B$2:B11,B11,
             $C$2:C11,C11,
             $D$2:D11,D11,
             $G$2:G11,G11)&gt;1,
   "Doublon",
   "Correcte"
)</f>
        <v>Correcte</v>
      </c>
    </row>
    <row r="12" spans="1:18" x14ac:dyDescent="0.25">
      <c r="A12" s="104" t="s">
        <v>1323</v>
      </c>
      <c r="B12" s="35" t="s">
        <v>596</v>
      </c>
      <c r="C12" s="36">
        <v>40</v>
      </c>
      <c r="D12" s="36">
        <v>0</v>
      </c>
      <c r="E12" s="35"/>
      <c r="F12" s="35" t="s">
        <v>664</v>
      </c>
      <c r="G12" s="37">
        <v>45919</v>
      </c>
      <c r="H12" s="37" t="str">
        <f>INDEX(_xlfn.TEXTSPLIT(mvtst[[#This Row],[QR Suivis]],"_"),1,1)</f>
        <v>CA250393</v>
      </c>
      <c r="I12" s="35" t="str">
        <f>_xlfn.TEXTBEFORE(mvtst[[#This Row],[Num Suivis]],"-",,,1)</f>
        <v>CA250393</v>
      </c>
      <c r="J12" s="36">
        <f>SUMIF(mvtst[QR Suivis],mvtst[[#This Row],[QR Suivis]],mvtst[QTE SORTIS])-SUMIF(mvtst[QR Suivis],mvtst[[#This Row],[QR Suivis]],mvtst[QTE RETOUR])</f>
        <v>0</v>
      </c>
      <c r="K12" s="35" t="str">
        <f t="shared" si="0"/>
        <v>Usine</v>
      </c>
      <c r="L12" s="35" t="str">
        <f>_xlfn.XLOOKUP(mvtst[[#This Row],[Sous Traitant]],coordonnee_st[Identification],coordonnee_st[SERVICE],"Non Trouvé")</f>
        <v>Frange</v>
      </c>
      <c r="M12" s="35" t="str">
        <f>INDEX(_xlfn.TEXTSPLIT(mvtst[[#This Row],[QR Suivis]],"_"),1,2)</f>
        <v>All by Fouta</v>
      </c>
      <c r="N12" s="35" t="str">
        <f>INDEX(_xlfn.TEXTSPLIT(mvtst[[#This Row],[QR Suivis]],"_"),1,3)</f>
        <v>Stock</v>
      </c>
      <c r="O12" s="35" t="str">
        <f>INDEX(_xlfn.TEXTSPLIT(mvtst[[#This Row],[QR Suivis]],"_"),1,4)</f>
        <v>BE1020-Q04-20-01</v>
      </c>
      <c r="P12" s="35" t="str">
        <f>INDEX(_xlfn.TEXTSPLIT(mvtst[[#This Row],[QR Suivis]],"_"),1,5)</f>
        <v>BERBER</v>
      </c>
      <c r="Q12" s="35" t="str">
        <f>_xlfn.TEXTAFTER(mvtst[[#This Row],[QR Suivis]],"_",5)</f>
        <v>1020</v>
      </c>
      <c r="R12" s="84" t="str">
        <f>IF(
   COUNTIFS($A$2:A12,A12,
             $B$2:B12,B12,
             $C$2:C12,C12,
             $D$2:D12,D12,
             $G$2:G12,G12)&gt;1,
   "Doublon",
   "Correcte"
)</f>
        <v>Correcte</v>
      </c>
    </row>
    <row r="13" spans="1:18" x14ac:dyDescent="0.25">
      <c r="A13" s="104" t="s">
        <v>1324</v>
      </c>
      <c r="B13" s="35" t="s">
        <v>596</v>
      </c>
      <c r="C13" s="36">
        <v>30</v>
      </c>
      <c r="D13" s="36">
        <v>0</v>
      </c>
      <c r="E13" s="35"/>
      <c r="F13" s="35" t="s">
        <v>664</v>
      </c>
      <c r="G13" s="37">
        <v>45919</v>
      </c>
      <c r="H13" s="37" t="str">
        <f>INDEX(_xlfn.TEXTSPLIT(mvtst[[#This Row],[QR Suivis]],"_"),1,1)</f>
        <v>CA250362</v>
      </c>
      <c r="I13" s="35" t="str">
        <f>_xlfn.TEXTBEFORE(mvtst[[#This Row],[Num Suivis]],"-",,,1)</f>
        <v>CA250362</v>
      </c>
      <c r="J13" s="36">
        <f>SUMIF(mvtst[QR Suivis],mvtst[[#This Row],[QR Suivis]],mvtst[QTE SORTIS])-SUMIF(mvtst[QR Suivis],mvtst[[#This Row],[QR Suivis]],mvtst[QTE RETOUR])</f>
        <v>0</v>
      </c>
      <c r="K13" s="35" t="str">
        <f t="shared" si="0"/>
        <v>Usine</v>
      </c>
      <c r="L13" s="35" t="str">
        <f>_xlfn.XLOOKUP(mvtst[[#This Row],[Sous Traitant]],coordonnee_st[Identification],coordonnee_st[SERVICE],"Non Trouvé")</f>
        <v>Frange</v>
      </c>
      <c r="M13" s="35" t="str">
        <f>INDEX(_xlfn.TEXTSPLIT(mvtst[[#This Row],[QR Suivis]],"_"),1,2)</f>
        <v>All by Fouta</v>
      </c>
      <c r="N13" s="35" t="str">
        <f>INDEX(_xlfn.TEXTSPLIT(mvtst[[#This Row],[QR Suivis]],"_"),1,3)</f>
        <v>Stock</v>
      </c>
      <c r="O13" s="35" t="str">
        <f>INDEX(_xlfn.TEXTSPLIT(mvtst[[#This Row],[QR Suivis]],"_"),1,4)</f>
        <v>BIB1020-T17-02-10</v>
      </c>
      <c r="P13" s="35" t="str">
        <f>INDEX(_xlfn.TEXTSPLIT(mvtst[[#This Row],[QR Suivis]],"_"),1,5)</f>
        <v>BIBI</v>
      </c>
      <c r="Q13" s="35" t="str">
        <f>_xlfn.TEXTAFTER(mvtst[[#This Row],[QR Suivis]],"_",5)</f>
        <v>1020</v>
      </c>
      <c r="R13" s="84" t="str">
        <f>IF(
   COUNTIFS($A$2:A13,A13,
             $B$2:B13,B13,
             $C$2:C13,C13,
             $D$2:D13,D13,
             $G$2:G13,G13)&gt;1,
   "Doublon",
   "Correcte"
)</f>
        <v>Correcte</v>
      </c>
    </row>
    <row r="14" spans="1:18" x14ac:dyDescent="0.25">
      <c r="A14" s="104" t="s">
        <v>1325</v>
      </c>
      <c r="B14" s="35" t="s">
        <v>596</v>
      </c>
      <c r="C14" s="36">
        <v>30</v>
      </c>
      <c r="D14" s="36">
        <v>0</v>
      </c>
      <c r="E14" s="35"/>
      <c r="F14" s="35" t="s">
        <v>664</v>
      </c>
      <c r="G14" s="37">
        <v>45919</v>
      </c>
      <c r="H14" s="37" t="str">
        <f>INDEX(_xlfn.TEXTSPLIT(mvtst[[#This Row],[QR Suivis]],"_"),1,1)</f>
        <v>CA250358</v>
      </c>
      <c r="I14" s="35" t="str">
        <f>_xlfn.TEXTBEFORE(mvtst[[#This Row],[Num Suivis]],"-",,,1)</f>
        <v>CA250358</v>
      </c>
      <c r="J14" s="36">
        <f>SUMIF(mvtst[QR Suivis],mvtst[[#This Row],[QR Suivis]],mvtst[QTE SORTIS])-SUMIF(mvtst[QR Suivis],mvtst[[#This Row],[QR Suivis]],mvtst[QTE RETOUR])</f>
        <v>0</v>
      </c>
      <c r="K14" s="35" t="str">
        <f t="shared" si="0"/>
        <v>Usine</v>
      </c>
      <c r="L14" s="35" t="str">
        <f>_xlfn.XLOOKUP(mvtst[[#This Row],[Sous Traitant]],coordonnee_st[Identification],coordonnee_st[SERVICE],"Non Trouvé")</f>
        <v>Frange</v>
      </c>
      <c r="M14" s="35" t="str">
        <f>INDEX(_xlfn.TEXTSPLIT(mvtst[[#This Row],[QR Suivis]],"_"),1,2)</f>
        <v>All by Fouta</v>
      </c>
      <c r="N14" s="35" t="str">
        <f>INDEX(_xlfn.TEXTSPLIT(mvtst[[#This Row],[QR Suivis]],"_"),1,3)</f>
        <v>Stock</v>
      </c>
      <c r="O14" s="35" t="str">
        <f>INDEX(_xlfn.TEXTSPLIT(mvtst[[#This Row],[QR Suivis]],"_"),1,4)</f>
        <v>BIB1020-T03-02-17</v>
      </c>
      <c r="P14" s="35" t="str">
        <f>INDEX(_xlfn.TEXTSPLIT(mvtst[[#This Row],[QR Suivis]],"_"),1,5)</f>
        <v>BIBI</v>
      </c>
      <c r="Q14" s="35" t="str">
        <f>_xlfn.TEXTAFTER(mvtst[[#This Row],[QR Suivis]],"_",5)</f>
        <v>1020</v>
      </c>
      <c r="R14" s="84" t="str">
        <f>IF(
   COUNTIFS($A$2:A14,A14,
             $B$2:B14,B14,
             $C$2:C14,C14,
             $D$2:D14,D14,
             $G$2:G14,G14)&gt;1,
   "Doublon",
   "Correcte"
)</f>
        <v>Correcte</v>
      </c>
    </row>
    <row r="15" spans="1:18" x14ac:dyDescent="0.25">
      <c r="A15" s="104" t="s">
        <v>1326</v>
      </c>
      <c r="B15" s="35" t="s">
        <v>596</v>
      </c>
      <c r="C15" s="36">
        <v>30</v>
      </c>
      <c r="D15" s="36">
        <v>0</v>
      </c>
      <c r="E15" s="35"/>
      <c r="F15" s="35" t="s">
        <v>664</v>
      </c>
      <c r="G15" s="37">
        <v>45919</v>
      </c>
      <c r="H15" s="37" t="str">
        <f>INDEX(_xlfn.TEXTSPLIT(mvtst[[#This Row],[QR Suivis]],"_"),1,1)</f>
        <v>CA250365</v>
      </c>
      <c r="I15" s="35" t="str">
        <f>_xlfn.TEXTBEFORE(mvtst[[#This Row],[Num Suivis]],"-",,,1)</f>
        <v>CA250365</v>
      </c>
      <c r="J15" s="36">
        <f>SUMIF(mvtst[QR Suivis],mvtst[[#This Row],[QR Suivis]],mvtst[QTE SORTIS])-SUMIF(mvtst[QR Suivis],mvtst[[#This Row],[QR Suivis]],mvtst[QTE RETOUR])</f>
        <v>0</v>
      </c>
      <c r="K15" s="35" t="str">
        <f t="shared" si="0"/>
        <v>Usine</v>
      </c>
      <c r="L15" s="35" t="str">
        <f>_xlfn.XLOOKUP(mvtst[[#This Row],[Sous Traitant]],coordonnee_st[Identification],coordonnee_st[SERVICE],"Non Trouvé")</f>
        <v>Frange</v>
      </c>
      <c r="M15" s="35" t="str">
        <f>INDEX(_xlfn.TEXTSPLIT(mvtst[[#This Row],[QR Suivis]],"_"),1,2)</f>
        <v>All by Fouta</v>
      </c>
      <c r="N15" s="35" t="str">
        <f>INDEX(_xlfn.TEXTSPLIT(mvtst[[#This Row],[QR Suivis]],"_"),1,3)</f>
        <v>Stock</v>
      </c>
      <c r="O15" s="35" t="str">
        <f>INDEX(_xlfn.TEXTSPLIT(mvtst[[#This Row],[QR Suivis]],"_"),1,4)</f>
        <v>BIB1020-T20-01-24</v>
      </c>
      <c r="P15" s="35" t="str">
        <f>INDEX(_xlfn.TEXTSPLIT(mvtst[[#This Row],[QR Suivis]],"_"),1,5)</f>
        <v>BIBI</v>
      </c>
      <c r="Q15" s="35" t="str">
        <f>_xlfn.TEXTAFTER(mvtst[[#This Row],[QR Suivis]],"_",5)</f>
        <v>1020</v>
      </c>
      <c r="R15" s="84" t="str">
        <f>IF(
   COUNTIFS($A$2:A15,A15,
             $B$2:B15,B15,
             $C$2:C15,C15,
             $D$2:D15,D15,
             $G$2:G15,G15)&gt;1,
   "Doublon",
   "Correcte"
)</f>
        <v>Correcte</v>
      </c>
    </row>
    <row r="16" spans="1:18" x14ac:dyDescent="0.25">
      <c r="A16" s="104" t="s">
        <v>1327</v>
      </c>
      <c r="B16" s="35" t="s">
        <v>596</v>
      </c>
      <c r="C16" s="36">
        <v>30</v>
      </c>
      <c r="D16" s="36">
        <v>0</v>
      </c>
      <c r="E16" s="35"/>
      <c r="F16" s="35" t="s">
        <v>664</v>
      </c>
      <c r="G16" s="37">
        <v>45919</v>
      </c>
      <c r="H16" s="37" t="str">
        <f>INDEX(_xlfn.TEXTSPLIT(mvtst[[#This Row],[QR Suivis]],"_"),1,1)</f>
        <v>CA250363</v>
      </c>
      <c r="I16" s="35" t="str">
        <f>_xlfn.TEXTBEFORE(mvtst[[#This Row],[Num Suivis]],"-",,,1)</f>
        <v>CA250363</v>
      </c>
      <c r="J16" s="36">
        <f>SUMIF(mvtst[QR Suivis],mvtst[[#This Row],[QR Suivis]],mvtst[QTE SORTIS])-SUMIF(mvtst[QR Suivis],mvtst[[#This Row],[QR Suivis]],mvtst[QTE RETOUR])</f>
        <v>0</v>
      </c>
      <c r="K16" s="35" t="str">
        <f t="shared" si="0"/>
        <v>Usine</v>
      </c>
      <c r="L16" s="35" t="str">
        <f>_xlfn.XLOOKUP(mvtst[[#This Row],[Sous Traitant]],coordonnee_st[Identification],coordonnee_st[SERVICE],"Non Trouvé")</f>
        <v>Frange</v>
      </c>
      <c r="M16" s="35" t="str">
        <f>INDEX(_xlfn.TEXTSPLIT(mvtst[[#This Row],[QR Suivis]],"_"),1,2)</f>
        <v>All by Fouta</v>
      </c>
      <c r="N16" s="35" t="str">
        <f>INDEX(_xlfn.TEXTSPLIT(mvtst[[#This Row],[QR Suivis]],"_"),1,3)</f>
        <v>Stock</v>
      </c>
      <c r="O16" s="35" t="str">
        <f>INDEX(_xlfn.TEXTSPLIT(mvtst[[#This Row],[QR Suivis]],"_"),1,4)</f>
        <v>BIB1020-T24-01-29</v>
      </c>
      <c r="P16" s="35" t="str">
        <f>INDEX(_xlfn.TEXTSPLIT(mvtst[[#This Row],[QR Suivis]],"_"),1,5)</f>
        <v>BIBI</v>
      </c>
      <c r="Q16" s="35" t="str">
        <f>_xlfn.TEXTAFTER(mvtst[[#This Row],[QR Suivis]],"_",5)</f>
        <v>1020</v>
      </c>
      <c r="R16" s="84" t="str">
        <f>IF(
   COUNTIFS($A$2:A16,A16,
             $B$2:B16,B16,
             $C$2:C16,C16,
             $D$2:D16,D16,
             $G$2:G16,G16)&gt;1,
   "Doublon",
   "Correcte"
)</f>
        <v>Correcte</v>
      </c>
    </row>
    <row r="17" spans="1:18" x14ac:dyDescent="0.25">
      <c r="A17" s="104" t="s">
        <v>1328</v>
      </c>
      <c r="B17" s="35" t="s">
        <v>596</v>
      </c>
      <c r="C17" s="36">
        <v>5</v>
      </c>
      <c r="D17" s="36">
        <v>0</v>
      </c>
      <c r="E17" s="35"/>
      <c r="F17" s="35" t="s">
        <v>664</v>
      </c>
      <c r="G17" s="37">
        <v>45919</v>
      </c>
      <c r="H17" s="37" t="str">
        <f>INDEX(_xlfn.TEXTSPLIT(mvtst[[#This Row],[QR Suivis]],"_"),1,1)</f>
        <v>CA250364</v>
      </c>
      <c r="I17" s="35" t="str">
        <f>_xlfn.TEXTBEFORE(mvtst[[#This Row],[Num Suivis]],"-",,,1)</f>
        <v>CA250364</v>
      </c>
      <c r="J17" s="36">
        <f>SUMIF(mvtst[QR Suivis],mvtst[[#This Row],[QR Suivis]],mvtst[QTE SORTIS])-SUMIF(mvtst[QR Suivis],mvtst[[#This Row],[QR Suivis]],mvtst[QTE RETOUR])</f>
        <v>0</v>
      </c>
      <c r="K17" s="35" t="str">
        <f t="shared" si="0"/>
        <v>Usine</v>
      </c>
      <c r="L17" s="35" t="str">
        <f>_xlfn.XLOOKUP(mvtst[[#This Row],[Sous Traitant]],coordonnee_st[Identification],coordonnee_st[SERVICE],"Non Trouvé")</f>
        <v>Frange</v>
      </c>
      <c r="M17" s="35" t="str">
        <f>INDEX(_xlfn.TEXTSPLIT(mvtst[[#This Row],[QR Suivis]],"_"),1,2)</f>
        <v>All by Fouta</v>
      </c>
      <c r="N17" s="35" t="str">
        <f>INDEX(_xlfn.TEXTSPLIT(mvtst[[#This Row],[QR Suivis]],"_"),1,3)</f>
        <v>Stock</v>
      </c>
      <c r="O17" s="35" t="str">
        <f>INDEX(_xlfn.TEXTSPLIT(mvtst[[#This Row],[QR Suivis]],"_"),1,4)</f>
        <v>BIB1020-T26-01-10</v>
      </c>
      <c r="P17" s="35" t="str">
        <f>INDEX(_xlfn.TEXTSPLIT(mvtst[[#This Row],[QR Suivis]],"_"),1,5)</f>
        <v>BIBI</v>
      </c>
      <c r="Q17" s="35" t="str">
        <f>_xlfn.TEXTAFTER(mvtst[[#This Row],[QR Suivis]],"_",5)</f>
        <v>1020</v>
      </c>
      <c r="R17" s="84" t="str">
        <f>IF(
   COUNTIFS($A$2:A17,A17,
             $B$2:B17,B17,
             $C$2:C17,C17,
             $D$2:D17,D17,
             $G$2:G17,G17)&gt;1,
   "Doublon",
   "Correcte"
)</f>
        <v>Correcte</v>
      </c>
    </row>
    <row r="18" spans="1:18" x14ac:dyDescent="0.25">
      <c r="A18" s="104" t="s">
        <v>1329</v>
      </c>
      <c r="B18" s="35" t="s">
        <v>596</v>
      </c>
      <c r="C18" s="36">
        <v>2</v>
      </c>
      <c r="D18" s="36">
        <v>0</v>
      </c>
      <c r="E18" s="35"/>
      <c r="F18" s="35" t="s">
        <v>664</v>
      </c>
      <c r="G18" s="37">
        <v>45919</v>
      </c>
      <c r="H18" s="37" t="str">
        <f>INDEX(_xlfn.TEXTSPLIT(mvtst[[#This Row],[QR Suivis]],"_"),1,1)</f>
        <v>OF249977</v>
      </c>
      <c r="I18" s="35" t="str">
        <f>_xlfn.TEXTBEFORE(mvtst[[#This Row],[Num Suivis]],"-",,,1)</f>
        <v>OF249977</v>
      </c>
      <c r="J18" s="36">
        <f>SUMIF(mvtst[QR Suivis],mvtst[[#This Row],[QR Suivis]],mvtst[QTE SORTIS])-SUMIF(mvtst[QR Suivis],mvtst[[#This Row],[QR Suivis]],mvtst[QTE RETOUR])</f>
        <v>0</v>
      </c>
      <c r="K18" s="35" t="str">
        <f t="shared" si="0"/>
        <v>Usine</v>
      </c>
      <c r="L18" s="35" t="str">
        <f>_xlfn.XLOOKUP(mvtst[[#This Row],[Sous Traitant]],coordonnee_st[Identification],coordonnee_st[SERVICE],"Non Trouvé")</f>
        <v>Frange</v>
      </c>
      <c r="M18" s="35" t="str">
        <f>INDEX(_xlfn.TEXTSPLIT(mvtst[[#This Row],[QR Suivis]],"_"),1,2)</f>
        <v>CL00791</v>
      </c>
      <c r="N18" s="35" t="str">
        <f>INDEX(_xlfn.TEXTSPLIT(mvtst[[#This Row],[QR Suivis]],"_"),1,3)</f>
        <v>CM-FT0104</v>
      </c>
      <c r="O18" s="35" t="str">
        <f>INDEX(_xlfn.TEXTSPLIT(mvtst[[#This Row],[QR Suivis]],"_"),1,4)</f>
        <v>AR1020-B15-25</v>
      </c>
      <c r="P18" s="35" t="str">
        <f>INDEX(_xlfn.TEXTSPLIT(mvtst[[#This Row],[QR Suivis]],"_"),1,5)</f>
        <v>ARTHUR</v>
      </c>
      <c r="Q18" s="35" t="str">
        <f>_xlfn.TEXTAFTER(mvtst[[#This Row],[QR Suivis]],"_",5)</f>
        <v>1020</v>
      </c>
      <c r="R18" s="84" t="str">
        <f>IF(
   COUNTIFS($A$2:A18,A18,
             $B$2:B18,B18,
             $C$2:C18,C18,
             $D$2:D18,D18,
             $G$2:G18,G18)&gt;1,
   "Doublon",
   "Correcte"
)</f>
        <v>Correcte</v>
      </c>
    </row>
    <row r="19" spans="1:18" x14ac:dyDescent="0.25">
      <c r="A19" s="104" t="s">
        <v>1311</v>
      </c>
      <c r="B19" s="35" t="s">
        <v>712</v>
      </c>
      <c r="C19" s="36">
        <v>100</v>
      </c>
      <c r="D19" s="36">
        <v>0</v>
      </c>
      <c r="E19" s="35"/>
      <c r="F19" s="35" t="s">
        <v>664</v>
      </c>
      <c r="G19" s="37">
        <v>45919</v>
      </c>
      <c r="H19" s="37" t="str">
        <f>INDEX(_xlfn.TEXTSPLIT(mvtst[[#This Row],[QR Suivis]],"_"),1,1)</f>
        <v>OF250128</v>
      </c>
      <c r="I19" s="35" t="str">
        <f>_xlfn.TEXTBEFORE(mvtst[[#This Row],[Num Suivis]],"-",,,1)</f>
        <v>OF250128</v>
      </c>
      <c r="J19" s="36">
        <f>SUMIF(mvtst[QR Suivis],mvtst[[#This Row],[QR Suivis]],mvtst[QTE SORTIS])-SUMIF(mvtst[QR Suivis],mvtst[[#This Row],[QR Suivis]],mvtst[QTE RETOUR])</f>
        <v>0</v>
      </c>
      <c r="K19" s="35" t="str">
        <f t="shared" si="0"/>
        <v>Usine</v>
      </c>
      <c r="L19" s="35" t="str">
        <f>_xlfn.XLOOKUP(mvtst[[#This Row],[Sous Traitant]],coordonnee_st[Identification],coordonnee_st[SERVICE],"Non Trouvé")</f>
        <v>Frange</v>
      </c>
      <c r="M19" s="35" t="str">
        <f>INDEX(_xlfn.TEXTSPLIT(mvtst[[#This Row],[QR Suivis]],"_"),1,2)</f>
        <v>CL00296</v>
      </c>
      <c r="N19" s="35" t="str">
        <f>INDEX(_xlfn.TEXTSPLIT(mvtst[[#This Row],[QR Suivis]],"_"),1,3)</f>
        <v>CM-FT0129</v>
      </c>
      <c r="O19" s="35" t="str">
        <f>INDEX(_xlfn.TEXTSPLIT(mvtst[[#This Row],[QR Suivis]],"_"),1,4)</f>
        <v>NDL1020-B09-14</v>
      </c>
      <c r="P19" s="35" t="str">
        <f>INDEX(_xlfn.TEXTSPLIT(mvtst[[#This Row],[QR Suivis]],"_"),1,5)</f>
        <v>ND LILI</v>
      </c>
      <c r="Q19" s="35" t="str">
        <f>_xlfn.TEXTAFTER(mvtst[[#This Row],[QR Suivis]],"_",5)</f>
        <v>1020</v>
      </c>
      <c r="R19" s="84" t="str">
        <f>IF(
   COUNTIFS($A$2:A19,A19,
             $B$2:B19,B19,
             $C$2:C19,C19,
             $D$2:D19,D19,
             $G$2:G19,G19)&gt;1,
   "Doublon",
   "Correcte"
)</f>
        <v>Correcte</v>
      </c>
    </row>
    <row r="20" spans="1:18" x14ac:dyDescent="0.25">
      <c r="A20" s="104" t="s">
        <v>1315</v>
      </c>
      <c r="B20" s="35" t="s">
        <v>713</v>
      </c>
      <c r="C20" s="36">
        <v>200</v>
      </c>
      <c r="D20" s="36">
        <v>0</v>
      </c>
      <c r="E20" s="35"/>
      <c r="F20" s="35" t="s">
        <v>664</v>
      </c>
      <c r="G20" s="37">
        <v>45919</v>
      </c>
      <c r="H20" s="37" t="str">
        <f>INDEX(_xlfn.TEXTSPLIT(mvtst[[#This Row],[QR Suivis]],"_"),1,1)</f>
        <v>OF250129</v>
      </c>
      <c r="I20" s="35" t="str">
        <f>_xlfn.TEXTBEFORE(mvtst[[#This Row],[Num Suivis]],"-",,,1)</f>
        <v>OF250129</v>
      </c>
      <c r="J20" s="36">
        <f>SUMIF(mvtst[QR Suivis],mvtst[[#This Row],[QR Suivis]],mvtst[QTE SORTIS])-SUMIF(mvtst[QR Suivis],mvtst[[#This Row],[QR Suivis]],mvtst[QTE RETOUR])</f>
        <v>0</v>
      </c>
      <c r="K20" s="35" t="str">
        <f t="shared" si="0"/>
        <v>Usine</v>
      </c>
      <c r="L20" s="35" t="str">
        <f>_xlfn.XLOOKUP(mvtst[[#This Row],[Sous Traitant]],coordonnee_st[Identification],coordonnee_st[SERVICE],"Non Trouvé")</f>
        <v>Couture</v>
      </c>
      <c r="M20" s="35" t="str">
        <f>INDEX(_xlfn.TEXTSPLIT(mvtst[[#This Row],[QR Suivis]],"_"),1,2)</f>
        <v>CL00296</v>
      </c>
      <c r="N20" s="35" t="str">
        <f>INDEX(_xlfn.TEXTSPLIT(mvtst[[#This Row],[QR Suivis]],"_"),1,3)</f>
        <v>CM-FT0129</v>
      </c>
      <c r="O20" s="35" t="str">
        <f>INDEX(_xlfn.TEXTSPLIT(mvtst[[#This Row],[QR Suivis]],"_"),1,4)</f>
        <v>SACF0507-B09-14</v>
      </c>
      <c r="P20" s="35" t="str">
        <f>INDEX(_xlfn.TEXTSPLIT(mvtst[[#This Row],[QR Suivis]],"_"),1,5)</f>
        <v>SAC FOUTA</v>
      </c>
      <c r="Q20" s="35" t="str">
        <f>_xlfn.TEXTAFTER(mvtst[[#This Row],[QR Suivis]],"_",5)</f>
        <v>0507</v>
      </c>
      <c r="R20" s="84" t="str">
        <f>IF(
   COUNTIFS($A$2:A20,A20,
             $B$2:B20,B20,
             $C$2:C20,C20,
             $D$2:D20,D20,
             $G$2:G20,G20)&gt;1,
   "Doublon",
   "Correcte"
)</f>
        <v>Correcte</v>
      </c>
    </row>
    <row r="21" spans="1:18" x14ac:dyDescent="0.25">
      <c r="A21" s="104" t="s">
        <v>1312</v>
      </c>
      <c r="B21" s="35" t="s">
        <v>712</v>
      </c>
      <c r="C21" s="36">
        <v>0</v>
      </c>
      <c r="D21" s="36">
        <v>5</v>
      </c>
      <c r="E21" s="35"/>
      <c r="F21" s="35" t="s">
        <v>664</v>
      </c>
      <c r="G21" s="37">
        <v>45919</v>
      </c>
      <c r="H21" s="37" t="str">
        <f>INDEX(_xlfn.TEXTSPLIT(mvtst[[#This Row],[QR Suivis]],"_"),1,1)</f>
        <v>CA250075</v>
      </c>
      <c r="I21" s="35" t="str">
        <f>_xlfn.TEXTBEFORE(mvtst[[#This Row],[Num Suivis]],"-",,,1)</f>
        <v>CA250075</v>
      </c>
      <c r="J21" s="36">
        <f>SUMIF(mvtst[QR Suivis],mvtst[[#This Row],[QR Suivis]],mvtst[QTE SORTIS])-SUMIF(mvtst[QR Suivis],mvtst[[#This Row],[QR Suivis]],mvtst[QTE RETOUR])</f>
        <v>0</v>
      </c>
      <c r="K21" s="35" t="str">
        <f t="shared" si="0"/>
        <v>Usine</v>
      </c>
      <c r="L21" s="35" t="str">
        <f>_xlfn.XLOOKUP(mvtst[[#This Row],[Sous Traitant]],coordonnee_st[Identification],coordonnee_st[SERVICE],"Non Trouvé")</f>
        <v>Frange</v>
      </c>
      <c r="M21" s="35" t="str">
        <f>INDEX(_xlfn.TEXTSPLIT(mvtst[[#This Row],[QR Suivis]],"_"),1,2)</f>
        <v>All by Fouta</v>
      </c>
      <c r="N21" s="35" t="str">
        <f>INDEX(_xlfn.TEXTSPLIT(mvtst[[#This Row],[QR Suivis]],"_"),1,3)</f>
        <v>Stock</v>
      </c>
      <c r="O21" s="35" t="str">
        <f>INDEX(_xlfn.TEXTSPLIT(mvtst[[#This Row],[QR Suivis]],"_"),1,4)</f>
        <v>UNS2030-26</v>
      </c>
      <c r="P21" s="35" t="str">
        <f>INDEX(_xlfn.TEXTSPLIT(mvtst[[#This Row],[QR Suivis]],"_"),1,5)</f>
        <v>UNI SURPIQUE</v>
      </c>
      <c r="Q21" s="35" t="str">
        <f>_xlfn.TEXTAFTER(mvtst[[#This Row],[QR Suivis]],"_",5)</f>
        <v>2030</v>
      </c>
      <c r="R21" s="84" t="str">
        <f>IF(
   COUNTIFS($A$2:A21,A21,
             $B$2:B21,B21,
             $C$2:C21,C21,
             $D$2:D21,D21,
             $G$2:G21,G21)&gt;1,
   "Doublon",
   "Correcte"
)</f>
        <v>Correcte</v>
      </c>
    </row>
    <row r="22" spans="1:18" x14ac:dyDescent="0.25">
      <c r="A22" s="104" t="s">
        <v>1320</v>
      </c>
      <c r="B22" s="35" t="s">
        <v>712</v>
      </c>
      <c r="C22" s="36">
        <v>0</v>
      </c>
      <c r="D22" s="36">
        <v>5</v>
      </c>
      <c r="E22" s="35"/>
      <c r="F22" s="35" t="s">
        <v>664</v>
      </c>
      <c r="G22" s="37">
        <v>45919</v>
      </c>
      <c r="H22" s="37" t="str">
        <f>INDEX(_xlfn.TEXTSPLIT(mvtst[[#This Row],[QR Suivis]],"_"),1,1)</f>
        <v>CA250064-1</v>
      </c>
      <c r="I22" s="35" t="str">
        <f>_xlfn.TEXTBEFORE(mvtst[[#This Row],[Num Suivis]],"-",,,1)</f>
        <v>CA250064</v>
      </c>
      <c r="J22" s="36">
        <f>SUMIF(mvtst[QR Suivis],mvtst[[#This Row],[QR Suivis]],mvtst[QTE SORTIS])-SUMIF(mvtst[QR Suivis],mvtst[[#This Row],[QR Suivis]],mvtst[QTE RETOUR])</f>
        <v>0</v>
      </c>
      <c r="K22" s="35" t="str">
        <f t="shared" si="0"/>
        <v>Usine</v>
      </c>
      <c r="L22" s="35" t="str">
        <f>_xlfn.XLOOKUP(mvtst[[#This Row],[Sous Traitant]],coordonnee_st[Identification],coordonnee_st[SERVICE],"Non Trouvé")</f>
        <v>Frange</v>
      </c>
      <c r="M22" s="35" t="str">
        <f>INDEX(_xlfn.TEXTSPLIT(mvtst[[#This Row],[QR Suivis]],"_"),1,2)</f>
        <v>All by Fouta</v>
      </c>
      <c r="N22" s="35" t="str">
        <f>INDEX(_xlfn.TEXTSPLIT(mvtst[[#This Row],[QR Suivis]],"_"),1,3)</f>
        <v>Stock</v>
      </c>
      <c r="O22" s="35" t="str">
        <f>INDEX(_xlfn.TEXTSPLIT(mvtst[[#This Row],[QR Suivis]],"_"),1,4)</f>
        <v>UNS2030-09</v>
      </c>
      <c r="P22" s="35" t="str">
        <f>INDEX(_xlfn.TEXTSPLIT(mvtst[[#This Row],[QR Suivis]],"_"),1,5)</f>
        <v>UNI SURPIQUE</v>
      </c>
      <c r="Q22" s="35" t="str">
        <f>_xlfn.TEXTAFTER(mvtst[[#This Row],[QR Suivis]],"_",5)</f>
        <v>2030</v>
      </c>
      <c r="R22" s="84" t="str">
        <f>IF(
   COUNTIFS($A$2:A22,A22,
             $B$2:B22,B22,
             $C$2:C22,C22,
             $D$2:D22,D22,
             $G$2:G22,G22)&gt;1,
   "Doublon",
   "Correcte"
)</f>
        <v>Correcte</v>
      </c>
    </row>
    <row r="23" spans="1:18" x14ac:dyDescent="0.25">
      <c r="A23" s="104" t="s">
        <v>1319</v>
      </c>
      <c r="B23" s="35" t="s">
        <v>712</v>
      </c>
      <c r="C23" s="36">
        <v>0</v>
      </c>
      <c r="D23" s="36">
        <v>5</v>
      </c>
      <c r="E23" s="35"/>
      <c r="F23" s="35" t="s">
        <v>664</v>
      </c>
      <c r="G23" s="37">
        <v>45919</v>
      </c>
      <c r="H23" s="37" t="str">
        <f>INDEX(_xlfn.TEXTSPLIT(mvtst[[#This Row],[QR Suivis]],"_"),1,1)</f>
        <v>CA250011-6</v>
      </c>
      <c r="I23" s="35" t="str">
        <f>_xlfn.TEXTBEFORE(mvtst[[#This Row],[Num Suivis]],"-",,,1)</f>
        <v>CA250011</v>
      </c>
      <c r="J23" s="36">
        <f>SUMIF(mvtst[QR Suivis],mvtst[[#This Row],[QR Suivis]],mvtst[QTE SORTIS])-SUMIF(mvtst[QR Suivis],mvtst[[#This Row],[QR Suivis]],mvtst[QTE RETOUR])</f>
        <v>0</v>
      </c>
      <c r="K23" s="35" t="str">
        <f t="shared" si="0"/>
        <v>Usine</v>
      </c>
      <c r="L23" s="35" t="str">
        <f>_xlfn.XLOOKUP(mvtst[[#This Row],[Sous Traitant]],coordonnee_st[Identification],coordonnee_st[SERVICE],"Non Trouvé")</f>
        <v>Frange</v>
      </c>
      <c r="M23" s="35" t="str">
        <f>INDEX(_xlfn.TEXTSPLIT(mvtst[[#This Row],[QR Suivis]],"_"),1,2)</f>
        <v>All by Fouta</v>
      </c>
      <c r="N23" s="35" t="str">
        <f>INDEX(_xlfn.TEXTSPLIT(mvtst[[#This Row],[QR Suivis]],"_"),1,3)</f>
        <v>Stock</v>
      </c>
      <c r="O23" s="35" t="str">
        <f>INDEX(_xlfn.TEXTSPLIT(mvtst[[#This Row],[QR Suivis]],"_"),1,4)</f>
        <v>UNS1020-19</v>
      </c>
      <c r="P23" s="35" t="str">
        <f>INDEX(_xlfn.TEXTSPLIT(mvtst[[#This Row],[QR Suivis]],"_"),1,5)</f>
        <v>UNI SURPIQUE</v>
      </c>
      <c r="Q23" s="35" t="str">
        <f>_xlfn.TEXTAFTER(mvtst[[#This Row],[QR Suivis]],"_",5)</f>
        <v>1020</v>
      </c>
      <c r="R23" s="84" t="str">
        <f>IF(
   COUNTIFS($A$2:A23,A23,
             $B$2:B23,B23,
             $C$2:C23,C23,
             $D$2:D23,D23,
             $G$2:G23,G23)&gt;1,
   "Doublon",
   "Correcte"
)</f>
        <v>Correcte</v>
      </c>
    </row>
    <row r="24" spans="1:18" x14ac:dyDescent="0.25">
      <c r="A24" s="104" t="s">
        <v>1318</v>
      </c>
      <c r="B24" s="35" t="s">
        <v>712</v>
      </c>
      <c r="C24" s="36">
        <v>0</v>
      </c>
      <c r="D24" s="36">
        <v>5</v>
      </c>
      <c r="E24" s="35"/>
      <c r="F24" s="35" t="s">
        <v>664</v>
      </c>
      <c r="G24" s="37">
        <v>45919</v>
      </c>
      <c r="H24" s="37" t="str">
        <f>INDEX(_xlfn.TEXTSPLIT(mvtst[[#This Row],[QR Suivis]],"_"),1,1)</f>
        <v>CA250006-10</v>
      </c>
      <c r="I24" s="35" t="str">
        <f>_xlfn.TEXTBEFORE(mvtst[[#This Row],[Num Suivis]],"-",,,1)</f>
        <v>CA250006</v>
      </c>
      <c r="J24" s="36">
        <f>SUMIF(mvtst[QR Suivis],mvtst[[#This Row],[QR Suivis]],mvtst[QTE SORTIS])-SUMIF(mvtst[QR Suivis],mvtst[[#This Row],[QR Suivis]],mvtst[QTE RETOUR])</f>
        <v>0</v>
      </c>
      <c r="K24" s="35" t="str">
        <f t="shared" si="0"/>
        <v>Usine</v>
      </c>
      <c r="L24" s="35" t="str">
        <f>_xlfn.XLOOKUP(mvtst[[#This Row],[Sous Traitant]],coordonnee_st[Identification],coordonnee_st[SERVICE],"Non Trouvé")</f>
        <v>Frange</v>
      </c>
      <c r="M24" s="35" t="str">
        <f>INDEX(_xlfn.TEXTSPLIT(mvtst[[#This Row],[QR Suivis]],"_"),1,2)</f>
        <v>All by Fouta</v>
      </c>
      <c r="N24" s="35" t="str">
        <f>INDEX(_xlfn.TEXTSPLIT(mvtst[[#This Row],[QR Suivis]],"_"),1,3)</f>
        <v>Stock</v>
      </c>
      <c r="O24" s="35" t="str">
        <f>INDEX(_xlfn.TEXTSPLIT(mvtst[[#This Row],[QR Suivis]],"_"),1,4)</f>
        <v>UNS1020-12</v>
      </c>
      <c r="P24" s="35" t="str">
        <f>INDEX(_xlfn.TEXTSPLIT(mvtst[[#This Row],[QR Suivis]],"_"),1,5)</f>
        <v>UNI SURPIQUE</v>
      </c>
      <c r="Q24" s="35" t="str">
        <f>_xlfn.TEXTAFTER(mvtst[[#This Row],[QR Suivis]],"_",5)</f>
        <v>1020</v>
      </c>
      <c r="R24" s="84" t="str">
        <f>IF(
   COUNTIFS($A$2:A24,A24,
             $B$2:B24,B24,
             $C$2:C24,C24,
             $D$2:D24,D24,
             $G$2:G24,G24)&gt;1,
   "Doublon",
   "Correcte"
)</f>
        <v>Correcte</v>
      </c>
    </row>
    <row r="25" spans="1:18" x14ac:dyDescent="0.25">
      <c r="A25" s="104" t="s">
        <v>1321</v>
      </c>
      <c r="B25" s="35" t="s">
        <v>712</v>
      </c>
      <c r="C25" s="36">
        <v>0</v>
      </c>
      <c r="D25" s="36">
        <v>5</v>
      </c>
      <c r="E25" s="35"/>
      <c r="F25" s="35" t="s">
        <v>664</v>
      </c>
      <c r="G25" s="37">
        <v>45919</v>
      </c>
      <c r="H25" s="37" t="str">
        <f>INDEX(_xlfn.TEXTSPLIT(mvtst[[#This Row],[QR Suivis]],"_"),1,1)</f>
        <v>CA250062</v>
      </c>
      <c r="I25" s="35" t="str">
        <f>_xlfn.TEXTBEFORE(mvtst[[#This Row],[Num Suivis]],"-",,,1)</f>
        <v>CA250062</v>
      </c>
      <c r="J25" s="36">
        <f>SUMIF(mvtst[QR Suivis],mvtst[[#This Row],[QR Suivis]],mvtst[QTE SORTIS])-SUMIF(mvtst[QR Suivis],mvtst[[#This Row],[QR Suivis]],mvtst[QTE RETOUR])</f>
        <v>0</v>
      </c>
      <c r="K25" s="35" t="str">
        <f t="shared" si="0"/>
        <v>Usine</v>
      </c>
      <c r="L25" s="35" t="str">
        <f>_xlfn.XLOOKUP(mvtst[[#This Row],[Sous Traitant]],coordonnee_st[Identification],coordonnee_st[SERVICE],"Non Trouvé")</f>
        <v>Frange</v>
      </c>
      <c r="M25" s="35" t="str">
        <f>INDEX(_xlfn.TEXTSPLIT(mvtst[[#This Row],[QR Suivis]],"_"),1,2)</f>
        <v>All by Fouta</v>
      </c>
      <c r="N25" s="35" t="str">
        <f>INDEX(_xlfn.TEXTSPLIT(mvtst[[#This Row],[QR Suivis]],"_"),1,3)</f>
        <v>Stock</v>
      </c>
      <c r="O25" s="35" t="str">
        <f>INDEX(_xlfn.TEXTSPLIT(mvtst[[#This Row],[QR Suivis]],"_"),1,4)</f>
        <v>UNS2030-04</v>
      </c>
      <c r="P25" s="35" t="str">
        <f>INDEX(_xlfn.TEXTSPLIT(mvtst[[#This Row],[QR Suivis]],"_"),1,5)</f>
        <v>UNI SURPIQUE</v>
      </c>
      <c r="Q25" s="35" t="str">
        <f>_xlfn.TEXTAFTER(mvtst[[#This Row],[QR Suivis]],"_",5)</f>
        <v>2030</v>
      </c>
      <c r="R25" s="84" t="str">
        <f>IF(
   COUNTIFS($A$2:A25,A25,
             $B$2:B25,B25,
             $C$2:C25,C25,
             $D$2:D25,D25,
             $G$2:G25,G25)&gt;1,
   "Doublon",
   "Correcte"
)</f>
        <v>Correcte</v>
      </c>
    </row>
    <row r="26" spans="1:18" x14ac:dyDescent="0.25">
      <c r="A26" s="104" t="s">
        <v>1322</v>
      </c>
      <c r="B26" s="35" t="s">
        <v>712</v>
      </c>
      <c r="C26" s="36">
        <v>0</v>
      </c>
      <c r="D26" s="36">
        <v>5</v>
      </c>
      <c r="E26" s="35"/>
      <c r="F26" s="35" t="s">
        <v>664</v>
      </c>
      <c r="G26" s="37">
        <v>45919</v>
      </c>
      <c r="H26" s="37" t="str">
        <f>INDEX(_xlfn.TEXTSPLIT(mvtst[[#This Row],[QR Suivis]],"_"),1,1)</f>
        <v>CA250066</v>
      </c>
      <c r="I26" s="35" t="str">
        <f>_xlfn.TEXTBEFORE(mvtst[[#This Row],[Num Suivis]],"-",,,1)</f>
        <v>CA250066</v>
      </c>
      <c r="J26" s="36">
        <f>SUMIF(mvtst[QR Suivis],mvtst[[#This Row],[QR Suivis]],mvtst[QTE SORTIS])-SUMIF(mvtst[QR Suivis],mvtst[[#This Row],[QR Suivis]],mvtst[QTE RETOUR])</f>
        <v>0</v>
      </c>
      <c r="K26" s="35" t="str">
        <f t="shared" si="0"/>
        <v>Usine</v>
      </c>
      <c r="L26" s="35" t="str">
        <f>_xlfn.XLOOKUP(mvtst[[#This Row],[Sous Traitant]],coordonnee_st[Identification],coordonnee_st[SERVICE],"Non Trouvé")</f>
        <v>Frange</v>
      </c>
      <c r="M26" s="35" t="str">
        <f>INDEX(_xlfn.TEXTSPLIT(mvtst[[#This Row],[QR Suivis]],"_"),1,2)</f>
        <v>All by Fouta</v>
      </c>
      <c r="N26" s="35" t="str">
        <f>INDEX(_xlfn.TEXTSPLIT(mvtst[[#This Row],[QR Suivis]],"_"),1,3)</f>
        <v>Stock</v>
      </c>
      <c r="O26" s="35" t="str">
        <f>INDEX(_xlfn.TEXTSPLIT(mvtst[[#This Row],[QR Suivis]],"_"),1,4)</f>
        <v>UNS2030-12</v>
      </c>
      <c r="P26" s="35" t="str">
        <f>INDEX(_xlfn.TEXTSPLIT(mvtst[[#This Row],[QR Suivis]],"_"),1,5)</f>
        <v>UNI SURPIQUE</v>
      </c>
      <c r="Q26" s="35" t="str">
        <f>_xlfn.TEXTAFTER(mvtst[[#This Row],[QR Suivis]],"_",5)</f>
        <v>2030</v>
      </c>
      <c r="R26" s="84" t="str">
        <f>IF(
   COUNTIFS($A$2:A26,A26,
             $B$2:B26,B26,
             $C$2:C26,C26,
             $D$2:D26,D26,
             $G$2:G26,G26)&gt;1,
   "Doublon",
   "Correcte"
)</f>
        <v>Correcte</v>
      </c>
    </row>
    <row r="27" spans="1:18" x14ac:dyDescent="0.25">
      <c r="A27" s="104" t="s">
        <v>1316</v>
      </c>
      <c r="B27" s="35" t="s">
        <v>712</v>
      </c>
      <c r="C27" s="36">
        <v>0</v>
      </c>
      <c r="D27" s="36">
        <v>5</v>
      </c>
      <c r="E27" s="35"/>
      <c r="F27" s="35" t="s">
        <v>664</v>
      </c>
      <c r="G27" s="37">
        <v>45919</v>
      </c>
      <c r="H27" s="37" t="str">
        <f>INDEX(_xlfn.TEXTSPLIT(mvtst[[#This Row],[QR Suivis]],"_"),1,1)</f>
        <v>CA250004-11</v>
      </c>
      <c r="I27" s="35" t="str">
        <f>_xlfn.TEXTBEFORE(mvtst[[#This Row],[Num Suivis]],"-",,,1)</f>
        <v>CA250004</v>
      </c>
      <c r="J27" s="36">
        <f>SUMIF(mvtst[QR Suivis],mvtst[[#This Row],[QR Suivis]],mvtst[QTE SORTIS])-SUMIF(mvtst[QR Suivis],mvtst[[#This Row],[QR Suivis]],mvtst[QTE RETOUR])</f>
        <v>0</v>
      </c>
      <c r="K27" s="35" t="str">
        <f t="shared" si="0"/>
        <v>Usine</v>
      </c>
      <c r="L27" s="35" t="str">
        <f>_xlfn.XLOOKUP(mvtst[[#This Row],[Sous Traitant]],coordonnee_st[Identification],coordonnee_st[SERVICE],"Non Trouvé")</f>
        <v>Frange</v>
      </c>
      <c r="M27" s="35" t="str">
        <f>INDEX(_xlfn.TEXTSPLIT(mvtst[[#This Row],[QR Suivis]],"_"),1,2)</f>
        <v>All by Fouta</v>
      </c>
      <c r="N27" s="35" t="str">
        <f>INDEX(_xlfn.TEXTSPLIT(mvtst[[#This Row],[QR Suivis]],"_"),1,3)</f>
        <v>Stock</v>
      </c>
      <c r="O27" s="35" t="str">
        <f>INDEX(_xlfn.TEXTSPLIT(mvtst[[#This Row],[QR Suivis]],"_"),1,4)</f>
        <v>UNS1020-09</v>
      </c>
      <c r="P27" s="35" t="str">
        <f>INDEX(_xlfn.TEXTSPLIT(mvtst[[#This Row],[QR Suivis]],"_"),1,5)</f>
        <v>UNI SURPIQUE</v>
      </c>
      <c r="Q27" s="35" t="str">
        <f>_xlfn.TEXTAFTER(mvtst[[#This Row],[QR Suivis]],"_",5)</f>
        <v>1020</v>
      </c>
      <c r="R27" s="84" t="str">
        <f>IF(
   COUNTIFS($A$2:A27,A27,
             $B$2:B27,B27,
             $C$2:C27,C27,
             $D$2:D27,D27,
             $G$2:G27,G27)&gt;1,
   "Doublon",
   "Correcte"
)</f>
        <v>Correcte</v>
      </c>
    </row>
    <row r="28" spans="1:18" x14ac:dyDescent="0.25">
      <c r="A28" s="104" t="s">
        <v>1317</v>
      </c>
      <c r="B28" s="35" t="s">
        <v>712</v>
      </c>
      <c r="C28" s="36">
        <v>0</v>
      </c>
      <c r="D28" s="36">
        <v>5</v>
      </c>
      <c r="E28" s="35"/>
      <c r="F28" s="35" t="s">
        <v>664</v>
      </c>
      <c r="G28" s="37">
        <v>45919</v>
      </c>
      <c r="H28" s="37" t="str">
        <f>INDEX(_xlfn.TEXTSPLIT(mvtst[[#This Row],[QR Suivis]],"_"),1,1)</f>
        <v>CA250009-6</v>
      </c>
      <c r="I28" s="35" t="str">
        <f>_xlfn.TEXTBEFORE(mvtst[[#This Row],[Num Suivis]],"-",,,1)</f>
        <v>CA250009</v>
      </c>
      <c r="J28" s="36">
        <f>SUMIF(mvtst[QR Suivis],mvtst[[#This Row],[QR Suivis]],mvtst[QTE SORTIS])-SUMIF(mvtst[QR Suivis],mvtst[[#This Row],[QR Suivis]],mvtst[QTE RETOUR])</f>
        <v>0</v>
      </c>
      <c r="K28" s="35" t="str">
        <f t="shared" si="0"/>
        <v>Usine</v>
      </c>
      <c r="L28" s="35" t="str">
        <f>_xlfn.XLOOKUP(mvtst[[#This Row],[Sous Traitant]],coordonnee_st[Identification],coordonnee_st[SERVICE],"Non Trouvé")</f>
        <v>Frange</v>
      </c>
      <c r="M28" s="35" t="str">
        <f>INDEX(_xlfn.TEXTSPLIT(mvtst[[#This Row],[QR Suivis]],"_"),1,2)</f>
        <v>All by Fouta</v>
      </c>
      <c r="N28" s="35" t="str">
        <f>INDEX(_xlfn.TEXTSPLIT(mvtst[[#This Row],[QR Suivis]],"_"),1,3)</f>
        <v>Stock</v>
      </c>
      <c r="O28" s="35" t="str">
        <f>INDEX(_xlfn.TEXTSPLIT(mvtst[[#This Row],[QR Suivis]],"_"),1,4)</f>
        <v>UNS1020-17</v>
      </c>
      <c r="P28" s="35" t="str">
        <f>INDEX(_xlfn.TEXTSPLIT(mvtst[[#This Row],[QR Suivis]],"_"),1,5)</f>
        <v>UNI SURPIQUE</v>
      </c>
      <c r="Q28" s="35" t="str">
        <f>_xlfn.TEXTAFTER(mvtst[[#This Row],[QR Suivis]],"_",5)</f>
        <v>1020</v>
      </c>
      <c r="R28" s="84" t="str">
        <f>IF(
   COUNTIFS($A$2:A28,A28,
             $B$2:B28,B28,
             $C$2:C28,C28,
             $D$2:D28,D28,
             $G$2:G28,G28)&gt;1,
   "Doublon",
   "Correcte"
)</f>
        <v>Correcte</v>
      </c>
    </row>
    <row r="29" spans="1:18" x14ac:dyDescent="0.25">
      <c r="A29" s="104" t="s">
        <v>1330</v>
      </c>
      <c r="B29" s="35" t="s">
        <v>596</v>
      </c>
      <c r="C29" s="36">
        <v>5</v>
      </c>
      <c r="D29" s="36">
        <v>0</v>
      </c>
      <c r="E29" s="35"/>
      <c r="F29" s="35" t="s">
        <v>664</v>
      </c>
      <c r="G29" s="37">
        <v>45919</v>
      </c>
      <c r="H29" s="37" t="str">
        <f>INDEX(_xlfn.TEXTSPLIT(mvtst[[#This Row],[QR Suivis]],"_"),1,1)</f>
        <v>CA250474-9</v>
      </c>
      <c r="I29" s="35" t="str">
        <f>_xlfn.TEXTBEFORE(mvtst[[#This Row],[Num Suivis]],"-",,,1)</f>
        <v>CA250474</v>
      </c>
      <c r="J29" s="36">
        <f>SUMIF(mvtst[QR Suivis],mvtst[[#This Row],[QR Suivis]],mvtst[QTE SORTIS])-SUMIF(mvtst[QR Suivis],mvtst[[#This Row],[QR Suivis]],mvtst[QTE RETOUR])</f>
        <v>0</v>
      </c>
      <c r="K29" s="35" t="str">
        <f t="shared" si="0"/>
        <v>Usine</v>
      </c>
      <c r="L29" s="35" t="str">
        <f>_xlfn.XLOOKUP(mvtst[[#This Row],[Sous Traitant]],coordonnee_st[Identification],coordonnee_st[SERVICE],"Non Trouvé")</f>
        <v>Frange</v>
      </c>
      <c r="M29" s="35" t="str">
        <f>INDEX(_xlfn.TEXTSPLIT(mvtst[[#This Row],[QR Suivis]],"_"),1,2)</f>
        <v>All by Fouta</v>
      </c>
      <c r="N29" s="35" t="str">
        <f>INDEX(_xlfn.TEXTSPLIT(mvtst[[#This Row],[QR Suivis]],"_"),1,3)</f>
        <v>Stock</v>
      </c>
      <c r="O29" s="35" t="str">
        <f>INDEX(_xlfn.TEXTSPLIT(mvtst[[#This Row],[QR Suivis]],"_"),1,4)</f>
        <v>FAF1020-B06-08</v>
      </c>
      <c r="P29" s="35" t="str">
        <f>INDEX(_xlfn.TEXTSPLIT(mvtst[[#This Row],[QR Suivis]],"_"),1,5)</f>
        <v>FIL A FIL</v>
      </c>
      <c r="Q29" s="35" t="str">
        <f>_xlfn.TEXTAFTER(mvtst[[#This Row],[QR Suivis]],"_",5)</f>
        <v>1020</v>
      </c>
      <c r="R29" s="84" t="str">
        <f>IF(
   COUNTIFS($A$2:A29,A29,
             $B$2:B29,B29,
             $C$2:C29,C29,
             $D$2:D29,D29,
             $G$2:G29,G29)&gt;1,
   "Doublon",
   "Correcte"
)</f>
        <v>Correcte</v>
      </c>
    </row>
    <row r="30" spans="1:18" x14ac:dyDescent="0.25">
      <c r="A30" s="104" t="s">
        <v>1331</v>
      </c>
      <c r="B30" s="35" t="s">
        <v>596</v>
      </c>
      <c r="C30" s="36">
        <v>5</v>
      </c>
      <c r="D30" s="36">
        <v>0</v>
      </c>
      <c r="E30" s="35"/>
      <c r="F30" s="35" t="s">
        <v>664</v>
      </c>
      <c r="G30" s="37">
        <v>45919</v>
      </c>
      <c r="H30" s="37" t="str">
        <f>INDEX(_xlfn.TEXTSPLIT(mvtst[[#This Row],[QR Suivis]],"_"),1,1)</f>
        <v>CA250474-8</v>
      </c>
      <c r="I30" s="35" t="str">
        <f>_xlfn.TEXTBEFORE(mvtst[[#This Row],[Num Suivis]],"-",,,1)</f>
        <v>CA250474</v>
      </c>
      <c r="J30" s="36">
        <f>SUMIF(mvtst[QR Suivis],mvtst[[#This Row],[QR Suivis]],mvtst[QTE SORTIS])-SUMIF(mvtst[QR Suivis],mvtst[[#This Row],[QR Suivis]],mvtst[QTE RETOUR])</f>
        <v>0</v>
      </c>
      <c r="K30" s="35" t="str">
        <f t="shared" si="0"/>
        <v>Usine</v>
      </c>
      <c r="L30" s="35" t="str">
        <f>_xlfn.XLOOKUP(mvtst[[#This Row],[Sous Traitant]],coordonnee_st[Identification],coordonnee_st[SERVICE],"Non Trouvé")</f>
        <v>Frange</v>
      </c>
      <c r="M30" s="35" t="str">
        <f>INDEX(_xlfn.TEXTSPLIT(mvtst[[#This Row],[QR Suivis]],"_"),1,2)</f>
        <v>All by Fouta</v>
      </c>
      <c r="N30" s="35" t="str">
        <f>INDEX(_xlfn.TEXTSPLIT(mvtst[[#This Row],[QR Suivis]],"_"),1,3)</f>
        <v>Stock</v>
      </c>
      <c r="O30" s="35" t="str">
        <f>INDEX(_xlfn.TEXTSPLIT(mvtst[[#This Row],[QR Suivis]],"_"),1,4)</f>
        <v>FAF1020-B06-08</v>
      </c>
      <c r="P30" s="35" t="str">
        <f>INDEX(_xlfn.TEXTSPLIT(mvtst[[#This Row],[QR Suivis]],"_"),1,5)</f>
        <v>FIL A FIL</v>
      </c>
      <c r="Q30" s="35" t="str">
        <f>_xlfn.TEXTAFTER(mvtst[[#This Row],[QR Suivis]],"_",5)</f>
        <v>1020</v>
      </c>
      <c r="R30" s="84" t="str">
        <f>IF(
   COUNTIFS($A$2:A30,A30,
             $B$2:B30,B30,
             $C$2:C30,C30,
             $D$2:D30,D30,
             $G$2:G30,G30)&gt;1,
   "Doublon",
   "Correcte"
)</f>
        <v>Correcte</v>
      </c>
    </row>
    <row r="31" spans="1:18" x14ac:dyDescent="0.25">
      <c r="A31" s="104" t="s">
        <v>1332</v>
      </c>
      <c r="B31" s="35" t="s">
        <v>596</v>
      </c>
      <c r="C31" s="36">
        <v>5</v>
      </c>
      <c r="D31" s="36">
        <v>0</v>
      </c>
      <c r="E31" s="35"/>
      <c r="F31" s="35" t="s">
        <v>664</v>
      </c>
      <c r="G31" s="37">
        <v>45919</v>
      </c>
      <c r="H31" s="37" t="str">
        <f>INDEX(_xlfn.TEXTSPLIT(mvtst[[#This Row],[QR Suivis]],"_"),1,1)</f>
        <v>CA250474-12</v>
      </c>
      <c r="I31" s="35" t="str">
        <f>_xlfn.TEXTBEFORE(mvtst[[#This Row],[Num Suivis]],"-",,,1)</f>
        <v>CA250474</v>
      </c>
      <c r="J31" s="36">
        <f>SUMIF(mvtst[QR Suivis],mvtst[[#This Row],[QR Suivis]],mvtst[QTE SORTIS])-SUMIF(mvtst[QR Suivis],mvtst[[#This Row],[QR Suivis]],mvtst[QTE RETOUR])</f>
        <v>0</v>
      </c>
      <c r="K31" s="35" t="str">
        <f t="shared" si="0"/>
        <v>Usine</v>
      </c>
      <c r="L31" s="35" t="str">
        <f>_xlfn.XLOOKUP(mvtst[[#This Row],[Sous Traitant]],coordonnee_st[Identification],coordonnee_st[SERVICE],"Non Trouvé")</f>
        <v>Frange</v>
      </c>
      <c r="M31" s="35" t="str">
        <f>INDEX(_xlfn.TEXTSPLIT(mvtst[[#This Row],[QR Suivis]],"_"),1,2)</f>
        <v>All by Fouta</v>
      </c>
      <c r="N31" s="35" t="str">
        <f>INDEX(_xlfn.TEXTSPLIT(mvtst[[#This Row],[QR Suivis]],"_"),1,3)</f>
        <v>Stock</v>
      </c>
      <c r="O31" s="35" t="str">
        <f>INDEX(_xlfn.TEXTSPLIT(mvtst[[#This Row],[QR Suivis]],"_"),1,4)</f>
        <v>FAF1020-B06-08</v>
      </c>
      <c r="P31" s="35" t="str">
        <f>INDEX(_xlfn.TEXTSPLIT(mvtst[[#This Row],[QR Suivis]],"_"),1,5)</f>
        <v>FIL A FIL</v>
      </c>
      <c r="Q31" s="35" t="str">
        <f>_xlfn.TEXTAFTER(mvtst[[#This Row],[QR Suivis]],"_",5)</f>
        <v>1020</v>
      </c>
      <c r="R31" s="84" t="str">
        <f>IF(
   COUNTIFS($A$2:A31,A31,
             $B$2:B31,B31,
             $C$2:C31,C31,
             $D$2:D31,D31,
             $G$2:G31,G31)&gt;1,
   "Doublon",
   "Correcte"
)</f>
        <v>Correcte</v>
      </c>
    </row>
    <row r="32" spans="1:18" x14ac:dyDescent="0.25">
      <c r="A32" s="104" t="s">
        <v>1333</v>
      </c>
      <c r="B32" s="35" t="s">
        <v>596</v>
      </c>
      <c r="C32" s="36">
        <v>5</v>
      </c>
      <c r="D32" s="36">
        <v>0</v>
      </c>
      <c r="E32" s="35"/>
      <c r="F32" s="35" t="s">
        <v>664</v>
      </c>
      <c r="G32" s="37">
        <v>45919</v>
      </c>
      <c r="H32" s="37" t="str">
        <f>INDEX(_xlfn.TEXTSPLIT(mvtst[[#This Row],[QR Suivis]],"_"),1,1)</f>
        <v>CA250474-3</v>
      </c>
      <c r="I32" s="35" t="str">
        <f>_xlfn.TEXTBEFORE(mvtst[[#This Row],[Num Suivis]],"-",,,1)</f>
        <v>CA250474</v>
      </c>
      <c r="J32" s="36">
        <f>SUMIF(mvtst[QR Suivis],mvtst[[#This Row],[QR Suivis]],mvtst[QTE SORTIS])-SUMIF(mvtst[QR Suivis],mvtst[[#This Row],[QR Suivis]],mvtst[QTE RETOUR])</f>
        <v>0</v>
      </c>
      <c r="K32" s="35" t="str">
        <f t="shared" si="0"/>
        <v>Usine</v>
      </c>
      <c r="L32" s="35" t="str">
        <f>_xlfn.XLOOKUP(mvtst[[#This Row],[Sous Traitant]],coordonnee_st[Identification],coordonnee_st[SERVICE],"Non Trouvé")</f>
        <v>Frange</v>
      </c>
      <c r="M32" s="35" t="str">
        <f>INDEX(_xlfn.TEXTSPLIT(mvtst[[#This Row],[QR Suivis]],"_"),1,2)</f>
        <v>All by Fouta</v>
      </c>
      <c r="N32" s="35" t="str">
        <f>INDEX(_xlfn.TEXTSPLIT(mvtst[[#This Row],[QR Suivis]],"_"),1,3)</f>
        <v>Stock</v>
      </c>
      <c r="O32" s="35" t="str">
        <f>INDEX(_xlfn.TEXTSPLIT(mvtst[[#This Row],[QR Suivis]],"_"),1,4)</f>
        <v>FAF1020-B06-08</v>
      </c>
      <c r="P32" s="35" t="str">
        <f>INDEX(_xlfn.TEXTSPLIT(mvtst[[#This Row],[QR Suivis]],"_"),1,5)</f>
        <v>FIL A FIL</v>
      </c>
      <c r="Q32" s="35" t="str">
        <f>_xlfn.TEXTAFTER(mvtst[[#This Row],[QR Suivis]],"_",5)</f>
        <v>1020</v>
      </c>
      <c r="R32" s="84" t="str">
        <f>IF(
   COUNTIFS($A$2:A32,A32,
             $B$2:B32,B32,
             $C$2:C32,C32,
             $D$2:D32,D32,
             $G$2:G32,G32)&gt;1,
   "Doublon",
   "Correcte"
)</f>
        <v>Correcte</v>
      </c>
    </row>
    <row r="33" spans="1:18" x14ac:dyDescent="0.25">
      <c r="A33" s="104" t="s">
        <v>1334</v>
      </c>
      <c r="B33" s="35" t="s">
        <v>596</v>
      </c>
      <c r="C33" s="36">
        <v>5</v>
      </c>
      <c r="D33" s="36">
        <v>0</v>
      </c>
      <c r="E33" s="35"/>
      <c r="F33" s="35" t="s">
        <v>664</v>
      </c>
      <c r="G33" s="37">
        <v>45919</v>
      </c>
      <c r="H33" s="37" t="str">
        <f>INDEX(_xlfn.TEXTSPLIT(mvtst[[#This Row],[QR Suivis]],"_"),1,1)</f>
        <v>CA250474-1</v>
      </c>
      <c r="I33" s="35" t="str">
        <f>_xlfn.TEXTBEFORE(mvtst[[#This Row],[Num Suivis]],"-",,,1)</f>
        <v>CA250474</v>
      </c>
      <c r="J33" s="36">
        <f>SUMIF(mvtst[QR Suivis],mvtst[[#This Row],[QR Suivis]],mvtst[QTE SORTIS])-SUMIF(mvtst[QR Suivis],mvtst[[#This Row],[QR Suivis]],mvtst[QTE RETOUR])</f>
        <v>0</v>
      </c>
      <c r="K33" s="35" t="str">
        <f t="shared" si="0"/>
        <v>Usine</v>
      </c>
      <c r="L33" s="35" t="str">
        <f>_xlfn.XLOOKUP(mvtst[[#This Row],[Sous Traitant]],coordonnee_st[Identification],coordonnee_st[SERVICE],"Non Trouvé")</f>
        <v>Frange</v>
      </c>
      <c r="M33" s="35" t="str">
        <f>INDEX(_xlfn.TEXTSPLIT(mvtst[[#This Row],[QR Suivis]],"_"),1,2)</f>
        <v>All by Fouta</v>
      </c>
      <c r="N33" s="35" t="str">
        <f>INDEX(_xlfn.TEXTSPLIT(mvtst[[#This Row],[QR Suivis]],"_"),1,3)</f>
        <v>Stock</v>
      </c>
      <c r="O33" s="35" t="str">
        <f>INDEX(_xlfn.TEXTSPLIT(mvtst[[#This Row],[QR Suivis]],"_"),1,4)</f>
        <v>FAF1020-B06-08</v>
      </c>
      <c r="P33" s="35" t="str">
        <f>INDEX(_xlfn.TEXTSPLIT(mvtst[[#This Row],[QR Suivis]],"_"),1,5)</f>
        <v>FIL A FIL</v>
      </c>
      <c r="Q33" s="35" t="str">
        <f>_xlfn.TEXTAFTER(mvtst[[#This Row],[QR Suivis]],"_",5)</f>
        <v>1020</v>
      </c>
      <c r="R33" s="84" t="str">
        <f>IF(
   COUNTIFS($A$2:A33,A33,
             $B$2:B33,B33,
             $C$2:C33,C33,
             $D$2:D33,D33,
             $G$2:G33,G33)&gt;1,
   "Doublon",
   "Correcte"
)</f>
        <v>Correcte</v>
      </c>
    </row>
    <row r="34" spans="1:18" x14ac:dyDescent="0.25">
      <c r="A34" s="104" t="s">
        <v>1335</v>
      </c>
      <c r="B34" s="35" t="s">
        <v>596</v>
      </c>
      <c r="C34" s="36">
        <v>5</v>
      </c>
      <c r="D34" s="36">
        <v>0</v>
      </c>
      <c r="E34" s="35"/>
      <c r="F34" s="35" t="s">
        <v>664</v>
      </c>
      <c r="G34" s="37">
        <v>45919</v>
      </c>
      <c r="H34" s="37" t="str">
        <f>INDEX(_xlfn.TEXTSPLIT(mvtst[[#This Row],[QR Suivis]],"_"),1,1)</f>
        <v>CA250474-10</v>
      </c>
      <c r="I34" s="35" t="str">
        <f>_xlfn.TEXTBEFORE(mvtst[[#This Row],[Num Suivis]],"-",,,1)</f>
        <v>CA250474</v>
      </c>
      <c r="J34" s="36">
        <f>SUMIF(mvtst[QR Suivis],mvtst[[#This Row],[QR Suivis]],mvtst[QTE SORTIS])-SUMIF(mvtst[QR Suivis],mvtst[[#This Row],[QR Suivis]],mvtst[QTE RETOUR])</f>
        <v>0</v>
      </c>
      <c r="K34" s="35" t="str">
        <f t="shared" si="0"/>
        <v>Usine</v>
      </c>
      <c r="L34" s="35" t="str">
        <f>_xlfn.XLOOKUP(mvtst[[#This Row],[Sous Traitant]],coordonnee_st[Identification],coordonnee_st[SERVICE],"Non Trouvé")</f>
        <v>Frange</v>
      </c>
      <c r="M34" s="35" t="str">
        <f>INDEX(_xlfn.TEXTSPLIT(mvtst[[#This Row],[QR Suivis]],"_"),1,2)</f>
        <v>All by Fouta</v>
      </c>
      <c r="N34" s="35" t="str">
        <f>INDEX(_xlfn.TEXTSPLIT(mvtst[[#This Row],[QR Suivis]],"_"),1,3)</f>
        <v>Stock</v>
      </c>
      <c r="O34" s="35" t="str">
        <f>INDEX(_xlfn.TEXTSPLIT(mvtst[[#This Row],[QR Suivis]],"_"),1,4)</f>
        <v>FAF1020-B06-08</v>
      </c>
      <c r="P34" s="35" t="str">
        <f>INDEX(_xlfn.TEXTSPLIT(mvtst[[#This Row],[QR Suivis]],"_"),1,5)</f>
        <v>FIL A FIL</v>
      </c>
      <c r="Q34" s="35" t="str">
        <f>_xlfn.TEXTAFTER(mvtst[[#This Row],[QR Suivis]],"_",5)</f>
        <v>1020</v>
      </c>
      <c r="R34" s="84" t="str">
        <f>IF(
   COUNTIFS($A$2:A34,A34,
             $B$2:B34,B34,
             $C$2:C34,C34,
             $D$2:D34,D34,
             $G$2:G34,G34)&gt;1,
   "Doublon",
   "Correcte"
)</f>
        <v>Correcte</v>
      </c>
    </row>
    <row r="35" spans="1:18" x14ac:dyDescent="0.25">
      <c r="A35" s="104" t="s">
        <v>1336</v>
      </c>
      <c r="B35" s="35" t="s">
        <v>596</v>
      </c>
      <c r="C35" s="36">
        <v>5</v>
      </c>
      <c r="D35" s="36">
        <v>0</v>
      </c>
      <c r="E35" s="35"/>
      <c r="F35" s="35" t="s">
        <v>664</v>
      </c>
      <c r="G35" s="37">
        <v>45919</v>
      </c>
      <c r="H35" s="37" t="str">
        <f>INDEX(_xlfn.TEXTSPLIT(mvtst[[#This Row],[QR Suivis]],"_"),1,1)</f>
        <v>CA250474-11</v>
      </c>
      <c r="I35" s="35" t="str">
        <f>_xlfn.TEXTBEFORE(mvtst[[#This Row],[Num Suivis]],"-",,,1)</f>
        <v>CA250474</v>
      </c>
      <c r="J35" s="36">
        <f>SUMIF(mvtst[QR Suivis],mvtst[[#This Row],[QR Suivis]],mvtst[QTE SORTIS])-SUMIF(mvtst[QR Suivis],mvtst[[#This Row],[QR Suivis]],mvtst[QTE RETOUR])</f>
        <v>0</v>
      </c>
      <c r="K35" s="35" t="str">
        <f t="shared" si="0"/>
        <v>Usine</v>
      </c>
      <c r="L35" s="35" t="str">
        <f>_xlfn.XLOOKUP(mvtst[[#This Row],[Sous Traitant]],coordonnee_st[Identification],coordonnee_st[SERVICE],"Non Trouvé")</f>
        <v>Frange</v>
      </c>
      <c r="M35" s="35" t="str">
        <f>INDEX(_xlfn.TEXTSPLIT(mvtst[[#This Row],[QR Suivis]],"_"),1,2)</f>
        <v>All by Fouta</v>
      </c>
      <c r="N35" s="35" t="str">
        <f>INDEX(_xlfn.TEXTSPLIT(mvtst[[#This Row],[QR Suivis]],"_"),1,3)</f>
        <v>Stock</v>
      </c>
      <c r="O35" s="35" t="str">
        <f>INDEX(_xlfn.TEXTSPLIT(mvtst[[#This Row],[QR Suivis]],"_"),1,4)</f>
        <v>FAF1020-B06-08</v>
      </c>
      <c r="P35" s="35" t="str">
        <f>INDEX(_xlfn.TEXTSPLIT(mvtst[[#This Row],[QR Suivis]],"_"),1,5)</f>
        <v>FIL A FIL</v>
      </c>
      <c r="Q35" s="35" t="str">
        <f>_xlfn.TEXTAFTER(mvtst[[#This Row],[QR Suivis]],"_",5)</f>
        <v>1020</v>
      </c>
      <c r="R35" s="84" t="str">
        <f>IF(
   COUNTIFS($A$2:A35,A35,
             $B$2:B35,B35,
             $C$2:C35,C35,
             $D$2:D35,D35,
             $G$2:G35,G35)&gt;1,
   "Doublon",
   "Correcte"
)</f>
        <v>Correcte</v>
      </c>
    </row>
    <row r="36" spans="1:18" x14ac:dyDescent="0.25">
      <c r="A36" s="104" t="s">
        <v>1337</v>
      </c>
      <c r="B36" s="35" t="s">
        <v>596</v>
      </c>
      <c r="C36" s="36">
        <v>5</v>
      </c>
      <c r="D36" s="36">
        <v>0</v>
      </c>
      <c r="E36" s="35"/>
      <c r="F36" s="35" t="s">
        <v>664</v>
      </c>
      <c r="G36" s="37">
        <v>45919</v>
      </c>
      <c r="H36" s="37" t="str">
        <f>INDEX(_xlfn.TEXTSPLIT(mvtst[[#This Row],[QR Suivis]],"_"),1,1)</f>
        <v>CA250474-7</v>
      </c>
      <c r="I36" s="35" t="str">
        <f>_xlfn.TEXTBEFORE(mvtst[[#This Row],[Num Suivis]],"-",,,1)</f>
        <v>CA250474</v>
      </c>
      <c r="J36" s="36">
        <f>SUMIF(mvtst[QR Suivis],mvtst[[#This Row],[QR Suivis]],mvtst[QTE SORTIS])-SUMIF(mvtst[QR Suivis],mvtst[[#This Row],[QR Suivis]],mvtst[QTE RETOUR])</f>
        <v>0</v>
      </c>
      <c r="K36" s="35" t="str">
        <f t="shared" si="0"/>
        <v>Usine</v>
      </c>
      <c r="L36" s="35" t="str">
        <f>_xlfn.XLOOKUP(mvtst[[#This Row],[Sous Traitant]],coordonnee_st[Identification],coordonnee_st[SERVICE],"Non Trouvé")</f>
        <v>Frange</v>
      </c>
      <c r="M36" s="35" t="str">
        <f>INDEX(_xlfn.TEXTSPLIT(mvtst[[#This Row],[QR Suivis]],"_"),1,2)</f>
        <v>All by Fouta</v>
      </c>
      <c r="N36" s="35" t="str">
        <f>INDEX(_xlfn.TEXTSPLIT(mvtst[[#This Row],[QR Suivis]],"_"),1,3)</f>
        <v>Stock</v>
      </c>
      <c r="O36" s="35" t="str">
        <f>INDEX(_xlfn.TEXTSPLIT(mvtst[[#This Row],[QR Suivis]],"_"),1,4)</f>
        <v>FAF1020-B06-08</v>
      </c>
      <c r="P36" s="35" t="str">
        <f>INDEX(_xlfn.TEXTSPLIT(mvtst[[#This Row],[QR Suivis]],"_"),1,5)</f>
        <v>FIL A FIL</v>
      </c>
      <c r="Q36" s="35" t="str">
        <f>_xlfn.TEXTAFTER(mvtst[[#This Row],[QR Suivis]],"_",5)</f>
        <v>1020</v>
      </c>
      <c r="R36" s="84" t="str">
        <f>IF(
   COUNTIFS($A$2:A36,A36,
             $B$2:B36,B36,
             $C$2:C36,C36,
             $D$2:D36,D36,
             $G$2:G36,G36)&gt;1,
   "Doublon",
   "Correcte"
)</f>
        <v>Correcte</v>
      </c>
    </row>
    <row r="37" spans="1:18" x14ac:dyDescent="0.25">
      <c r="A37" s="104" t="s">
        <v>1338</v>
      </c>
      <c r="B37" s="35" t="s">
        <v>596</v>
      </c>
      <c r="C37" s="36">
        <v>5</v>
      </c>
      <c r="D37" s="36">
        <v>0</v>
      </c>
      <c r="E37" s="35"/>
      <c r="F37" s="35" t="s">
        <v>664</v>
      </c>
      <c r="G37" s="37">
        <v>45919</v>
      </c>
      <c r="H37" s="37" t="str">
        <f>INDEX(_xlfn.TEXTSPLIT(mvtst[[#This Row],[QR Suivis]],"_"),1,1)</f>
        <v>CA250474-2</v>
      </c>
      <c r="I37" s="35" t="str">
        <f>_xlfn.TEXTBEFORE(mvtst[[#This Row],[Num Suivis]],"-",,,1)</f>
        <v>CA250474</v>
      </c>
      <c r="J37" s="36">
        <f>SUMIF(mvtst[QR Suivis],mvtst[[#This Row],[QR Suivis]],mvtst[QTE SORTIS])-SUMIF(mvtst[QR Suivis],mvtst[[#This Row],[QR Suivis]],mvtst[QTE RETOUR])</f>
        <v>0</v>
      </c>
      <c r="K37" s="35" t="str">
        <f t="shared" si="0"/>
        <v>Usine</v>
      </c>
      <c r="L37" s="35" t="str">
        <f>_xlfn.XLOOKUP(mvtst[[#This Row],[Sous Traitant]],coordonnee_st[Identification],coordonnee_st[SERVICE],"Non Trouvé")</f>
        <v>Frange</v>
      </c>
      <c r="M37" s="35" t="str">
        <f>INDEX(_xlfn.TEXTSPLIT(mvtst[[#This Row],[QR Suivis]],"_"),1,2)</f>
        <v>All by Fouta</v>
      </c>
      <c r="N37" s="35" t="str">
        <f>INDEX(_xlfn.TEXTSPLIT(mvtst[[#This Row],[QR Suivis]],"_"),1,3)</f>
        <v>Stock</v>
      </c>
      <c r="O37" s="35" t="str">
        <f>INDEX(_xlfn.TEXTSPLIT(mvtst[[#This Row],[QR Suivis]],"_"),1,4)</f>
        <v>FAF1020-B06-08</v>
      </c>
      <c r="P37" s="35" t="str">
        <f>INDEX(_xlfn.TEXTSPLIT(mvtst[[#This Row],[QR Suivis]],"_"),1,5)</f>
        <v>FIL A FIL</v>
      </c>
      <c r="Q37" s="35" t="str">
        <f>_xlfn.TEXTAFTER(mvtst[[#This Row],[QR Suivis]],"_",5)</f>
        <v>1020</v>
      </c>
      <c r="R37" s="84" t="str">
        <f>IF(
   COUNTIFS($A$2:A37,A37,
             $B$2:B37,B37,
             $C$2:C37,C37,
             $D$2:D37,D37,
             $G$2:G37,G37)&gt;1,
   "Doublon",
   "Correcte"
)</f>
        <v>Correcte</v>
      </c>
    </row>
    <row r="38" spans="1:18" x14ac:dyDescent="0.25">
      <c r="A38" s="104" t="s">
        <v>1339</v>
      </c>
      <c r="B38" s="35" t="s">
        <v>596</v>
      </c>
      <c r="C38" s="36">
        <v>5</v>
      </c>
      <c r="D38" s="36">
        <v>0</v>
      </c>
      <c r="E38" s="35"/>
      <c r="F38" s="35" t="s">
        <v>664</v>
      </c>
      <c r="G38" s="37">
        <v>45919</v>
      </c>
      <c r="H38" s="37" t="str">
        <f>INDEX(_xlfn.TEXTSPLIT(mvtst[[#This Row],[QR Suivis]],"_"),1,1)</f>
        <v>CA250474-4</v>
      </c>
      <c r="I38" s="35" t="str">
        <f>_xlfn.TEXTBEFORE(mvtst[[#This Row],[Num Suivis]],"-",,,1)</f>
        <v>CA250474</v>
      </c>
      <c r="J38" s="36">
        <f>SUMIF(mvtst[QR Suivis],mvtst[[#This Row],[QR Suivis]],mvtst[QTE SORTIS])-SUMIF(mvtst[QR Suivis],mvtst[[#This Row],[QR Suivis]],mvtst[QTE RETOUR])</f>
        <v>0</v>
      </c>
      <c r="K38" s="35" t="str">
        <f t="shared" si="0"/>
        <v>Usine</v>
      </c>
      <c r="L38" s="35" t="str">
        <f>_xlfn.XLOOKUP(mvtst[[#This Row],[Sous Traitant]],coordonnee_st[Identification],coordonnee_st[SERVICE],"Non Trouvé")</f>
        <v>Frange</v>
      </c>
      <c r="M38" s="35" t="str">
        <f>INDEX(_xlfn.TEXTSPLIT(mvtst[[#This Row],[QR Suivis]],"_"),1,2)</f>
        <v>All by Fouta</v>
      </c>
      <c r="N38" s="35" t="str">
        <f>INDEX(_xlfn.TEXTSPLIT(mvtst[[#This Row],[QR Suivis]],"_"),1,3)</f>
        <v>Stock</v>
      </c>
      <c r="O38" s="35" t="str">
        <f>INDEX(_xlfn.TEXTSPLIT(mvtst[[#This Row],[QR Suivis]],"_"),1,4)</f>
        <v>FAF1020-B06-08</v>
      </c>
      <c r="P38" s="35" t="str">
        <f>INDEX(_xlfn.TEXTSPLIT(mvtst[[#This Row],[QR Suivis]],"_"),1,5)</f>
        <v>FIL A FIL</v>
      </c>
      <c r="Q38" s="35" t="str">
        <f>_xlfn.TEXTAFTER(mvtst[[#This Row],[QR Suivis]],"_",5)</f>
        <v>1020</v>
      </c>
      <c r="R38" s="84" t="str">
        <f>IF(
   COUNTIFS($A$2:A38,A38,
             $B$2:B38,B38,
             $C$2:C38,C38,
             $D$2:D38,D38,
             $G$2:G38,G38)&gt;1,
   "Doublon",
   "Correcte"
)</f>
        <v>Correcte</v>
      </c>
    </row>
    <row r="39" spans="1:18" x14ac:dyDescent="0.25">
      <c r="A39" s="104" t="s">
        <v>1340</v>
      </c>
      <c r="B39" s="35" t="s">
        <v>596</v>
      </c>
      <c r="C39" s="36">
        <v>5</v>
      </c>
      <c r="D39" s="36">
        <v>0</v>
      </c>
      <c r="E39" s="35"/>
      <c r="F39" s="35" t="s">
        <v>664</v>
      </c>
      <c r="G39" s="37">
        <v>45919</v>
      </c>
      <c r="H39" s="37" t="str">
        <f>INDEX(_xlfn.TEXTSPLIT(mvtst[[#This Row],[QR Suivis]],"_"),1,1)</f>
        <v>CA250474-5</v>
      </c>
      <c r="I39" s="35" t="str">
        <f>_xlfn.TEXTBEFORE(mvtst[[#This Row],[Num Suivis]],"-",,,1)</f>
        <v>CA250474</v>
      </c>
      <c r="J39" s="36">
        <f>SUMIF(mvtst[QR Suivis],mvtst[[#This Row],[QR Suivis]],mvtst[QTE SORTIS])-SUMIF(mvtst[QR Suivis],mvtst[[#This Row],[QR Suivis]],mvtst[QTE RETOUR])</f>
        <v>0</v>
      </c>
      <c r="K39" s="35" t="str">
        <f t="shared" si="0"/>
        <v>Usine</v>
      </c>
      <c r="L39" s="35" t="str">
        <f>_xlfn.XLOOKUP(mvtst[[#This Row],[Sous Traitant]],coordonnee_st[Identification],coordonnee_st[SERVICE],"Non Trouvé")</f>
        <v>Frange</v>
      </c>
      <c r="M39" s="35" t="str">
        <f>INDEX(_xlfn.TEXTSPLIT(mvtst[[#This Row],[QR Suivis]],"_"),1,2)</f>
        <v>All by Fouta</v>
      </c>
      <c r="N39" s="35" t="str">
        <f>INDEX(_xlfn.TEXTSPLIT(mvtst[[#This Row],[QR Suivis]],"_"),1,3)</f>
        <v>Stock</v>
      </c>
      <c r="O39" s="35" t="str">
        <f>INDEX(_xlfn.TEXTSPLIT(mvtst[[#This Row],[QR Suivis]],"_"),1,4)</f>
        <v>FAF1020-B06-08</v>
      </c>
      <c r="P39" s="35" t="str">
        <f>INDEX(_xlfn.TEXTSPLIT(mvtst[[#This Row],[QR Suivis]],"_"),1,5)</f>
        <v>FIL A FIL</v>
      </c>
      <c r="Q39" s="35" t="str">
        <f>_xlfn.TEXTAFTER(mvtst[[#This Row],[QR Suivis]],"_",5)</f>
        <v>1020</v>
      </c>
      <c r="R39" s="84" t="str">
        <f>IF(
   COUNTIFS($A$2:A39,A39,
             $B$2:B39,B39,
             $C$2:C39,C39,
             $D$2:D39,D39,
             $G$2:G39,G39)&gt;1,
   "Doublon",
   "Correcte"
)</f>
        <v>Correcte</v>
      </c>
    </row>
    <row r="40" spans="1:18" x14ac:dyDescent="0.25">
      <c r="A40" s="104" t="s">
        <v>1341</v>
      </c>
      <c r="B40" s="35" t="s">
        <v>596</v>
      </c>
      <c r="C40" s="36">
        <v>5</v>
      </c>
      <c r="D40" s="36">
        <v>0</v>
      </c>
      <c r="E40" s="35"/>
      <c r="F40" s="35" t="s">
        <v>664</v>
      </c>
      <c r="G40" s="37">
        <v>45919</v>
      </c>
      <c r="H40" s="37" t="str">
        <f>INDEX(_xlfn.TEXTSPLIT(mvtst[[#This Row],[QR Suivis]],"_"),1,1)</f>
        <v>CA250474-6</v>
      </c>
      <c r="I40" s="35" t="str">
        <f>_xlfn.TEXTBEFORE(mvtst[[#This Row],[Num Suivis]],"-",,,1)</f>
        <v>CA250474</v>
      </c>
      <c r="J40" s="36">
        <f>SUMIF(mvtst[QR Suivis],mvtst[[#This Row],[QR Suivis]],mvtst[QTE SORTIS])-SUMIF(mvtst[QR Suivis],mvtst[[#This Row],[QR Suivis]],mvtst[QTE RETOUR])</f>
        <v>0</v>
      </c>
      <c r="K40" s="35" t="str">
        <f t="shared" si="0"/>
        <v>Usine</v>
      </c>
      <c r="L40" s="35" t="str">
        <f>_xlfn.XLOOKUP(mvtst[[#This Row],[Sous Traitant]],coordonnee_st[Identification],coordonnee_st[SERVICE],"Non Trouvé")</f>
        <v>Frange</v>
      </c>
      <c r="M40" s="35" t="str">
        <f>INDEX(_xlfn.TEXTSPLIT(mvtst[[#This Row],[QR Suivis]],"_"),1,2)</f>
        <v>All by Fouta</v>
      </c>
      <c r="N40" s="35" t="str">
        <f>INDEX(_xlfn.TEXTSPLIT(mvtst[[#This Row],[QR Suivis]],"_"),1,3)</f>
        <v>Stock</v>
      </c>
      <c r="O40" s="35" t="str">
        <f>INDEX(_xlfn.TEXTSPLIT(mvtst[[#This Row],[QR Suivis]],"_"),1,4)</f>
        <v>FAF1020-B06-08</v>
      </c>
      <c r="P40" s="35" t="str">
        <f>INDEX(_xlfn.TEXTSPLIT(mvtst[[#This Row],[QR Suivis]],"_"),1,5)</f>
        <v>FIL A FIL</v>
      </c>
      <c r="Q40" s="35" t="str">
        <f>_xlfn.TEXTAFTER(mvtst[[#This Row],[QR Suivis]],"_",5)</f>
        <v>1020</v>
      </c>
      <c r="R40" s="84" t="str">
        <f>IF(
   COUNTIFS($A$2:A40,A40,
             $B$2:B40,B40,
             $C$2:C40,C40,
             $D$2:D40,D40,
             $G$2:G40,G40)&gt;1,
   "Doublon",
   "Correcte"
)</f>
        <v>Correcte</v>
      </c>
    </row>
    <row r="41" spans="1:18" x14ac:dyDescent="0.25">
      <c r="A41" s="104" t="s">
        <v>1342</v>
      </c>
      <c r="B41" s="35" t="s">
        <v>596</v>
      </c>
      <c r="C41" s="36">
        <v>2</v>
      </c>
      <c r="D41" s="36">
        <v>0</v>
      </c>
      <c r="E41" s="35"/>
      <c r="F41" s="35" t="s">
        <v>664</v>
      </c>
      <c r="G41" s="37">
        <v>45919</v>
      </c>
      <c r="H41" s="37" t="str">
        <f>INDEX(_xlfn.TEXTSPLIT(mvtst[[#This Row],[QR Suivis]],"_"),1,1)</f>
        <v>CA250474-13</v>
      </c>
      <c r="I41" s="35" t="str">
        <f>_xlfn.TEXTBEFORE(mvtst[[#This Row],[Num Suivis]],"-",,,1)</f>
        <v>CA250474</v>
      </c>
      <c r="J41" s="36">
        <f>SUMIF(mvtst[QR Suivis],mvtst[[#This Row],[QR Suivis]],mvtst[QTE SORTIS])-SUMIF(mvtst[QR Suivis],mvtst[[#This Row],[QR Suivis]],mvtst[QTE RETOUR])</f>
        <v>0</v>
      </c>
      <c r="K41" s="35" t="str">
        <f t="shared" si="0"/>
        <v>Usine</v>
      </c>
      <c r="L41" s="35" t="str">
        <f>_xlfn.XLOOKUP(mvtst[[#This Row],[Sous Traitant]],coordonnee_st[Identification],coordonnee_st[SERVICE],"Non Trouvé")</f>
        <v>Frange</v>
      </c>
      <c r="M41" s="35" t="str">
        <f>INDEX(_xlfn.TEXTSPLIT(mvtst[[#This Row],[QR Suivis]],"_"),1,2)</f>
        <v>All by Fouta</v>
      </c>
      <c r="N41" s="35" t="str">
        <f>INDEX(_xlfn.TEXTSPLIT(mvtst[[#This Row],[QR Suivis]],"_"),1,3)</f>
        <v>Stock</v>
      </c>
      <c r="O41" s="35" t="str">
        <f>INDEX(_xlfn.TEXTSPLIT(mvtst[[#This Row],[QR Suivis]],"_"),1,4)</f>
        <v>FAF1020-B06-08</v>
      </c>
      <c r="P41" s="35" t="str">
        <f>INDEX(_xlfn.TEXTSPLIT(mvtst[[#This Row],[QR Suivis]],"_"),1,5)</f>
        <v>FIL A FIL</v>
      </c>
      <c r="Q41" s="35" t="str">
        <f>_xlfn.TEXTAFTER(mvtst[[#This Row],[QR Suivis]],"_",5)</f>
        <v>1020</v>
      </c>
      <c r="R41" s="84" t="str">
        <f>IF(
   COUNTIFS($A$2:A41,A41,
             $B$2:B41,B41,
             $C$2:C41,C41,
             $D$2:D41,D41,
             $G$2:G41,G41)&gt;1,
   "Doublon",
   "Correcte"
)</f>
        <v>Correcte</v>
      </c>
    </row>
    <row r="42" spans="1:18" x14ac:dyDescent="0.25">
      <c r="A42" s="104" t="s">
        <v>1343</v>
      </c>
      <c r="B42" s="35" t="s">
        <v>596</v>
      </c>
      <c r="C42" s="36">
        <v>5</v>
      </c>
      <c r="D42" s="36">
        <v>0</v>
      </c>
      <c r="E42" s="35"/>
      <c r="F42" s="35" t="s">
        <v>664</v>
      </c>
      <c r="G42" s="37">
        <v>45919</v>
      </c>
      <c r="H42" s="37" t="str">
        <f>INDEX(_xlfn.TEXTSPLIT(mvtst[[#This Row],[QR Suivis]],"_"),1,1)</f>
        <v>CA250469-1</v>
      </c>
      <c r="I42" s="35" t="str">
        <f>_xlfn.TEXTBEFORE(mvtst[[#This Row],[Num Suivis]],"-",,,1)</f>
        <v>CA250469</v>
      </c>
      <c r="J42" s="36">
        <f>SUMIF(mvtst[QR Suivis],mvtst[[#This Row],[QR Suivis]],mvtst[QTE SORTIS])-SUMIF(mvtst[QR Suivis],mvtst[[#This Row],[QR Suivis]],mvtst[QTE RETOUR])</f>
        <v>0</v>
      </c>
      <c r="K42" s="35" t="str">
        <f t="shared" si="0"/>
        <v>Usine</v>
      </c>
      <c r="L42" s="35" t="str">
        <f>_xlfn.XLOOKUP(mvtst[[#This Row],[Sous Traitant]],coordonnee_st[Identification],coordonnee_st[SERVICE],"Non Trouvé")</f>
        <v>Frange</v>
      </c>
      <c r="M42" s="35" t="str">
        <f>INDEX(_xlfn.TEXTSPLIT(mvtst[[#This Row],[QR Suivis]],"_"),1,2)</f>
        <v>All by Fouta</v>
      </c>
      <c r="N42" s="35" t="str">
        <f>INDEX(_xlfn.TEXTSPLIT(mvtst[[#This Row],[QR Suivis]],"_"),1,3)</f>
        <v>Stock</v>
      </c>
      <c r="O42" s="35" t="str">
        <f>INDEX(_xlfn.TEXTSPLIT(mvtst[[#This Row],[QR Suivis]],"_"),1,4)</f>
        <v>FAF1020-B04-02</v>
      </c>
      <c r="P42" s="35" t="str">
        <f>INDEX(_xlfn.TEXTSPLIT(mvtst[[#This Row],[QR Suivis]],"_"),1,5)</f>
        <v>FIL A FIL</v>
      </c>
      <c r="Q42" s="35" t="str">
        <f>_xlfn.TEXTAFTER(mvtst[[#This Row],[QR Suivis]],"_",5)</f>
        <v>1020</v>
      </c>
      <c r="R42" s="84" t="str">
        <f>IF(
   COUNTIFS($A$2:A42,A42,
             $B$2:B42,B42,
             $C$2:C42,C42,
             $D$2:D42,D42,
             $G$2:G42,G42)&gt;1,
   "Doublon",
   "Correcte"
)</f>
        <v>Correcte</v>
      </c>
    </row>
    <row r="43" spans="1:18" x14ac:dyDescent="0.25">
      <c r="A43" s="104" t="s">
        <v>1344</v>
      </c>
      <c r="B43" s="35" t="s">
        <v>596</v>
      </c>
      <c r="C43" s="36">
        <v>5</v>
      </c>
      <c r="D43" s="36">
        <v>0</v>
      </c>
      <c r="E43" s="35"/>
      <c r="F43" s="35" t="s">
        <v>664</v>
      </c>
      <c r="G43" s="37">
        <v>45919</v>
      </c>
      <c r="H43" s="37" t="str">
        <f>INDEX(_xlfn.TEXTSPLIT(mvtst[[#This Row],[QR Suivis]],"_"),1,1)</f>
        <v>CA250469-2</v>
      </c>
      <c r="I43" s="35" t="str">
        <f>_xlfn.TEXTBEFORE(mvtst[[#This Row],[Num Suivis]],"-",,,1)</f>
        <v>CA250469</v>
      </c>
      <c r="J43" s="36">
        <f>SUMIF(mvtst[QR Suivis],mvtst[[#This Row],[QR Suivis]],mvtst[QTE SORTIS])-SUMIF(mvtst[QR Suivis],mvtst[[#This Row],[QR Suivis]],mvtst[QTE RETOUR])</f>
        <v>0</v>
      </c>
      <c r="K43" s="35" t="str">
        <f t="shared" si="0"/>
        <v>Usine</v>
      </c>
      <c r="L43" s="35" t="str">
        <f>_xlfn.XLOOKUP(mvtst[[#This Row],[Sous Traitant]],coordonnee_st[Identification],coordonnee_st[SERVICE],"Non Trouvé")</f>
        <v>Frange</v>
      </c>
      <c r="M43" s="35" t="str">
        <f>INDEX(_xlfn.TEXTSPLIT(mvtst[[#This Row],[QR Suivis]],"_"),1,2)</f>
        <v>All by Fouta</v>
      </c>
      <c r="N43" s="35" t="str">
        <f>INDEX(_xlfn.TEXTSPLIT(mvtst[[#This Row],[QR Suivis]],"_"),1,3)</f>
        <v>Stock</v>
      </c>
      <c r="O43" s="35" t="str">
        <f>INDEX(_xlfn.TEXTSPLIT(mvtst[[#This Row],[QR Suivis]],"_"),1,4)</f>
        <v>FAF1020-B04-02</v>
      </c>
      <c r="P43" s="35" t="str">
        <f>INDEX(_xlfn.TEXTSPLIT(mvtst[[#This Row],[QR Suivis]],"_"),1,5)</f>
        <v>FIL A FIL</v>
      </c>
      <c r="Q43" s="35" t="str">
        <f>_xlfn.TEXTAFTER(mvtst[[#This Row],[QR Suivis]],"_",5)</f>
        <v>1020</v>
      </c>
      <c r="R43" s="84" t="str">
        <f>IF(
   COUNTIFS($A$2:A43,A43,
             $B$2:B43,B43,
             $C$2:C43,C43,
             $D$2:D43,D43,
             $G$2:G43,G43)&gt;1,
   "Doublon",
   "Correcte"
)</f>
        <v>Correcte</v>
      </c>
    </row>
    <row r="44" spans="1:18" x14ac:dyDescent="0.25">
      <c r="A44" s="104" t="s">
        <v>1345</v>
      </c>
      <c r="B44" s="35" t="s">
        <v>596</v>
      </c>
      <c r="C44" s="36">
        <v>5</v>
      </c>
      <c r="D44" s="36">
        <v>0</v>
      </c>
      <c r="E44" s="35"/>
      <c r="F44" s="35" t="s">
        <v>664</v>
      </c>
      <c r="G44" s="37">
        <v>45919</v>
      </c>
      <c r="H44" s="37" t="str">
        <f>INDEX(_xlfn.TEXTSPLIT(mvtst[[#This Row],[QR Suivis]],"_"),1,1)</f>
        <v>CA250469-3</v>
      </c>
      <c r="I44" s="35" t="str">
        <f>_xlfn.TEXTBEFORE(mvtst[[#This Row],[Num Suivis]],"-",,,1)</f>
        <v>CA250469</v>
      </c>
      <c r="J44" s="36">
        <f>SUMIF(mvtst[QR Suivis],mvtst[[#This Row],[QR Suivis]],mvtst[QTE SORTIS])-SUMIF(mvtst[QR Suivis],mvtst[[#This Row],[QR Suivis]],mvtst[QTE RETOUR])</f>
        <v>0</v>
      </c>
      <c r="K44" s="35" t="str">
        <f t="shared" si="0"/>
        <v>Usine</v>
      </c>
      <c r="L44" s="35" t="str">
        <f>_xlfn.XLOOKUP(mvtst[[#This Row],[Sous Traitant]],coordonnee_st[Identification],coordonnee_st[SERVICE],"Non Trouvé")</f>
        <v>Frange</v>
      </c>
      <c r="M44" s="35" t="str">
        <f>INDEX(_xlfn.TEXTSPLIT(mvtst[[#This Row],[QR Suivis]],"_"),1,2)</f>
        <v>All by Fouta</v>
      </c>
      <c r="N44" s="35" t="str">
        <f>INDEX(_xlfn.TEXTSPLIT(mvtst[[#This Row],[QR Suivis]],"_"),1,3)</f>
        <v>Stock</v>
      </c>
      <c r="O44" s="35" t="str">
        <f>INDEX(_xlfn.TEXTSPLIT(mvtst[[#This Row],[QR Suivis]],"_"),1,4)</f>
        <v>FAF1020-B04-02</v>
      </c>
      <c r="P44" s="35" t="str">
        <f>INDEX(_xlfn.TEXTSPLIT(mvtst[[#This Row],[QR Suivis]],"_"),1,5)</f>
        <v>FIL A FIL</v>
      </c>
      <c r="Q44" s="35" t="str">
        <f>_xlfn.TEXTAFTER(mvtst[[#This Row],[QR Suivis]],"_",5)</f>
        <v>1020</v>
      </c>
      <c r="R44" s="84" t="str">
        <f>IF(
   COUNTIFS($A$2:A44,A44,
             $B$2:B44,B44,
             $C$2:C44,C44,
             $D$2:D44,D44,
             $G$2:G44,G44)&gt;1,
   "Doublon",
   "Correcte"
)</f>
        <v>Correcte</v>
      </c>
    </row>
    <row r="45" spans="1:18" x14ac:dyDescent="0.25">
      <c r="A45" s="104" t="s">
        <v>1346</v>
      </c>
      <c r="B45" s="35" t="s">
        <v>596</v>
      </c>
      <c r="C45" s="36">
        <v>5</v>
      </c>
      <c r="D45" s="36">
        <v>0</v>
      </c>
      <c r="E45" s="35"/>
      <c r="F45" s="35" t="s">
        <v>664</v>
      </c>
      <c r="G45" s="37">
        <v>45919</v>
      </c>
      <c r="H45" s="37" t="str">
        <f>INDEX(_xlfn.TEXTSPLIT(mvtst[[#This Row],[QR Suivis]],"_"),1,1)</f>
        <v>CA250469-4</v>
      </c>
      <c r="I45" s="35" t="str">
        <f>_xlfn.TEXTBEFORE(mvtst[[#This Row],[Num Suivis]],"-",,,1)</f>
        <v>CA250469</v>
      </c>
      <c r="J45" s="36">
        <f>SUMIF(mvtst[QR Suivis],mvtst[[#This Row],[QR Suivis]],mvtst[QTE SORTIS])-SUMIF(mvtst[QR Suivis],mvtst[[#This Row],[QR Suivis]],mvtst[QTE RETOUR])</f>
        <v>0</v>
      </c>
      <c r="K45" s="35" t="str">
        <f t="shared" si="0"/>
        <v>Usine</v>
      </c>
      <c r="L45" s="35" t="str">
        <f>_xlfn.XLOOKUP(mvtst[[#This Row],[Sous Traitant]],coordonnee_st[Identification],coordonnee_st[SERVICE],"Non Trouvé")</f>
        <v>Frange</v>
      </c>
      <c r="M45" s="35" t="str">
        <f>INDEX(_xlfn.TEXTSPLIT(mvtst[[#This Row],[QR Suivis]],"_"),1,2)</f>
        <v>All by Fouta</v>
      </c>
      <c r="N45" s="35" t="str">
        <f>INDEX(_xlfn.TEXTSPLIT(mvtst[[#This Row],[QR Suivis]],"_"),1,3)</f>
        <v>Stock</v>
      </c>
      <c r="O45" s="35" t="str">
        <f>INDEX(_xlfn.TEXTSPLIT(mvtst[[#This Row],[QR Suivis]],"_"),1,4)</f>
        <v>FAF1020-B04-02</v>
      </c>
      <c r="P45" s="35" t="str">
        <f>INDEX(_xlfn.TEXTSPLIT(mvtst[[#This Row],[QR Suivis]],"_"),1,5)</f>
        <v>FIL A FIL</v>
      </c>
      <c r="Q45" s="35" t="str">
        <f>_xlfn.TEXTAFTER(mvtst[[#This Row],[QR Suivis]],"_",5)</f>
        <v>1020</v>
      </c>
      <c r="R45" s="84" t="str">
        <f>IF(
   COUNTIFS($A$2:A45,A45,
             $B$2:B45,B45,
             $C$2:C45,C45,
             $D$2:D45,D45,
             $G$2:G45,G45)&gt;1,
   "Doublon",
   "Correcte"
)</f>
        <v>Correcte</v>
      </c>
    </row>
    <row r="46" spans="1:18" x14ac:dyDescent="0.25">
      <c r="A46" s="104" t="s">
        <v>1347</v>
      </c>
      <c r="B46" s="35" t="s">
        <v>596</v>
      </c>
      <c r="C46" s="36">
        <v>5</v>
      </c>
      <c r="D46" s="36">
        <v>0</v>
      </c>
      <c r="E46" s="35"/>
      <c r="F46" s="35" t="s">
        <v>664</v>
      </c>
      <c r="G46" s="37">
        <v>45919</v>
      </c>
      <c r="H46" s="37" t="str">
        <f>INDEX(_xlfn.TEXTSPLIT(mvtst[[#This Row],[QR Suivis]],"_"),1,1)</f>
        <v>CA250469-5</v>
      </c>
      <c r="I46" s="35" t="str">
        <f>_xlfn.TEXTBEFORE(mvtst[[#This Row],[Num Suivis]],"-",,,1)</f>
        <v>CA250469</v>
      </c>
      <c r="J46" s="36">
        <f>SUMIF(mvtst[QR Suivis],mvtst[[#This Row],[QR Suivis]],mvtst[QTE SORTIS])-SUMIF(mvtst[QR Suivis],mvtst[[#This Row],[QR Suivis]],mvtst[QTE RETOUR])</f>
        <v>0</v>
      </c>
      <c r="K46" s="35" t="str">
        <f t="shared" si="0"/>
        <v>Usine</v>
      </c>
      <c r="L46" s="35" t="str">
        <f>_xlfn.XLOOKUP(mvtst[[#This Row],[Sous Traitant]],coordonnee_st[Identification],coordonnee_st[SERVICE],"Non Trouvé")</f>
        <v>Frange</v>
      </c>
      <c r="M46" s="35" t="str">
        <f>INDEX(_xlfn.TEXTSPLIT(mvtst[[#This Row],[QR Suivis]],"_"),1,2)</f>
        <v>All by Fouta</v>
      </c>
      <c r="N46" s="35" t="str">
        <f>INDEX(_xlfn.TEXTSPLIT(mvtst[[#This Row],[QR Suivis]],"_"),1,3)</f>
        <v>Stock</v>
      </c>
      <c r="O46" s="35" t="str">
        <f>INDEX(_xlfn.TEXTSPLIT(mvtst[[#This Row],[QR Suivis]],"_"),1,4)</f>
        <v>FAF1020-B04-02</v>
      </c>
      <c r="P46" s="35" t="str">
        <f>INDEX(_xlfn.TEXTSPLIT(mvtst[[#This Row],[QR Suivis]],"_"),1,5)</f>
        <v>FIL A FIL</v>
      </c>
      <c r="Q46" s="35" t="str">
        <f>_xlfn.TEXTAFTER(mvtst[[#This Row],[QR Suivis]],"_",5)</f>
        <v>1020</v>
      </c>
      <c r="R46" s="84" t="str">
        <f>IF(
   COUNTIFS($A$2:A46,A46,
             $B$2:B46,B46,
             $C$2:C46,C46,
             $D$2:D46,D46,
             $G$2:G46,G46)&gt;1,
   "Doublon",
   "Correcte"
)</f>
        <v>Correcte</v>
      </c>
    </row>
    <row r="47" spans="1:18" x14ac:dyDescent="0.25">
      <c r="A47" s="104" t="s">
        <v>1348</v>
      </c>
      <c r="B47" s="35" t="s">
        <v>596</v>
      </c>
      <c r="C47" s="36">
        <v>5</v>
      </c>
      <c r="D47" s="36">
        <v>0</v>
      </c>
      <c r="E47" s="35"/>
      <c r="F47" s="35" t="s">
        <v>664</v>
      </c>
      <c r="G47" s="37">
        <v>45919</v>
      </c>
      <c r="H47" s="37" t="str">
        <f>INDEX(_xlfn.TEXTSPLIT(mvtst[[#This Row],[QR Suivis]],"_"),1,1)</f>
        <v>CA250469-6</v>
      </c>
      <c r="I47" s="35" t="str">
        <f>_xlfn.TEXTBEFORE(mvtst[[#This Row],[Num Suivis]],"-",,,1)</f>
        <v>CA250469</v>
      </c>
      <c r="J47" s="36">
        <f>SUMIF(mvtst[QR Suivis],mvtst[[#This Row],[QR Suivis]],mvtst[QTE SORTIS])-SUMIF(mvtst[QR Suivis],mvtst[[#This Row],[QR Suivis]],mvtst[QTE RETOUR])</f>
        <v>0</v>
      </c>
      <c r="K47" s="35" t="str">
        <f t="shared" si="0"/>
        <v>Usine</v>
      </c>
      <c r="L47" s="35" t="str">
        <f>_xlfn.XLOOKUP(mvtst[[#This Row],[Sous Traitant]],coordonnee_st[Identification],coordonnee_st[SERVICE],"Non Trouvé")</f>
        <v>Frange</v>
      </c>
      <c r="M47" s="35" t="str">
        <f>INDEX(_xlfn.TEXTSPLIT(mvtst[[#This Row],[QR Suivis]],"_"),1,2)</f>
        <v>All by Fouta</v>
      </c>
      <c r="N47" s="35" t="str">
        <f>INDEX(_xlfn.TEXTSPLIT(mvtst[[#This Row],[QR Suivis]],"_"),1,3)</f>
        <v>Stock</v>
      </c>
      <c r="O47" s="35" t="str">
        <f>INDEX(_xlfn.TEXTSPLIT(mvtst[[#This Row],[QR Suivis]],"_"),1,4)</f>
        <v>FAF1020-B04-02</v>
      </c>
      <c r="P47" s="35" t="str">
        <f>INDEX(_xlfn.TEXTSPLIT(mvtst[[#This Row],[QR Suivis]],"_"),1,5)</f>
        <v>FIL A FIL</v>
      </c>
      <c r="Q47" s="35" t="str">
        <f>_xlfn.TEXTAFTER(mvtst[[#This Row],[QR Suivis]],"_",5)</f>
        <v>1020</v>
      </c>
      <c r="R47" s="84" t="str">
        <f>IF(
   COUNTIFS($A$2:A47,A47,
             $B$2:B47,B47,
             $C$2:C47,C47,
             $D$2:D47,D47,
             $G$2:G47,G47)&gt;1,
   "Doublon",
   "Correcte"
)</f>
        <v>Correcte</v>
      </c>
    </row>
    <row r="48" spans="1:18" x14ac:dyDescent="0.25">
      <c r="A48" s="104" t="s">
        <v>1349</v>
      </c>
      <c r="B48" s="35" t="s">
        <v>596</v>
      </c>
      <c r="C48" s="36">
        <v>5</v>
      </c>
      <c r="D48" s="36">
        <v>0</v>
      </c>
      <c r="E48" s="35"/>
      <c r="F48" s="35" t="s">
        <v>664</v>
      </c>
      <c r="G48" s="37">
        <v>45919</v>
      </c>
      <c r="H48" s="37" t="str">
        <f>INDEX(_xlfn.TEXTSPLIT(mvtst[[#This Row],[QR Suivis]],"_"),1,1)</f>
        <v>CA250469-7</v>
      </c>
      <c r="I48" s="35" t="str">
        <f>_xlfn.TEXTBEFORE(mvtst[[#This Row],[Num Suivis]],"-",,,1)</f>
        <v>CA250469</v>
      </c>
      <c r="J48" s="36">
        <f>SUMIF(mvtst[QR Suivis],mvtst[[#This Row],[QR Suivis]],mvtst[QTE SORTIS])-SUMIF(mvtst[QR Suivis],mvtst[[#This Row],[QR Suivis]],mvtst[QTE RETOUR])</f>
        <v>0</v>
      </c>
      <c r="K48" s="35" t="str">
        <f t="shared" si="0"/>
        <v>Usine</v>
      </c>
      <c r="L48" s="35" t="str">
        <f>_xlfn.XLOOKUP(mvtst[[#This Row],[Sous Traitant]],coordonnee_st[Identification],coordonnee_st[SERVICE],"Non Trouvé")</f>
        <v>Frange</v>
      </c>
      <c r="M48" s="35" t="str">
        <f>INDEX(_xlfn.TEXTSPLIT(mvtst[[#This Row],[QR Suivis]],"_"),1,2)</f>
        <v>All by Fouta</v>
      </c>
      <c r="N48" s="35" t="str">
        <f>INDEX(_xlfn.TEXTSPLIT(mvtst[[#This Row],[QR Suivis]],"_"),1,3)</f>
        <v>Stock</v>
      </c>
      <c r="O48" s="35" t="str">
        <f>INDEX(_xlfn.TEXTSPLIT(mvtst[[#This Row],[QR Suivis]],"_"),1,4)</f>
        <v>FAF1020-B04-02</v>
      </c>
      <c r="P48" s="35" t="str">
        <f>INDEX(_xlfn.TEXTSPLIT(mvtst[[#This Row],[QR Suivis]],"_"),1,5)</f>
        <v>FIL A FIL</v>
      </c>
      <c r="Q48" s="35" t="str">
        <f>_xlfn.TEXTAFTER(mvtst[[#This Row],[QR Suivis]],"_",5)</f>
        <v>1020</v>
      </c>
      <c r="R48" s="84" t="str">
        <f>IF(
   COUNTIFS($A$2:A48,A48,
             $B$2:B48,B48,
             $C$2:C48,C48,
             $D$2:D48,D48,
             $G$2:G48,G48)&gt;1,
   "Doublon",
   "Correcte"
)</f>
        <v>Correcte</v>
      </c>
    </row>
    <row r="49" spans="1:18" x14ac:dyDescent="0.25">
      <c r="A49" s="104" t="s">
        <v>1350</v>
      </c>
      <c r="B49" s="35" t="s">
        <v>596</v>
      </c>
      <c r="C49" s="36">
        <v>5</v>
      </c>
      <c r="D49" s="36">
        <v>0</v>
      </c>
      <c r="E49" s="35"/>
      <c r="F49" s="35" t="s">
        <v>664</v>
      </c>
      <c r="G49" s="37">
        <v>45919</v>
      </c>
      <c r="H49" s="37" t="str">
        <f>INDEX(_xlfn.TEXTSPLIT(mvtst[[#This Row],[QR Suivis]],"_"),1,1)</f>
        <v>CA250469-8</v>
      </c>
      <c r="I49" s="35" t="str">
        <f>_xlfn.TEXTBEFORE(mvtst[[#This Row],[Num Suivis]],"-",,,1)</f>
        <v>CA250469</v>
      </c>
      <c r="J49" s="36">
        <f>SUMIF(mvtst[QR Suivis],mvtst[[#This Row],[QR Suivis]],mvtst[QTE SORTIS])-SUMIF(mvtst[QR Suivis],mvtst[[#This Row],[QR Suivis]],mvtst[QTE RETOUR])</f>
        <v>0</v>
      </c>
      <c r="K49" s="35" t="str">
        <f t="shared" si="0"/>
        <v>Usine</v>
      </c>
      <c r="L49" s="35" t="str">
        <f>_xlfn.XLOOKUP(mvtst[[#This Row],[Sous Traitant]],coordonnee_st[Identification],coordonnee_st[SERVICE],"Non Trouvé")</f>
        <v>Frange</v>
      </c>
      <c r="M49" s="35" t="str">
        <f>INDEX(_xlfn.TEXTSPLIT(mvtst[[#This Row],[QR Suivis]],"_"),1,2)</f>
        <v>All by Fouta</v>
      </c>
      <c r="N49" s="35" t="str">
        <f>INDEX(_xlfn.TEXTSPLIT(mvtst[[#This Row],[QR Suivis]],"_"),1,3)</f>
        <v>Stock</v>
      </c>
      <c r="O49" s="35" t="str">
        <f>INDEX(_xlfn.TEXTSPLIT(mvtst[[#This Row],[QR Suivis]],"_"),1,4)</f>
        <v>FAF1020-B04-02</v>
      </c>
      <c r="P49" s="35" t="str">
        <f>INDEX(_xlfn.TEXTSPLIT(mvtst[[#This Row],[QR Suivis]],"_"),1,5)</f>
        <v>FIL A FIL</v>
      </c>
      <c r="Q49" s="35" t="str">
        <f>_xlfn.TEXTAFTER(mvtst[[#This Row],[QR Suivis]],"_",5)</f>
        <v>1020</v>
      </c>
      <c r="R49" s="84" t="str">
        <f>IF(
   COUNTIFS($A$2:A49,A49,
             $B$2:B49,B49,
             $C$2:C49,C49,
             $D$2:D49,D49,
             $G$2:G49,G49)&gt;1,
   "Doublon",
   "Correcte"
)</f>
        <v>Correcte</v>
      </c>
    </row>
    <row r="50" spans="1:18" x14ac:dyDescent="0.25">
      <c r="A50" s="104" t="s">
        <v>1351</v>
      </c>
      <c r="B50" s="35" t="s">
        <v>596</v>
      </c>
      <c r="C50" s="36">
        <v>5</v>
      </c>
      <c r="D50" s="36">
        <v>0</v>
      </c>
      <c r="E50" s="35"/>
      <c r="F50" s="35" t="s">
        <v>664</v>
      </c>
      <c r="G50" s="37">
        <v>45919</v>
      </c>
      <c r="H50" s="37" t="str">
        <f>INDEX(_xlfn.TEXTSPLIT(mvtst[[#This Row],[QR Suivis]],"_"),1,1)</f>
        <v>CA250469-9</v>
      </c>
      <c r="I50" s="35" t="str">
        <f>_xlfn.TEXTBEFORE(mvtst[[#This Row],[Num Suivis]],"-",,,1)</f>
        <v>CA250469</v>
      </c>
      <c r="J50" s="36">
        <f>SUMIF(mvtst[QR Suivis],mvtst[[#This Row],[QR Suivis]],mvtst[QTE SORTIS])-SUMIF(mvtst[QR Suivis],mvtst[[#This Row],[QR Suivis]],mvtst[QTE RETOUR])</f>
        <v>0</v>
      </c>
      <c r="K50" s="35" t="str">
        <f t="shared" si="0"/>
        <v>Usine</v>
      </c>
      <c r="L50" s="35" t="str">
        <f>_xlfn.XLOOKUP(mvtst[[#This Row],[Sous Traitant]],coordonnee_st[Identification],coordonnee_st[SERVICE],"Non Trouvé")</f>
        <v>Frange</v>
      </c>
      <c r="M50" s="35" t="str">
        <f>INDEX(_xlfn.TEXTSPLIT(mvtst[[#This Row],[QR Suivis]],"_"),1,2)</f>
        <v>All by Fouta</v>
      </c>
      <c r="N50" s="35" t="str">
        <f>INDEX(_xlfn.TEXTSPLIT(mvtst[[#This Row],[QR Suivis]],"_"),1,3)</f>
        <v>Stock</v>
      </c>
      <c r="O50" s="35" t="str">
        <f>INDEX(_xlfn.TEXTSPLIT(mvtst[[#This Row],[QR Suivis]],"_"),1,4)</f>
        <v>FAF1020-B04-02</v>
      </c>
      <c r="P50" s="35" t="str">
        <f>INDEX(_xlfn.TEXTSPLIT(mvtst[[#This Row],[QR Suivis]],"_"),1,5)</f>
        <v>FIL A FIL</v>
      </c>
      <c r="Q50" s="35" t="str">
        <f>_xlfn.TEXTAFTER(mvtst[[#This Row],[QR Suivis]],"_",5)</f>
        <v>1020</v>
      </c>
      <c r="R50" s="84" t="str">
        <f>IF(
   COUNTIFS($A$2:A50,A50,
             $B$2:B50,B50,
             $C$2:C50,C50,
             $D$2:D50,D50,
             $G$2:G50,G50)&gt;1,
   "Doublon",
   "Correcte"
)</f>
        <v>Correcte</v>
      </c>
    </row>
    <row r="51" spans="1:18" x14ac:dyDescent="0.25">
      <c r="A51" s="104" t="s">
        <v>1352</v>
      </c>
      <c r="B51" s="35" t="s">
        <v>596</v>
      </c>
      <c r="C51" s="36">
        <v>5</v>
      </c>
      <c r="D51" s="36">
        <v>0</v>
      </c>
      <c r="E51" s="35"/>
      <c r="F51" s="35" t="s">
        <v>664</v>
      </c>
      <c r="G51" s="37">
        <v>45919</v>
      </c>
      <c r="H51" s="37" t="str">
        <f>INDEX(_xlfn.TEXTSPLIT(mvtst[[#This Row],[QR Suivis]],"_"),1,1)</f>
        <v>CA250469-10</v>
      </c>
      <c r="I51" s="35" t="str">
        <f>_xlfn.TEXTBEFORE(mvtst[[#This Row],[Num Suivis]],"-",,,1)</f>
        <v>CA250469</v>
      </c>
      <c r="J51" s="36">
        <f>SUMIF(mvtst[QR Suivis],mvtst[[#This Row],[QR Suivis]],mvtst[QTE SORTIS])-SUMIF(mvtst[QR Suivis],mvtst[[#This Row],[QR Suivis]],mvtst[QTE RETOUR])</f>
        <v>0</v>
      </c>
      <c r="K51" s="35" t="str">
        <f t="shared" si="0"/>
        <v>Usine</v>
      </c>
      <c r="L51" s="35" t="str">
        <f>_xlfn.XLOOKUP(mvtst[[#This Row],[Sous Traitant]],coordonnee_st[Identification],coordonnee_st[SERVICE],"Non Trouvé")</f>
        <v>Frange</v>
      </c>
      <c r="M51" s="35" t="str">
        <f>INDEX(_xlfn.TEXTSPLIT(mvtst[[#This Row],[QR Suivis]],"_"),1,2)</f>
        <v>All by Fouta</v>
      </c>
      <c r="N51" s="35" t="str">
        <f>INDEX(_xlfn.TEXTSPLIT(mvtst[[#This Row],[QR Suivis]],"_"),1,3)</f>
        <v>Stock</v>
      </c>
      <c r="O51" s="35" t="str">
        <f>INDEX(_xlfn.TEXTSPLIT(mvtst[[#This Row],[QR Suivis]],"_"),1,4)</f>
        <v>FAF1020-B04-02</v>
      </c>
      <c r="P51" s="35" t="str">
        <f>INDEX(_xlfn.TEXTSPLIT(mvtst[[#This Row],[QR Suivis]],"_"),1,5)</f>
        <v>FIL A FIL</v>
      </c>
      <c r="Q51" s="35" t="str">
        <f>_xlfn.TEXTAFTER(mvtst[[#This Row],[QR Suivis]],"_",5)</f>
        <v>1020</v>
      </c>
      <c r="R51" s="84" t="str">
        <f>IF(
   COUNTIFS($A$2:A51,A51,
             $B$2:B51,B51,
             $C$2:C51,C51,
             $D$2:D51,D51,
             $G$2:G51,G51)&gt;1,
   "Doublon",
   "Correcte"
)</f>
        <v>Correcte</v>
      </c>
    </row>
    <row r="52" spans="1:18" x14ac:dyDescent="0.25">
      <c r="A52" s="104" t="s">
        <v>1353</v>
      </c>
      <c r="B52" s="35" t="s">
        <v>596</v>
      </c>
      <c r="C52" s="36">
        <v>5</v>
      </c>
      <c r="D52" s="36">
        <v>0</v>
      </c>
      <c r="E52" s="35"/>
      <c r="F52" s="35" t="s">
        <v>664</v>
      </c>
      <c r="G52" s="37">
        <v>45919</v>
      </c>
      <c r="H52" s="37" t="str">
        <f>INDEX(_xlfn.TEXTSPLIT(mvtst[[#This Row],[QR Suivis]],"_"),1,1)</f>
        <v>CA250469-11</v>
      </c>
      <c r="I52" s="35" t="str">
        <f>_xlfn.TEXTBEFORE(mvtst[[#This Row],[Num Suivis]],"-",,,1)</f>
        <v>CA250469</v>
      </c>
      <c r="J52" s="36">
        <f>SUMIF(mvtst[QR Suivis],mvtst[[#This Row],[QR Suivis]],mvtst[QTE SORTIS])-SUMIF(mvtst[QR Suivis],mvtst[[#This Row],[QR Suivis]],mvtst[QTE RETOUR])</f>
        <v>0</v>
      </c>
      <c r="K52" s="35" t="str">
        <f t="shared" si="0"/>
        <v>Usine</v>
      </c>
      <c r="L52" s="35" t="str">
        <f>_xlfn.XLOOKUP(mvtst[[#This Row],[Sous Traitant]],coordonnee_st[Identification],coordonnee_st[SERVICE],"Non Trouvé")</f>
        <v>Frange</v>
      </c>
      <c r="M52" s="35" t="str">
        <f>INDEX(_xlfn.TEXTSPLIT(mvtst[[#This Row],[QR Suivis]],"_"),1,2)</f>
        <v>All by Fouta</v>
      </c>
      <c r="N52" s="35" t="str">
        <f>INDEX(_xlfn.TEXTSPLIT(mvtst[[#This Row],[QR Suivis]],"_"),1,3)</f>
        <v>Stock</v>
      </c>
      <c r="O52" s="35" t="str">
        <f>INDEX(_xlfn.TEXTSPLIT(mvtst[[#This Row],[QR Suivis]],"_"),1,4)</f>
        <v>FAF1020-B04-02</v>
      </c>
      <c r="P52" s="35" t="str">
        <f>INDEX(_xlfn.TEXTSPLIT(mvtst[[#This Row],[QR Suivis]],"_"),1,5)</f>
        <v>FIL A FIL</v>
      </c>
      <c r="Q52" s="35" t="str">
        <f>_xlfn.TEXTAFTER(mvtst[[#This Row],[QR Suivis]],"_",5)</f>
        <v>1020</v>
      </c>
      <c r="R52" s="84" t="str">
        <f>IF(
   COUNTIFS($A$2:A52,A52,
             $B$2:B52,B52,
             $C$2:C52,C52,
             $D$2:D52,D52,
             $G$2:G52,G52)&gt;1,
   "Doublon",
   "Correcte"
)</f>
        <v>Correcte</v>
      </c>
    </row>
    <row r="53" spans="1:18" x14ac:dyDescent="0.25">
      <c r="A53" s="104" t="s">
        <v>1354</v>
      </c>
      <c r="B53" s="35" t="s">
        <v>596</v>
      </c>
      <c r="C53" s="36">
        <v>5</v>
      </c>
      <c r="D53" s="36">
        <v>0</v>
      </c>
      <c r="E53" s="35"/>
      <c r="F53" s="35" t="s">
        <v>664</v>
      </c>
      <c r="G53" s="37">
        <v>45919</v>
      </c>
      <c r="H53" s="37" t="str">
        <f>INDEX(_xlfn.TEXTSPLIT(mvtst[[#This Row],[QR Suivis]],"_"),1,1)</f>
        <v>CA250469-12</v>
      </c>
      <c r="I53" s="35" t="str">
        <f>_xlfn.TEXTBEFORE(mvtst[[#This Row],[Num Suivis]],"-",,,1)</f>
        <v>CA250469</v>
      </c>
      <c r="J53" s="36">
        <f>SUMIF(mvtst[QR Suivis],mvtst[[#This Row],[QR Suivis]],mvtst[QTE SORTIS])-SUMIF(mvtst[QR Suivis],mvtst[[#This Row],[QR Suivis]],mvtst[QTE RETOUR])</f>
        <v>0</v>
      </c>
      <c r="K53" s="35" t="str">
        <f t="shared" si="0"/>
        <v>Usine</v>
      </c>
      <c r="L53" s="35" t="str">
        <f>_xlfn.XLOOKUP(mvtst[[#This Row],[Sous Traitant]],coordonnee_st[Identification],coordonnee_st[SERVICE],"Non Trouvé")</f>
        <v>Frange</v>
      </c>
      <c r="M53" s="35" t="str">
        <f>INDEX(_xlfn.TEXTSPLIT(mvtst[[#This Row],[QR Suivis]],"_"),1,2)</f>
        <v>All by Fouta</v>
      </c>
      <c r="N53" s="35" t="str">
        <f>INDEX(_xlfn.TEXTSPLIT(mvtst[[#This Row],[QR Suivis]],"_"),1,3)</f>
        <v>Stock</v>
      </c>
      <c r="O53" s="35" t="str">
        <f>INDEX(_xlfn.TEXTSPLIT(mvtst[[#This Row],[QR Suivis]],"_"),1,4)</f>
        <v>FAF1020-B04-02</v>
      </c>
      <c r="P53" s="35" t="str">
        <f>INDEX(_xlfn.TEXTSPLIT(mvtst[[#This Row],[QR Suivis]],"_"),1,5)</f>
        <v>FIL A FIL</v>
      </c>
      <c r="Q53" s="35" t="str">
        <f>_xlfn.TEXTAFTER(mvtst[[#This Row],[QR Suivis]],"_",5)</f>
        <v>1020</v>
      </c>
      <c r="R53" s="84" t="str">
        <f>IF(
   COUNTIFS($A$2:A53,A53,
             $B$2:B53,B53,
             $C$2:C53,C53,
             $D$2:D53,D53,
             $G$2:G53,G53)&gt;1,
   "Doublon",
   "Correcte"
)</f>
        <v>Correcte</v>
      </c>
    </row>
    <row r="54" spans="1:18" x14ac:dyDescent="0.25">
      <c r="A54" s="104" t="s">
        <v>1355</v>
      </c>
      <c r="B54" s="35" t="s">
        <v>596</v>
      </c>
      <c r="C54" s="36">
        <v>2</v>
      </c>
      <c r="D54" s="36">
        <v>0</v>
      </c>
      <c r="E54" s="35"/>
      <c r="F54" s="35" t="s">
        <v>664</v>
      </c>
      <c r="G54" s="37">
        <v>45919</v>
      </c>
      <c r="H54" s="37" t="str">
        <f>INDEX(_xlfn.TEXTSPLIT(mvtst[[#This Row],[QR Suivis]],"_"),1,1)</f>
        <v>CA250469-13</v>
      </c>
      <c r="I54" s="35" t="str">
        <f>_xlfn.TEXTBEFORE(mvtst[[#This Row],[Num Suivis]],"-",,,1)</f>
        <v>CA250469</v>
      </c>
      <c r="J54" s="36">
        <f>SUMIF(mvtst[QR Suivis],mvtst[[#This Row],[QR Suivis]],mvtst[QTE SORTIS])-SUMIF(mvtst[QR Suivis],mvtst[[#This Row],[QR Suivis]],mvtst[QTE RETOUR])</f>
        <v>0</v>
      </c>
      <c r="K54" s="35" t="str">
        <f t="shared" si="0"/>
        <v>Usine</v>
      </c>
      <c r="L54" s="35" t="str">
        <f>_xlfn.XLOOKUP(mvtst[[#This Row],[Sous Traitant]],coordonnee_st[Identification],coordonnee_st[SERVICE],"Non Trouvé")</f>
        <v>Frange</v>
      </c>
      <c r="M54" s="35" t="str">
        <f>INDEX(_xlfn.TEXTSPLIT(mvtst[[#This Row],[QR Suivis]],"_"),1,2)</f>
        <v>All by Fouta</v>
      </c>
      <c r="N54" s="35" t="str">
        <f>INDEX(_xlfn.TEXTSPLIT(mvtst[[#This Row],[QR Suivis]],"_"),1,3)</f>
        <v>Stock</v>
      </c>
      <c r="O54" s="35" t="str">
        <f>INDEX(_xlfn.TEXTSPLIT(mvtst[[#This Row],[QR Suivis]],"_"),1,4)</f>
        <v>FAF1020-B04-02</v>
      </c>
      <c r="P54" s="35" t="str">
        <f>INDEX(_xlfn.TEXTSPLIT(mvtst[[#This Row],[QR Suivis]],"_"),1,5)</f>
        <v>FIL A FIL</v>
      </c>
      <c r="Q54" s="35" t="str">
        <f>_xlfn.TEXTAFTER(mvtst[[#This Row],[QR Suivis]],"_",5)</f>
        <v>1020</v>
      </c>
      <c r="R54" s="84" t="str">
        <f>IF(
   COUNTIFS($A$2:A54,A54,
             $B$2:B54,B54,
             $C$2:C54,C54,
             $D$2:D54,D54,
             $G$2:G54,G54)&gt;1,
   "Doublon",
   "Correcte"
)</f>
        <v>Correcte</v>
      </c>
    </row>
    <row r="55" spans="1:18" x14ac:dyDescent="0.25">
      <c r="A55" s="104" t="s">
        <v>1356</v>
      </c>
      <c r="B55" s="35" t="s">
        <v>596</v>
      </c>
      <c r="C55" s="36">
        <v>5</v>
      </c>
      <c r="D55" s="36">
        <v>0</v>
      </c>
      <c r="E55" s="35"/>
      <c r="F55" s="35" t="s">
        <v>664</v>
      </c>
      <c r="G55" s="37">
        <v>45919</v>
      </c>
      <c r="H55" s="37" t="str">
        <f>INDEX(_xlfn.TEXTSPLIT(mvtst[[#This Row],[QR Suivis]],"_"),1,1)</f>
        <v>CA250391-5</v>
      </c>
      <c r="I55" s="35" t="str">
        <f>_xlfn.TEXTBEFORE(mvtst[[#This Row],[Num Suivis]],"-",,,1)</f>
        <v>CA250391</v>
      </c>
      <c r="J55" s="36">
        <f>SUMIF(mvtst[QR Suivis],mvtst[[#This Row],[QR Suivis]],mvtst[QTE SORTIS])-SUMIF(mvtst[QR Suivis],mvtst[[#This Row],[QR Suivis]],mvtst[QTE RETOUR])</f>
        <v>0</v>
      </c>
      <c r="K55" s="35" t="str">
        <f t="shared" si="0"/>
        <v>Usine</v>
      </c>
      <c r="L55" s="35" t="str">
        <f>_xlfn.XLOOKUP(mvtst[[#This Row],[Sous Traitant]],coordonnee_st[Identification],coordonnee_st[SERVICE],"Non Trouvé")</f>
        <v>Frange</v>
      </c>
      <c r="M55" s="35" t="str">
        <f>INDEX(_xlfn.TEXTSPLIT(mvtst[[#This Row],[QR Suivis]],"_"),1,2)</f>
        <v>All by Fouta</v>
      </c>
      <c r="N55" s="35" t="str">
        <f>INDEX(_xlfn.TEXTSPLIT(mvtst[[#This Row],[QR Suivis]],"_"),1,3)</f>
        <v>Stock</v>
      </c>
      <c r="O55" s="35" t="str">
        <f>INDEX(_xlfn.TEXTSPLIT(mvtst[[#This Row],[QR Suivis]],"_"),1,4)</f>
        <v>BE1020-Q04-24-20</v>
      </c>
      <c r="P55" s="35" t="str">
        <f>INDEX(_xlfn.TEXTSPLIT(mvtst[[#This Row],[QR Suivis]],"_"),1,5)</f>
        <v>BERBER</v>
      </c>
      <c r="Q55" s="35" t="str">
        <f>_xlfn.TEXTAFTER(mvtst[[#This Row],[QR Suivis]],"_",5)</f>
        <v>1020</v>
      </c>
      <c r="R55" s="84" t="str">
        <f>IF(
   COUNTIFS($A$2:A55,A55,
             $B$2:B55,B55,
             $C$2:C55,C55,
             $D$2:D55,D55,
             $G$2:G55,G55)&gt;1,
   "Doublon",
   "Correcte"
)</f>
        <v>Correcte</v>
      </c>
    </row>
    <row r="56" spans="1:18" x14ac:dyDescent="0.25">
      <c r="A56" s="104" t="s">
        <v>1357</v>
      </c>
      <c r="B56" s="35" t="s">
        <v>596</v>
      </c>
      <c r="C56" s="36">
        <v>5</v>
      </c>
      <c r="D56" s="36">
        <v>0</v>
      </c>
      <c r="E56" s="35"/>
      <c r="F56" s="35" t="s">
        <v>664</v>
      </c>
      <c r="G56" s="37">
        <v>45919</v>
      </c>
      <c r="H56" s="37" t="str">
        <f>INDEX(_xlfn.TEXTSPLIT(mvtst[[#This Row],[QR Suivis]],"_"),1,1)</f>
        <v>CA250391-6</v>
      </c>
      <c r="I56" s="35" t="str">
        <f>_xlfn.TEXTBEFORE(mvtst[[#This Row],[Num Suivis]],"-",,,1)</f>
        <v>CA250391</v>
      </c>
      <c r="J56" s="36">
        <f>SUMIF(mvtst[QR Suivis],mvtst[[#This Row],[QR Suivis]],mvtst[QTE SORTIS])-SUMIF(mvtst[QR Suivis],mvtst[[#This Row],[QR Suivis]],mvtst[QTE RETOUR])</f>
        <v>0</v>
      </c>
      <c r="K56" s="35" t="str">
        <f t="shared" si="0"/>
        <v>Usine</v>
      </c>
      <c r="L56" s="35" t="str">
        <f>_xlfn.XLOOKUP(mvtst[[#This Row],[Sous Traitant]],coordonnee_st[Identification],coordonnee_st[SERVICE],"Non Trouvé")</f>
        <v>Frange</v>
      </c>
      <c r="M56" s="35" t="str">
        <f>INDEX(_xlfn.TEXTSPLIT(mvtst[[#This Row],[QR Suivis]],"_"),1,2)</f>
        <v>All by Fouta</v>
      </c>
      <c r="N56" s="35" t="str">
        <f>INDEX(_xlfn.TEXTSPLIT(mvtst[[#This Row],[QR Suivis]],"_"),1,3)</f>
        <v>Stock</v>
      </c>
      <c r="O56" s="35" t="str">
        <f>INDEX(_xlfn.TEXTSPLIT(mvtst[[#This Row],[QR Suivis]],"_"),1,4)</f>
        <v>BE1020-Q04-24-20</v>
      </c>
      <c r="P56" s="35" t="str">
        <f>INDEX(_xlfn.TEXTSPLIT(mvtst[[#This Row],[QR Suivis]],"_"),1,5)</f>
        <v>BERBER</v>
      </c>
      <c r="Q56" s="35" t="str">
        <f>_xlfn.TEXTAFTER(mvtst[[#This Row],[QR Suivis]],"_",5)</f>
        <v>1020</v>
      </c>
      <c r="R56" s="84" t="str">
        <f>IF(
   COUNTIFS($A$2:A56,A56,
             $B$2:B56,B56,
             $C$2:C56,C56,
             $D$2:D56,D56,
             $G$2:G56,G56)&gt;1,
   "Doublon",
   "Correcte"
)</f>
        <v>Correcte</v>
      </c>
    </row>
    <row r="57" spans="1:18" x14ac:dyDescent="0.25">
      <c r="A57" s="104" t="s">
        <v>1358</v>
      </c>
      <c r="B57" s="35" t="s">
        <v>596</v>
      </c>
      <c r="C57" s="36">
        <v>5</v>
      </c>
      <c r="D57" s="36">
        <v>0</v>
      </c>
      <c r="E57" s="35"/>
      <c r="F57" s="35" t="s">
        <v>664</v>
      </c>
      <c r="G57" s="37">
        <v>45919</v>
      </c>
      <c r="H57" s="37" t="str">
        <f>INDEX(_xlfn.TEXTSPLIT(mvtst[[#This Row],[QR Suivis]],"_"),1,1)</f>
        <v>CA250391-7</v>
      </c>
      <c r="I57" s="35" t="str">
        <f>_xlfn.TEXTBEFORE(mvtst[[#This Row],[Num Suivis]],"-",,,1)</f>
        <v>CA250391</v>
      </c>
      <c r="J57" s="36">
        <f>SUMIF(mvtst[QR Suivis],mvtst[[#This Row],[QR Suivis]],mvtst[QTE SORTIS])-SUMIF(mvtst[QR Suivis],mvtst[[#This Row],[QR Suivis]],mvtst[QTE RETOUR])</f>
        <v>0</v>
      </c>
      <c r="K57" s="35" t="str">
        <f t="shared" si="0"/>
        <v>Usine</v>
      </c>
      <c r="L57" s="35" t="str">
        <f>_xlfn.XLOOKUP(mvtst[[#This Row],[Sous Traitant]],coordonnee_st[Identification],coordonnee_st[SERVICE],"Non Trouvé")</f>
        <v>Frange</v>
      </c>
      <c r="M57" s="35" t="str">
        <f>INDEX(_xlfn.TEXTSPLIT(mvtst[[#This Row],[QR Suivis]],"_"),1,2)</f>
        <v>All by Fouta</v>
      </c>
      <c r="N57" s="35" t="str">
        <f>INDEX(_xlfn.TEXTSPLIT(mvtst[[#This Row],[QR Suivis]],"_"),1,3)</f>
        <v>Stock</v>
      </c>
      <c r="O57" s="35" t="str">
        <f>INDEX(_xlfn.TEXTSPLIT(mvtst[[#This Row],[QR Suivis]],"_"),1,4)</f>
        <v>BE1020-Q04-24-20</v>
      </c>
      <c r="P57" s="35" t="str">
        <f>INDEX(_xlfn.TEXTSPLIT(mvtst[[#This Row],[QR Suivis]],"_"),1,5)</f>
        <v>BERBER</v>
      </c>
      <c r="Q57" s="35" t="str">
        <f>_xlfn.TEXTAFTER(mvtst[[#This Row],[QR Suivis]],"_",5)</f>
        <v>1020</v>
      </c>
      <c r="R57" s="84" t="str">
        <f>IF(
   COUNTIFS($A$2:A57,A57,
             $B$2:B57,B57,
             $C$2:C57,C57,
             $D$2:D57,D57,
             $G$2:G57,G57)&gt;1,
   "Doublon",
   "Correcte"
)</f>
        <v>Correcte</v>
      </c>
    </row>
    <row r="58" spans="1:18" x14ac:dyDescent="0.25">
      <c r="A58" s="104" t="s">
        <v>1359</v>
      </c>
      <c r="B58" s="35" t="s">
        <v>596</v>
      </c>
      <c r="C58" s="36">
        <v>5</v>
      </c>
      <c r="D58" s="36">
        <v>0</v>
      </c>
      <c r="E58" s="35"/>
      <c r="F58" s="35" t="s">
        <v>664</v>
      </c>
      <c r="G58" s="37">
        <v>45919</v>
      </c>
      <c r="H58" s="37" t="str">
        <f>INDEX(_xlfn.TEXTSPLIT(mvtst[[#This Row],[QR Suivis]],"_"),1,1)</f>
        <v>CA250391-8</v>
      </c>
      <c r="I58" s="35" t="str">
        <f>_xlfn.TEXTBEFORE(mvtst[[#This Row],[Num Suivis]],"-",,,1)</f>
        <v>CA250391</v>
      </c>
      <c r="J58" s="36">
        <f>SUMIF(mvtst[QR Suivis],mvtst[[#This Row],[QR Suivis]],mvtst[QTE SORTIS])-SUMIF(mvtst[QR Suivis],mvtst[[#This Row],[QR Suivis]],mvtst[QTE RETOUR])</f>
        <v>0</v>
      </c>
      <c r="K58" s="35" t="str">
        <f t="shared" si="0"/>
        <v>Usine</v>
      </c>
      <c r="L58" s="35" t="str">
        <f>_xlfn.XLOOKUP(mvtst[[#This Row],[Sous Traitant]],coordonnee_st[Identification],coordonnee_st[SERVICE],"Non Trouvé")</f>
        <v>Frange</v>
      </c>
      <c r="M58" s="35" t="str">
        <f>INDEX(_xlfn.TEXTSPLIT(mvtst[[#This Row],[QR Suivis]],"_"),1,2)</f>
        <v>All by Fouta</v>
      </c>
      <c r="N58" s="35" t="str">
        <f>INDEX(_xlfn.TEXTSPLIT(mvtst[[#This Row],[QR Suivis]],"_"),1,3)</f>
        <v>Stock</v>
      </c>
      <c r="O58" s="35" t="str">
        <f>INDEX(_xlfn.TEXTSPLIT(mvtst[[#This Row],[QR Suivis]],"_"),1,4)</f>
        <v>BE1020-Q04-24-20</v>
      </c>
      <c r="P58" s="35" t="str">
        <f>INDEX(_xlfn.TEXTSPLIT(mvtst[[#This Row],[QR Suivis]],"_"),1,5)</f>
        <v>BERBER</v>
      </c>
      <c r="Q58" s="35" t="str">
        <f>_xlfn.TEXTAFTER(mvtst[[#This Row],[QR Suivis]],"_",5)</f>
        <v>1020</v>
      </c>
      <c r="R58" s="84" t="str">
        <f>IF(
   COUNTIFS($A$2:A58,A58,
             $B$2:B58,B58,
             $C$2:C58,C58,
             $D$2:D58,D58,
             $G$2:G58,G58)&gt;1,
   "Doublon",
   "Correcte"
)</f>
        <v>Correcte</v>
      </c>
    </row>
    <row r="59" spans="1:18" x14ac:dyDescent="0.25">
      <c r="A59" s="104" t="s">
        <v>1360</v>
      </c>
      <c r="B59" s="35" t="s">
        <v>596</v>
      </c>
      <c r="C59" s="36">
        <v>5</v>
      </c>
      <c r="D59" s="36">
        <v>0</v>
      </c>
      <c r="E59" s="35"/>
      <c r="F59" s="35" t="s">
        <v>664</v>
      </c>
      <c r="G59" s="37">
        <v>45919</v>
      </c>
      <c r="H59" s="37" t="str">
        <f>INDEX(_xlfn.TEXTSPLIT(mvtst[[#This Row],[QR Suivis]],"_"),1,1)</f>
        <v>CA250391-9</v>
      </c>
      <c r="I59" s="35" t="str">
        <f>_xlfn.TEXTBEFORE(mvtst[[#This Row],[Num Suivis]],"-",,,1)</f>
        <v>CA250391</v>
      </c>
      <c r="J59" s="36">
        <f>SUMIF(mvtst[QR Suivis],mvtst[[#This Row],[QR Suivis]],mvtst[QTE SORTIS])-SUMIF(mvtst[QR Suivis],mvtst[[#This Row],[QR Suivis]],mvtst[QTE RETOUR])</f>
        <v>0</v>
      </c>
      <c r="K59" s="35" t="str">
        <f t="shared" si="0"/>
        <v>Usine</v>
      </c>
      <c r="L59" s="35" t="str">
        <f>_xlfn.XLOOKUP(mvtst[[#This Row],[Sous Traitant]],coordonnee_st[Identification],coordonnee_st[SERVICE],"Non Trouvé")</f>
        <v>Frange</v>
      </c>
      <c r="M59" s="35" t="str">
        <f>INDEX(_xlfn.TEXTSPLIT(mvtst[[#This Row],[QR Suivis]],"_"),1,2)</f>
        <v>All by Fouta</v>
      </c>
      <c r="N59" s="35" t="str">
        <f>INDEX(_xlfn.TEXTSPLIT(mvtst[[#This Row],[QR Suivis]],"_"),1,3)</f>
        <v>Stock</v>
      </c>
      <c r="O59" s="35" t="str">
        <f>INDEX(_xlfn.TEXTSPLIT(mvtst[[#This Row],[QR Suivis]],"_"),1,4)</f>
        <v>BE1020-Q04-24-20</v>
      </c>
      <c r="P59" s="35" t="str">
        <f>INDEX(_xlfn.TEXTSPLIT(mvtst[[#This Row],[QR Suivis]],"_"),1,5)</f>
        <v>BERBER</v>
      </c>
      <c r="Q59" s="35" t="str">
        <f>_xlfn.TEXTAFTER(mvtst[[#This Row],[QR Suivis]],"_",5)</f>
        <v>1020</v>
      </c>
      <c r="R59" s="84" t="str">
        <f>IF(
   COUNTIFS($A$2:A59,A59,
             $B$2:B59,B59,
             $C$2:C59,C59,
             $D$2:D59,D59,
             $G$2:G59,G59)&gt;1,
   "Doublon",
   "Correcte"
)</f>
        <v>Correcte</v>
      </c>
    </row>
    <row r="60" spans="1:18" x14ac:dyDescent="0.25">
      <c r="A60" s="104" t="s">
        <v>1361</v>
      </c>
      <c r="B60" s="35" t="s">
        <v>596</v>
      </c>
      <c r="C60" s="36">
        <v>5</v>
      </c>
      <c r="D60" s="36">
        <v>0</v>
      </c>
      <c r="E60" s="35"/>
      <c r="F60" s="35" t="s">
        <v>664</v>
      </c>
      <c r="G60" s="37">
        <v>45919</v>
      </c>
      <c r="H60" s="37" t="str">
        <f>INDEX(_xlfn.TEXTSPLIT(mvtst[[#This Row],[QR Suivis]],"_"),1,1)</f>
        <v>CA250391-10</v>
      </c>
      <c r="I60" s="35" t="str">
        <f>_xlfn.TEXTBEFORE(mvtst[[#This Row],[Num Suivis]],"-",,,1)</f>
        <v>CA250391</v>
      </c>
      <c r="J60" s="36">
        <f>SUMIF(mvtst[QR Suivis],mvtst[[#This Row],[QR Suivis]],mvtst[QTE SORTIS])-SUMIF(mvtst[QR Suivis],mvtst[[#This Row],[QR Suivis]],mvtst[QTE RETOUR])</f>
        <v>0</v>
      </c>
      <c r="K60" s="35" t="str">
        <f t="shared" si="0"/>
        <v>Usine</v>
      </c>
      <c r="L60" s="35" t="str">
        <f>_xlfn.XLOOKUP(mvtst[[#This Row],[Sous Traitant]],coordonnee_st[Identification],coordonnee_st[SERVICE],"Non Trouvé")</f>
        <v>Frange</v>
      </c>
      <c r="M60" s="35" t="str">
        <f>INDEX(_xlfn.TEXTSPLIT(mvtst[[#This Row],[QR Suivis]],"_"),1,2)</f>
        <v>All by Fouta</v>
      </c>
      <c r="N60" s="35" t="str">
        <f>INDEX(_xlfn.TEXTSPLIT(mvtst[[#This Row],[QR Suivis]],"_"),1,3)</f>
        <v>Stock</v>
      </c>
      <c r="O60" s="35" t="str">
        <f>INDEX(_xlfn.TEXTSPLIT(mvtst[[#This Row],[QR Suivis]],"_"),1,4)</f>
        <v>BE1020-Q04-24-20</v>
      </c>
      <c r="P60" s="35" t="str">
        <f>INDEX(_xlfn.TEXTSPLIT(mvtst[[#This Row],[QR Suivis]],"_"),1,5)</f>
        <v>BERBER</v>
      </c>
      <c r="Q60" s="35" t="str">
        <f>_xlfn.TEXTAFTER(mvtst[[#This Row],[QR Suivis]],"_",5)</f>
        <v>1020</v>
      </c>
      <c r="R60" s="84" t="str">
        <f>IF(
   COUNTIFS($A$2:A60,A60,
             $B$2:B60,B60,
             $C$2:C60,C60,
             $D$2:D60,D60,
             $G$2:G60,G60)&gt;1,
   "Doublon",
   "Correcte"
)</f>
        <v>Correcte</v>
      </c>
    </row>
    <row r="61" spans="1:18" x14ac:dyDescent="0.25">
      <c r="A61" s="104" t="s">
        <v>1362</v>
      </c>
      <c r="B61" s="35" t="s">
        <v>596</v>
      </c>
      <c r="C61" s="36">
        <v>5</v>
      </c>
      <c r="D61" s="36">
        <v>0</v>
      </c>
      <c r="E61" s="35"/>
      <c r="F61" s="35" t="s">
        <v>664</v>
      </c>
      <c r="G61" s="37">
        <v>45919</v>
      </c>
      <c r="H61" s="37" t="str">
        <f>INDEX(_xlfn.TEXTSPLIT(mvtst[[#This Row],[QR Suivis]],"_"),1,1)</f>
        <v>CA250391-11</v>
      </c>
      <c r="I61" s="35" t="str">
        <f>_xlfn.TEXTBEFORE(mvtst[[#This Row],[Num Suivis]],"-",,,1)</f>
        <v>CA250391</v>
      </c>
      <c r="J61" s="36">
        <f>SUMIF(mvtst[QR Suivis],mvtst[[#This Row],[QR Suivis]],mvtst[QTE SORTIS])-SUMIF(mvtst[QR Suivis],mvtst[[#This Row],[QR Suivis]],mvtst[QTE RETOUR])</f>
        <v>0</v>
      </c>
      <c r="K61" s="35" t="str">
        <f t="shared" si="0"/>
        <v>Usine</v>
      </c>
      <c r="L61" s="35" t="str">
        <f>_xlfn.XLOOKUP(mvtst[[#This Row],[Sous Traitant]],coordonnee_st[Identification],coordonnee_st[SERVICE],"Non Trouvé")</f>
        <v>Frange</v>
      </c>
      <c r="M61" s="35" t="str">
        <f>INDEX(_xlfn.TEXTSPLIT(mvtst[[#This Row],[QR Suivis]],"_"),1,2)</f>
        <v>All by Fouta</v>
      </c>
      <c r="N61" s="35" t="str">
        <f>INDEX(_xlfn.TEXTSPLIT(mvtst[[#This Row],[QR Suivis]],"_"),1,3)</f>
        <v>Stock</v>
      </c>
      <c r="O61" s="35" t="str">
        <f>INDEX(_xlfn.TEXTSPLIT(mvtst[[#This Row],[QR Suivis]],"_"),1,4)</f>
        <v>BE1020-Q04-24-20</v>
      </c>
      <c r="P61" s="35" t="str">
        <f>INDEX(_xlfn.TEXTSPLIT(mvtst[[#This Row],[QR Suivis]],"_"),1,5)</f>
        <v>BERBER</v>
      </c>
      <c r="Q61" s="35" t="str">
        <f>_xlfn.TEXTAFTER(mvtst[[#This Row],[QR Suivis]],"_",5)</f>
        <v>1020</v>
      </c>
      <c r="R61" s="84" t="str">
        <f>IF(
   COUNTIFS($A$2:A61,A61,
             $B$2:B61,B61,
             $C$2:C61,C61,
             $D$2:D61,D61,
             $G$2:G61,G61)&gt;1,
   "Doublon",
   "Correcte"
)</f>
        <v>Correcte</v>
      </c>
    </row>
    <row r="62" spans="1:18" x14ac:dyDescent="0.25">
      <c r="A62" s="104" t="s">
        <v>1363</v>
      </c>
      <c r="B62" s="35" t="s">
        <v>596</v>
      </c>
      <c r="C62" s="36">
        <v>5</v>
      </c>
      <c r="D62" s="36">
        <v>0</v>
      </c>
      <c r="E62" s="35"/>
      <c r="F62" s="35" t="s">
        <v>664</v>
      </c>
      <c r="G62" s="37">
        <v>45919</v>
      </c>
      <c r="H62" s="37" t="str">
        <f>INDEX(_xlfn.TEXTSPLIT(mvtst[[#This Row],[QR Suivis]],"_"),1,1)</f>
        <v>CA250391-12</v>
      </c>
      <c r="I62" s="35" t="str">
        <f>_xlfn.TEXTBEFORE(mvtst[[#This Row],[Num Suivis]],"-",,,1)</f>
        <v>CA250391</v>
      </c>
      <c r="J62" s="36">
        <f>SUMIF(mvtst[QR Suivis],mvtst[[#This Row],[QR Suivis]],mvtst[QTE SORTIS])-SUMIF(mvtst[QR Suivis],mvtst[[#This Row],[QR Suivis]],mvtst[QTE RETOUR])</f>
        <v>0</v>
      </c>
      <c r="K62" s="35" t="str">
        <f t="shared" si="0"/>
        <v>Usine</v>
      </c>
      <c r="L62" s="35" t="str">
        <f>_xlfn.XLOOKUP(mvtst[[#This Row],[Sous Traitant]],coordonnee_st[Identification],coordonnee_st[SERVICE],"Non Trouvé")</f>
        <v>Frange</v>
      </c>
      <c r="M62" s="35" t="str">
        <f>INDEX(_xlfn.TEXTSPLIT(mvtst[[#This Row],[QR Suivis]],"_"),1,2)</f>
        <v>All by Fouta</v>
      </c>
      <c r="N62" s="35" t="str">
        <f>INDEX(_xlfn.TEXTSPLIT(mvtst[[#This Row],[QR Suivis]],"_"),1,3)</f>
        <v>Stock</v>
      </c>
      <c r="O62" s="35" t="str">
        <f>INDEX(_xlfn.TEXTSPLIT(mvtst[[#This Row],[QR Suivis]],"_"),1,4)</f>
        <v>BE1020-Q04-24-20</v>
      </c>
      <c r="P62" s="35" t="str">
        <f>INDEX(_xlfn.TEXTSPLIT(mvtst[[#This Row],[QR Suivis]],"_"),1,5)</f>
        <v>BERBER</v>
      </c>
      <c r="Q62" s="35" t="str">
        <f>_xlfn.TEXTAFTER(mvtst[[#This Row],[QR Suivis]],"_",5)</f>
        <v>1020</v>
      </c>
      <c r="R62" s="84" t="str">
        <f>IF(
   COUNTIFS($A$2:A62,A62,
             $B$2:B62,B62,
             $C$2:C62,C62,
             $D$2:D62,D62,
             $G$2:G62,G62)&gt;1,
   "Doublon",
   "Correcte"
)</f>
        <v>Correcte</v>
      </c>
    </row>
    <row r="63" spans="1:18" x14ac:dyDescent="0.25">
      <c r="A63" s="104" t="s">
        <v>1364</v>
      </c>
      <c r="B63" s="35" t="s">
        <v>596</v>
      </c>
      <c r="C63" s="36">
        <v>1</v>
      </c>
      <c r="D63" s="36">
        <v>0</v>
      </c>
      <c r="E63" s="35"/>
      <c r="F63" s="35" t="s">
        <v>664</v>
      </c>
      <c r="G63" s="37">
        <v>45919</v>
      </c>
      <c r="H63" s="37" t="str">
        <f>INDEX(_xlfn.TEXTSPLIT(mvtst[[#This Row],[QR Suivis]],"_"),1,1)</f>
        <v>CA250391-13</v>
      </c>
      <c r="I63" s="35" t="str">
        <f>_xlfn.TEXTBEFORE(mvtst[[#This Row],[Num Suivis]],"-",,,1)</f>
        <v>CA250391</v>
      </c>
      <c r="J63" s="36">
        <f>SUMIF(mvtst[QR Suivis],mvtst[[#This Row],[QR Suivis]],mvtst[QTE SORTIS])-SUMIF(mvtst[QR Suivis],mvtst[[#This Row],[QR Suivis]],mvtst[QTE RETOUR])</f>
        <v>0</v>
      </c>
      <c r="K63" s="35" t="str">
        <f t="shared" si="0"/>
        <v>Usine</v>
      </c>
      <c r="L63" s="35" t="str">
        <f>_xlfn.XLOOKUP(mvtst[[#This Row],[Sous Traitant]],coordonnee_st[Identification],coordonnee_st[SERVICE],"Non Trouvé")</f>
        <v>Frange</v>
      </c>
      <c r="M63" s="35" t="str">
        <f>INDEX(_xlfn.TEXTSPLIT(mvtst[[#This Row],[QR Suivis]],"_"),1,2)</f>
        <v>All by Fouta</v>
      </c>
      <c r="N63" s="35" t="str">
        <f>INDEX(_xlfn.TEXTSPLIT(mvtst[[#This Row],[QR Suivis]],"_"),1,3)</f>
        <v>Stock</v>
      </c>
      <c r="O63" s="35" t="str">
        <f>INDEX(_xlfn.TEXTSPLIT(mvtst[[#This Row],[QR Suivis]],"_"),1,4)</f>
        <v>BE1020-Q04-24-20</v>
      </c>
      <c r="P63" s="35" t="str">
        <f>INDEX(_xlfn.TEXTSPLIT(mvtst[[#This Row],[QR Suivis]],"_"),1,5)</f>
        <v>BERBER</v>
      </c>
      <c r="Q63" s="35" t="str">
        <f>_xlfn.TEXTAFTER(mvtst[[#This Row],[QR Suivis]],"_",5)</f>
        <v>1020</v>
      </c>
      <c r="R63" s="84" t="str">
        <f>IF(
   COUNTIFS($A$2:A63,A63,
             $B$2:B63,B63,
             $C$2:C63,C63,
             $D$2:D63,D63,
             $G$2:G63,G63)&gt;1,
   "Doublon",
   "Correcte"
)</f>
        <v>Correcte</v>
      </c>
    </row>
    <row r="64" spans="1:18" x14ac:dyDescent="0.25">
      <c r="A64" s="104" t="s">
        <v>1365</v>
      </c>
      <c r="B64" s="35" t="s">
        <v>596</v>
      </c>
      <c r="C64" s="36">
        <v>5</v>
      </c>
      <c r="D64" s="36">
        <v>0</v>
      </c>
      <c r="E64" s="35"/>
      <c r="F64" s="35" t="s">
        <v>664</v>
      </c>
      <c r="G64" s="37">
        <v>45919</v>
      </c>
      <c r="H64" s="37" t="str">
        <f>INDEX(_xlfn.TEXTSPLIT(mvtst[[#This Row],[QR Suivis]],"_"),1,1)</f>
        <v>CA250473-5</v>
      </c>
      <c r="I64" s="35" t="str">
        <f>_xlfn.TEXTBEFORE(mvtst[[#This Row],[Num Suivis]],"-",,,1)</f>
        <v>CA250473</v>
      </c>
      <c r="J64" s="36">
        <f>SUMIF(mvtst[QR Suivis],mvtst[[#This Row],[QR Suivis]],mvtst[QTE SORTIS])-SUMIF(mvtst[QR Suivis],mvtst[[#This Row],[QR Suivis]],mvtst[QTE RETOUR])</f>
        <v>0</v>
      </c>
      <c r="K64" s="35" t="str">
        <f t="shared" si="0"/>
        <v>Usine</v>
      </c>
      <c r="L64" s="35" t="str">
        <f>_xlfn.XLOOKUP(mvtst[[#This Row],[Sous Traitant]],coordonnee_st[Identification],coordonnee_st[SERVICE],"Non Trouvé")</f>
        <v>Frange</v>
      </c>
      <c r="M64" s="35" t="str">
        <f>INDEX(_xlfn.TEXTSPLIT(mvtst[[#This Row],[QR Suivis]],"_"),1,2)</f>
        <v>All by Fouta</v>
      </c>
      <c r="N64" s="35" t="str">
        <f>INDEX(_xlfn.TEXTSPLIT(mvtst[[#This Row],[QR Suivis]],"_"),1,3)</f>
        <v>Stock</v>
      </c>
      <c r="O64" s="35" t="str">
        <f>INDEX(_xlfn.TEXTSPLIT(mvtst[[#This Row],[QR Suivis]],"_"),1,4)</f>
        <v>FAF1020-B18-19</v>
      </c>
      <c r="P64" s="35" t="str">
        <f>INDEX(_xlfn.TEXTSPLIT(mvtst[[#This Row],[QR Suivis]],"_"),1,5)</f>
        <v>FIL A FIL</v>
      </c>
      <c r="Q64" s="35" t="str">
        <f>_xlfn.TEXTAFTER(mvtst[[#This Row],[QR Suivis]],"_",5)</f>
        <v>1020</v>
      </c>
      <c r="R64" s="84" t="str">
        <f>IF(
   COUNTIFS($A$2:A64,A64,
             $B$2:B64,B64,
             $C$2:C64,C64,
             $D$2:D64,D64,
             $G$2:G64,G64)&gt;1,
   "Doublon",
   "Correcte"
)</f>
        <v>Correcte</v>
      </c>
    </row>
    <row r="65" spans="1:18" x14ac:dyDescent="0.25">
      <c r="A65" s="104" t="s">
        <v>1366</v>
      </c>
      <c r="B65" s="35" t="s">
        <v>596</v>
      </c>
      <c r="C65" s="36">
        <v>5</v>
      </c>
      <c r="D65" s="36">
        <v>0</v>
      </c>
      <c r="E65" s="35"/>
      <c r="F65" s="35" t="s">
        <v>664</v>
      </c>
      <c r="G65" s="37">
        <v>45919</v>
      </c>
      <c r="H65" s="37" t="str">
        <f>INDEX(_xlfn.TEXTSPLIT(mvtst[[#This Row],[QR Suivis]],"_"),1,1)</f>
        <v>CA250473-4</v>
      </c>
      <c r="I65" s="35" t="str">
        <f>_xlfn.TEXTBEFORE(mvtst[[#This Row],[Num Suivis]],"-",,,1)</f>
        <v>CA250473</v>
      </c>
      <c r="J65" s="36">
        <f>SUMIF(mvtst[QR Suivis],mvtst[[#This Row],[QR Suivis]],mvtst[QTE SORTIS])-SUMIF(mvtst[QR Suivis],mvtst[[#This Row],[QR Suivis]],mvtst[QTE RETOUR])</f>
        <v>0</v>
      </c>
      <c r="K65" s="35" t="str">
        <f t="shared" si="0"/>
        <v>Usine</v>
      </c>
      <c r="L65" s="35" t="str">
        <f>_xlfn.XLOOKUP(mvtst[[#This Row],[Sous Traitant]],coordonnee_st[Identification],coordonnee_st[SERVICE],"Non Trouvé")</f>
        <v>Frange</v>
      </c>
      <c r="M65" s="35" t="str">
        <f>INDEX(_xlfn.TEXTSPLIT(mvtst[[#This Row],[QR Suivis]],"_"),1,2)</f>
        <v>All by Fouta</v>
      </c>
      <c r="N65" s="35" t="str">
        <f>INDEX(_xlfn.TEXTSPLIT(mvtst[[#This Row],[QR Suivis]],"_"),1,3)</f>
        <v>Stock</v>
      </c>
      <c r="O65" s="35" t="str">
        <f>INDEX(_xlfn.TEXTSPLIT(mvtst[[#This Row],[QR Suivis]],"_"),1,4)</f>
        <v>FAF1020-B18-19</v>
      </c>
      <c r="P65" s="35" t="str">
        <f>INDEX(_xlfn.TEXTSPLIT(mvtst[[#This Row],[QR Suivis]],"_"),1,5)</f>
        <v>FIL A FIL</v>
      </c>
      <c r="Q65" s="35" t="str">
        <f>_xlfn.TEXTAFTER(mvtst[[#This Row],[QR Suivis]],"_",5)</f>
        <v>1020</v>
      </c>
      <c r="R65" s="84" t="str">
        <f>IF(
   COUNTIFS($A$2:A65,A65,
             $B$2:B65,B65,
             $C$2:C65,C65,
             $D$2:D65,D65,
             $G$2:G65,G65)&gt;1,
   "Doublon",
   "Correcte"
)</f>
        <v>Correcte</v>
      </c>
    </row>
    <row r="66" spans="1:18" x14ac:dyDescent="0.25">
      <c r="A66" s="104" t="s">
        <v>1367</v>
      </c>
      <c r="B66" s="35" t="s">
        <v>596</v>
      </c>
      <c r="C66" s="36">
        <v>5</v>
      </c>
      <c r="D66" s="36">
        <v>0</v>
      </c>
      <c r="E66" s="35"/>
      <c r="F66" s="35" t="s">
        <v>664</v>
      </c>
      <c r="G66" s="37">
        <v>45919</v>
      </c>
      <c r="H66" s="37" t="str">
        <f>INDEX(_xlfn.TEXTSPLIT(mvtst[[#This Row],[QR Suivis]],"_"),1,1)</f>
        <v>CA250473-2</v>
      </c>
      <c r="I66" s="35" t="str">
        <f>_xlfn.TEXTBEFORE(mvtst[[#This Row],[Num Suivis]],"-",,,1)</f>
        <v>CA250473</v>
      </c>
      <c r="J66" s="36">
        <f>SUMIF(mvtst[QR Suivis],mvtst[[#This Row],[QR Suivis]],mvtst[QTE SORTIS])-SUMIF(mvtst[QR Suivis],mvtst[[#This Row],[QR Suivis]],mvtst[QTE RETOUR])</f>
        <v>0</v>
      </c>
      <c r="K66" s="35" t="str">
        <f t="shared" si="0"/>
        <v>Usine</v>
      </c>
      <c r="L66" s="35" t="str">
        <f>_xlfn.XLOOKUP(mvtst[[#This Row],[Sous Traitant]],coordonnee_st[Identification],coordonnee_st[SERVICE],"Non Trouvé")</f>
        <v>Frange</v>
      </c>
      <c r="M66" s="35" t="str">
        <f>INDEX(_xlfn.TEXTSPLIT(mvtst[[#This Row],[QR Suivis]],"_"),1,2)</f>
        <v>All by Fouta</v>
      </c>
      <c r="N66" s="35" t="str">
        <f>INDEX(_xlfn.TEXTSPLIT(mvtst[[#This Row],[QR Suivis]],"_"),1,3)</f>
        <v>Stock</v>
      </c>
      <c r="O66" s="35" t="str">
        <f>INDEX(_xlfn.TEXTSPLIT(mvtst[[#This Row],[QR Suivis]],"_"),1,4)</f>
        <v>FAF1020-B18-19</v>
      </c>
      <c r="P66" s="35" t="str">
        <f>INDEX(_xlfn.TEXTSPLIT(mvtst[[#This Row],[QR Suivis]],"_"),1,5)</f>
        <v>FIL A FIL</v>
      </c>
      <c r="Q66" s="35" t="str">
        <f>_xlfn.TEXTAFTER(mvtst[[#This Row],[QR Suivis]],"_",5)</f>
        <v>1020</v>
      </c>
      <c r="R66" s="84" t="str">
        <f>IF(
   COUNTIFS($A$2:A66,A66,
             $B$2:B66,B66,
             $C$2:C66,C66,
             $D$2:D66,D66,
             $G$2:G66,G66)&gt;1,
   "Doublon",
   "Correcte"
)</f>
        <v>Correcte</v>
      </c>
    </row>
    <row r="67" spans="1:18" x14ac:dyDescent="0.25">
      <c r="A67" s="104" t="s">
        <v>1368</v>
      </c>
      <c r="B67" s="35" t="s">
        <v>596</v>
      </c>
      <c r="C67" s="36">
        <v>5</v>
      </c>
      <c r="D67" s="36">
        <v>0</v>
      </c>
      <c r="E67" s="35"/>
      <c r="F67" s="35" t="s">
        <v>664</v>
      </c>
      <c r="G67" s="37">
        <v>45919</v>
      </c>
      <c r="H67" s="37" t="str">
        <f>INDEX(_xlfn.TEXTSPLIT(mvtst[[#This Row],[QR Suivis]],"_"),1,1)</f>
        <v>CA250473-3</v>
      </c>
      <c r="I67" s="35" t="str">
        <f>_xlfn.TEXTBEFORE(mvtst[[#This Row],[Num Suivis]],"-",,,1)</f>
        <v>CA250473</v>
      </c>
      <c r="J67" s="36">
        <f>SUMIF(mvtst[QR Suivis],mvtst[[#This Row],[QR Suivis]],mvtst[QTE SORTIS])-SUMIF(mvtst[QR Suivis],mvtst[[#This Row],[QR Suivis]],mvtst[QTE RETOUR])</f>
        <v>0</v>
      </c>
      <c r="K67" s="35" t="str">
        <f t="shared" ref="K67:K130" si="1">"Usine"</f>
        <v>Usine</v>
      </c>
      <c r="L67" s="35" t="str">
        <f>_xlfn.XLOOKUP(mvtst[[#This Row],[Sous Traitant]],coordonnee_st[Identification],coordonnee_st[SERVICE],"Non Trouvé")</f>
        <v>Frange</v>
      </c>
      <c r="M67" s="35" t="str">
        <f>INDEX(_xlfn.TEXTSPLIT(mvtst[[#This Row],[QR Suivis]],"_"),1,2)</f>
        <v>All by Fouta</v>
      </c>
      <c r="N67" s="35" t="str">
        <f>INDEX(_xlfn.TEXTSPLIT(mvtst[[#This Row],[QR Suivis]],"_"),1,3)</f>
        <v>Stock</v>
      </c>
      <c r="O67" s="35" t="str">
        <f>INDEX(_xlfn.TEXTSPLIT(mvtst[[#This Row],[QR Suivis]],"_"),1,4)</f>
        <v>FAF1020-B18-19</v>
      </c>
      <c r="P67" s="35" t="str">
        <f>INDEX(_xlfn.TEXTSPLIT(mvtst[[#This Row],[QR Suivis]],"_"),1,5)</f>
        <v>FIL A FIL</v>
      </c>
      <c r="Q67" s="35" t="str">
        <f>_xlfn.TEXTAFTER(mvtst[[#This Row],[QR Suivis]],"_",5)</f>
        <v>1020</v>
      </c>
      <c r="R67" s="84" t="str">
        <f>IF(
   COUNTIFS($A$2:A67,A67,
             $B$2:B67,B67,
             $C$2:C67,C67,
             $D$2:D67,D67,
             $G$2:G67,G67)&gt;1,
   "Doublon",
   "Correcte"
)</f>
        <v>Correcte</v>
      </c>
    </row>
    <row r="68" spans="1:18" x14ac:dyDescent="0.25">
      <c r="A68" s="104" t="s">
        <v>1369</v>
      </c>
      <c r="B68" s="35" t="s">
        <v>596</v>
      </c>
      <c r="C68" s="36">
        <v>5</v>
      </c>
      <c r="D68" s="36">
        <v>0</v>
      </c>
      <c r="E68" s="35"/>
      <c r="F68" s="35" t="s">
        <v>664</v>
      </c>
      <c r="G68" s="37">
        <v>45919</v>
      </c>
      <c r="H68" s="37" t="str">
        <f>INDEX(_xlfn.TEXTSPLIT(mvtst[[#This Row],[QR Suivis]],"_"),1,1)</f>
        <v>CA250473-12</v>
      </c>
      <c r="I68" s="35" t="str">
        <f>_xlfn.TEXTBEFORE(mvtst[[#This Row],[Num Suivis]],"-",,,1)</f>
        <v>CA250473</v>
      </c>
      <c r="J68" s="36">
        <f>SUMIF(mvtst[QR Suivis],mvtst[[#This Row],[QR Suivis]],mvtst[QTE SORTIS])-SUMIF(mvtst[QR Suivis],mvtst[[#This Row],[QR Suivis]],mvtst[QTE RETOUR])</f>
        <v>0</v>
      </c>
      <c r="K68" s="35" t="str">
        <f t="shared" si="1"/>
        <v>Usine</v>
      </c>
      <c r="L68" s="35" t="str">
        <f>_xlfn.XLOOKUP(mvtst[[#This Row],[Sous Traitant]],coordonnee_st[Identification],coordonnee_st[SERVICE],"Non Trouvé")</f>
        <v>Frange</v>
      </c>
      <c r="M68" s="35" t="str">
        <f>INDEX(_xlfn.TEXTSPLIT(mvtst[[#This Row],[QR Suivis]],"_"),1,2)</f>
        <v>All by Fouta</v>
      </c>
      <c r="N68" s="35" t="str">
        <f>INDEX(_xlfn.TEXTSPLIT(mvtst[[#This Row],[QR Suivis]],"_"),1,3)</f>
        <v>Stock</v>
      </c>
      <c r="O68" s="35" t="str">
        <f>INDEX(_xlfn.TEXTSPLIT(mvtst[[#This Row],[QR Suivis]],"_"),1,4)</f>
        <v>FAF1020-B18-19</v>
      </c>
      <c r="P68" s="35" t="str">
        <f>INDEX(_xlfn.TEXTSPLIT(mvtst[[#This Row],[QR Suivis]],"_"),1,5)</f>
        <v>FIL A FIL</v>
      </c>
      <c r="Q68" s="35" t="str">
        <f>_xlfn.TEXTAFTER(mvtst[[#This Row],[QR Suivis]],"_",5)</f>
        <v>1020</v>
      </c>
      <c r="R68" s="84" t="str">
        <f>IF(
   COUNTIFS($A$2:A68,A68,
             $B$2:B68,B68,
             $C$2:C68,C68,
             $D$2:D68,D68,
             $G$2:G68,G68)&gt;1,
   "Doublon",
   "Correcte"
)</f>
        <v>Correcte</v>
      </c>
    </row>
    <row r="69" spans="1:18" x14ac:dyDescent="0.25">
      <c r="A69" s="104" t="s">
        <v>1370</v>
      </c>
      <c r="B69" s="35" t="s">
        <v>596</v>
      </c>
      <c r="C69" s="36">
        <v>5</v>
      </c>
      <c r="D69" s="36">
        <v>0</v>
      </c>
      <c r="E69" s="35"/>
      <c r="F69" s="35" t="s">
        <v>664</v>
      </c>
      <c r="G69" s="37">
        <v>45919</v>
      </c>
      <c r="H69" s="37" t="str">
        <f>INDEX(_xlfn.TEXTSPLIT(mvtst[[#This Row],[QR Suivis]],"_"),1,1)</f>
        <v>CA250473-9</v>
      </c>
      <c r="I69" s="35" t="str">
        <f>_xlfn.TEXTBEFORE(mvtst[[#This Row],[Num Suivis]],"-",,,1)</f>
        <v>CA250473</v>
      </c>
      <c r="J69" s="36">
        <f>SUMIF(mvtst[QR Suivis],mvtst[[#This Row],[QR Suivis]],mvtst[QTE SORTIS])-SUMIF(mvtst[QR Suivis],mvtst[[#This Row],[QR Suivis]],mvtst[QTE RETOUR])</f>
        <v>0</v>
      </c>
      <c r="K69" s="35" t="str">
        <f t="shared" si="1"/>
        <v>Usine</v>
      </c>
      <c r="L69" s="35" t="str">
        <f>_xlfn.XLOOKUP(mvtst[[#This Row],[Sous Traitant]],coordonnee_st[Identification],coordonnee_st[SERVICE],"Non Trouvé")</f>
        <v>Frange</v>
      </c>
      <c r="M69" s="35" t="str">
        <f>INDEX(_xlfn.TEXTSPLIT(mvtst[[#This Row],[QR Suivis]],"_"),1,2)</f>
        <v>All by Fouta</v>
      </c>
      <c r="N69" s="35" t="str">
        <f>INDEX(_xlfn.TEXTSPLIT(mvtst[[#This Row],[QR Suivis]],"_"),1,3)</f>
        <v>Stock</v>
      </c>
      <c r="O69" s="35" t="str">
        <f>INDEX(_xlfn.TEXTSPLIT(mvtst[[#This Row],[QR Suivis]],"_"),1,4)</f>
        <v>FAF1020-B18-19</v>
      </c>
      <c r="P69" s="35" t="str">
        <f>INDEX(_xlfn.TEXTSPLIT(mvtst[[#This Row],[QR Suivis]],"_"),1,5)</f>
        <v>FIL A FIL</v>
      </c>
      <c r="Q69" s="35" t="str">
        <f>_xlfn.TEXTAFTER(mvtst[[#This Row],[QR Suivis]],"_",5)</f>
        <v>1020</v>
      </c>
      <c r="R69" s="84" t="str">
        <f>IF(
   COUNTIFS($A$2:A69,A69,
             $B$2:B69,B69,
             $C$2:C69,C69,
             $D$2:D69,D69,
             $G$2:G69,G69)&gt;1,
   "Doublon",
   "Correcte"
)</f>
        <v>Correcte</v>
      </c>
    </row>
    <row r="70" spans="1:18" x14ac:dyDescent="0.25">
      <c r="A70" s="104" t="s">
        <v>1371</v>
      </c>
      <c r="B70" s="35" t="s">
        <v>596</v>
      </c>
      <c r="C70" s="36">
        <v>5</v>
      </c>
      <c r="D70" s="36">
        <v>0</v>
      </c>
      <c r="E70" s="35"/>
      <c r="F70" s="35" t="s">
        <v>664</v>
      </c>
      <c r="G70" s="37">
        <v>45919</v>
      </c>
      <c r="H70" s="37" t="str">
        <f>INDEX(_xlfn.TEXTSPLIT(mvtst[[#This Row],[QR Suivis]],"_"),1,1)</f>
        <v>CA250473-8</v>
      </c>
      <c r="I70" s="35" t="str">
        <f>_xlfn.TEXTBEFORE(mvtst[[#This Row],[Num Suivis]],"-",,,1)</f>
        <v>CA250473</v>
      </c>
      <c r="J70" s="36">
        <f>SUMIF(mvtst[QR Suivis],mvtst[[#This Row],[QR Suivis]],mvtst[QTE SORTIS])-SUMIF(mvtst[QR Suivis],mvtst[[#This Row],[QR Suivis]],mvtst[QTE RETOUR])</f>
        <v>0</v>
      </c>
      <c r="K70" s="35" t="str">
        <f t="shared" si="1"/>
        <v>Usine</v>
      </c>
      <c r="L70" s="35" t="str">
        <f>_xlfn.XLOOKUP(mvtst[[#This Row],[Sous Traitant]],coordonnee_st[Identification],coordonnee_st[SERVICE],"Non Trouvé")</f>
        <v>Frange</v>
      </c>
      <c r="M70" s="35" t="str">
        <f>INDEX(_xlfn.TEXTSPLIT(mvtst[[#This Row],[QR Suivis]],"_"),1,2)</f>
        <v>All by Fouta</v>
      </c>
      <c r="N70" s="35" t="str">
        <f>INDEX(_xlfn.TEXTSPLIT(mvtst[[#This Row],[QR Suivis]],"_"),1,3)</f>
        <v>Stock</v>
      </c>
      <c r="O70" s="35" t="str">
        <f>INDEX(_xlfn.TEXTSPLIT(mvtst[[#This Row],[QR Suivis]],"_"),1,4)</f>
        <v>FAF1020-B18-19</v>
      </c>
      <c r="P70" s="35" t="str">
        <f>INDEX(_xlfn.TEXTSPLIT(mvtst[[#This Row],[QR Suivis]],"_"),1,5)</f>
        <v>FIL A FIL</v>
      </c>
      <c r="Q70" s="35" t="str">
        <f>_xlfn.TEXTAFTER(mvtst[[#This Row],[QR Suivis]],"_",5)</f>
        <v>1020</v>
      </c>
      <c r="R70" s="84" t="str">
        <f>IF(
   COUNTIFS($A$2:A70,A70,
             $B$2:B70,B70,
             $C$2:C70,C70,
             $D$2:D70,D70,
             $G$2:G70,G70)&gt;1,
   "Doublon",
   "Correcte"
)</f>
        <v>Correcte</v>
      </c>
    </row>
    <row r="71" spans="1:18" x14ac:dyDescent="0.25">
      <c r="A71" s="104" t="s">
        <v>1372</v>
      </c>
      <c r="B71" s="35" t="s">
        <v>596</v>
      </c>
      <c r="C71" s="36">
        <v>5</v>
      </c>
      <c r="D71" s="36">
        <v>0</v>
      </c>
      <c r="E71" s="35"/>
      <c r="F71" s="35" t="s">
        <v>664</v>
      </c>
      <c r="G71" s="37">
        <v>45919</v>
      </c>
      <c r="H71" s="37" t="str">
        <f>INDEX(_xlfn.TEXTSPLIT(mvtst[[#This Row],[QR Suivis]],"_"),1,1)</f>
        <v>CA250473-1</v>
      </c>
      <c r="I71" s="35" t="str">
        <f>_xlfn.TEXTBEFORE(mvtst[[#This Row],[Num Suivis]],"-",,,1)</f>
        <v>CA250473</v>
      </c>
      <c r="J71" s="36">
        <f>SUMIF(mvtst[QR Suivis],mvtst[[#This Row],[QR Suivis]],mvtst[QTE SORTIS])-SUMIF(mvtst[QR Suivis],mvtst[[#This Row],[QR Suivis]],mvtst[QTE RETOUR])</f>
        <v>0</v>
      </c>
      <c r="K71" s="35" t="str">
        <f t="shared" si="1"/>
        <v>Usine</v>
      </c>
      <c r="L71" s="35" t="str">
        <f>_xlfn.XLOOKUP(mvtst[[#This Row],[Sous Traitant]],coordonnee_st[Identification],coordonnee_st[SERVICE],"Non Trouvé")</f>
        <v>Frange</v>
      </c>
      <c r="M71" s="35" t="str">
        <f>INDEX(_xlfn.TEXTSPLIT(mvtst[[#This Row],[QR Suivis]],"_"),1,2)</f>
        <v>All by Fouta</v>
      </c>
      <c r="N71" s="35" t="str">
        <f>INDEX(_xlfn.TEXTSPLIT(mvtst[[#This Row],[QR Suivis]],"_"),1,3)</f>
        <v>Stock</v>
      </c>
      <c r="O71" s="35" t="str">
        <f>INDEX(_xlfn.TEXTSPLIT(mvtst[[#This Row],[QR Suivis]],"_"),1,4)</f>
        <v>FAF1020-B18-19</v>
      </c>
      <c r="P71" s="35" t="str">
        <f>INDEX(_xlfn.TEXTSPLIT(mvtst[[#This Row],[QR Suivis]],"_"),1,5)</f>
        <v>FIL A FIL</v>
      </c>
      <c r="Q71" s="35" t="str">
        <f>_xlfn.TEXTAFTER(mvtst[[#This Row],[QR Suivis]],"_",5)</f>
        <v>1020</v>
      </c>
      <c r="R71" s="84" t="str">
        <f>IF(
   COUNTIFS($A$2:A71,A71,
             $B$2:B71,B71,
             $C$2:C71,C71,
             $D$2:D71,D71,
             $G$2:G71,G71)&gt;1,
   "Doublon",
   "Correcte"
)</f>
        <v>Correcte</v>
      </c>
    </row>
    <row r="72" spans="1:18" x14ac:dyDescent="0.25">
      <c r="A72" s="104" t="s">
        <v>1373</v>
      </c>
      <c r="B72" s="35" t="s">
        <v>596</v>
      </c>
      <c r="C72" s="36">
        <v>5</v>
      </c>
      <c r="D72" s="36">
        <v>0</v>
      </c>
      <c r="E72" s="35"/>
      <c r="F72" s="35" t="s">
        <v>664</v>
      </c>
      <c r="G72" s="37">
        <v>45919</v>
      </c>
      <c r="H72" s="37" t="str">
        <f>INDEX(_xlfn.TEXTSPLIT(mvtst[[#This Row],[QR Suivis]],"_"),1,1)</f>
        <v>CA250473-6</v>
      </c>
      <c r="I72" s="35" t="str">
        <f>_xlfn.TEXTBEFORE(mvtst[[#This Row],[Num Suivis]],"-",,,1)</f>
        <v>CA250473</v>
      </c>
      <c r="J72" s="36">
        <f>SUMIF(mvtst[QR Suivis],mvtst[[#This Row],[QR Suivis]],mvtst[QTE SORTIS])-SUMIF(mvtst[QR Suivis],mvtst[[#This Row],[QR Suivis]],mvtst[QTE RETOUR])</f>
        <v>0</v>
      </c>
      <c r="K72" s="35" t="str">
        <f t="shared" si="1"/>
        <v>Usine</v>
      </c>
      <c r="L72" s="35" t="str">
        <f>_xlfn.XLOOKUP(mvtst[[#This Row],[Sous Traitant]],coordonnee_st[Identification],coordonnee_st[SERVICE],"Non Trouvé")</f>
        <v>Frange</v>
      </c>
      <c r="M72" s="35" t="str">
        <f>INDEX(_xlfn.TEXTSPLIT(mvtst[[#This Row],[QR Suivis]],"_"),1,2)</f>
        <v>All by Fouta</v>
      </c>
      <c r="N72" s="35" t="str">
        <f>INDEX(_xlfn.TEXTSPLIT(mvtst[[#This Row],[QR Suivis]],"_"),1,3)</f>
        <v>Stock</v>
      </c>
      <c r="O72" s="35" t="str">
        <f>INDEX(_xlfn.TEXTSPLIT(mvtst[[#This Row],[QR Suivis]],"_"),1,4)</f>
        <v>FAF1020-B18-19</v>
      </c>
      <c r="P72" s="35" t="str">
        <f>INDEX(_xlfn.TEXTSPLIT(mvtst[[#This Row],[QR Suivis]],"_"),1,5)</f>
        <v>FIL A FIL</v>
      </c>
      <c r="Q72" s="35" t="str">
        <f>_xlfn.TEXTAFTER(mvtst[[#This Row],[QR Suivis]],"_",5)</f>
        <v>1020</v>
      </c>
      <c r="R72" s="84" t="str">
        <f>IF(
   COUNTIFS($A$2:A72,A72,
             $B$2:B72,B72,
             $C$2:C72,C72,
             $D$2:D72,D72,
             $G$2:G72,G72)&gt;1,
   "Doublon",
   "Correcte"
)</f>
        <v>Correcte</v>
      </c>
    </row>
    <row r="73" spans="1:18" x14ac:dyDescent="0.25">
      <c r="A73" s="104" t="s">
        <v>1374</v>
      </c>
      <c r="B73" s="35" t="s">
        <v>596</v>
      </c>
      <c r="C73" s="36">
        <v>5</v>
      </c>
      <c r="D73" s="36">
        <v>0</v>
      </c>
      <c r="E73" s="35"/>
      <c r="F73" s="35" t="s">
        <v>664</v>
      </c>
      <c r="G73" s="37">
        <v>45919</v>
      </c>
      <c r="H73" s="37" t="str">
        <f>INDEX(_xlfn.TEXTSPLIT(mvtst[[#This Row],[QR Suivis]],"_"),1,1)</f>
        <v>CA250473-7</v>
      </c>
      <c r="I73" s="35" t="str">
        <f>_xlfn.TEXTBEFORE(mvtst[[#This Row],[Num Suivis]],"-",,,1)</f>
        <v>CA250473</v>
      </c>
      <c r="J73" s="36">
        <f>SUMIF(mvtst[QR Suivis],mvtst[[#This Row],[QR Suivis]],mvtst[QTE SORTIS])-SUMIF(mvtst[QR Suivis],mvtst[[#This Row],[QR Suivis]],mvtst[QTE RETOUR])</f>
        <v>0</v>
      </c>
      <c r="K73" s="35" t="str">
        <f t="shared" si="1"/>
        <v>Usine</v>
      </c>
      <c r="L73" s="35" t="str">
        <f>_xlfn.XLOOKUP(mvtst[[#This Row],[Sous Traitant]],coordonnee_st[Identification],coordonnee_st[SERVICE],"Non Trouvé")</f>
        <v>Frange</v>
      </c>
      <c r="M73" s="35" t="str">
        <f>INDEX(_xlfn.TEXTSPLIT(mvtst[[#This Row],[QR Suivis]],"_"),1,2)</f>
        <v>All by Fouta</v>
      </c>
      <c r="N73" s="35" t="str">
        <f>INDEX(_xlfn.TEXTSPLIT(mvtst[[#This Row],[QR Suivis]],"_"),1,3)</f>
        <v>Stock</v>
      </c>
      <c r="O73" s="35" t="str">
        <f>INDEX(_xlfn.TEXTSPLIT(mvtst[[#This Row],[QR Suivis]],"_"),1,4)</f>
        <v>FAF1020-B18-19</v>
      </c>
      <c r="P73" s="35" t="str">
        <f>INDEX(_xlfn.TEXTSPLIT(mvtst[[#This Row],[QR Suivis]],"_"),1,5)</f>
        <v>FIL A FIL</v>
      </c>
      <c r="Q73" s="35" t="str">
        <f>_xlfn.TEXTAFTER(mvtst[[#This Row],[QR Suivis]],"_",5)</f>
        <v>1020</v>
      </c>
      <c r="R73" s="84" t="str">
        <f>IF(
   COUNTIFS($A$2:A73,A73,
             $B$2:B73,B73,
             $C$2:C73,C73,
             $D$2:D73,D73,
             $G$2:G73,G73)&gt;1,
   "Doublon",
   "Correcte"
)</f>
        <v>Correcte</v>
      </c>
    </row>
    <row r="74" spans="1:18" x14ac:dyDescent="0.25">
      <c r="A74" s="104" t="s">
        <v>1375</v>
      </c>
      <c r="B74" s="35" t="s">
        <v>596</v>
      </c>
      <c r="C74" s="36">
        <v>5</v>
      </c>
      <c r="D74" s="36">
        <v>0</v>
      </c>
      <c r="E74" s="35"/>
      <c r="F74" s="35" t="s">
        <v>664</v>
      </c>
      <c r="G74" s="37">
        <v>45919</v>
      </c>
      <c r="H74" s="37" t="str">
        <f>INDEX(_xlfn.TEXTSPLIT(mvtst[[#This Row],[QR Suivis]],"_"),1,1)</f>
        <v>CA250473-10</v>
      </c>
      <c r="I74" s="35" t="str">
        <f>_xlfn.TEXTBEFORE(mvtst[[#This Row],[Num Suivis]],"-",,,1)</f>
        <v>CA250473</v>
      </c>
      <c r="J74" s="36">
        <f>SUMIF(mvtst[QR Suivis],mvtst[[#This Row],[QR Suivis]],mvtst[QTE SORTIS])-SUMIF(mvtst[QR Suivis],mvtst[[#This Row],[QR Suivis]],mvtst[QTE RETOUR])</f>
        <v>0</v>
      </c>
      <c r="K74" s="35" t="str">
        <f t="shared" si="1"/>
        <v>Usine</v>
      </c>
      <c r="L74" s="35" t="str">
        <f>_xlfn.XLOOKUP(mvtst[[#This Row],[Sous Traitant]],coordonnee_st[Identification],coordonnee_st[SERVICE],"Non Trouvé")</f>
        <v>Frange</v>
      </c>
      <c r="M74" s="35" t="str">
        <f>INDEX(_xlfn.TEXTSPLIT(mvtst[[#This Row],[QR Suivis]],"_"),1,2)</f>
        <v>All by Fouta</v>
      </c>
      <c r="N74" s="35" t="str">
        <f>INDEX(_xlfn.TEXTSPLIT(mvtst[[#This Row],[QR Suivis]],"_"),1,3)</f>
        <v>Stock</v>
      </c>
      <c r="O74" s="35" t="str">
        <f>INDEX(_xlfn.TEXTSPLIT(mvtst[[#This Row],[QR Suivis]],"_"),1,4)</f>
        <v>FAF1020-B18-19</v>
      </c>
      <c r="P74" s="35" t="str">
        <f>INDEX(_xlfn.TEXTSPLIT(mvtst[[#This Row],[QR Suivis]],"_"),1,5)</f>
        <v>FIL A FIL</v>
      </c>
      <c r="Q74" s="35" t="str">
        <f>_xlfn.TEXTAFTER(mvtst[[#This Row],[QR Suivis]],"_",5)</f>
        <v>1020</v>
      </c>
      <c r="R74" s="84" t="str">
        <f>IF(
   COUNTIFS($A$2:A74,A74,
             $B$2:B74,B74,
             $C$2:C74,C74,
             $D$2:D74,D74,
             $G$2:G74,G74)&gt;1,
   "Doublon",
   "Correcte"
)</f>
        <v>Correcte</v>
      </c>
    </row>
    <row r="75" spans="1:18" x14ac:dyDescent="0.25">
      <c r="A75" s="104" t="s">
        <v>1376</v>
      </c>
      <c r="B75" s="35" t="s">
        <v>596</v>
      </c>
      <c r="C75" s="36">
        <v>5</v>
      </c>
      <c r="D75" s="36">
        <v>0</v>
      </c>
      <c r="E75" s="35"/>
      <c r="F75" s="35" t="s">
        <v>664</v>
      </c>
      <c r="G75" s="37">
        <v>45919</v>
      </c>
      <c r="H75" s="37" t="str">
        <f>INDEX(_xlfn.TEXTSPLIT(mvtst[[#This Row],[QR Suivis]],"_"),1,1)</f>
        <v>CA250473-11</v>
      </c>
      <c r="I75" s="35" t="str">
        <f>_xlfn.TEXTBEFORE(mvtst[[#This Row],[Num Suivis]],"-",,,1)</f>
        <v>CA250473</v>
      </c>
      <c r="J75" s="36">
        <f>SUMIF(mvtst[QR Suivis],mvtst[[#This Row],[QR Suivis]],mvtst[QTE SORTIS])-SUMIF(mvtst[QR Suivis],mvtst[[#This Row],[QR Suivis]],mvtst[QTE RETOUR])</f>
        <v>0</v>
      </c>
      <c r="K75" s="35" t="str">
        <f t="shared" si="1"/>
        <v>Usine</v>
      </c>
      <c r="L75" s="35" t="str">
        <f>_xlfn.XLOOKUP(mvtst[[#This Row],[Sous Traitant]],coordonnee_st[Identification],coordonnee_st[SERVICE],"Non Trouvé")</f>
        <v>Frange</v>
      </c>
      <c r="M75" s="35" t="str">
        <f>INDEX(_xlfn.TEXTSPLIT(mvtst[[#This Row],[QR Suivis]],"_"),1,2)</f>
        <v>All by Fouta</v>
      </c>
      <c r="N75" s="35" t="str">
        <f>INDEX(_xlfn.TEXTSPLIT(mvtst[[#This Row],[QR Suivis]],"_"),1,3)</f>
        <v>Stock</v>
      </c>
      <c r="O75" s="35" t="str">
        <f>INDEX(_xlfn.TEXTSPLIT(mvtst[[#This Row],[QR Suivis]],"_"),1,4)</f>
        <v>FAF1020-B18-19</v>
      </c>
      <c r="P75" s="35" t="str">
        <f>INDEX(_xlfn.TEXTSPLIT(mvtst[[#This Row],[QR Suivis]],"_"),1,5)</f>
        <v>FIL A FIL</v>
      </c>
      <c r="Q75" s="35" t="str">
        <f>_xlfn.TEXTAFTER(mvtst[[#This Row],[QR Suivis]],"_",5)</f>
        <v>1020</v>
      </c>
      <c r="R75" s="84" t="str">
        <f>IF(
   COUNTIFS($A$2:A75,A75,
             $B$2:B75,B75,
             $C$2:C75,C75,
             $D$2:D75,D75,
             $G$2:G75,G75)&gt;1,
   "Doublon",
   "Correcte"
)</f>
        <v>Correcte</v>
      </c>
    </row>
    <row r="76" spans="1:18" x14ac:dyDescent="0.25">
      <c r="A76" s="104" t="s">
        <v>1377</v>
      </c>
      <c r="B76" s="35" t="s">
        <v>596</v>
      </c>
      <c r="C76" s="36">
        <v>1</v>
      </c>
      <c r="D76" s="36">
        <v>0</v>
      </c>
      <c r="E76" s="35"/>
      <c r="F76" s="35" t="s">
        <v>664</v>
      </c>
      <c r="G76" s="37">
        <v>45919</v>
      </c>
      <c r="H76" s="37" t="str">
        <f>INDEX(_xlfn.TEXTSPLIT(mvtst[[#This Row],[QR Suivis]],"_"),1,1)</f>
        <v>CA250473-13</v>
      </c>
      <c r="I76" s="35" t="str">
        <f>_xlfn.TEXTBEFORE(mvtst[[#This Row],[Num Suivis]],"-",,,1)</f>
        <v>CA250473</v>
      </c>
      <c r="J76" s="36">
        <f>SUMIF(mvtst[QR Suivis],mvtst[[#This Row],[QR Suivis]],mvtst[QTE SORTIS])-SUMIF(mvtst[QR Suivis],mvtst[[#This Row],[QR Suivis]],mvtst[QTE RETOUR])</f>
        <v>0</v>
      </c>
      <c r="K76" s="35" t="str">
        <f t="shared" si="1"/>
        <v>Usine</v>
      </c>
      <c r="L76" s="35" t="str">
        <f>_xlfn.XLOOKUP(mvtst[[#This Row],[Sous Traitant]],coordonnee_st[Identification],coordonnee_st[SERVICE],"Non Trouvé")</f>
        <v>Frange</v>
      </c>
      <c r="M76" s="35" t="str">
        <f>INDEX(_xlfn.TEXTSPLIT(mvtst[[#This Row],[QR Suivis]],"_"),1,2)</f>
        <v>All by Fouta</v>
      </c>
      <c r="N76" s="35" t="str">
        <f>INDEX(_xlfn.TEXTSPLIT(mvtst[[#This Row],[QR Suivis]],"_"),1,3)</f>
        <v>Stock</v>
      </c>
      <c r="O76" s="35" t="str">
        <f>INDEX(_xlfn.TEXTSPLIT(mvtst[[#This Row],[QR Suivis]],"_"),1,4)</f>
        <v>FAF1020-B18-19</v>
      </c>
      <c r="P76" s="35" t="str">
        <f>INDEX(_xlfn.TEXTSPLIT(mvtst[[#This Row],[QR Suivis]],"_"),1,5)</f>
        <v>FIL A FIL</v>
      </c>
      <c r="Q76" s="35" t="str">
        <f>_xlfn.TEXTAFTER(mvtst[[#This Row],[QR Suivis]],"_",5)</f>
        <v>1020</v>
      </c>
      <c r="R76" s="84" t="str">
        <f>IF(
   COUNTIFS($A$2:A76,A76,
             $B$2:B76,B76,
             $C$2:C76,C76,
             $D$2:D76,D76,
             $G$2:G76,G76)&gt;1,
   "Doublon",
   "Correcte"
)</f>
        <v>Correcte</v>
      </c>
    </row>
    <row r="77" spans="1:18" x14ac:dyDescent="0.25">
      <c r="A77" s="104" t="s">
        <v>1306</v>
      </c>
      <c r="B77" s="35" t="s">
        <v>712</v>
      </c>
      <c r="C77" s="36">
        <v>20</v>
      </c>
      <c r="D77" s="36">
        <v>0</v>
      </c>
      <c r="E77" s="35"/>
      <c r="F77" s="35" t="s">
        <v>664</v>
      </c>
      <c r="G77" s="37">
        <v>45920</v>
      </c>
      <c r="H77" s="37" t="str">
        <f>INDEX(_xlfn.TEXTSPLIT(mvtst[[#This Row],[QR Suivis]],"_"),1,1)</f>
        <v>CA250068</v>
      </c>
      <c r="I77" s="35" t="str">
        <f>_xlfn.TEXTBEFORE(mvtst[[#This Row],[Num Suivis]],"-",,,1)</f>
        <v>CA250068</v>
      </c>
      <c r="J77" s="36">
        <f>SUMIF(mvtst[QR Suivis],mvtst[[#This Row],[QR Suivis]],mvtst[QTE SORTIS])-SUMIF(mvtst[QR Suivis],mvtst[[#This Row],[QR Suivis]],mvtst[QTE RETOUR])</f>
        <v>0</v>
      </c>
      <c r="K77" s="35" t="str">
        <f t="shared" si="1"/>
        <v>Usine</v>
      </c>
      <c r="L77" s="35" t="str">
        <f>_xlfn.XLOOKUP(mvtst[[#This Row],[Sous Traitant]],coordonnee_st[Identification],coordonnee_st[SERVICE],"Non Trouvé")</f>
        <v>Frange</v>
      </c>
      <c r="M77" s="35" t="str">
        <f>INDEX(_xlfn.TEXTSPLIT(mvtst[[#This Row],[QR Suivis]],"_"),1,2)</f>
        <v>All by Fouta</v>
      </c>
      <c r="N77" s="35" t="str">
        <f>INDEX(_xlfn.TEXTSPLIT(mvtst[[#This Row],[QR Suivis]],"_"),1,3)</f>
        <v>Stock</v>
      </c>
      <c r="O77" s="35" t="str">
        <f>INDEX(_xlfn.TEXTSPLIT(mvtst[[#This Row],[QR Suivis]],"_"),1,4)</f>
        <v>UNS2030-15</v>
      </c>
      <c r="P77" s="35" t="str">
        <f>INDEX(_xlfn.TEXTSPLIT(mvtst[[#This Row],[QR Suivis]],"_"),1,5)</f>
        <v>UNI SURPIQUE</v>
      </c>
      <c r="Q77" s="35" t="str">
        <f>_xlfn.TEXTAFTER(mvtst[[#This Row],[QR Suivis]],"_",5)</f>
        <v>2030</v>
      </c>
      <c r="R77" s="84" t="str">
        <f>IF(
   COUNTIFS($A$2:A77,A77,
             $B$2:B77,B77,
             $C$2:C77,C77,
             $D$2:D77,D77,
             $G$2:G77,G77)&gt;1,
   "Doublon",
   "Correcte"
)</f>
        <v>Correcte</v>
      </c>
    </row>
    <row r="78" spans="1:18" x14ac:dyDescent="0.25">
      <c r="A78" s="104" t="s">
        <v>1378</v>
      </c>
      <c r="B78" s="35" t="s">
        <v>712</v>
      </c>
      <c r="C78" s="36">
        <v>5</v>
      </c>
      <c r="D78" s="36">
        <v>0</v>
      </c>
      <c r="E78" s="35"/>
      <c r="F78" s="35" t="s">
        <v>664</v>
      </c>
      <c r="G78" s="37">
        <v>45920</v>
      </c>
      <c r="H78" s="37" t="str">
        <f>INDEX(_xlfn.TEXTSPLIT(mvtst[[#This Row],[QR Suivis]],"_"),1,1)</f>
        <v>CA250064-2</v>
      </c>
      <c r="I78" s="35" t="str">
        <f>_xlfn.TEXTBEFORE(mvtst[[#This Row],[Num Suivis]],"-",,,1)</f>
        <v>CA250064</v>
      </c>
      <c r="J78" s="36">
        <f>SUMIF(mvtst[QR Suivis],mvtst[[#This Row],[QR Suivis]],mvtst[QTE SORTIS])-SUMIF(mvtst[QR Suivis],mvtst[[#This Row],[QR Suivis]],mvtst[QTE RETOUR])</f>
        <v>0</v>
      </c>
      <c r="K78" s="35" t="str">
        <f t="shared" si="1"/>
        <v>Usine</v>
      </c>
      <c r="L78" s="35" t="str">
        <f>_xlfn.XLOOKUP(mvtst[[#This Row],[Sous Traitant]],coordonnee_st[Identification],coordonnee_st[SERVICE],"Non Trouvé")</f>
        <v>Frange</v>
      </c>
      <c r="M78" s="35" t="str">
        <f>INDEX(_xlfn.TEXTSPLIT(mvtst[[#This Row],[QR Suivis]],"_"),1,2)</f>
        <v>All by Fouta</v>
      </c>
      <c r="N78" s="35" t="str">
        <f>INDEX(_xlfn.TEXTSPLIT(mvtst[[#This Row],[QR Suivis]],"_"),1,3)</f>
        <v>Stock</v>
      </c>
      <c r="O78" s="35" t="str">
        <f>INDEX(_xlfn.TEXTSPLIT(mvtst[[#This Row],[QR Suivis]],"_"),1,4)</f>
        <v>UNS2030-09</v>
      </c>
      <c r="P78" s="35" t="str">
        <f>INDEX(_xlfn.TEXTSPLIT(mvtst[[#This Row],[QR Suivis]],"_"),1,5)</f>
        <v>UNI SURPIQUE</v>
      </c>
      <c r="Q78" s="35" t="str">
        <f>_xlfn.TEXTAFTER(mvtst[[#This Row],[QR Suivis]],"_",5)</f>
        <v>2030</v>
      </c>
      <c r="R78" s="84" t="str">
        <f>IF(
   COUNTIFS($A$2:A78,A78,
             $B$2:B78,B78,
             $C$2:C78,C78,
             $D$2:D78,D78,
             $G$2:G78,G78)&gt;1,
   "Doublon",
   "Correcte"
)</f>
        <v>Correcte</v>
      </c>
    </row>
    <row r="79" spans="1:18" x14ac:dyDescent="0.25">
      <c r="A79" s="104" t="s">
        <v>1379</v>
      </c>
      <c r="B79" s="35" t="s">
        <v>712</v>
      </c>
      <c r="C79" s="36">
        <v>5</v>
      </c>
      <c r="D79" s="36">
        <v>0</v>
      </c>
      <c r="E79" s="35"/>
      <c r="F79" s="35" t="s">
        <v>664</v>
      </c>
      <c r="G79" s="37">
        <v>45920</v>
      </c>
      <c r="H79" s="37" t="str">
        <f>INDEX(_xlfn.TEXTSPLIT(mvtst[[#This Row],[QR Suivis]],"_"),1,1)</f>
        <v>CA250064-3</v>
      </c>
      <c r="I79" s="35" t="str">
        <f>_xlfn.TEXTBEFORE(mvtst[[#This Row],[Num Suivis]],"-",,,1)</f>
        <v>CA250064</v>
      </c>
      <c r="J79" s="36">
        <f>SUMIF(mvtst[QR Suivis],mvtst[[#This Row],[QR Suivis]],mvtst[QTE SORTIS])-SUMIF(mvtst[QR Suivis],mvtst[[#This Row],[QR Suivis]],mvtst[QTE RETOUR])</f>
        <v>0</v>
      </c>
      <c r="K79" s="35" t="str">
        <f t="shared" si="1"/>
        <v>Usine</v>
      </c>
      <c r="L79" s="35" t="str">
        <f>_xlfn.XLOOKUP(mvtst[[#This Row],[Sous Traitant]],coordonnee_st[Identification],coordonnee_st[SERVICE],"Non Trouvé")</f>
        <v>Frange</v>
      </c>
      <c r="M79" s="35" t="str">
        <f>INDEX(_xlfn.TEXTSPLIT(mvtst[[#This Row],[QR Suivis]],"_"),1,2)</f>
        <v>All by Fouta</v>
      </c>
      <c r="N79" s="35" t="str">
        <f>INDEX(_xlfn.TEXTSPLIT(mvtst[[#This Row],[QR Suivis]],"_"),1,3)</f>
        <v>Stock</v>
      </c>
      <c r="O79" s="35" t="str">
        <f>INDEX(_xlfn.TEXTSPLIT(mvtst[[#This Row],[QR Suivis]],"_"),1,4)</f>
        <v>UNS2030-09</v>
      </c>
      <c r="P79" s="35" t="str">
        <f>INDEX(_xlfn.TEXTSPLIT(mvtst[[#This Row],[QR Suivis]],"_"),1,5)</f>
        <v>UNI SURPIQUE</v>
      </c>
      <c r="Q79" s="35" t="str">
        <f>_xlfn.TEXTAFTER(mvtst[[#This Row],[QR Suivis]],"_",5)</f>
        <v>2030</v>
      </c>
      <c r="R79" s="84" t="str">
        <f>IF(
   COUNTIFS($A$2:A79,A79,
             $B$2:B79,B79,
             $C$2:C79,C79,
             $D$2:D79,D79,
             $G$2:G79,G79)&gt;1,
   "Doublon",
   "Correcte"
)</f>
        <v>Correcte</v>
      </c>
    </row>
    <row r="80" spans="1:18" x14ac:dyDescent="0.25">
      <c r="A80" s="104" t="s">
        <v>1380</v>
      </c>
      <c r="B80" s="35" t="s">
        <v>712</v>
      </c>
      <c r="C80" s="36">
        <v>4</v>
      </c>
      <c r="D80" s="36">
        <v>0</v>
      </c>
      <c r="E80" s="35"/>
      <c r="F80" s="35" t="s">
        <v>664</v>
      </c>
      <c r="G80" s="37">
        <v>45920</v>
      </c>
      <c r="H80" s="37" t="str">
        <f>INDEX(_xlfn.TEXTSPLIT(mvtst[[#This Row],[QR Suivis]],"_"),1,1)</f>
        <v>CA250064-4</v>
      </c>
      <c r="I80" s="35" t="str">
        <f>_xlfn.TEXTBEFORE(mvtst[[#This Row],[Num Suivis]],"-",,,1)</f>
        <v>CA250064</v>
      </c>
      <c r="J80" s="36">
        <f>SUMIF(mvtst[QR Suivis],mvtst[[#This Row],[QR Suivis]],mvtst[QTE SORTIS])-SUMIF(mvtst[QR Suivis],mvtst[[#This Row],[QR Suivis]],mvtst[QTE RETOUR])</f>
        <v>0</v>
      </c>
      <c r="K80" s="35" t="str">
        <f t="shared" si="1"/>
        <v>Usine</v>
      </c>
      <c r="L80" s="35" t="str">
        <f>_xlfn.XLOOKUP(mvtst[[#This Row],[Sous Traitant]],coordonnee_st[Identification],coordonnee_st[SERVICE],"Non Trouvé")</f>
        <v>Frange</v>
      </c>
      <c r="M80" s="35" t="str">
        <f>INDEX(_xlfn.TEXTSPLIT(mvtst[[#This Row],[QR Suivis]],"_"),1,2)</f>
        <v>All by Fouta</v>
      </c>
      <c r="N80" s="35" t="str">
        <f>INDEX(_xlfn.TEXTSPLIT(mvtst[[#This Row],[QR Suivis]],"_"),1,3)</f>
        <v>Stock</v>
      </c>
      <c r="O80" s="35" t="str">
        <f>INDEX(_xlfn.TEXTSPLIT(mvtst[[#This Row],[QR Suivis]],"_"),1,4)</f>
        <v>UNS2030-09</v>
      </c>
      <c r="P80" s="35" t="str">
        <f>INDEX(_xlfn.TEXTSPLIT(mvtst[[#This Row],[QR Suivis]],"_"),1,5)</f>
        <v>UNI SURPIQUE</v>
      </c>
      <c r="Q80" s="35" t="str">
        <f>_xlfn.TEXTAFTER(mvtst[[#This Row],[QR Suivis]],"_",5)</f>
        <v>2030</v>
      </c>
      <c r="R80" s="84" t="str">
        <f>IF(
   COUNTIFS($A$2:A80,A80,
             $B$2:B80,B80,
             $C$2:C80,C80,
             $D$2:D80,D80,
             $G$2:G80,G80)&gt;1,
   "Doublon",
   "Correcte"
)</f>
        <v>Correcte</v>
      </c>
    </row>
    <row r="81" spans="1:18" x14ac:dyDescent="0.25">
      <c r="A81" s="104" t="s">
        <v>1303</v>
      </c>
      <c r="B81" s="35" t="s">
        <v>712</v>
      </c>
      <c r="C81" s="36">
        <v>19</v>
      </c>
      <c r="D81" s="36">
        <v>0</v>
      </c>
      <c r="E81" s="35"/>
      <c r="F81" s="35" t="s">
        <v>664</v>
      </c>
      <c r="G81" s="37">
        <v>45920</v>
      </c>
      <c r="H81" s="37" t="str">
        <f>INDEX(_xlfn.TEXTSPLIT(mvtst[[#This Row],[QR Suivis]],"_"),1,1)</f>
        <v>CA250070</v>
      </c>
      <c r="I81" s="35" t="str">
        <f>_xlfn.TEXTBEFORE(mvtst[[#This Row],[Num Suivis]],"-",,,1)</f>
        <v>CA250070</v>
      </c>
      <c r="J81" s="36">
        <f>SUMIF(mvtst[QR Suivis],mvtst[[#This Row],[QR Suivis]],mvtst[QTE SORTIS])-SUMIF(mvtst[QR Suivis],mvtst[[#This Row],[QR Suivis]],mvtst[QTE RETOUR])</f>
        <v>0</v>
      </c>
      <c r="K81" s="35" t="str">
        <f t="shared" si="1"/>
        <v>Usine</v>
      </c>
      <c r="L81" s="35" t="str">
        <f>_xlfn.XLOOKUP(mvtst[[#This Row],[Sous Traitant]],coordonnee_st[Identification],coordonnee_st[SERVICE],"Non Trouvé")</f>
        <v>Frange</v>
      </c>
      <c r="M81" s="35" t="str">
        <f>INDEX(_xlfn.TEXTSPLIT(mvtst[[#This Row],[QR Suivis]],"_"),1,2)</f>
        <v>All by Fouta</v>
      </c>
      <c r="N81" s="35" t="str">
        <f>INDEX(_xlfn.TEXTSPLIT(mvtst[[#This Row],[QR Suivis]],"_"),1,3)</f>
        <v>Stock</v>
      </c>
      <c r="O81" s="35" t="str">
        <f>INDEX(_xlfn.TEXTSPLIT(mvtst[[#This Row],[QR Suivis]],"_"),1,4)</f>
        <v>UNS2030-18</v>
      </c>
      <c r="P81" s="35" t="str">
        <f>INDEX(_xlfn.TEXTSPLIT(mvtst[[#This Row],[QR Suivis]],"_"),1,5)</f>
        <v>UNI SURPIQUE</v>
      </c>
      <c r="Q81" s="35" t="str">
        <f>_xlfn.TEXTAFTER(mvtst[[#This Row],[QR Suivis]],"_",5)</f>
        <v>2030</v>
      </c>
      <c r="R81" s="84" t="str">
        <f>IF(
   COUNTIFS($A$2:A81,A81,
             $B$2:B81,B81,
             $C$2:C81,C81,
             $D$2:D81,D81,
             $G$2:G81,G81)&gt;1,
   "Doublon",
   "Correcte"
)</f>
        <v>Correcte</v>
      </c>
    </row>
    <row r="82" spans="1:18" x14ac:dyDescent="0.25">
      <c r="A82" s="104" t="s">
        <v>1301</v>
      </c>
      <c r="B82" s="35" t="s">
        <v>712</v>
      </c>
      <c r="C82" s="36">
        <v>20</v>
      </c>
      <c r="D82" s="36">
        <v>0</v>
      </c>
      <c r="E82" s="35"/>
      <c r="F82" s="35" t="s">
        <v>664</v>
      </c>
      <c r="G82" s="37">
        <v>45920</v>
      </c>
      <c r="H82" s="37" t="str">
        <f>INDEX(_xlfn.TEXTSPLIT(mvtst[[#This Row],[QR Suivis]],"_"),1,1)</f>
        <v>CA250069</v>
      </c>
      <c r="I82" s="35" t="str">
        <f>_xlfn.TEXTBEFORE(mvtst[[#This Row],[Num Suivis]],"-",,,1)</f>
        <v>CA250069</v>
      </c>
      <c r="J82" s="36">
        <f>SUMIF(mvtst[QR Suivis],mvtst[[#This Row],[QR Suivis]],mvtst[QTE SORTIS])-SUMIF(mvtst[QR Suivis],mvtst[[#This Row],[QR Suivis]],mvtst[QTE RETOUR])</f>
        <v>0</v>
      </c>
      <c r="K82" s="35" t="str">
        <f t="shared" si="1"/>
        <v>Usine</v>
      </c>
      <c r="L82" s="35" t="str">
        <f>_xlfn.XLOOKUP(mvtst[[#This Row],[Sous Traitant]],coordonnee_st[Identification],coordonnee_st[SERVICE],"Non Trouvé")</f>
        <v>Frange</v>
      </c>
      <c r="M82" s="35" t="str">
        <f>INDEX(_xlfn.TEXTSPLIT(mvtst[[#This Row],[QR Suivis]],"_"),1,2)</f>
        <v>All by Fouta</v>
      </c>
      <c r="N82" s="35" t="str">
        <f>INDEX(_xlfn.TEXTSPLIT(mvtst[[#This Row],[QR Suivis]],"_"),1,3)</f>
        <v>Stock</v>
      </c>
      <c r="O82" s="35" t="str">
        <f>INDEX(_xlfn.TEXTSPLIT(mvtst[[#This Row],[QR Suivis]],"_"),1,4)</f>
        <v>UNS2030-17</v>
      </c>
      <c r="P82" s="35" t="str">
        <f>INDEX(_xlfn.TEXTSPLIT(mvtst[[#This Row],[QR Suivis]],"_"),1,5)</f>
        <v>UNI SURPIQUE</v>
      </c>
      <c r="Q82" s="35" t="str">
        <f>_xlfn.TEXTAFTER(mvtst[[#This Row],[QR Suivis]],"_",5)</f>
        <v>2030</v>
      </c>
      <c r="R82" s="84" t="str">
        <f>IF(
   COUNTIFS($A$2:A82,A82,
             $B$2:B82,B82,
             $C$2:C82,C82,
             $D$2:D82,D82,
             $G$2:G82,G82)&gt;1,
   "Doublon",
   "Correcte"
)</f>
        <v>Correcte</v>
      </c>
    </row>
    <row r="83" spans="1:18" x14ac:dyDescent="0.25">
      <c r="A83" s="104" t="s">
        <v>1381</v>
      </c>
      <c r="B83" s="35" t="s">
        <v>712</v>
      </c>
      <c r="C83" s="36">
        <v>22</v>
      </c>
      <c r="D83" s="36">
        <v>0</v>
      </c>
      <c r="E83" s="35"/>
      <c r="F83" s="35" t="s">
        <v>664</v>
      </c>
      <c r="G83" s="37">
        <v>45920</v>
      </c>
      <c r="H83" s="37" t="str">
        <f>INDEX(_xlfn.TEXTSPLIT(mvtst[[#This Row],[QR Suivis]],"_"),1,1)</f>
        <v>CA250065</v>
      </c>
      <c r="I83" s="35" t="str">
        <f>_xlfn.TEXTBEFORE(mvtst[[#This Row],[Num Suivis]],"-",,,1)</f>
        <v>CA250065</v>
      </c>
      <c r="J83" s="36">
        <f>SUMIF(mvtst[QR Suivis],mvtst[[#This Row],[QR Suivis]],mvtst[QTE SORTIS])-SUMIF(mvtst[QR Suivis],mvtst[[#This Row],[QR Suivis]],mvtst[QTE RETOUR])</f>
        <v>0</v>
      </c>
      <c r="K83" s="35" t="str">
        <f t="shared" si="1"/>
        <v>Usine</v>
      </c>
      <c r="L83" s="35" t="str">
        <f>_xlfn.XLOOKUP(mvtst[[#This Row],[Sous Traitant]],coordonnee_st[Identification],coordonnee_st[SERVICE],"Non Trouvé")</f>
        <v>Frange</v>
      </c>
      <c r="M83" s="35" t="str">
        <f>INDEX(_xlfn.TEXTSPLIT(mvtst[[#This Row],[QR Suivis]],"_"),1,2)</f>
        <v>All by Fouta</v>
      </c>
      <c r="N83" s="35" t="str">
        <f>INDEX(_xlfn.TEXTSPLIT(mvtst[[#This Row],[QR Suivis]],"_"),1,3)</f>
        <v>Stock</v>
      </c>
      <c r="O83" s="35" t="str">
        <f>INDEX(_xlfn.TEXTSPLIT(mvtst[[#This Row],[QR Suivis]],"_"),1,4)</f>
        <v>UNS2030-10</v>
      </c>
      <c r="P83" s="35" t="str">
        <f>INDEX(_xlfn.TEXTSPLIT(mvtst[[#This Row],[QR Suivis]],"_"),1,5)</f>
        <v>UNI SURPIQUE</v>
      </c>
      <c r="Q83" s="35" t="str">
        <f>_xlfn.TEXTAFTER(mvtst[[#This Row],[QR Suivis]],"_",5)</f>
        <v>2030</v>
      </c>
      <c r="R83" s="84" t="str">
        <f>IF(
   COUNTIFS($A$2:A83,A83,
             $B$2:B83,B83,
             $C$2:C83,C83,
             $D$2:D83,D83,
             $G$2:G83,G83)&gt;1,
   "Doublon",
   "Correcte"
)</f>
        <v>Correcte</v>
      </c>
    </row>
    <row r="84" spans="1:18" x14ac:dyDescent="0.25">
      <c r="A84" s="104" t="s">
        <v>1382</v>
      </c>
      <c r="B84" s="35" t="s">
        <v>712</v>
      </c>
      <c r="C84" s="36">
        <v>19</v>
      </c>
      <c r="D84" s="36">
        <v>0</v>
      </c>
      <c r="E84" s="35"/>
      <c r="F84" s="35" t="s">
        <v>664</v>
      </c>
      <c r="G84" s="37">
        <v>45920</v>
      </c>
      <c r="H84" s="37" t="str">
        <f>INDEX(_xlfn.TEXTSPLIT(mvtst[[#This Row],[QR Suivis]],"_"),1,1)</f>
        <v>CA250061</v>
      </c>
      <c r="I84" s="35" t="str">
        <f>_xlfn.TEXTBEFORE(mvtst[[#This Row],[Num Suivis]],"-",,,1)</f>
        <v>CA250061</v>
      </c>
      <c r="J84" s="36">
        <f>SUMIF(mvtst[QR Suivis],mvtst[[#This Row],[QR Suivis]],mvtst[QTE SORTIS])-SUMIF(mvtst[QR Suivis],mvtst[[#This Row],[QR Suivis]],mvtst[QTE RETOUR])</f>
        <v>0</v>
      </c>
      <c r="K84" s="35" t="str">
        <f t="shared" si="1"/>
        <v>Usine</v>
      </c>
      <c r="L84" s="35" t="str">
        <f>_xlfn.XLOOKUP(mvtst[[#This Row],[Sous Traitant]],coordonnee_st[Identification],coordonnee_st[SERVICE],"Non Trouvé")</f>
        <v>Frange</v>
      </c>
      <c r="M84" s="35" t="str">
        <f>INDEX(_xlfn.TEXTSPLIT(mvtst[[#This Row],[QR Suivis]],"_"),1,2)</f>
        <v>All by Fouta</v>
      </c>
      <c r="N84" s="35" t="str">
        <f>INDEX(_xlfn.TEXTSPLIT(mvtst[[#This Row],[QR Suivis]],"_"),1,3)</f>
        <v>Stock</v>
      </c>
      <c r="O84" s="35" t="str">
        <f>INDEX(_xlfn.TEXTSPLIT(mvtst[[#This Row],[QR Suivis]],"_"),1,4)</f>
        <v>UNS2030-03</v>
      </c>
      <c r="P84" s="35" t="str">
        <f>INDEX(_xlfn.TEXTSPLIT(mvtst[[#This Row],[QR Suivis]],"_"),1,5)</f>
        <v>UNI SURPIQUE</v>
      </c>
      <c r="Q84" s="35" t="str">
        <f>_xlfn.TEXTAFTER(mvtst[[#This Row],[QR Suivis]],"_",5)</f>
        <v>2030</v>
      </c>
      <c r="R84" s="84" t="str">
        <f>IF(
   COUNTIFS($A$2:A84,A84,
             $B$2:B84,B84,
             $C$2:C84,C84,
             $D$2:D84,D84,
             $G$2:G84,G84)&gt;1,
   "Doublon",
   "Correcte"
)</f>
        <v>Correcte</v>
      </c>
    </row>
    <row r="85" spans="1:18" x14ac:dyDescent="0.25">
      <c r="A85" s="104" t="s">
        <v>1321</v>
      </c>
      <c r="B85" s="35" t="s">
        <v>712</v>
      </c>
      <c r="C85" s="36">
        <v>16</v>
      </c>
      <c r="D85" s="36">
        <v>0</v>
      </c>
      <c r="E85" s="35"/>
      <c r="F85" s="35" t="s">
        <v>664</v>
      </c>
      <c r="G85" s="37">
        <v>45920</v>
      </c>
      <c r="H85" s="37" t="str">
        <f>INDEX(_xlfn.TEXTSPLIT(mvtst[[#This Row],[QR Suivis]],"_"),1,1)</f>
        <v>CA250062</v>
      </c>
      <c r="I85" s="35" t="str">
        <f>_xlfn.TEXTBEFORE(mvtst[[#This Row],[Num Suivis]],"-",,,1)</f>
        <v>CA250062</v>
      </c>
      <c r="J85" s="36">
        <f>SUMIF(mvtst[QR Suivis],mvtst[[#This Row],[QR Suivis]],mvtst[QTE SORTIS])-SUMIF(mvtst[QR Suivis],mvtst[[#This Row],[QR Suivis]],mvtst[QTE RETOUR])</f>
        <v>0</v>
      </c>
      <c r="K85" s="35" t="str">
        <f t="shared" si="1"/>
        <v>Usine</v>
      </c>
      <c r="L85" s="35" t="str">
        <f>_xlfn.XLOOKUP(mvtst[[#This Row],[Sous Traitant]],coordonnee_st[Identification],coordonnee_st[SERVICE],"Non Trouvé")</f>
        <v>Frange</v>
      </c>
      <c r="M85" s="35" t="str">
        <f>INDEX(_xlfn.TEXTSPLIT(mvtst[[#This Row],[QR Suivis]],"_"),1,2)</f>
        <v>All by Fouta</v>
      </c>
      <c r="N85" s="35" t="str">
        <f>INDEX(_xlfn.TEXTSPLIT(mvtst[[#This Row],[QR Suivis]],"_"),1,3)</f>
        <v>Stock</v>
      </c>
      <c r="O85" s="35" t="str">
        <f>INDEX(_xlfn.TEXTSPLIT(mvtst[[#This Row],[QR Suivis]],"_"),1,4)</f>
        <v>UNS2030-04</v>
      </c>
      <c r="P85" s="35" t="str">
        <f>INDEX(_xlfn.TEXTSPLIT(mvtst[[#This Row],[QR Suivis]],"_"),1,5)</f>
        <v>UNI SURPIQUE</v>
      </c>
      <c r="Q85" s="35" t="str">
        <f>_xlfn.TEXTAFTER(mvtst[[#This Row],[QR Suivis]],"_",5)</f>
        <v>2030</v>
      </c>
      <c r="R85" s="84" t="str">
        <f>IF(
   COUNTIFS($A$2:A85,A85,
             $B$2:B85,B85,
             $C$2:C85,C85,
             $D$2:D85,D85,
             $G$2:G85,G85)&gt;1,
   "Doublon",
   "Correcte"
)</f>
        <v>Correcte</v>
      </c>
    </row>
    <row r="86" spans="1:18" x14ac:dyDescent="0.25">
      <c r="A86" s="104" t="s">
        <v>1322</v>
      </c>
      <c r="B86" s="35" t="s">
        <v>712</v>
      </c>
      <c r="C86" s="36">
        <v>15</v>
      </c>
      <c r="D86" s="36">
        <v>0</v>
      </c>
      <c r="E86" s="35"/>
      <c r="F86" s="35" t="s">
        <v>664</v>
      </c>
      <c r="G86" s="37">
        <v>45920</v>
      </c>
      <c r="H86" s="37" t="str">
        <f>INDEX(_xlfn.TEXTSPLIT(mvtst[[#This Row],[QR Suivis]],"_"),1,1)</f>
        <v>CA250066</v>
      </c>
      <c r="I86" s="35" t="str">
        <f>_xlfn.TEXTBEFORE(mvtst[[#This Row],[Num Suivis]],"-",,,1)</f>
        <v>CA250066</v>
      </c>
      <c r="J86" s="36">
        <f>SUMIF(mvtst[QR Suivis],mvtst[[#This Row],[QR Suivis]],mvtst[QTE SORTIS])-SUMIF(mvtst[QR Suivis],mvtst[[#This Row],[QR Suivis]],mvtst[QTE RETOUR])</f>
        <v>0</v>
      </c>
      <c r="K86" s="35" t="str">
        <f t="shared" si="1"/>
        <v>Usine</v>
      </c>
      <c r="L86" s="35" t="str">
        <f>_xlfn.XLOOKUP(mvtst[[#This Row],[Sous Traitant]],coordonnee_st[Identification],coordonnee_st[SERVICE],"Non Trouvé")</f>
        <v>Frange</v>
      </c>
      <c r="M86" s="35" t="str">
        <f>INDEX(_xlfn.TEXTSPLIT(mvtst[[#This Row],[QR Suivis]],"_"),1,2)</f>
        <v>All by Fouta</v>
      </c>
      <c r="N86" s="35" t="str">
        <f>INDEX(_xlfn.TEXTSPLIT(mvtst[[#This Row],[QR Suivis]],"_"),1,3)</f>
        <v>Stock</v>
      </c>
      <c r="O86" s="35" t="str">
        <f>INDEX(_xlfn.TEXTSPLIT(mvtst[[#This Row],[QR Suivis]],"_"),1,4)</f>
        <v>UNS2030-12</v>
      </c>
      <c r="P86" s="35" t="str">
        <f>INDEX(_xlfn.TEXTSPLIT(mvtst[[#This Row],[QR Suivis]],"_"),1,5)</f>
        <v>UNI SURPIQUE</v>
      </c>
      <c r="Q86" s="35" t="str">
        <f>_xlfn.TEXTAFTER(mvtst[[#This Row],[QR Suivis]],"_",5)</f>
        <v>2030</v>
      </c>
      <c r="R86" s="84" t="str">
        <f>IF(
   COUNTIFS($A$2:A86,A86,
             $B$2:B86,B86,
             $C$2:C86,C86,
             $D$2:D86,D86,
             $G$2:G86,G86)&gt;1,
   "Doublon",
   "Correcte"
)</f>
        <v>Correcte</v>
      </c>
    </row>
    <row r="87" spans="1:18" x14ac:dyDescent="0.25">
      <c r="A87" s="104" t="s">
        <v>1383</v>
      </c>
      <c r="B87" s="35" t="s">
        <v>712</v>
      </c>
      <c r="C87" s="36">
        <v>1</v>
      </c>
      <c r="D87" s="36">
        <v>0</v>
      </c>
      <c r="E87" s="35"/>
      <c r="F87" s="35" t="s">
        <v>664</v>
      </c>
      <c r="G87" s="37">
        <v>45920</v>
      </c>
      <c r="H87" s="37" t="str">
        <f>INDEX(_xlfn.TEXTSPLIT(mvtst[[#This Row],[QR Suivis]],"_"),1,1)</f>
        <v>OF246839</v>
      </c>
      <c r="I87" s="35" t="str">
        <f>_xlfn.TEXTBEFORE(mvtst[[#This Row],[Num Suivis]],"-",,,1)</f>
        <v>OF246839</v>
      </c>
      <c r="J87" s="36">
        <f>SUMIF(mvtst[QR Suivis],mvtst[[#This Row],[QR Suivis]],mvtst[QTE SORTIS])-SUMIF(mvtst[QR Suivis],mvtst[[#This Row],[QR Suivis]],mvtst[QTE RETOUR])</f>
        <v>0</v>
      </c>
      <c r="K87" s="35" t="str">
        <f t="shared" si="1"/>
        <v>Usine</v>
      </c>
      <c r="L87" s="35" t="str">
        <f>_xlfn.XLOOKUP(mvtst[[#This Row],[Sous Traitant]],coordonnee_st[Identification],coordonnee_st[SERVICE],"Non Trouvé")</f>
        <v>Frange</v>
      </c>
      <c r="M87" s="35" t="str">
        <f>INDEX(_xlfn.TEXTSPLIT(mvtst[[#This Row],[QR Suivis]],"_"),1,2)</f>
        <v>CL00300</v>
      </c>
      <c r="N87" s="35" t="str">
        <f>INDEX(_xlfn.TEXTSPLIT(mvtst[[#This Row],[QR Suivis]],"_"),1,3)</f>
        <v>CM-FT0116</v>
      </c>
      <c r="O87" s="35" t="str">
        <f>INDEX(_xlfn.TEXTSPLIT(mvtst[[#This Row],[QR Suivis]],"_"),1,4)</f>
        <v>AR2030-B07-17</v>
      </c>
      <c r="P87" s="35" t="str">
        <f>INDEX(_xlfn.TEXTSPLIT(mvtst[[#This Row],[QR Suivis]],"_"),1,5)</f>
        <v>ARTHUR</v>
      </c>
      <c r="Q87" s="35" t="str">
        <f>_xlfn.TEXTAFTER(mvtst[[#This Row],[QR Suivis]],"_",5)</f>
        <v>2030</v>
      </c>
      <c r="R87" s="84" t="str">
        <f>IF(
   COUNTIFS($A$2:A87,A87,
             $B$2:B87,B87,
             $C$2:C87,C87,
             $D$2:D87,D87,
             $G$2:G87,G87)&gt;1,
   "Doublon",
   "Correcte"
)</f>
        <v>Correcte</v>
      </c>
    </row>
    <row r="88" spans="1:18" x14ac:dyDescent="0.25">
      <c r="A88" s="104" t="s">
        <v>1308</v>
      </c>
      <c r="B88" s="35" t="s">
        <v>712</v>
      </c>
      <c r="C88" s="36">
        <v>6</v>
      </c>
      <c r="D88" s="36">
        <v>0</v>
      </c>
      <c r="E88" s="35"/>
      <c r="F88" s="35" t="s">
        <v>664</v>
      </c>
      <c r="G88" s="37">
        <v>45920</v>
      </c>
      <c r="H88" s="37" t="str">
        <f>INDEX(_xlfn.TEXTSPLIT(mvtst[[#This Row],[QR Suivis]],"_"),1,1)</f>
        <v>OF246842</v>
      </c>
      <c r="I88" s="35" t="str">
        <f>_xlfn.TEXTBEFORE(mvtst[[#This Row],[Num Suivis]],"-",,,1)</f>
        <v>OF246842</v>
      </c>
      <c r="J88" s="36">
        <f>SUMIF(mvtst[QR Suivis],mvtst[[#This Row],[QR Suivis]],mvtst[QTE SORTIS])-SUMIF(mvtst[QR Suivis],mvtst[[#This Row],[QR Suivis]],mvtst[QTE RETOUR])</f>
        <v>0</v>
      </c>
      <c r="K88" s="35" t="str">
        <f t="shared" si="1"/>
        <v>Usine</v>
      </c>
      <c r="L88" s="35" t="str">
        <f>_xlfn.XLOOKUP(mvtst[[#This Row],[Sous Traitant]],coordonnee_st[Identification],coordonnee_st[SERVICE],"Non Trouvé")</f>
        <v>Frange</v>
      </c>
      <c r="M88" s="35" t="str">
        <f>INDEX(_xlfn.TEXTSPLIT(mvtst[[#This Row],[QR Suivis]],"_"),1,2)</f>
        <v>CL00300</v>
      </c>
      <c r="N88" s="35" t="str">
        <f>INDEX(_xlfn.TEXTSPLIT(mvtst[[#This Row],[QR Suivis]],"_"),1,3)</f>
        <v>CM-FT0116</v>
      </c>
      <c r="O88" s="35" t="str">
        <f>INDEX(_xlfn.TEXTSPLIT(mvtst[[#This Row],[QR Suivis]],"_"),1,4)</f>
        <v>AR2030-B11-16</v>
      </c>
      <c r="P88" s="35" t="str">
        <f>INDEX(_xlfn.TEXTSPLIT(mvtst[[#This Row],[QR Suivis]],"_"),1,5)</f>
        <v>ARTHUR</v>
      </c>
      <c r="Q88" s="35" t="str">
        <f>_xlfn.TEXTAFTER(mvtst[[#This Row],[QR Suivis]],"_",5)</f>
        <v>2030</v>
      </c>
      <c r="R88" s="84" t="str">
        <f>IF(
   COUNTIFS($A$2:A88,A88,
             $B$2:B88,B88,
             $C$2:C88,C88,
             $D$2:D88,D88,
             $G$2:G88,G88)&gt;1,
   "Doublon",
   "Correcte"
)</f>
        <v>Correcte</v>
      </c>
    </row>
    <row r="89" spans="1:18" x14ac:dyDescent="0.25">
      <c r="A89" s="104" t="s">
        <v>1384</v>
      </c>
      <c r="B89" s="35" t="s">
        <v>712</v>
      </c>
      <c r="C89" s="36">
        <v>1</v>
      </c>
      <c r="D89" s="36">
        <v>0</v>
      </c>
      <c r="E89" s="35"/>
      <c r="F89" s="35" t="s">
        <v>664</v>
      </c>
      <c r="G89" s="37">
        <v>45920</v>
      </c>
      <c r="H89" s="37" t="str">
        <f>INDEX(_xlfn.TEXTSPLIT(mvtst[[#This Row],[QR Suivis]],"_"),1,1)</f>
        <v>OF246831</v>
      </c>
      <c r="I89" s="35" t="str">
        <f>_xlfn.TEXTBEFORE(mvtst[[#This Row],[Num Suivis]],"-",,,1)</f>
        <v>OF246831</v>
      </c>
      <c r="J89" s="36">
        <f>SUMIF(mvtst[QR Suivis],mvtst[[#This Row],[QR Suivis]],mvtst[QTE SORTIS])-SUMIF(mvtst[QR Suivis],mvtst[[#This Row],[QR Suivis]],mvtst[QTE RETOUR])</f>
        <v>0</v>
      </c>
      <c r="K89" s="35" t="str">
        <f t="shared" si="1"/>
        <v>Usine</v>
      </c>
      <c r="L89" s="35" t="str">
        <f>_xlfn.XLOOKUP(mvtst[[#This Row],[Sous Traitant]],coordonnee_st[Identification],coordonnee_st[SERVICE],"Non Trouvé")</f>
        <v>Frange</v>
      </c>
      <c r="M89" s="35" t="str">
        <f>INDEX(_xlfn.TEXTSPLIT(mvtst[[#This Row],[QR Suivis]],"_"),1,2)</f>
        <v>CL00300</v>
      </c>
      <c r="N89" s="35" t="str">
        <f>INDEX(_xlfn.TEXTSPLIT(mvtst[[#This Row],[QR Suivis]],"_"),1,3)</f>
        <v>CM-FT0116</v>
      </c>
      <c r="O89" s="35" t="str">
        <f>INDEX(_xlfn.TEXTSPLIT(mvtst[[#This Row],[QR Suivis]],"_"),1,4)</f>
        <v>AR2030-B06-01</v>
      </c>
      <c r="P89" s="35" t="str">
        <f>INDEX(_xlfn.TEXTSPLIT(mvtst[[#This Row],[QR Suivis]],"_"),1,5)</f>
        <v>ARTHUR</v>
      </c>
      <c r="Q89" s="35" t="str">
        <f>_xlfn.TEXTAFTER(mvtst[[#This Row],[QR Suivis]],"_",5)</f>
        <v>2030</v>
      </c>
      <c r="R89" s="84" t="str">
        <f>IF(
   COUNTIFS($A$2:A89,A89,
             $B$2:B89,B89,
             $C$2:C89,C89,
             $D$2:D89,D89,
             $G$2:G89,G89)&gt;1,
   "Doublon",
   "Correcte"
)</f>
        <v>Correcte</v>
      </c>
    </row>
    <row r="90" spans="1:18" x14ac:dyDescent="0.25">
      <c r="A90" s="104" t="s">
        <v>1385</v>
      </c>
      <c r="B90" s="35" t="s">
        <v>712</v>
      </c>
      <c r="C90" s="36">
        <v>5</v>
      </c>
      <c r="D90" s="36">
        <v>0</v>
      </c>
      <c r="E90" s="35"/>
      <c r="F90" s="35" t="s">
        <v>664</v>
      </c>
      <c r="G90" s="37">
        <v>45920</v>
      </c>
      <c r="H90" s="37" t="str">
        <f>INDEX(_xlfn.TEXTSPLIT(mvtst[[#This Row],[QR Suivis]],"_"),1,1)</f>
        <v>CA250076-1</v>
      </c>
      <c r="I90" s="35" t="str">
        <f>_xlfn.TEXTBEFORE(mvtst[[#This Row],[Num Suivis]],"-",,,1)</f>
        <v>CA250076</v>
      </c>
      <c r="J90" s="36">
        <f>SUMIF(mvtst[QR Suivis],mvtst[[#This Row],[QR Suivis]],mvtst[QTE SORTIS])-SUMIF(mvtst[QR Suivis],mvtst[[#This Row],[QR Suivis]],mvtst[QTE RETOUR])</f>
        <v>0</v>
      </c>
      <c r="K90" s="35" t="str">
        <f t="shared" si="1"/>
        <v>Usine</v>
      </c>
      <c r="L90" s="35" t="str">
        <f>_xlfn.XLOOKUP(mvtst[[#This Row],[Sous Traitant]],coordonnee_st[Identification],coordonnee_st[SERVICE],"Non Trouvé")</f>
        <v>Frange</v>
      </c>
      <c r="M90" s="35" t="str">
        <f>INDEX(_xlfn.TEXTSPLIT(mvtst[[#This Row],[QR Suivis]],"_"),1,2)</f>
        <v>All by Fouta</v>
      </c>
      <c r="N90" s="35" t="str">
        <f>INDEX(_xlfn.TEXTSPLIT(mvtst[[#This Row],[QR Suivis]],"_"),1,3)</f>
        <v>Stock</v>
      </c>
      <c r="O90" s="35" t="str">
        <f>INDEX(_xlfn.TEXTSPLIT(mvtst[[#This Row],[QR Suivis]],"_"),1,4)</f>
        <v>UNS2030-27</v>
      </c>
      <c r="P90" s="35" t="str">
        <f>INDEX(_xlfn.TEXTSPLIT(mvtst[[#This Row],[QR Suivis]],"_"),1,5)</f>
        <v>UNI SURPIQUE</v>
      </c>
      <c r="Q90" s="35" t="str">
        <f>_xlfn.TEXTAFTER(mvtst[[#This Row],[QR Suivis]],"_",5)</f>
        <v>2030</v>
      </c>
      <c r="R90" s="84" t="str">
        <f>IF(
   COUNTIFS($A$2:A90,A90,
             $B$2:B90,B90,
             $C$2:C90,C90,
             $D$2:D90,D90,
             $G$2:G90,G90)&gt;1,
   "Doublon",
   "Correcte"
)</f>
        <v>Correcte</v>
      </c>
    </row>
    <row r="91" spans="1:18" x14ac:dyDescent="0.25">
      <c r="A91" s="104" t="s">
        <v>1386</v>
      </c>
      <c r="B91" s="35" t="s">
        <v>712</v>
      </c>
      <c r="C91" s="36">
        <v>5</v>
      </c>
      <c r="D91" s="36">
        <v>0</v>
      </c>
      <c r="E91" s="35"/>
      <c r="F91" s="35" t="s">
        <v>664</v>
      </c>
      <c r="G91" s="37">
        <v>45920</v>
      </c>
      <c r="H91" s="37" t="str">
        <f>INDEX(_xlfn.TEXTSPLIT(mvtst[[#This Row],[QR Suivis]],"_"),1,1)</f>
        <v>CA250076-2</v>
      </c>
      <c r="I91" s="35" t="str">
        <f>_xlfn.TEXTBEFORE(mvtst[[#This Row],[Num Suivis]],"-",,,1)</f>
        <v>CA250076</v>
      </c>
      <c r="J91" s="36">
        <f>SUMIF(mvtst[QR Suivis],mvtst[[#This Row],[QR Suivis]],mvtst[QTE SORTIS])-SUMIF(mvtst[QR Suivis],mvtst[[#This Row],[QR Suivis]],mvtst[QTE RETOUR])</f>
        <v>0</v>
      </c>
      <c r="K91" s="35" t="str">
        <f t="shared" si="1"/>
        <v>Usine</v>
      </c>
      <c r="L91" s="35" t="str">
        <f>_xlfn.XLOOKUP(mvtst[[#This Row],[Sous Traitant]],coordonnee_st[Identification],coordonnee_st[SERVICE],"Non Trouvé")</f>
        <v>Frange</v>
      </c>
      <c r="M91" s="35" t="str">
        <f>INDEX(_xlfn.TEXTSPLIT(mvtst[[#This Row],[QR Suivis]],"_"),1,2)</f>
        <v>All by Fouta</v>
      </c>
      <c r="N91" s="35" t="str">
        <f>INDEX(_xlfn.TEXTSPLIT(mvtst[[#This Row],[QR Suivis]],"_"),1,3)</f>
        <v>Stock</v>
      </c>
      <c r="O91" s="35" t="str">
        <f>INDEX(_xlfn.TEXTSPLIT(mvtst[[#This Row],[QR Suivis]],"_"),1,4)</f>
        <v>UNS2030-27</v>
      </c>
      <c r="P91" s="35" t="str">
        <f>INDEX(_xlfn.TEXTSPLIT(mvtst[[#This Row],[QR Suivis]],"_"),1,5)</f>
        <v>UNI SURPIQUE</v>
      </c>
      <c r="Q91" s="35" t="str">
        <f>_xlfn.TEXTAFTER(mvtst[[#This Row],[QR Suivis]],"_",5)</f>
        <v>2030</v>
      </c>
      <c r="R91" s="84" t="str">
        <f>IF(
   COUNTIFS($A$2:A91,A91,
             $B$2:B91,B91,
             $C$2:C91,C91,
             $D$2:D91,D91,
             $G$2:G91,G91)&gt;1,
   "Doublon",
   "Correcte"
)</f>
        <v>Correcte</v>
      </c>
    </row>
    <row r="92" spans="1:18" x14ac:dyDescent="0.25">
      <c r="A92" s="104" t="s">
        <v>1312</v>
      </c>
      <c r="B92" s="35" t="s">
        <v>712</v>
      </c>
      <c r="C92" s="36">
        <v>15</v>
      </c>
      <c r="D92" s="36">
        <v>0</v>
      </c>
      <c r="E92" s="35"/>
      <c r="F92" s="35" t="s">
        <v>664</v>
      </c>
      <c r="G92" s="37">
        <v>45920</v>
      </c>
      <c r="H92" s="37" t="str">
        <f>INDEX(_xlfn.TEXTSPLIT(mvtst[[#This Row],[QR Suivis]],"_"),1,1)</f>
        <v>CA250075</v>
      </c>
      <c r="I92" s="35" t="str">
        <f>_xlfn.TEXTBEFORE(mvtst[[#This Row],[Num Suivis]],"-",,,1)</f>
        <v>CA250075</v>
      </c>
      <c r="J92" s="36">
        <f>SUMIF(mvtst[QR Suivis],mvtst[[#This Row],[QR Suivis]],mvtst[QTE SORTIS])-SUMIF(mvtst[QR Suivis],mvtst[[#This Row],[QR Suivis]],mvtst[QTE RETOUR])</f>
        <v>0</v>
      </c>
      <c r="K92" s="35" t="str">
        <f t="shared" si="1"/>
        <v>Usine</v>
      </c>
      <c r="L92" s="35" t="str">
        <f>_xlfn.XLOOKUP(mvtst[[#This Row],[Sous Traitant]],coordonnee_st[Identification],coordonnee_st[SERVICE],"Non Trouvé")</f>
        <v>Frange</v>
      </c>
      <c r="M92" s="35" t="str">
        <f>INDEX(_xlfn.TEXTSPLIT(mvtst[[#This Row],[QR Suivis]],"_"),1,2)</f>
        <v>All by Fouta</v>
      </c>
      <c r="N92" s="35" t="str">
        <f>INDEX(_xlfn.TEXTSPLIT(mvtst[[#This Row],[QR Suivis]],"_"),1,3)</f>
        <v>Stock</v>
      </c>
      <c r="O92" s="35" t="str">
        <f>INDEX(_xlfn.TEXTSPLIT(mvtst[[#This Row],[QR Suivis]],"_"),1,4)</f>
        <v>UNS2030-26</v>
      </c>
      <c r="P92" s="35" t="str">
        <f>INDEX(_xlfn.TEXTSPLIT(mvtst[[#This Row],[QR Suivis]],"_"),1,5)</f>
        <v>UNI SURPIQUE</v>
      </c>
      <c r="Q92" s="35" t="str">
        <f>_xlfn.TEXTAFTER(mvtst[[#This Row],[QR Suivis]],"_",5)</f>
        <v>2030</v>
      </c>
      <c r="R92" s="84" t="str">
        <f>IF(
   COUNTIFS($A$2:A92,A92,
             $B$2:B92,B92,
             $C$2:C92,C92,
             $D$2:D92,D92,
             $G$2:G92,G92)&gt;1,
   "Doublon",
   "Correcte"
)</f>
        <v>Correcte</v>
      </c>
    </row>
    <row r="93" spans="1:18" x14ac:dyDescent="0.25">
      <c r="A93" s="104" t="s">
        <v>1313</v>
      </c>
      <c r="B93" s="35" t="s">
        <v>712</v>
      </c>
      <c r="C93" s="36">
        <v>23</v>
      </c>
      <c r="D93" s="36">
        <v>0</v>
      </c>
      <c r="E93" s="35"/>
      <c r="F93" s="35" t="s">
        <v>664</v>
      </c>
      <c r="G93" s="37">
        <v>45920</v>
      </c>
      <c r="H93" s="37" t="str">
        <f>INDEX(_xlfn.TEXTSPLIT(mvtst[[#This Row],[QR Suivis]],"_"),1,1)</f>
        <v>CA250077</v>
      </c>
      <c r="I93" s="35" t="str">
        <f>_xlfn.TEXTBEFORE(mvtst[[#This Row],[Num Suivis]],"-",,,1)</f>
        <v>CA250077</v>
      </c>
      <c r="J93" s="36">
        <f>SUMIF(mvtst[QR Suivis],mvtst[[#This Row],[QR Suivis]],mvtst[QTE SORTIS])-SUMIF(mvtst[QR Suivis],mvtst[[#This Row],[QR Suivis]],mvtst[QTE RETOUR])</f>
        <v>0</v>
      </c>
      <c r="K93" s="35" t="str">
        <f t="shared" si="1"/>
        <v>Usine</v>
      </c>
      <c r="L93" s="35" t="str">
        <f>_xlfn.XLOOKUP(mvtst[[#This Row],[Sous Traitant]],coordonnee_st[Identification],coordonnee_st[SERVICE],"Non Trouvé")</f>
        <v>Frange</v>
      </c>
      <c r="M93" s="35" t="str">
        <f>INDEX(_xlfn.TEXTSPLIT(mvtst[[#This Row],[QR Suivis]],"_"),1,2)</f>
        <v>All by Fouta</v>
      </c>
      <c r="N93" s="35" t="str">
        <f>INDEX(_xlfn.TEXTSPLIT(mvtst[[#This Row],[QR Suivis]],"_"),1,3)</f>
        <v>Stock</v>
      </c>
      <c r="O93" s="35" t="str">
        <f>INDEX(_xlfn.TEXTSPLIT(mvtst[[#This Row],[QR Suivis]],"_"),1,4)</f>
        <v>UNS2030-30</v>
      </c>
      <c r="P93" s="35" t="str">
        <f>INDEX(_xlfn.TEXTSPLIT(mvtst[[#This Row],[QR Suivis]],"_"),1,5)</f>
        <v>UNI SURPIQUE</v>
      </c>
      <c r="Q93" s="35" t="str">
        <f>_xlfn.TEXTAFTER(mvtst[[#This Row],[QR Suivis]],"_",5)</f>
        <v>2030</v>
      </c>
      <c r="R93" s="84" t="str">
        <f>IF(
   COUNTIFS($A$2:A93,A93,
             $B$2:B93,B93,
             $C$2:C93,C93,
             $D$2:D93,D93,
             $G$2:G93,G93)&gt;1,
   "Doublon",
   "Correcte"
)</f>
        <v>Correcte</v>
      </c>
    </row>
    <row r="94" spans="1:18" x14ac:dyDescent="0.25">
      <c r="A94" s="104" t="s">
        <v>1387</v>
      </c>
      <c r="B94" s="35" t="s">
        <v>712</v>
      </c>
      <c r="C94" s="36">
        <v>6</v>
      </c>
      <c r="D94" s="36">
        <v>0</v>
      </c>
      <c r="E94" s="35"/>
      <c r="F94" s="35" t="s">
        <v>664</v>
      </c>
      <c r="G94" s="37">
        <v>45920</v>
      </c>
      <c r="H94" s="37" t="str">
        <f>INDEX(_xlfn.TEXTSPLIT(mvtst[[#This Row],[QR Suivis]],"_"),1,1)</f>
        <v>OF246840</v>
      </c>
      <c r="I94" s="35" t="str">
        <f>_xlfn.TEXTBEFORE(mvtst[[#This Row],[Num Suivis]],"-",,,1)</f>
        <v>OF246840</v>
      </c>
      <c r="J94" s="36">
        <f>SUMIF(mvtst[QR Suivis],mvtst[[#This Row],[QR Suivis]],mvtst[QTE SORTIS])-SUMIF(mvtst[QR Suivis],mvtst[[#This Row],[QR Suivis]],mvtst[QTE RETOUR])</f>
        <v>0</v>
      </c>
      <c r="K94" s="35" t="str">
        <f t="shared" si="1"/>
        <v>Usine</v>
      </c>
      <c r="L94" s="35" t="str">
        <f>_xlfn.XLOOKUP(mvtst[[#This Row],[Sous Traitant]],coordonnee_st[Identification],coordonnee_st[SERVICE],"Non Trouvé")</f>
        <v>Frange</v>
      </c>
      <c r="M94" s="35" t="str">
        <f>INDEX(_xlfn.TEXTSPLIT(mvtst[[#This Row],[QR Suivis]],"_"),1,2)</f>
        <v>CL00300</v>
      </c>
      <c r="N94" s="35" t="str">
        <f>INDEX(_xlfn.TEXTSPLIT(mvtst[[#This Row],[QR Suivis]],"_"),1,3)</f>
        <v>CM-FT0116</v>
      </c>
      <c r="O94" s="35" t="str">
        <f>INDEX(_xlfn.TEXTSPLIT(mvtst[[#This Row],[QR Suivis]],"_"),1,4)</f>
        <v>AR2030-B11-25</v>
      </c>
      <c r="P94" s="35" t="str">
        <f>INDEX(_xlfn.TEXTSPLIT(mvtst[[#This Row],[QR Suivis]],"_"),1,5)</f>
        <v>ARTHUR</v>
      </c>
      <c r="Q94" s="35" t="str">
        <f>_xlfn.TEXTAFTER(mvtst[[#This Row],[QR Suivis]],"_",5)</f>
        <v>2030</v>
      </c>
      <c r="R94" s="84" t="str">
        <f>IF(
   COUNTIFS($A$2:A94,A94,
             $B$2:B94,B94,
             $C$2:C94,C94,
             $D$2:D94,D94,
             $G$2:G94,G94)&gt;1,
   "Doublon",
   "Correcte"
)</f>
        <v>Correcte</v>
      </c>
    </row>
    <row r="95" spans="1:18" x14ac:dyDescent="0.25">
      <c r="A95" s="104" t="s">
        <v>1388</v>
      </c>
      <c r="B95" s="35" t="s">
        <v>712</v>
      </c>
      <c r="C95" s="36">
        <v>10</v>
      </c>
      <c r="D95" s="36">
        <v>0</v>
      </c>
      <c r="E95" s="35"/>
      <c r="F95" s="35" t="s">
        <v>664</v>
      </c>
      <c r="G95" s="37">
        <v>45920</v>
      </c>
      <c r="H95" s="37" t="str">
        <f>INDEX(_xlfn.TEXTSPLIT(mvtst[[#This Row],[QR Suivis]],"_"),1,1)</f>
        <v>OF242494</v>
      </c>
      <c r="I95" s="35" t="str">
        <f>_xlfn.TEXTBEFORE(mvtst[[#This Row],[Num Suivis]],"-",,,1)</f>
        <v>OF242494</v>
      </c>
      <c r="J95" s="36">
        <f>SUMIF(mvtst[QR Suivis],mvtst[[#This Row],[QR Suivis]],mvtst[QTE SORTIS])-SUMIF(mvtst[QR Suivis],mvtst[[#This Row],[QR Suivis]],mvtst[QTE RETOUR])</f>
        <v>0</v>
      </c>
      <c r="K95" s="35" t="str">
        <f t="shared" si="1"/>
        <v>Usine</v>
      </c>
      <c r="L95" s="35" t="str">
        <f>_xlfn.XLOOKUP(mvtst[[#This Row],[Sous Traitant]],coordonnee_st[Identification],coordonnee_st[SERVICE],"Non Trouvé")</f>
        <v>Frange</v>
      </c>
      <c r="M95" s="35" t="str">
        <f>INDEX(_xlfn.TEXTSPLIT(mvtst[[#This Row],[QR Suivis]],"_"),1,2)</f>
        <v>CL00833</v>
      </c>
      <c r="N95" s="35" t="str">
        <f>INDEX(_xlfn.TEXTSPLIT(mvtst[[#This Row],[QR Suivis]],"_"),1,3)</f>
        <v>ABF-CM90226</v>
      </c>
      <c r="O95" s="35" t="str">
        <f>INDEX(_xlfn.TEXTSPLIT(mvtst[[#This Row],[QR Suivis]],"_"),1,4)</f>
        <v>AR2426-B24-01</v>
      </c>
      <c r="P95" s="35" t="str">
        <f>INDEX(_xlfn.TEXTSPLIT(mvtst[[#This Row],[QR Suivis]],"_"),1,5)</f>
        <v>ARTHUR</v>
      </c>
      <c r="Q95" s="35" t="str">
        <f>_xlfn.TEXTAFTER(mvtst[[#This Row],[QR Suivis]],"_",5)</f>
        <v>2426</v>
      </c>
      <c r="R95" s="84" t="str">
        <f>IF(
   COUNTIFS($A$2:A95,A95,
             $B$2:B95,B95,
             $C$2:C95,C95,
             $D$2:D95,D95,
             $G$2:G95,G95)&gt;1,
   "Doublon",
   "Correcte"
)</f>
        <v>Correcte</v>
      </c>
    </row>
    <row r="96" spans="1:18" x14ac:dyDescent="0.25">
      <c r="A96" s="104" t="s">
        <v>1308</v>
      </c>
      <c r="B96" s="35" t="s">
        <v>712</v>
      </c>
      <c r="C96" s="36">
        <v>5</v>
      </c>
      <c r="D96" s="36">
        <v>0</v>
      </c>
      <c r="E96" s="35"/>
      <c r="F96" s="35" t="s">
        <v>664</v>
      </c>
      <c r="G96" s="37">
        <v>45920</v>
      </c>
      <c r="H96" s="37" t="str">
        <f>INDEX(_xlfn.TEXTSPLIT(mvtst[[#This Row],[QR Suivis]],"_"),1,1)</f>
        <v>OF246842</v>
      </c>
      <c r="I96" s="35" t="str">
        <f>_xlfn.TEXTBEFORE(mvtst[[#This Row],[Num Suivis]],"-",,,1)</f>
        <v>OF246842</v>
      </c>
      <c r="J96" s="36">
        <f>SUMIF(mvtst[QR Suivis],mvtst[[#This Row],[QR Suivis]],mvtst[QTE SORTIS])-SUMIF(mvtst[QR Suivis],mvtst[[#This Row],[QR Suivis]],mvtst[QTE RETOUR])</f>
        <v>0</v>
      </c>
      <c r="K96" s="35" t="str">
        <f t="shared" si="1"/>
        <v>Usine</v>
      </c>
      <c r="L96" s="35" t="str">
        <f>_xlfn.XLOOKUP(mvtst[[#This Row],[Sous Traitant]],coordonnee_st[Identification],coordonnee_st[SERVICE],"Non Trouvé")</f>
        <v>Frange</v>
      </c>
      <c r="M96" s="35" t="str">
        <f>INDEX(_xlfn.TEXTSPLIT(mvtst[[#This Row],[QR Suivis]],"_"),1,2)</f>
        <v>CL00300</v>
      </c>
      <c r="N96" s="35" t="str">
        <f>INDEX(_xlfn.TEXTSPLIT(mvtst[[#This Row],[QR Suivis]],"_"),1,3)</f>
        <v>CM-FT0116</v>
      </c>
      <c r="O96" s="35" t="str">
        <f>INDEX(_xlfn.TEXTSPLIT(mvtst[[#This Row],[QR Suivis]],"_"),1,4)</f>
        <v>AR2030-B11-16</v>
      </c>
      <c r="P96" s="35" t="str">
        <f>INDEX(_xlfn.TEXTSPLIT(mvtst[[#This Row],[QR Suivis]],"_"),1,5)</f>
        <v>ARTHUR</v>
      </c>
      <c r="Q96" s="35" t="str">
        <f>_xlfn.TEXTAFTER(mvtst[[#This Row],[QR Suivis]],"_",5)</f>
        <v>2030</v>
      </c>
      <c r="R96" s="84" t="str">
        <f>IF(
   COUNTIFS($A$2:A96,A96,
             $B$2:B96,B96,
             $C$2:C96,C96,
             $D$2:D96,D96,
             $G$2:G96,G96)&gt;1,
   "Doublon",
   "Correcte"
)</f>
        <v>Correcte</v>
      </c>
    </row>
    <row r="97" spans="1:18" x14ac:dyDescent="0.25">
      <c r="A97" s="104" t="s">
        <v>1389</v>
      </c>
      <c r="B97" s="35" t="s">
        <v>712</v>
      </c>
      <c r="C97" s="36">
        <v>11</v>
      </c>
      <c r="D97" s="36">
        <v>0</v>
      </c>
      <c r="E97" s="35"/>
      <c r="F97" s="35" t="s">
        <v>664</v>
      </c>
      <c r="G97" s="37">
        <v>45920</v>
      </c>
      <c r="H97" s="37" t="str">
        <f>INDEX(_xlfn.TEXTSPLIT(mvtst[[#This Row],[QR Suivis]],"_"),1,1)</f>
        <v>OF242496</v>
      </c>
      <c r="I97" s="35" t="str">
        <f>_xlfn.TEXTBEFORE(mvtst[[#This Row],[Num Suivis]],"-",,,1)</f>
        <v>OF242496</v>
      </c>
      <c r="J97" s="36">
        <f>SUMIF(mvtst[QR Suivis],mvtst[[#This Row],[QR Suivis]],mvtst[QTE SORTIS])-SUMIF(mvtst[QR Suivis],mvtst[[#This Row],[QR Suivis]],mvtst[QTE RETOUR])</f>
        <v>0</v>
      </c>
      <c r="K97" s="35" t="str">
        <f t="shared" si="1"/>
        <v>Usine</v>
      </c>
      <c r="L97" s="35" t="str">
        <f>_xlfn.XLOOKUP(mvtst[[#This Row],[Sous Traitant]],coordonnee_st[Identification],coordonnee_st[SERVICE],"Non Trouvé")</f>
        <v>Frange</v>
      </c>
      <c r="M97" s="35" t="str">
        <f>INDEX(_xlfn.TEXTSPLIT(mvtst[[#This Row],[QR Suivis]],"_"),1,2)</f>
        <v>CL00833</v>
      </c>
      <c r="N97" s="35" t="str">
        <f>INDEX(_xlfn.TEXTSPLIT(mvtst[[#This Row],[QR Suivis]],"_"),1,3)</f>
        <v>ABF-CM90226</v>
      </c>
      <c r="O97" s="35" t="str">
        <f>INDEX(_xlfn.TEXTSPLIT(mvtst[[#This Row],[QR Suivis]],"_"),1,4)</f>
        <v>AR2426-B26-01</v>
      </c>
      <c r="P97" s="35" t="str">
        <f>INDEX(_xlfn.TEXTSPLIT(mvtst[[#This Row],[QR Suivis]],"_"),1,5)</f>
        <v>ARTHUR</v>
      </c>
      <c r="Q97" s="35" t="str">
        <f>_xlfn.TEXTAFTER(mvtst[[#This Row],[QR Suivis]],"_",5)</f>
        <v>2426</v>
      </c>
      <c r="R97" s="84" t="str">
        <f>IF(
   COUNTIFS($A$2:A97,A97,
             $B$2:B97,B97,
             $C$2:C97,C97,
             $D$2:D97,D97,
             $G$2:G97,G97)&gt;1,
   "Doublon",
   "Correcte"
)</f>
        <v>Correcte</v>
      </c>
    </row>
    <row r="98" spans="1:18" x14ac:dyDescent="0.25">
      <c r="A98" s="104" t="s">
        <v>1390</v>
      </c>
      <c r="B98" s="35" t="s">
        <v>712</v>
      </c>
      <c r="C98" s="36">
        <v>10</v>
      </c>
      <c r="D98" s="36">
        <v>0</v>
      </c>
      <c r="E98" s="35"/>
      <c r="F98" s="35" t="s">
        <v>664</v>
      </c>
      <c r="G98" s="37">
        <v>45920</v>
      </c>
      <c r="H98" s="37" t="str">
        <f>INDEX(_xlfn.TEXTSPLIT(mvtst[[#This Row],[QR Suivis]],"_"),1,1)</f>
        <v>OF242493</v>
      </c>
      <c r="I98" s="35" t="str">
        <f>_xlfn.TEXTBEFORE(mvtst[[#This Row],[Num Suivis]],"-",,,1)</f>
        <v>OF242493</v>
      </c>
      <c r="J98" s="36">
        <f>SUMIF(mvtst[QR Suivis],mvtst[[#This Row],[QR Suivis]],mvtst[QTE SORTIS])-SUMIF(mvtst[QR Suivis],mvtst[[#This Row],[QR Suivis]],mvtst[QTE RETOUR])</f>
        <v>0</v>
      </c>
      <c r="K98" s="35" t="str">
        <f t="shared" si="1"/>
        <v>Usine</v>
      </c>
      <c r="L98" s="35" t="str">
        <f>_xlfn.XLOOKUP(mvtst[[#This Row],[Sous Traitant]],coordonnee_st[Identification],coordonnee_st[SERVICE],"Non Trouvé")</f>
        <v>Frange</v>
      </c>
      <c r="M98" s="35" t="str">
        <f>INDEX(_xlfn.TEXTSPLIT(mvtst[[#This Row],[QR Suivis]],"_"),1,2)</f>
        <v>CL00833</v>
      </c>
      <c r="N98" s="35" t="str">
        <f>INDEX(_xlfn.TEXTSPLIT(mvtst[[#This Row],[QR Suivis]],"_"),1,3)</f>
        <v>ABF-CM90226</v>
      </c>
      <c r="O98" s="35" t="str">
        <f>INDEX(_xlfn.TEXTSPLIT(mvtst[[#This Row],[QR Suivis]],"_"),1,4)</f>
        <v>AR2426-B23-01</v>
      </c>
      <c r="P98" s="35" t="str">
        <f>INDEX(_xlfn.TEXTSPLIT(mvtst[[#This Row],[QR Suivis]],"_"),1,5)</f>
        <v>ARTHUR</v>
      </c>
      <c r="Q98" s="35" t="str">
        <f>_xlfn.TEXTAFTER(mvtst[[#This Row],[QR Suivis]],"_",5)</f>
        <v>2426</v>
      </c>
      <c r="R98" s="84" t="str">
        <f>IF(
   COUNTIFS($A$2:A98,A98,
             $B$2:B98,B98,
             $C$2:C98,C98,
             $D$2:D98,D98,
             $G$2:G98,G98)&gt;1,
   "Doublon",
   "Correcte"
)</f>
        <v>Correcte</v>
      </c>
    </row>
    <row r="99" spans="1:18" x14ac:dyDescent="0.25">
      <c r="A99" s="104" t="s">
        <v>1391</v>
      </c>
      <c r="B99" s="35" t="s">
        <v>712</v>
      </c>
      <c r="C99" s="36">
        <v>5</v>
      </c>
      <c r="D99" s="36">
        <v>0</v>
      </c>
      <c r="E99" s="35"/>
      <c r="F99" s="35" t="s">
        <v>664</v>
      </c>
      <c r="G99" s="37">
        <v>45920</v>
      </c>
      <c r="H99" s="37" t="str">
        <f>INDEX(_xlfn.TEXTSPLIT(mvtst[[#This Row],[QR Suivis]],"_"),1,1)</f>
        <v>OF242492</v>
      </c>
      <c r="I99" s="35" t="str">
        <f>_xlfn.TEXTBEFORE(mvtst[[#This Row],[Num Suivis]],"-",,,1)</f>
        <v>OF242492</v>
      </c>
      <c r="J99" s="36">
        <f>SUMIF(mvtst[QR Suivis],mvtst[[#This Row],[QR Suivis]],mvtst[QTE SORTIS])-SUMIF(mvtst[QR Suivis],mvtst[[#This Row],[QR Suivis]],mvtst[QTE RETOUR])</f>
        <v>0</v>
      </c>
      <c r="K99" s="35" t="str">
        <f t="shared" si="1"/>
        <v>Usine</v>
      </c>
      <c r="L99" s="35" t="str">
        <f>_xlfn.XLOOKUP(mvtst[[#This Row],[Sous Traitant]],coordonnee_st[Identification],coordonnee_st[SERVICE],"Non Trouvé")</f>
        <v>Frange</v>
      </c>
      <c r="M99" s="35" t="str">
        <f>INDEX(_xlfn.TEXTSPLIT(mvtst[[#This Row],[QR Suivis]],"_"),1,2)</f>
        <v>CL00833</v>
      </c>
      <c r="N99" s="35" t="str">
        <f>INDEX(_xlfn.TEXTSPLIT(mvtst[[#This Row],[QR Suivis]],"_"),1,3)</f>
        <v>ABF-CM90226</v>
      </c>
      <c r="O99" s="35" t="str">
        <f>INDEX(_xlfn.TEXTSPLIT(mvtst[[#This Row],[QR Suivis]],"_"),1,4)</f>
        <v>AR2426-B22-01</v>
      </c>
      <c r="P99" s="35" t="str">
        <f>INDEX(_xlfn.TEXTSPLIT(mvtst[[#This Row],[QR Suivis]],"_"),1,5)</f>
        <v>ARTHUR</v>
      </c>
      <c r="Q99" s="35" t="str">
        <f>_xlfn.TEXTAFTER(mvtst[[#This Row],[QR Suivis]],"_",5)</f>
        <v>2426</v>
      </c>
      <c r="R99" s="84" t="str">
        <f>IF(
   COUNTIFS($A$2:A99,A99,
             $B$2:B99,B99,
             $C$2:C99,C99,
             $D$2:D99,D99,
             $G$2:G99,G99)&gt;1,
   "Doublon",
   "Correcte"
)</f>
        <v>Correcte</v>
      </c>
    </row>
    <row r="100" spans="1:18" x14ac:dyDescent="0.25">
      <c r="A100" s="104" t="s">
        <v>1392</v>
      </c>
      <c r="B100" s="35" t="s">
        <v>712</v>
      </c>
      <c r="C100" s="36">
        <v>5</v>
      </c>
      <c r="D100" s="36">
        <v>0</v>
      </c>
      <c r="E100" s="35"/>
      <c r="F100" s="35" t="s">
        <v>664</v>
      </c>
      <c r="G100" s="37">
        <v>45920</v>
      </c>
      <c r="H100" s="37" t="str">
        <f>INDEX(_xlfn.TEXTSPLIT(mvtst[[#This Row],[QR Suivis]],"_"),1,1)</f>
        <v>OF246834</v>
      </c>
      <c r="I100" s="35" t="str">
        <f>_xlfn.TEXTBEFORE(mvtst[[#This Row],[Num Suivis]],"-",,,1)</f>
        <v>OF246834</v>
      </c>
      <c r="J100" s="36">
        <f>SUMIF(mvtst[QR Suivis],mvtst[[#This Row],[QR Suivis]],mvtst[QTE SORTIS])-SUMIF(mvtst[QR Suivis],mvtst[[#This Row],[QR Suivis]],mvtst[QTE RETOUR])</f>
        <v>0</v>
      </c>
      <c r="K100" s="35" t="str">
        <f t="shared" si="1"/>
        <v>Usine</v>
      </c>
      <c r="L100" s="35" t="str">
        <f>_xlfn.XLOOKUP(mvtst[[#This Row],[Sous Traitant]],coordonnee_st[Identification],coordonnee_st[SERVICE],"Non Trouvé")</f>
        <v>Frange</v>
      </c>
      <c r="M100" s="35" t="str">
        <f>INDEX(_xlfn.TEXTSPLIT(mvtst[[#This Row],[QR Suivis]],"_"),1,2)</f>
        <v>CL00300</v>
      </c>
      <c r="N100" s="35" t="str">
        <f>INDEX(_xlfn.TEXTSPLIT(mvtst[[#This Row],[QR Suivis]],"_"),1,3)</f>
        <v>CM-FT0116</v>
      </c>
      <c r="O100" s="35" t="str">
        <f>INDEX(_xlfn.TEXTSPLIT(mvtst[[#This Row],[QR Suivis]],"_"),1,4)</f>
        <v>AR2030-B14-01</v>
      </c>
      <c r="P100" s="35" t="str">
        <f>INDEX(_xlfn.TEXTSPLIT(mvtst[[#This Row],[QR Suivis]],"_"),1,5)</f>
        <v>ARTHUR</v>
      </c>
      <c r="Q100" s="35" t="str">
        <f>_xlfn.TEXTAFTER(mvtst[[#This Row],[QR Suivis]],"_",5)</f>
        <v>2030</v>
      </c>
      <c r="R100" s="84" t="str">
        <f>IF(
   COUNTIFS($A$2:A100,A100,
             $B$2:B100,B100,
             $C$2:C100,C100,
             $D$2:D100,D100,
             $G$2:G100,G100)&gt;1,
   "Doublon",
   "Correcte"
)</f>
        <v>Correcte</v>
      </c>
    </row>
    <row r="101" spans="1:18" x14ac:dyDescent="0.25">
      <c r="A101" s="104" t="s">
        <v>1314</v>
      </c>
      <c r="B101" s="35" t="s">
        <v>712</v>
      </c>
      <c r="C101" s="36">
        <v>28</v>
      </c>
      <c r="D101" s="36">
        <v>0</v>
      </c>
      <c r="E101" s="35"/>
      <c r="F101" s="35" t="s">
        <v>664</v>
      </c>
      <c r="G101" s="37">
        <v>45920</v>
      </c>
      <c r="H101" s="37" t="str">
        <f>INDEX(_xlfn.TEXTSPLIT(mvtst[[#This Row],[QR Suivis]],"_"),1,1)</f>
        <v>CA250397</v>
      </c>
      <c r="I101" s="35" t="str">
        <f>_xlfn.TEXTBEFORE(mvtst[[#This Row],[Num Suivis]],"-",,,1)</f>
        <v>CA250397</v>
      </c>
      <c r="J101" s="36">
        <f>SUMIF(mvtst[QR Suivis],mvtst[[#This Row],[QR Suivis]],mvtst[QTE SORTIS])-SUMIF(mvtst[QR Suivis],mvtst[[#This Row],[QR Suivis]],mvtst[QTE RETOUR])</f>
        <v>0</v>
      </c>
      <c r="K101" s="35" t="str">
        <f t="shared" si="1"/>
        <v>Usine</v>
      </c>
      <c r="L101" s="35" t="str">
        <f>_xlfn.XLOOKUP(mvtst[[#This Row],[Sous Traitant]],coordonnee_st[Identification],coordonnee_st[SERVICE],"Non Trouvé")</f>
        <v>Frange</v>
      </c>
      <c r="M101" s="35" t="str">
        <f>INDEX(_xlfn.TEXTSPLIT(mvtst[[#This Row],[QR Suivis]],"_"),1,2)</f>
        <v>All by Fouta</v>
      </c>
      <c r="N101" s="35" t="str">
        <f>INDEX(_xlfn.TEXTSPLIT(mvtst[[#This Row],[QR Suivis]],"_"),1,3)</f>
        <v>Stock</v>
      </c>
      <c r="O101" s="35" t="str">
        <f>INDEX(_xlfn.TEXTSPLIT(mvtst[[#This Row],[QR Suivis]],"_"),1,4)</f>
        <v>BE1020-Q10-16-01</v>
      </c>
      <c r="P101" s="35" t="str">
        <f>INDEX(_xlfn.TEXTSPLIT(mvtst[[#This Row],[QR Suivis]],"_"),1,5)</f>
        <v>BERBER</v>
      </c>
      <c r="Q101" s="35" t="str">
        <f>_xlfn.TEXTAFTER(mvtst[[#This Row],[QR Suivis]],"_",5)</f>
        <v>1020</v>
      </c>
      <c r="R101" s="84" t="str">
        <f>IF(
   COUNTIFS($A$2:A101,A101,
             $B$2:B101,B101,
             $C$2:C101,C101,
             $D$2:D101,D101,
             $G$2:G101,G101)&gt;1,
   "Doublon",
   "Correcte"
)</f>
        <v>Correcte</v>
      </c>
    </row>
    <row r="102" spans="1:18" x14ac:dyDescent="0.25">
      <c r="A102" s="104" t="s">
        <v>1311</v>
      </c>
      <c r="B102" s="35" t="s">
        <v>712</v>
      </c>
      <c r="C102" s="36">
        <v>85</v>
      </c>
      <c r="D102" s="36">
        <v>0</v>
      </c>
      <c r="E102" s="35"/>
      <c r="F102" s="35" t="s">
        <v>664</v>
      </c>
      <c r="G102" s="37">
        <v>45920</v>
      </c>
      <c r="H102" s="37" t="str">
        <f>INDEX(_xlfn.TEXTSPLIT(mvtst[[#This Row],[QR Suivis]],"_"),1,1)</f>
        <v>OF250128</v>
      </c>
      <c r="I102" s="35" t="str">
        <f>_xlfn.TEXTBEFORE(mvtst[[#This Row],[Num Suivis]],"-",,,1)</f>
        <v>OF250128</v>
      </c>
      <c r="J102" s="36">
        <f>SUMIF(mvtst[QR Suivis],mvtst[[#This Row],[QR Suivis]],mvtst[QTE SORTIS])-SUMIF(mvtst[QR Suivis],mvtst[[#This Row],[QR Suivis]],mvtst[QTE RETOUR])</f>
        <v>0</v>
      </c>
      <c r="K102" s="35" t="str">
        <f t="shared" si="1"/>
        <v>Usine</v>
      </c>
      <c r="L102" s="35" t="str">
        <f>_xlfn.XLOOKUP(mvtst[[#This Row],[Sous Traitant]],coordonnee_st[Identification],coordonnee_st[SERVICE],"Non Trouvé")</f>
        <v>Frange</v>
      </c>
      <c r="M102" s="35" t="str">
        <f>INDEX(_xlfn.TEXTSPLIT(mvtst[[#This Row],[QR Suivis]],"_"),1,2)</f>
        <v>CL00296</v>
      </c>
      <c r="N102" s="35" t="str">
        <f>INDEX(_xlfn.TEXTSPLIT(mvtst[[#This Row],[QR Suivis]],"_"),1,3)</f>
        <v>CM-FT0129</v>
      </c>
      <c r="O102" s="35" t="str">
        <f>INDEX(_xlfn.TEXTSPLIT(mvtst[[#This Row],[QR Suivis]],"_"),1,4)</f>
        <v>NDL1020-B09-14</v>
      </c>
      <c r="P102" s="35" t="str">
        <f>INDEX(_xlfn.TEXTSPLIT(mvtst[[#This Row],[QR Suivis]],"_"),1,5)</f>
        <v>ND LILI</v>
      </c>
      <c r="Q102" s="35" t="str">
        <f>_xlfn.TEXTAFTER(mvtst[[#This Row],[QR Suivis]],"_",5)</f>
        <v>1020</v>
      </c>
      <c r="R102" s="84" t="str">
        <f>IF(
   COUNTIFS($A$2:A102,A102,
             $B$2:B102,B102,
             $C$2:C102,C102,
             $D$2:D102,D102,
             $G$2:G102,G102)&gt;1,
   "Doublon",
   "Correcte"
)</f>
        <v>Correcte</v>
      </c>
    </row>
    <row r="103" spans="1:18" x14ac:dyDescent="0.25">
      <c r="A103" s="104" t="s">
        <v>1385</v>
      </c>
      <c r="B103" s="35" t="s">
        <v>712</v>
      </c>
      <c r="C103" s="36">
        <v>0</v>
      </c>
      <c r="D103" s="36">
        <v>5</v>
      </c>
      <c r="E103" s="35"/>
      <c r="F103" s="35" t="s">
        <v>664</v>
      </c>
      <c r="G103" s="37">
        <v>45920</v>
      </c>
      <c r="H103" s="37" t="str">
        <f>INDEX(_xlfn.TEXTSPLIT(mvtst[[#This Row],[QR Suivis]],"_"),1,1)</f>
        <v>CA250076-1</v>
      </c>
      <c r="I103" s="35" t="str">
        <f>_xlfn.TEXTBEFORE(mvtst[[#This Row],[Num Suivis]],"-",,,1)</f>
        <v>CA250076</v>
      </c>
      <c r="J103" s="36">
        <f>SUMIF(mvtst[QR Suivis],mvtst[[#This Row],[QR Suivis]],mvtst[QTE SORTIS])-SUMIF(mvtst[QR Suivis],mvtst[[#This Row],[QR Suivis]],mvtst[QTE RETOUR])</f>
        <v>0</v>
      </c>
      <c r="K103" s="35" t="str">
        <f t="shared" si="1"/>
        <v>Usine</v>
      </c>
      <c r="L103" s="35" t="str">
        <f>_xlfn.XLOOKUP(mvtst[[#This Row],[Sous Traitant]],coordonnee_st[Identification],coordonnee_st[SERVICE],"Non Trouvé")</f>
        <v>Frange</v>
      </c>
      <c r="M103" s="35" t="str">
        <f>INDEX(_xlfn.TEXTSPLIT(mvtst[[#This Row],[QR Suivis]],"_"),1,2)</f>
        <v>All by Fouta</v>
      </c>
      <c r="N103" s="35" t="str">
        <f>INDEX(_xlfn.TEXTSPLIT(mvtst[[#This Row],[QR Suivis]],"_"),1,3)</f>
        <v>Stock</v>
      </c>
      <c r="O103" s="35" t="str">
        <f>INDEX(_xlfn.TEXTSPLIT(mvtst[[#This Row],[QR Suivis]],"_"),1,4)</f>
        <v>UNS2030-27</v>
      </c>
      <c r="P103" s="35" t="str">
        <f>INDEX(_xlfn.TEXTSPLIT(mvtst[[#This Row],[QR Suivis]],"_"),1,5)</f>
        <v>UNI SURPIQUE</v>
      </c>
      <c r="Q103" s="35" t="str">
        <f>_xlfn.TEXTAFTER(mvtst[[#This Row],[QR Suivis]],"_",5)</f>
        <v>2030</v>
      </c>
      <c r="R103" s="84" t="str">
        <f>IF(
   COUNTIFS($A$2:A103,A103,
             $B$2:B103,B103,
             $C$2:C103,C103,
             $D$2:D103,D103,
             $G$2:G103,G103)&gt;1,
   "Doublon",
   "Correcte"
)</f>
        <v>Correcte</v>
      </c>
    </row>
    <row r="104" spans="1:18" x14ac:dyDescent="0.25">
      <c r="A104" s="104" t="s">
        <v>1302</v>
      </c>
      <c r="B104" s="35" t="s">
        <v>650</v>
      </c>
      <c r="C104" s="36">
        <v>113</v>
      </c>
      <c r="D104" s="36">
        <v>0</v>
      </c>
      <c r="E104" s="35"/>
      <c r="F104" s="35" t="s">
        <v>664</v>
      </c>
      <c r="G104" s="37">
        <v>45922</v>
      </c>
      <c r="H104" s="37" t="str">
        <f>INDEX(_xlfn.TEXTSPLIT(mvtst[[#This Row],[QR Suivis]],"_"),1,1)</f>
        <v>OF246543</v>
      </c>
      <c r="I104" s="35" t="str">
        <f>_xlfn.TEXTBEFORE(mvtst[[#This Row],[Num Suivis]],"-",,,1)</f>
        <v>OF246543</v>
      </c>
      <c r="J104" s="36">
        <f>SUMIF(mvtst[QR Suivis],mvtst[[#This Row],[QR Suivis]],mvtst[QTE SORTIS])-SUMIF(mvtst[QR Suivis],mvtst[[#This Row],[QR Suivis]],mvtst[QTE RETOUR])</f>
        <v>0</v>
      </c>
      <c r="K104" s="35" t="str">
        <f t="shared" si="1"/>
        <v>Usine</v>
      </c>
      <c r="L104" s="35" t="str">
        <f>_xlfn.XLOOKUP(mvtst[[#This Row],[Sous Traitant]],coordonnee_st[Identification],coordonnee_st[SERVICE],"Non Trouvé")</f>
        <v>Frange</v>
      </c>
      <c r="M104" s="35" t="str">
        <f>INDEX(_xlfn.TEXTSPLIT(mvtst[[#This Row],[QR Suivis]],"_"),1,2)</f>
        <v>CL00296</v>
      </c>
      <c r="N104" s="35" t="str">
        <f>INDEX(_xlfn.TEXTSPLIT(mvtst[[#This Row],[QR Suivis]],"_"),1,3)</f>
        <v>CM-FT0108</v>
      </c>
      <c r="O104" s="35" t="str">
        <f>INDEX(_xlfn.TEXTSPLIT(mvtst[[#This Row],[QR Suivis]],"_"),1,4)</f>
        <v>EPMA0919-B15-02</v>
      </c>
      <c r="P104" s="35" t="str">
        <f>INDEX(_xlfn.TEXTSPLIT(mvtst[[#This Row],[QR Suivis]],"_"),1,5)</f>
        <v>MARINIERE</v>
      </c>
      <c r="Q104" s="35" t="str">
        <f>_xlfn.TEXTAFTER(mvtst[[#This Row],[QR Suivis]],"_",5)</f>
        <v>0919</v>
      </c>
      <c r="R104" s="84" t="str">
        <f>IF(
   COUNTIFS($A$2:A104,A104,
             $B$2:B104,B104,
             $C$2:C104,C104,
             $D$2:D104,D104,
             $G$2:G104,G104)&gt;1,
   "Doublon",
   "Correcte"
)</f>
        <v>Correcte</v>
      </c>
    </row>
    <row r="105" spans="1:18" x14ac:dyDescent="0.25">
      <c r="A105" s="104" t="s">
        <v>1299</v>
      </c>
      <c r="B105" s="35" t="s">
        <v>646</v>
      </c>
      <c r="C105" s="36">
        <v>30</v>
      </c>
      <c r="D105" s="36">
        <v>0</v>
      </c>
      <c r="E105" s="35"/>
      <c r="F105" s="35" t="s">
        <v>664</v>
      </c>
      <c r="G105" s="37">
        <v>45922</v>
      </c>
      <c r="H105" s="37" t="str">
        <f>INDEX(_xlfn.TEXTSPLIT(mvtst[[#This Row],[QR Suivis]],"_"),1,1)</f>
        <v>OF246533</v>
      </c>
      <c r="I105" s="35" t="str">
        <f>_xlfn.TEXTBEFORE(mvtst[[#This Row],[Num Suivis]],"-",,,1)</f>
        <v>OF246533</v>
      </c>
      <c r="J105" s="36">
        <f>SUMIF(mvtst[QR Suivis],mvtst[[#This Row],[QR Suivis]],mvtst[QTE SORTIS])-SUMIF(mvtst[QR Suivis],mvtst[[#This Row],[QR Suivis]],mvtst[QTE RETOUR])</f>
        <v>0</v>
      </c>
      <c r="K105" s="35" t="str">
        <f t="shared" si="1"/>
        <v>Usine</v>
      </c>
      <c r="L105" s="35" t="str">
        <f>_xlfn.XLOOKUP(mvtst[[#This Row],[Sous Traitant]],coordonnee_st[Identification],coordonnee_st[SERVICE],"Non Trouvé")</f>
        <v>Frange</v>
      </c>
      <c r="M105" s="35" t="str">
        <f>INDEX(_xlfn.TEXTSPLIT(mvtst[[#This Row],[QR Suivis]],"_"),1,2)</f>
        <v>CL00296</v>
      </c>
      <c r="N105" s="35" t="str">
        <f>INDEX(_xlfn.TEXTSPLIT(mvtst[[#This Row],[QR Suivis]],"_"),1,3)</f>
        <v>CM-FT0108</v>
      </c>
      <c r="O105" s="35" t="str">
        <f>INDEX(_xlfn.TEXTSPLIT(mvtst[[#This Row],[QR Suivis]],"_"),1,4)</f>
        <v>EPMA0919-B15-02</v>
      </c>
      <c r="P105" s="35" t="str">
        <f>INDEX(_xlfn.TEXTSPLIT(mvtst[[#This Row],[QR Suivis]],"_"),1,5)</f>
        <v>MARINIERE</v>
      </c>
      <c r="Q105" s="35" t="str">
        <f>_xlfn.TEXTAFTER(mvtst[[#This Row],[QR Suivis]],"_",5)</f>
        <v>0919</v>
      </c>
      <c r="R105" s="84" t="str">
        <f>IF(
   COUNTIFS($A$2:A105,A105,
             $B$2:B105,B105,
             $C$2:C105,C105,
             $D$2:D105,D105,
             $G$2:G105,G105)&gt;1,
   "Doublon",
   "Correcte"
)</f>
        <v>Correcte</v>
      </c>
    </row>
    <row r="106" spans="1:18" x14ac:dyDescent="0.25">
      <c r="A106" s="104" t="s">
        <v>1393</v>
      </c>
      <c r="B106" s="35" t="s">
        <v>649</v>
      </c>
      <c r="C106" s="36">
        <v>5</v>
      </c>
      <c r="D106" s="36">
        <v>0</v>
      </c>
      <c r="E106" s="35"/>
      <c r="F106" s="35" t="s">
        <v>664</v>
      </c>
      <c r="G106" s="37">
        <v>45922</v>
      </c>
      <c r="H106" s="37" t="str">
        <f>INDEX(_xlfn.TEXTSPLIT(mvtst[[#This Row],[QR Suivis]],"_"),1,1)</f>
        <v>CA250637-1</v>
      </c>
      <c r="I106" s="35" t="str">
        <f>_xlfn.TEXTBEFORE(mvtst[[#This Row],[Num Suivis]],"-",,,1)</f>
        <v>CA250637</v>
      </c>
      <c r="J106" s="36">
        <f>SUMIF(mvtst[QR Suivis],mvtst[[#This Row],[QR Suivis]],mvtst[QTE SORTIS])-SUMIF(mvtst[QR Suivis],mvtst[[#This Row],[QR Suivis]],mvtst[QTE RETOUR])</f>
        <v>0</v>
      </c>
      <c r="K106" s="35" t="str">
        <f t="shared" si="1"/>
        <v>Usine</v>
      </c>
      <c r="L106" s="35" t="str">
        <f>_xlfn.XLOOKUP(mvtst[[#This Row],[Sous Traitant]],coordonnee_st[Identification],coordonnee_st[SERVICE],"Non Trouvé")</f>
        <v>Frange</v>
      </c>
      <c r="M106" s="35" t="str">
        <f>INDEX(_xlfn.TEXTSPLIT(mvtst[[#This Row],[QR Suivis]],"_"),1,2)</f>
        <v>All by Fouta</v>
      </c>
      <c r="N106" s="35" t="str">
        <f>INDEX(_xlfn.TEXTSPLIT(mvtst[[#This Row],[QR Suivis]],"_"),1,3)</f>
        <v>Stock</v>
      </c>
      <c r="O106" s="35" t="str">
        <f>INDEX(_xlfn.TEXTSPLIT(mvtst[[#This Row],[QR Suivis]],"_"),1,4)</f>
        <v>EPMA0919-B26-02</v>
      </c>
      <c r="P106" s="35" t="str">
        <f>INDEX(_xlfn.TEXTSPLIT(mvtst[[#This Row],[QR Suivis]],"_"),1,5)</f>
        <v>MARINIERE</v>
      </c>
      <c r="Q106" s="35" t="str">
        <f>_xlfn.TEXTAFTER(mvtst[[#This Row],[QR Suivis]],"_",5)</f>
        <v>0919</v>
      </c>
      <c r="R106" s="84" t="str">
        <f>IF(
   COUNTIFS($A$2:A106,A106,
             $B$2:B106,B106,
             $C$2:C106,C106,
             $D$2:D106,D106,
             $G$2:G106,G106)&gt;1,
   "Doublon",
   "Correcte"
)</f>
        <v>Correcte</v>
      </c>
    </row>
    <row r="107" spans="1:18" x14ac:dyDescent="0.25">
      <c r="A107" s="104" t="s">
        <v>1394</v>
      </c>
      <c r="B107" s="35" t="s">
        <v>649</v>
      </c>
      <c r="C107" s="36">
        <v>5</v>
      </c>
      <c r="D107" s="36">
        <v>0</v>
      </c>
      <c r="E107" s="35"/>
      <c r="F107" s="35" t="s">
        <v>664</v>
      </c>
      <c r="G107" s="37">
        <v>45922</v>
      </c>
      <c r="H107" s="37" t="str">
        <f>INDEX(_xlfn.TEXTSPLIT(mvtst[[#This Row],[QR Suivis]],"_"),1,1)</f>
        <v>CA250637-2</v>
      </c>
      <c r="I107" s="35" t="str">
        <f>_xlfn.TEXTBEFORE(mvtst[[#This Row],[Num Suivis]],"-",,,1)</f>
        <v>CA250637</v>
      </c>
      <c r="J107" s="36">
        <f>SUMIF(mvtst[QR Suivis],mvtst[[#This Row],[QR Suivis]],mvtst[QTE SORTIS])-SUMIF(mvtst[QR Suivis],mvtst[[#This Row],[QR Suivis]],mvtst[QTE RETOUR])</f>
        <v>0</v>
      </c>
      <c r="K107" s="35" t="str">
        <f t="shared" si="1"/>
        <v>Usine</v>
      </c>
      <c r="L107" s="35" t="str">
        <f>_xlfn.XLOOKUP(mvtst[[#This Row],[Sous Traitant]],coordonnee_st[Identification],coordonnee_st[SERVICE],"Non Trouvé")</f>
        <v>Frange</v>
      </c>
      <c r="M107" s="35" t="str">
        <f>INDEX(_xlfn.TEXTSPLIT(mvtst[[#This Row],[QR Suivis]],"_"),1,2)</f>
        <v>All by Fouta</v>
      </c>
      <c r="N107" s="35" t="str">
        <f>INDEX(_xlfn.TEXTSPLIT(mvtst[[#This Row],[QR Suivis]],"_"),1,3)</f>
        <v>Stock</v>
      </c>
      <c r="O107" s="35" t="str">
        <f>INDEX(_xlfn.TEXTSPLIT(mvtst[[#This Row],[QR Suivis]],"_"),1,4)</f>
        <v>EPMA0919-B26-02</v>
      </c>
      <c r="P107" s="35" t="str">
        <f>INDEX(_xlfn.TEXTSPLIT(mvtst[[#This Row],[QR Suivis]],"_"),1,5)</f>
        <v>MARINIERE</v>
      </c>
      <c r="Q107" s="35" t="str">
        <f>_xlfn.TEXTAFTER(mvtst[[#This Row],[QR Suivis]],"_",5)</f>
        <v>0919</v>
      </c>
      <c r="R107" s="84" t="str">
        <f>IF(
   COUNTIFS($A$2:A107,A107,
             $B$2:B107,B107,
             $C$2:C107,C107,
             $D$2:D107,D107,
             $G$2:G107,G107)&gt;1,
   "Doublon",
   "Correcte"
)</f>
        <v>Correcte</v>
      </c>
    </row>
    <row r="108" spans="1:18" x14ac:dyDescent="0.25">
      <c r="A108" s="104" t="s">
        <v>1395</v>
      </c>
      <c r="B108" s="35" t="s">
        <v>649</v>
      </c>
      <c r="C108" s="36">
        <v>5</v>
      </c>
      <c r="D108" s="36">
        <v>0</v>
      </c>
      <c r="E108" s="35"/>
      <c r="F108" s="35" t="s">
        <v>664</v>
      </c>
      <c r="G108" s="37">
        <v>45922</v>
      </c>
      <c r="H108" s="37" t="str">
        <f>INDEX(_xlfn.TEXTSPLIT(mvtst[[#This Row],[QR Suivis]],"_"),1,1)</f>
        <v>CA250637-15</v>
      </c>
      <c r="I108" s="35" t="str">
        <f>_xlfn.TEXTBEFORE(mvtst[[#This Row],[Num Suivis]],"-",,,1)</f>
        <v>CA250637</v>
      </c>
      <c r="J108" s="36">
        <f>SUMIF(mvtst[QR Suivis],mvtst[[#This Row],[QR Suivis]],mvtst[QTE SORTIS])-SUMIF(mvtst[QR Suivis],mvtst[[#This Row],[QR Suivis]],mvtst[QTE RETOUR])</f>
        <v>0</v>
      </c>
      <c r="K108" s="35" t="str">
        <f t="shared" si="1"/>
        <v>Usine</v>
      </c>
      <c r="L108" s="35" t="str">
        <f>_xlfn.XLOOKUP(mvtst[[#This Row],[Sous Traitant]],coordonnee_st[Identification],coordonnee_st[SERVICE],"Non Trouvé")</f>
        <v>Frange</v>
      </c>
      <c r="M108" s="35" t="str">
        <f>INDEX(_xlfn.TEXTSPLIT(mvtst[[#This Row],[QR Suivis]],"_"),1,2)</f>
        <v>All by Fouta</v>
      </c>
      <c r="N108" s="35" t="str">
        <f>INDEX(_xlfn.TEXTSPLIT(mvtst[[#This Row],[QR Suivis]],"_"),1,3)</f>
        <v>Stock</v>
      </c>
      <c r="O108" s="35" t="str">
        <f>INDEX(_xlfn.TEXTSPLIT(mvtst[[#This Row],[QR Suivis]],"_"),1,4)</f>
        <v>EPMA0919-B26-02</v>
      </c>
      <c r="P108" s="35" t="str">
        <f>INDEX(_xlfn.TEXTSPLIT(mvtst[[#This Row],[QR Suivis]],"_"),1,5)</f>
        <v>MARINIERE</v>
      </c>
      <c r="Q108" s="35" t="str">
        <f>_xlfn.TEXTAFTER(mvtst[[#This Row],[QR Suivis]],"_",5)</f>
        <v>0919</v>
      </c>
      <c r="R108" s="84" t="str">
        <f>IF(
   COUNTIFS($A$2:A108,A108,
             $B$2:B108,B108,
             $C$2:C108,C108,
             $D$2:D108,D108,
             $G$2:G108,G108)&gt;1,
   "Doublon",
   "Correcte"
)</f>
        <v>Correcte</v>
      </c>
    </row>
    <row r="109" spans="1:18" x14ac:dyDescent="0.25">
      <c r="A109" s="104" t="s">
        <v>1299</v>
      </c>
      <c r="B109" s="35" t="s">
        <v>649</v>
      </c>
      <c r="C109" s="36">
        <v>10</v>
      </c>
      <c r="D109" s="36">
        <v>0</v>
      </c>
      <c r="E109" s="35"/>
      <c r="F109" s="35" t="s">
        <v>664</v>
      </c>
      <c r="G109" s="37">
        <v>45922</v>
      </c>
      <c r="H109" s="37" t="str">
        <f>INDEX(_xlfn.TEXTSPLIT(mvtst[[#This Row],[QR Suivis]],"_"),1,1)</f>
        <v>OF246533</v>
      </c>
      <c r="I109" s="35" t="str">
        <f>_xlfn.TEXTBEFORE(mvtst[[#This Row],[Num Suivis]],"-",,,1)</f>
        <v>OF246533</v>
      </c>
      <c r="J109" s="36">
        <f>SUMIF(mvtst[QR Suivis],mvtst[[#This Row],[QR Suivis]],mvtst[QTE SORTIS])-SUMIF(mvtst[QR Suivis],mvtst[[#This Row],[QR Suivis]],mvtst[QTE RETOUR])</f>
        <v>0</v>
      </c>
      <c r="K109" s="35" t="str">
        <f t="shared" si="1"/>
        <v>Usine</v>
      </c>
      <c r="L109" s="35" t="str">
        <f>_xlfn.XLOOKUP(mvtst[[#This Row],[Sous Traitant]],coordonnee_st[Identification],coordonnee_st[SERVICE],"Non Trouvé")</f>
        <v>Frange</v>
      </c>
      <c r="M109" s="35" t="str">
        <f>INDEX(_xlfn.TEXTSPLIT(mvtst[[#This Row],[QR Suivis]],"_"),1,2)</f>
        <v>CL00296</v>
      </c>
      <c r="N109" s="35" t="str">
        <f>INDEX(_xlfn.TEXTSPLIT(mvtst[[#This Row],[QR Suivis]],"_"),1,3)</f>
        <v>CM-FT0108</v>
      </c>
      <c r="O109" s="35" t="str">
        <f>INDEX(_xlfn.TEXTSPLIT(mvtst[[#This Row],[QR Suivis]],"_"),1,4)</f>
        <v>EPMA0919-B15-02</v>
      </c>
      <c r="P109" s="35" t="str">
        <f>INDEX(_xlfn.TEXTSPLIT(mvtst[[#This Row],[QR Suivis]],"_"),1,5)</f>
        <v>MARINIERE</v>
      </c>
      <c r="Q109" s="35" t="str">
        <f>_xlfn.TEXTAFTER(mvtst[[#This Row],[QR Suivis]],"_",5)</f>
        <v>0919</v>
      </c>
      <c r="R109" s="84" t="str">
        <f>IF(
   COUNTIFS($A$2:A109,A109,
             $B$2:B109,B109,
             $C$2:C109,C109,
             $D$2:D109,D109,
             $G$2:G109,G109)&gt;1,
   "Doublon",
   "Correcte"
)</f>
        <v>Correcte</v>
      </c>
    </row>
    <row r="110" spans="1:18" x14ac:dyDescent="0.25">
      <c r="A110" s="104" t="s">
        <v>1311</v>
      </c>
      <c r="B110" s="35" t="s">
        <v>712</v>
      </c>
      <c r="C110" s="36">
        <v>16</v>
      </c>
      <c r="D110" s="36">
        <v>0</v>
      </c>
      <c r="E110" s="35"/>
      <c r="F110" s="35" t="s">
        <v>664</v>
      </c>
      <c r="G110" s="37">
        <v>45922</v>
      </c>
      <c r="H110" s="37" t="str">
        <f>INDEX(_xlfn.TEXTSPLIT(mvtst[[#This Row],[QR Suivis]],"_"),1,1)</f>
        <v>OF250128</v>
      </c>
      <c r="I110" s="35" t="str">
        <f>_xlfn.TEXTBEFORE(mvtst[[#This Row],[Num Suivis]],"-",,,1)</f>
        <v>OF250128</v>
      </c>
      <c r="J110" s="36">
        <f>SUMIF(mvtst[QR Suivis],mvtst[[#This Row],[QR Suivis]],mvtst[QTE SORTIS])-SUMIF(mvtst[QR Suivis],mvtst[[#This Row],[QR Suivis]],mvtst[QTE RETOUR])</f>
        <v>0</v>
      </c>
      <c r="K110" s="35" t="str">
        <f t="shared" si="1"/>
        <v>Usine</v>
      </c>
      <c r="L110" s="35" t="str">
        <f>_xlfn.XLOOKUP(mvtst[[#This Row],[Sous Traitant]],coordonnee_st[Identification],coordonnee_st[SERVICE],"Non Trouvé")</f>
        <v>Frange</v>
      </c>
      <c r="M110" s="35" t="str">
        <f>INDEX(_xlfn.TEXTSPLIT(mvtst[[#This Row],[QR Suivis]],"_"),1,2)</f>
        <v>CL00296</v>
      </c>
      <c r="N110" s="35" t="str">
        <f>INDEX(_xlfn.TEXTSPLIT(mvtst[[#This Row],[QR Suivis]],"_"),1,3)</f>
        <v>CM-FT0129</v>
      </c>
      <c r="O110" s="35" t="str">
        <f>INDEX(_xlfn.TEXTSPLIT(mvtst[[#This Row],[QR Suivis]],"_"),1,4)</f>
        <v>NDL1020-B09-14</v>
      </c>
      <c r="P110" s="35" t="str">
        <f>INDEX(_xlfn.TEXTSPLIT(mvtst[[#This Row],[QR Suivis]],"_"),1,5)</f>
        <v>ND LILI</v>
      </c>
      <c r="Q110" s="35" t="str">
        <f>_xlfn.TEXTAFTER(mvtst[[#This Row],[QR Suivis]],"_",5)</f>
        <v>1020</v>
      </c>
      <c r="R110" s="84" t="str">
        <f>IF(
   COUNTIFS($A$2:A110,A110,
             $B$2:B110,B110,
             $C$2:C110,C110,
             $D$2:D110,D110,
             $G$2:G110,G110)&gt;1,
   "Doublon",
   "Correcte"
)</f>
        <v>Correcte</v>
      </c>
    </row>
    <row r="111" spans="1:18" x14ac:dyDescent="0.25">
      <c r="A111" s="104" t="s">
        <v>1303</v>
      </c>
      <c r="B111" s="35" t="s">
        <v>712</v>
      </c>
      <c r="C111" s="36">
        <v>0</v>
      </c>
      <c r="D111" s="36">
        <v>14</v>
      </c>
      <c r="E111" s="35"/>
      <c r="F111" s="35" t="s">
        <v>664</v>
      </c>
      <c r="G111" s="37">
        <v>45922</v>
      </c>
      <c r="H111" s="37" t="str">
        <f>INDEX(_xlfn.TEXTSPLIT(mvtst[[#This Row],[QR Suivis]],"_"),1,1)</f>
        <v>CA250070</v>
      </c>
      <c r="I111" s="35" t="str">
        <f>_xlfn.TEXTBEFORE(mvtst[[#This Row],[Num Suivis]],"-",,,1)</f>
        <v>CA250070</v>
      </c>
      <c r="J111" s="36">
        <f>SUMIF(mvtst[QR Suivis],mvtst[[#This Row],[QR Suivis]],mvtst[QTE SORTIS])-SUMIF(mvtst[QR Suivis],mvtst[[#This Row],[QR Suivis]],mvtst[QTE RETOUR])</f>
        <v>0</v>
      </c>
      <c r="K111" s="35" t="str">
        <f t="shared" si="1"/>
        <v>Usine</v>
      </c>
      <c r="L111" s="35" t="str">
        <f>_xlfn.XLOOKUP(mvtst[[#This Row],[Sous Traitant]],coordonnee_st[Identification],coordonnee_st[SERVICE],"Non Trouvé")</f>
        <v>Frange</v>
      </c>
      <c r="M111" s="35" t="str">
        <f>INDEX(_xlfn.TEXTSPLIT(mvtst[[#This Row],[QR Suivis]],"_"),1,2)</f>
        <v>All by Fouta</v>
      </c>
      <c r="N111" s="35" t="str">
        <f>INDEX(_xlfn.TEXTSPLIT(mvtst[[#This Row],[QR Suivis]],"_"),1,3)</f>
        <v>Stock</v>
      </c>
      <c r="O111" s="35" t="str">
        <f>INDEX(_xlfn.TEXTSPLIT(mvtst[[#This Row],[QR Suivis]],"_"),1,4)</f>
        <v>UNS2030-18</v>
      </c>
      <c r="P111" s="35" t="str">
        <f>INDEX(_xlfn.TEXTSPLIT(mvtst[[#This Row],[QR Suivis]],"_"),1,5)</f>
        <v>UNI SURPIQUE</v>
      </c>
      <c r="Q111" s="35" t="str">
        <f>_xlfn.TEXTAFTER(mvtst[[#This Row],[QR Suivis]],"_",5)</f>
        <v>2030</v>
      </c>
      <c r="R111" s="84" t="str">
        <f>IF(
   COUNTIFS($A$2:A111,A111,
             $B$2:B111,B111,
             $C$2:C111,C111,
             $D$2:D111,D111,
             $G$2:G111,G111)&gt;1,
   "Doublon",
   "Correcte"
)</f>
        <v>Correcte</v>
      </c>
    </row>
    <row r="112" spans="1:18" x14ac:dyDescent="0.25">
      <c r="A112" s="104" t="s">
        <v>1306</v>
      </c>
      <c r="B112" s="35" t="s">
        <v>712</v>
      </c>
      <c r="C112" s="36">
        <v>0</v>
      </c>
      <c r="D112" s="36">
        <v>10</v>
      </c>
      <c r="E112" s="35"/>
      <c r="F112" s="35" t="s">
        <v>664</v>
      </c>
      <c r="G112" s="37">
        <v>45922</v>
      </c>
      <c r="H112" s="37" t="str">
        <f>INDEX(_xlfn.TEXTSPLIT(mvtst[[#This Row],[QR Suivis]],"_"),1,1)</f>
        <v>CA250068</v>
      </c>
      <c r="I112" s="35" t="str">
        <f>_xlfn.TEXTBEFORE(mvtst[[#This Row],[Num Suivis]],"-",,,1)</f>
        <v>CA250068</v>
      </c>
      <c r="J112" s="36">
        <f>SUMIF(mvtst[QR Suivis],mvtst[[#This Row],[QR Suivis]],mvtst[QTE SORTIS])-SUMIF(mvtst[QR Suivis],mvtst[[#This Row],[QR Suivis]],mvtst[QTE RETOUR])</f>
        <v>0</v>
      </c>
      <c r="K112" s="35" t="str">
        <f t="shared" si="1"/>
        <v>Usine</v>
      </c>
      <c r="L112" s="35" t="str">
        <f>_xlfn.XLOOKUP(mvtst[[#This Row],[Sous Traitant]],coordonnee_st[Identification],coordonnee_st[SERVICE],"Non Trouvé")</f>
        <v>Frange</v>
      </c>
      <c r="M112" s="35" t="str">
        <f>INDEX(_xlfn.TEXTSPLIT(mvtst[[#This Row],[QR Suivis]],"_"),1,2)</f>
        <v>All by Fouta</v>
      </c>
      <c r="N112" s="35" t="str">
        <f>INDEX(_xlfn.TEXTSPLIT(mvtst[[#This Row],[QR Suivis]],"_"),1,3)</f>
        <v>Stock</v>
      </c>
      <c r="O112" s="35" t="str">
        <f>INDEX(_xlfn.TEXTSPLIT(mvtst[[#This Row],[QR Suivis]],"_"),1,4)</f>
        <v>UNS2030-15</v>
      </c>
      <c r="P112" s="35" t="str">
        <f>INDEX(_xlfn.TEXTSPLIT(mvtst[[#This Row],[QR Suivis]],"_"),1,5)</f>
        <v>UNI SURPIQUE</v>
      </c>
      <c r="Q112" s="35" t="str">
        <f>_xlfn.TEXTAFTER(mvtst[[#This Row],[QR Suivis]],"_",5)</f>
        <v>2030</v>
      </c>
      <c r="R112" s="84" t="str">
        <f>IF(
   COUNTIFS($A$2:A112,A112,
             $B$2:B112,B112,
             $C$2:C112,C112,
             $D$2:D112,D112,
             $G$2:G112,G112)&gt;1,
   "Doublon",
   "Correcte"
)</f>
        <v>Correcte</v>
      </c>
    </row>
    <row r="113" spans="1:18" x14ac:dyDescent="0.25">
      <c r="A113" s="104" t="s">
        <v>1382</v>
      </c>
      <c r="B113" s="35" t="s">
        <v>712</v>
      </c>
      <c r="C113" s="36">
        <v>0</v>
      </c>
      <c r="D113" s="36">
        <v>19</v>
      </c>
      <c r="E113" s="35"/>
      <c r="F113" s="35" t="s">
        <v>664</v>
      </c>
      <c r="G113" s="37">
        <v>45922</v>
      </c>
      <c r="H113" s="37" t="str">
        <f>INDEX(_xlfn.TEXTSPLIT(mvtst[[#This Row],[QR Suivis]],"_"),1,1)</f>
        <v>CA250061</v>
      </c>
      <c r="I113" s="35" t="str">
        <f>_xlfn.TEXTBEFORE(mvtst[[#This Row],[Num Suivis]],"-",,,1)</f>
        <v>CA250061</v>
      </c>
      <c r="J113" s="36">
        <f>SUMIF(mvtst[QR Suivis],mvtst[[#This Row],[QR Suivis]],mvtst[QTE SORTIS])-SUMIF(mvtst[QR Suivis],mvtst[[#This Row],[QR Suivis]],mvtst[QTE RETOUR])</f>
        <v>0</v>
      </c>
      <c r="K113" s="35" t="str">
        <f t="shared" si="1"/>
        <v>Usine</v>
      </c>
      <c r="L113" s="35" t="str">
        <f>_xlfn.XLOOKUP(mvtst[[#This Row],[Sous Traitant]],coordonnee_st[Identification],coordonnee_st[SERVICE],"Non Trouvé")</f>
        <v>Frange</v>
      </c>
      <c r="M113" s="35" t="str">
        <f>INDEX(_xlfn.TEXTSPLIT(mvtst[[#This Row],[QR Suivis]],"_"),1,2)</f>
        <v>All by Fouta</v>
      </c>
      <c r="N113" s="35" t="str">
        <f>INDEX(_xlfn.TEXTSPLIT(mvtst[[#This Row],[QR Suivis]],"_"),1,3)</f>
        <v>Stock</v>
      </c>
      <c r="O113" s="35" t="str">
        <f>INDEX(_xlfn.TEXTSPLIT(mvtst[[#This Row],[QR Suivis]],"_"),1,4)</f>
        <v>UNS2030-03</v>
      </c>
      <c r="P113" s="35" t="str">
        <f>INDEX(_xlfn.TEXTSPLIT(mvtst[[#This Row],[QR Suivis]],"_"),1,5)</f>
        <v>UNI SURPIQUE</v>
      </c>
      <c r="Q113" s="35" t="str">
        <f>_xlfn.TEXTAFTER(mvtst[[#This Row],[QR Suivis]],"_",5)</f>
        <v>2030</v>
      </c>
      <c r="R113" s="84" t="str">
        <f>IF(
   COUNTIFS($A$2:A113,A113,
             $B$2:B113,B113,
             $C$2:C113,C113,
             $D$2:D113,D113,
             $G$2:G113,G113)&gt;1,
   "Doublon",
   "Correcte"
)</f>
        <v>Correcte</v>
      </c>
    </row>
    <row r="114" spans="1:18" x14ac:dyDescent="0.25">
      <c r="A114" s="104" t="s">
        <v>1381</v>
      </c>
      <c r="B114" s="35" t="s">
        <v>712</v>
      </c>
      <c r="C114" s="36">
        <v>0</v>
      </c>
      <c r="D114" s="36">
        <v>22</v>
      </c>
      <c r="E114" s="35"/>
      <c r="F114" s="35" t="s">
        <v>664</v>
      </c>
      <c r="G114" s="37">
        <v>45922</v>
      </c>
      <c r="H114" s="37" t="str">
        <f>INDEX(_xlfn.TEXTSPLIT(mvtst[[#This Row],[QR Suivis]],"_"),1,1)</f>
        <v>CA250065</v>
      </c>
      <c r="I114" s="35" t="str">
        <f>_xlfn.TEXTBEFORE(mvtst[[#This Row],[Num Suivis]],"-",,,1)</f>
        <v>CA250065</v>
      </c>
      <c r="J114" s="36">
        <f>SUMIF(mvtst[QR Suivis],mvtst[[#This Row],[QR Suivis]],mvtst[QTE SORTIS])-SUMIF(mvtst[QR Suivis],mvtst[[#This Row],[QR Suivis]],mvtst[QTE RETOUR])</f>
        <v>0</v>
      </c>
      <c r="K114" s="35" t="str">
        <f t="shared" si="1"/>
        <v>Usine</v>
      </c>
      <c r="L114" s="35" t="str">
        <f>_xlfn.XLOOKUP(mvtst[[#This Row],[Sous Traitant]],coordonnee_st[Identification],coordonnee_st[SERVICE],"Non Trouvé")</f>
        <v>Frange</v>
      </c>
      <c r="M114" s="35" t="str">
        <f>INDEX(_xlfn.TEXTSPLIT(mvtst[[#This Row],[QR Suivis]],"_"),1,2)</f>
        <v>All by Fouta</v>
      </c>
      <c r="N114" s="35" t="str">
        <f>INDEX(_xlfn.TEXTSPLIT(mvtst[[#This Row],[QR Suivis]],"_"),1,3)</f>
        <v>Stock</v>
      </c>
      <c r="O114" s="35" t="str">
        <f>INDEX(_xlfn.TEXTSPLIT(mvtst[[#This Row],[QR Suivis]],"_"),1,4)</f>
        <v>UNS2030-10</v>
      </c>
      <c r="P114" s="35" t="str">
        <f>INDEX(_xlfn.TEXTSPLIT(mvtst[[#This Row],[QR Suivis]],"_"),1,5)</f>
        <v>UNI SURPIQUE</v>
      </c>
      <c r="Q114" s="35" t="str">
        <f>_xlfn.TEXTAFTER(mvtst[[#This Row],[QR Suivis]],"_",5)</f>
        <v>2030</v>
      </c>
      <c r="R114" s="84" t="str">
        <f>IF(
   COUNTIFS($A$2:A114,A114,
             $B$2:B114,B114,
             $C$2:C114,C114,
             $D$2:D114,D114,
             $G$2:G114,G114)&gt;1,
   "Doublon",
   "Correcte"
)</f>
        <v>Correcte</v>
      </c>
    </row>
    <row r="115" spans="1:18" x14ac:dyDescent="0.25">
      <c r="A115" s="104" t="s">
        <v>1313</v>
      </c>
      <c r="B115" s="35" t="s">
        <v>712</v>
      </c>
      <c r="C115" s="36">
        <v>0</v>
      </c>
      <c r="D115" s="36">
        <v>23</v>
      </c>
      <c r="E115" s="35"/>
      <c r="F115" s="35" t="s">
        <v>664</v>
      </c>
      <c r="G115" s="37">
        <v>45922</v>
      </c>
      <c r="H115" s="37" t="str">
        <f>INDEX(_xlfn.TEXTSPLIT(mvtst[[#This Row],[QR Suivis]],"_"),1,1)</f>
        <v>CA250077</v>
      </c>
      <c r="I115" s="35" t="str">
        <f>_xlfn.TEXTBEFORE(mvtst[[#This Row],[Num Suivis]],"-",,,1)</f>
        <v>CA250077</v>
      </c>
      <c r="J115" s="36">
        <f>SUMIF(mvtst[QR Suivis],mvtst[[#This Row],[QR Suivis]],mvtst[QTE SORTIS])-SUMIF(mvtst[QR Suivis],mvtst[[#This Row],[QR Suivis]],mvtst[QTE RETOUR])</f>
        <v>0</v>
      </c>
      <c r="K115" s="35" t="str">
        <f t="shared" si="1"/>
        <v>Usine</v>
      </c>
      <c r="L115" s="35" t="str">
        <f>_xlfn.XLOOKUP(mvtst[[#This Row],[Sous Traitant]],coordonnee_st[Identification],coordonnee_st[SERVICE],"Non Trouvé")</f>
        <v>Frange</v>
      </c>
      <c r="M115" s="35" t="str">
        <f>INDEX(_xlfn.TEXTSPLIT(mvtst[[#This Row],[QR Suivis]],"_"),1,2)</f>
        <v>All by Fouta</v>
      </c>
      <c r="N115" s="35" t="str">
        <f>INDEX(_xlfn.TEXTSPLIT(mvtst[[#This Row],[QR Suivis]],"_"),1,3)</f>
        <v>Stock</v>
      </c>
      <c r="O115" s="35" t="str">
        <f>INDEX(_xlfn.TEXTSPLIT(mvtst[[#This Row],[QR Suivis]],"_"),1,4)</f>
        <v>UNS2030-30</v>
      </c>
      <c r="P115" s="35" t="str">
        <f>INDEX(_xlfn.TEXTSPLIT(mvtst[[#This Row],[QR Suivis]],"_"),1,5)</f>
        <v>UNI SURPIQUE</v>
      </c>
      <c r="Q115" s="35" t="str">
        <f>_xlfn.TEXTAFTER(mvtst[[#This Row],[QR Suivis]],"_",5)</f>
        <v>2030</v>
      </c>
      <c r="R115" s="84" t="str">
        <f>IF(
   COUNTIFS($A$2:A115,A115,
             $B$2:B115,B115,
             $C$2:C115,C115,
             $D$2:D115,D115,
             $G$2:G115,G115)&gt;1,
   "Doublon",
   "Correcte"
)</f>
        <v>Correcte</v>
      </c>
    </row>
    <row r="116" spans="1:18" x14ac:dyDescent="0.25">
      <c r="A116" s="104" t="s">
        <v>1378</v>
      </c>
      <c r="B116" s="35" t="s">
        <v>712</v>
      </c>
      <c r="C116" s="36">
        <v>0</v>
      </c>
      <c r="D116" s="36">
        <v>5</v>
      </c>
      <c r="E116" s="35"/>
      <c r="F116" s="35" t="s">
        <v>664</v>
      </c>
      <c r="G116" s="37">
        <v>45922</v>
      </c>
      <c r="H116" s="37" t="str">
        <f>INDEX(_xlfn.TEXTSPLIT(mvtst[[#This Row],[QR Suivis]],"_"),1,1)</f>
        <v>CA250064-2</v>
      </c>
      <c r="I116" s="35" t="str">
        <f>_xlfn.TEXTBEFORE(mvtst[[#This Row],[Num Suivis]],"-",,,1)</f>
        <v>CA250064</v>
      </c>
      <c r="J116" s="36">
        <f>SUMIF(mvtst[QR Suivis],mvtst[[#This Row],[QR Suivis]],mvtst[QTE SORTIS])-SUMIF(mvtst[QR Suivis],mvtst[[#This Row],[QR Suivis]],mvtst[QTE RETOUR])</f>
        <v>0</v>
      </c>
      <c r="K116" s="35" t="str">
        <f t="shared" si="1"/>
        <v>Usine</v>
      </c>
      <c r="L116" s="35" t="str">
        <f>_xlfn.XLOOKUP(mvtst[[#This Row],[Sous Traitant]],coordonnee_st[Identification],coordonnee_st[SERVICE],"Non Trouvé")</f>
        <v>Frange</v>
      </c>
      <c r="M116" s="35" t="str">
        <f>INDEX(_xlfn.TEXTSPLIT(mvtst[[#This Row],[QR Suivis]],"_"),1,2)</f>
        <v>All by Fouta</v>
      </c>
      <c r="N116" s="35" t="str">
        <f>INDEX(_xlfn.TEXTSPLIT(mvtst[[#This Row],[QR Suivis]],"_"),1,3)</f>
        <v>Stock</v>
      </c>
      <c r="O116" s="35" t="str">
        <f>INDEX(_xlfn.TEXTSPLIT(mvtst[[#This Row],[QR Suivis]],"_"),1,4)</f>
        <v>UNS2030-09</v>
      </c>
      <c r="P116" s="35" t="str">
        <f>INDEX(_xlfn.TEXTSPLIT(mvtst[[#This Row],[QR Suivis]],"_"),1,5)</f>
        <v>UNI SURPIQUE</v>
      </c>
      <c r="Q116" s="35" t="str">
        <f>_xlfn.TEXTAFTER(mvtst[[#This Row],[QR Suivis]],"_",5)</f>
        <v>2030</v>
      </c>
      <c r="R116" s="84" t="str">
        <f>IF(
   COUNTIFS($A$2:A116,A116,
             $B$2:B116,B116,
             $C$2:C116,C116,
             $D$2:D116,D116,
             $G$2:G116,G116)&gt;1,
   "Doublon",
   "Correcte"
)</f>
        <v>Correcte</v>
      </c>
    </row>
    <row r="117" spans="1:18" x14ac:dyDescent="0.25">
      <c r="A117" s="104" t="s">
        <v>1379</v>
      </c>
      <c r="B117" s="35" t="s">
        <v>712</v>
      </c>
      <c r="C117" s="36">
        <v>0</v>
      </c>
      <c r="D117" s="36">
        <v>5</v>
      </c>
      <c r="E117" s="35"/>
      <c r="F117" s="35" t="s">
        <v>664</v>
      </c>
      <c r="G117" s="37">
        <v>45922</v>
      </c>
      <c r="H117" s="37" t="str">
        <f>INDEX(_xlfn.TEXTSPLIT(mvtst[[#This Row],[QR Suivis]],"_"),1,1)</f>
        <v>CA250064-3</v>
      </c>
      <c r="I117" s="35" t="str">
        <f>_xlfn.TEXTBEFORE(mvtst[[#This Row],[Num Suivis]],"-",,,1)</f>
        <v>CA250064</v>
      </c>
      <c r="J117" s="36">
        <f>SUMIF(mvtst[QR Suivis],mvtst[[#This Row],[QR Suivis]],mvtst[QTE SORTIS])-SUMIF(mvtst[QR Suivis],mvtst[[#This Row],[QR Suivis]],mvtst[QTE RETOUR])</f>
        <v>0</v>
      </c>
      <c r="K117" s="35" t="str">
        <f t="shared" si="1"/>
        <v>Usine</v>
      </c>
      <c r="L117" s="35" t="str">
        <f>_xlfn.XLOOKUP(mvtst[[#This Row],[Sous Traitant]],coordonnee_st[Identification],coordonnee_st[SERVICE],"Non Trouvé")</f>
        <v>Frange</v>
      </c>
      <c r="M117" s="35" t="str">
        <f>INDEX(_xlfn.TEXTSPLIT(mvtst[[#This Row],[QR Suivis]],"_"),1,2)</f>
        <v>All by Fouta</v>
      </c>
      <c r="N117" s="35" t="str">
        <f>INDEX(_xlfn.TEXTSPLIT(mvtst[[#This Row],[QR Suivis]],"_"),1,3)</f>
        <v>Stock</v>
      </c>
      <c r="O117" s="35" t="str">
        <f>INDEX(_xlfn.TEXTSPLIT(mvtst[[#This Row],[QR Suivis]],"_"),1,4)</f>
        <v>UNS2030-09</v>
      </c>
      <c r="P117" s="35" t="str">
        <f>INDEX(_xlfn.TEXTSPLIT(mvtst[[#This Row],[QR Suivis]],"_"),1,5)</f>
        <v>UNI SURPIQUE</v>
      </c>
      <c r="Q117" s="35" t="str">
        <f>_xlfn.TEXTAFTER(mvtst[[#This Row],[QR Suivis]],"_",5)</f>
        <v>2030</v>
      </c>
      <c r="R117" s="84" t="str">
        <f>IF(
   COUNTIFS($A$2:A117,A117,
             $B$2:B117,B117,
             $C$2:C117,C117,
             $D$2:D117,D117,
             $G$2:G117,G117)&gt;1,
   "Doublon",
   "Correcte"
)</f>
        <v>Correcte</v>
      </c>
    </row>
    <row r="118" spans="1:18" x14ac:dyDescent="0.25">
      <c r="A118" s="104" t="s">
        <v>1386</v>
      </c>
      <c r="B118" s="35" t="s">
        <v>712</v>
      </c>
      <c r="C118" s="36">
        <v>0</v>
      </c>
      <c r="D118" s="36">
        <v>5</v>
      </c>
      <c r="E118" s="35"/>
      <c r="F118" s="35" t="s">
        <v>664</v>
      </c>
      <c r="G118" s="37">
        <v>45922</v>
      </c>
      <c r="H118" s="37" t="str">
        <f>INDEX(_xlfn.TEXTSPLIT(mvtst[[#This Row],[QR Suivis]],"_"),1,1)</f>
        <v>CA250076-2</v>
      </c>
      <c r="I118" s="35" t="str">
        <f>_xlfn.TEXTBEFORE(mvtst[[#This Row],[Num Suivis]],"-",,,1)</f>
        <v>CA250076</v>
      </c>
      <c r="J118" s="36">
        <f>SUMIF(mvtst[QR Suivis],mvtst[[#This Row],[QR Suivis]],mvtst[QTE SORTIS])-SUMIF(mvtst[QR Suivis],mvtst[[#This Row],[QR Suivis]],mvtst[QTE RETOUR])</f>
        <v>0</v>
      </c>
      <c r="K118" s="35" t="str">
        <f t="shared" si="1"/>
        <v>Usine</v>
      </c>
      <c r="L118" s="35" t="str">
        <f>_xlfn.XLOOKUP(mvtst[[#This Row],[Sous Traitant]],coordonnee_st[Identification],coordonnee_st[SERVICE],"Non Trouvé")</f>
        <v>Frange</v>
      </c>
      <c r="M118" s="35" t="str">
        <f>INDEX(_xlfn.TEXTSPLIT(mvtst[[#This Row],[QR Suivis]],"_"),1,2)</f>
        <v>All by Fouta</v>
      </c>
      <c r="N118" s="35" t="str">
        <f>INDEX(_xlfn.TEXTSPLIT(mvtst[[#This Row],[QR Suivis]],"_"),1,3)</f>
        <v>Stock</v>
      </c>
      <c r="O118" s="35" t="str">
        <f>INDEX(_xlfn.TEXTSPLIT(mvtst[[#This Row],[QR Suivis]],"_"),1,4)</f>
        <v>UNS2030-27</v>
      </c>
      <c r="P118" s="35" t="str">
        <f>INDEX(_xlfn.TEXTSPLIT(mvtst[[#This Row],[QR Suivis]],"_"),1,5)</f>
        <v>UNI SURPIQUE</v>
      </c>
      <c r="Q118" s="35" t="str">
        <f>_xlfn.TEXTAFTER(mvtst[[#This Row],[QR Suivis]],"_",5)</f>
        <v>2030</v>
      </c>
      <c r="R118" s="84" t="str">
        <f>IF(
   COUNTIFS($A$2:A118,A118,
             $B$2:B118,B118,
             $C$2:C118,C118,
             $D$2:D118,D118,
             $G$2:G118,G118)&gt;1,
   "Doublon",
   "Correcte"
)</f>
        <v>Correcte</v>
      </c>
    </row>
    <row r="119" spans="1:18" x14ac:dyDescent="0.25">
      <c r="A119" s="104" t="s">
        <v>1322</v>
      </c>
      <c r="B119" s="35" t="s">
        <v>712</v>
      </c>
      <c r="C119" s="36">
        <v>0</v>
      </c>
      <c r="D119" s="36">
        <v>15</v>
      </c>
      <c r="E119" s="35"/>
      <c r="F119" s="35" t="s">
        <v>664</v>
      </c>
      <c r="G119" s="37">
        <v>45922</v>
      </c>
      <c r="H119" s="37" t="str">
        <f>INDEX(_xlfn.TEXTSPLIT(mvtst[[#This Row],[QR Suivis]],"_"),1,1)</f>
        <v>CA250066</v>
      </c>
      <c r="I119" s="35" t="str">
        <f>_xlfn.TEXTBEFORE(mvtst[[#This Row],[Num Suivis]],"-",,,1)</f>
        <v>CA250066</v>
      </c>
      <c r="J119" s="36">
        <f>SUMIF(mvtst[QR Suivis],mvtst[[#This Row],[QR Suivis]],mvtst[QTE SORTIS])-SUMIF(mvtst[QR Suivis],mvtst[[#This Row],[QR Suivis]],mvtst[QTE RETOUR])</f>
        <v>0</v>
      </c>
      <c r="K119" s="35" t="str">
        <f t="shared" si="1"/>
        <v>Usine</v>
      </c>
      <c r="L119" s="35" t="str">
        <f>_xlfn.XLOOKUP(mvtst[[#This Row],[Sous Traitant]],coordonnee_st[Identification],coordonnee_st[SERVICE],"Non Trouvé")</f>
        <v>Frange</v>
      </c>
      <c r="M119" s="35" t="str">
        <f>INDEX(_xlfn.TEXTSPLIT(mvtst[[#This Row],[QR Suivis]],"_"),1,2)</f>
        <v>All by Fouta</v>
      </c>
      <c r="N119" s="35" t="str">
        <f>INDEX(_xlfn.TEXTSPLIT(mvtst[[#This Row],[QR Suivis]],"_"),1,3)</f>
        <v>Stock</v>
      </c>
      <c r="O119" s="35" t="str">
        <f>INDEX(_xlfn.TEXTSPLIT(mvtst[[#This Row],[QR Suivis]],"_"),1,4)</f>
        <v>UNS2030-12</v>
      </c>
      <c r="P119" s="35" t="str">
        <f>INDEX(_xlfn.TEXTSPLIT(mvtst[[#This Row],[QR Suivis]],"_"),1,5)</f>
        <v>UNI SURPIQUE</v>
      </c>
      <c r="Q119" s="35" t="str">
        <f>_xlfn.TEXTAFTER(mvtst[[#This Row],[QR Suivis]],"_",5)</f>
        <v>2030</v>
      </c>
      <c r="R119" s="84" t="str">
        <f>IF(
   COUNTIFS($A$2:A119,A119,
             $B$2:B119,B119,
             $C$2:C119,C119,
             $D$2:D119,D119,
             $G$2:G119,G119)&gt;1,
   "Doublon",
   "Correcte"
)</f>
        <v>Correcte</v>
      </c>
    </row>
    <row r="120" spans="1:18" x14ac:dyDescent="0.25">
      <c r="A120" s="104" t="s">
        <v>1389</v>
      </c>
      <c r="B120" s="35" t="s">
        <v>712</v>
      </c>
      <c r="C120" s="36">
        <v>0</v>
      </c>
      <c r="D120" s="36">
        <v>11</v>
      </c>
      <c r="E120" s="35"/>
      <c r="F120" s="35" t="s">
        <v>664</v>
      </c>
      <c r="G120" s="37">
        <v>45922</v>
      </c>
      <c r="H120" s="37" t="str">
        <f>INDEX(_xlfn.TEXTSPLIT(mvtst[[#This Row],[QR Suivis]],"_"),1,1)</f>
        <v>OF242496</v>
      </c>
      <c r="I120" s="35" t="str">
        <f>_xlfn.TEXTBEFORE(mvtst[[#This Row],[Num Suivis]],"-",,,1)</f>
        <v>OF242496</v>
      </c>
      <c r="J120" s="36">
        <f>SUMIF(mvtst[QR Suivis],mvtst[[#This Row],[QR Suivis]],mvtst[QTE SORTIS])-SUMIF(mvtst[QR Suivis],mvtst[[#This Row],[QR Suivis]],mvtst[QTE RETOUR])</f>
        <v>0</v>
      </c>
      <c r="K120" s="35" t="str">
        <f t="shared" si="1"/>
        <v>Usine</v>
      </c>
      <c r="L120" s="35" t="str">
        <f>_xlfn.XLOOKUP(mvtst[[#This Row],[Sous Traitant]],coordonnee_st[Identification],coordonnee_st[SERVICE],"Non Trouvé")</f>
        <v>Frange</v>
      </c>
      <c r="M120" s="35" t="str">
        <f>INDEX(_xlfn.TEXTSPLIT(mvtst[[#This Row],[QR Suivis]],"_"),1,2)</f>
        <v>CL00833</v>
      </c>
      <c r="N120" s="35" t="str">
        <f>INDEX(_xlfn.TEXTSPLIT(mvtst[[#This Row],[QR Suivis]],"_"),1,3)</f>
        <v>ABF-CM90226</v>
      </c>
      <c r="O120" s="35" t="str">
        <f>INDEX(_xlfn.TEXTSPLIT(mvtst[[#This Row],[QR Suivis]],"_"),1,4)</f>
        <v>AR2426-B26-01</v>
      </c>
      <c r="P120" s="35" t="str">
        <f>INDEX(_xlfn.TEXTSPLIT(mvtst[[#This Row],[QR Suivis]],"_"),1,5)</f>
        <v>ARTHUR</v>
      </c>
      <c r="Q120" s="35" t="str">
        <f>_xlfn.TEXTAFTER(mvtst[[#This Row],[QR Suivis]],"_",5)</f>
        <v>2426</v>
      </c>
      <c r="R120" s="84" t="str">
        <f>IF(
   COUNTIFS($A$2:A120,A120,
             $B$2:B120,B120,
             $C$2:C120,C120,
             $D$2:D120,D120,
             $G$2:G120,G120)&gt;1,
   "Doublon",
   "Correcte"
)</f>
        <v>Correcte</v>
      </c>
    </row>
    <row r="121" spans="1:18" x14ac:dyDescent="0.25">
      <c r="A121" s="104" t="s">
        <v>1308</v>
      </c>
      <c r="B121" s="35" t="s">
        <v>712</v>
      </c>
      <c r="C121" s="36">
        <v>0</v>
      </c>
      <c r="D121" s="36">
        <v>11</v>
      </c>
      <c r="E121" s="35"/>
      <c r="F121" s="35" t="s">
        <v>664</v>
      </c>
      <c r="G121" s="37">
        <v>45922</v>
      </c>
      <c r="H121" s="37" t="str">
        <f>INDEX(_xlfn.TEXTSPLIT(mvtst[[#This Row],[QR Suivis]],"_"),1,1)</f>
        <v>OF246842</v>
      </c>
      <c r="I121" s="35" t="str">
        <f>_xlfn.TEXTBEFORE(mvtst[[#This Row],[Num Suivis]],"-",,,1)</f>
        <v>OF246842</v>
      </c>
      <c r="J121" s="36">
        <f>SUMIF(mvtst[QR Suivis],mvtst[[#This Row],[QR Suivis]],mvtst[QTE SORTIS])-SUMIF(mvtst[QR Suivis],mvtst[[#This Row],[QR Suivis]],mvtst[QTE RETOUR])</f>
        <v>0</v>
      </c>
      <c r="K121" s="35" t="str">
        <f t="shared" si="1"/>
        <v>Usine</v>
      </c>
      <c r="L121" s="35" t="str">
        <f>_xlfn.XLOOKUP(mvtst[[#This Row],[Sous Traitant]],coordonnee_st[Identification],coordonnee_st[SERVICE],"Non Trouvé")</f>
        <v>Frange</v>
      </c>
      <c r="M121" s="35" t="str">
        <f>INDEX(_xlfn.TEXTSPLIT(mvtst[[#This Row],[QR Suivis]],"_"),1,2)</f>
        <v>CL00300</v>
      </c>
      <c r="N121" s="35" t="str">
        <f>INDEX(_xlfn.TEXTSPLIT(mvtst[[#This Row],[QR Suivis]],"_"),1,3)</f>
        <v>CM-FT0116</v>
      </c>
      <c r="O121" s="35" t="str">
        <f>INDEX(_xlfn.TEXTSPLIT(mvtst[[#This Row],[QR Suivis]],"_"),1,4)</f>
        <v>AR2030-B11-16</v>
      </c>
      <c r="P121" s="35" t="str">
        <f>INDEX(_xlfn.TEXTSPLIT(mvtst[[#This Row],[QR Suivis]],"_"),1,5)</f>
        <v>ARTHUR</v>
      </c>
      <c r="Q121" s="35" t="str">
        <f>_xlfn.TEXTAFTER(mvtst[[#This Row],[QR Suivis]],"_",5)</f>
        <v>2030</v>
      </c>
      <c r="R121" s="84" t="str">
        <f>IF(
   COUNTIFS($A$2:A121,A121,
             $B$2:B121,B121,
             $C$2:C121,C121,
             $D$2:D121,D121,
             $G$2:G121,G121)&gt;1,
   "Doublon",
   "Correcte"
)</f>
        <v>Correcte</v>
      </c>
    </row>
    <row r="122" spans="1:18" x14ac:dyDescent="0.25">
      <c r="A122" s="104" t="s">
        <v>1311</v>
      </c>
      <c r="B122" s="35" t="s">
        <v>712</v>
      </c>
      <c r="C122" s="36">
        <v>0</v>
      </c>
      <c r="D122" s="36">
        <v>185</v>
      </c>
      <c r="E122" s="35"/>
      <c r="F122" s="35" t="s">
        <v>664</v>
      </c>
      <c r="G122" s="37">
        <v>45922</v>
      </c>
      <c r="H122" s="37" t="str">
        <f>INDEX(_xlfn.TEXTSPLIT(mvtst[[#This Row],[QR Suivis]],"_"),1,1)</f>
        <v>OF250128</v>
      </c>
      <c r="I122" s="35" t="str">
        <f>_xlfn.TEXTBEFORE(mvtst[[#This Row],[Num Suivis]],"-",,,1)</f>
        <v>OF250128</v>
      </c>
      <c r="J122" s="36">
        <f>SUMIF(mvtst[QR Suivis],mvtst[[#This Row],[QR Suivis]],mvtst[QTE SORTIS])-SUMIF(mvtst[QR Suivis],mvtst[[#This Row],[QR Suivis]],mvtst[QTE RETOUR])</f>
        <v>0</v>
      </c>
      <c r="K122" s="35" t="str">
        <f t="shared" si="1"/>
        <v>Usine</v>
      </c>
      <c r="L122" s="35" t="str">
        <f>_xlfn.XLOOKUP(mvtst[[#This Row],[Sous Traitant]],coordonnee_st[Identification],coordonnee_st[SERVICE],"Non Trouvé")</f>
        <v>Frange</v>
      </c>
      <c r="M122" s="35" t="str">
        <f>INDEX(_xlfn.TEXTSPLIT(mvtst[[#This Row],[QR Suivis]],"_"),1,2)</f>
        <v>CL00296</v>
      </c>
      <c r="N122" s="35" t="str">
        <f>INDEX(_xlfn.TEXTSPLIT(mvtst[[#This Row],[QR Suivis]],"_"),1,3)</f>
        <v>CM-FT0129</v>
      </c>
      <c r="O122" s="35" t="str">
        <f>INDEX(_xlfn.TEXTSPLIT(mvtst[[#This Row],[QR Suivis]],"_"),1,4)</f>
        <v>NDL1020-B09-14</v>
      </c>
      <c r="P122" s="35" t="str">
        <f>INDEX(_xlfn.TEXTSPLIT(mvtst[[#This Row],[QR Suivis]],"_"),1,5)</f>
        <v>ND LILI</v>
      </c>
      <c r="Q122" s="35" t="str">
        <f>_xlfn.TEXTAFTER(mvtst[[#This Row],[QR Suivis]],"_",5)</f>
        <v>1020</v>
      </c>
      <c r="R122" s="84" t="str">
        <f>IF(
   COUNTIFS($A$2:A122,A122,
             $B$2:B122,B122,
             $C$2:C122,C122,
             $D$2:D122,D122,
             $G$2:G122,G122)&gt;1,
   "Doublon",
   "Correcte"
)</f>
        <v>Correcte</v>
      </c>
    </row>
    <row r="123" spans="1:18" x14ac:dyDescent="0.25">
      <c r="A123" s="104" t="s">
        <v>1314</v>
      </c>
      <c r="B123" s="35" t="s">
        <v>712</v>
      </c>
      <c r="C123" s="36">
        <v>0</v>
      </c>
      <c r="D123" s="36">
        <v>28</v>
      </c>
      <c r="E123" s="35"/>
      <c r="F123" s="35" t="s">
        <v>664</v>
      </c>
      <c r="G123" s="37">
        <v>45922</v>
      </c>
      <c r="H123" s="37" t="str">
        <f>INDEX(_xlfn.TEXTSPLIT(mvtst[[#This Row],[QR Suivis]],"_"),1,1)</f>
        <v>CA250397</v>
      </c>
      <c r="I123" s="35" t="str">
        <f>_xlfn.TEXTBEFORE(mvtst[[#This Row],[Num Suivis]],"-",,,1)</f>
        <v>CA250397</v>
      </c>
      <c r="J123" s="36">
        <f>SUMIF(mvtst[QR Suivis],mvtst[[#This Row],[QR Suivis]],mvtst[QTE SORTIS])-SUMIF(mvtst[QR Suivis],mvtst[[#This Row],[QR Suivis]],mvtst[QTE RETOUR])</f>
        <v>0</v>
      </c>
      <c r="K123" s="35" t="str">
        <f t="shared" si="1"/>
        <v>Usine</v>
      </c>
      <c r="L123" s="35" t="str">
        <f>_xlfn.XLOOKUP(mvtst[[#This Row],[Sous Traitant]],coordonnee_st[Identification],coordonnee_st[SERVICE],"Non Trouvé")</f>
        <v>Frange</v>
      </c>
      <c r="M123" s="35" t="str">
        <f>INDEX(_xlfn.TEXTSPLIT(mvtst[[#This Row],[QR Suivis]],"_"),1,2)</f>
        <v>All by Fouta</v>
      </c>
      <c r="N123" s="35" t="str">
        <f>INDEX(_xlfn.TEXTSPLIT(mvtst[[#This Row],[QR Suivis]],"_"),1,3)</f>
        <v>Stock</v>
      </c>
      <c r="O123" s="35" t="str">
        <f>INDEX(_xlfn.TEXTSPLIT(mvtst[[#This Row],[QR Suivis]],"_"),1,4)</f>
        <v>BE1020-Q10-16-01</v>
      </c>
      <c r="P123" s="35" t="str">
        <f>INDEX(_xlfn.TEXTSPLIT(mvtst[[#This Row],[QR Suivis]],"_"),1,5)</f>
        <v>BERBER</v>
      </c>
      <c r="Q123" s="35" t="str">
        <f>_xlfn.TEXTAFTER(mvtst[[#This Row],[QR Suivis]],"_",5)</f>
        <v>1020</v>
      </c>
      <c r="R123" s="84" t="str">
        <f>IF(
   COUNTIFS($A$2:A123,A123,
             $B$2:B123,B123,
             $C$2:C123,C123,
             $D$2:D123,D123,
             $G$2:G123,G123)&gt;1,
   "Doublon",
   "Correcte"
)</f>
        <v>Correcte</v>
      </c>
    </row>
    <row r="124" spans="1:18" x14ac:dyDescent="0.25">
      <c r="A124" s="104" t="s">
        <v>1396</v>
      </c>
      <c r="B124" s="35" t="s">
        <v>649</v>
      </c>
      <c r="C124" s="36">
        <v>5</v>
      </c>
      <c r="D124" s="36">
        <v>0</v>
      </c>
      <c r="E124" s="35"/>
      <c r="F124" s="35" t="s">
        <v>664</v>
      </c>
      <c r="G124" s="37">
        <v>45922</v>
      </c>
      <c r="H124" s="37" t="str">
        <f>INDEX(_xlfn.TEXTSPLIT(mvtst[[#This Row],[QR Suivis]],"_"),1,1)</f>
        <v>OF246533-10</v>
      </c>
      <c r="I124" s="35" t="str">
        <f>_xlfn.TEXTBEFORE(mvtst[[#This Row],[Num Suivis]],"-",,,1)</f>
        <v>OF246533</v>
      </c>
      <c r="J124" s="36">
        <f>SUMIF(mvtst[QR Suivis],mvtst[[#This Row],[QR Suivis]],mvtst[QTE SORTIS])-SUMIF(mvtst[QR Suivis],mvtst[[#This Row],[QR Suivis]],mvtst[QTE RETOUR])</f>
        <v>0</v>
      </c>
      <c r="K124" s="35" t="str">
        <f t="shared" si="1"/>
        <v>Usine</v>
      </c>
      <c r="L124" s="35" t="str">
        <f>_xlfn.XLOOKUP(mvtst[[#This Row],[Sous Traitant]],coordonnee_st[Identification],coordonnee_st[SERVICE],"Non Trouvé")</f>
        <v>Frange</v>
      </c>
      <c r="M124" s="35" t="str">
        <f>INDEX(_xlfn.TEXTSPLIT(mvtst[[#This Row],[QR Suivis]],"_"),1,2)</f>
        <v>CL00296</v>
      </c>
      <c r="N124" s="35" t="str">
        <f>INDEX(_xlfn.TEXTSPLIT(mvtst[[#This Row],[QR Suivis]],"_"),1,3)</f>
        <v>CM-FT0108</v>
      </c>
      <c r="O124" s="35" t="str">
        <f>INDEX(_xlfn.TEXTSPLIT(mvtst[[#This Row],[QR Suivis]],"_"),1,4)</f>
        <v>EPMA0919-B15-02</v>
      </c>
      <c r="P124" s="35" t="str">
        <f>INDEX(_xlfn.TEXTSPLIT(mvtst[[#This Row],[QR Suivis]],"_"),1,5)</f>
        <v>MARINIERE</v>
      </c>
      <c r="Q124" s="35" t="str">
        <f>_xlfn.TEXTAFTER(mvtst[[#This Row],[QR Suivis]],"_",5)</f>
        <v>0919</v>
      </c>
      <c r="R124" s="84" t="str">
        <f>IF(
   COUNTIFS($A$2:A124,A124,
             $B$2:B124,B124,
             $C$2:C124,C124,
             $D$2:D124,D124,
             $G$2:G124,G124)&gt;1,
   "Doublon",
   "Correcte"
)</f>
        <v>Correcte</v>
      </c>
    </row>
    <row r="125" spans="1:18" x14ac:dyDescent="0.25">
      <c r="A125" s="104" t="s">
        <v>1397</v>
      </c>
      <c r="B125" s="35" t="s">
        <v>649</v>
      </c>
      <c r="C125" s="36">
        <v>5</v>
      </c>
      <c r="D125" s="36">
        <v>0</v>
      </c>
      <c r="E125" s="35"/>
      <c r="F125" s="35" t="s">
        <v>664</v>
      </c>
      <c r="G125" s="37">
        <v>45922</v>
      </c>
      <c r="H125" s="37" t="str">
        <f>INDEX(_xlfn.TEXTSPLIT(mvtst[[#This Row],[QR Suivis]],"_"),1,1)</f>
        <v>OF246533-15</v>
      </c>
      <c r="I125" s="35" t="str">
        <f>_xlfn.TEXTBEFORE(mvtst[[#This Row],[Num Suivis]],"-",,,1)</f>
        <v>OF246533</v>
      </c>
      <c r="J125" s="36">
        <f>SUMIF(mvtst[QR Suivis],mvtst[[#This Row],[QR Suivis]],mvtst[QTE SORTIS])-SUMIF(mvtst[QR Suivis],mvtst[[#This Row],[QR Suivis]],mvtst[QTE RETOUR])</f>
        <v>0</v>
      </c>
      <c r="K125" s="35" t="str">
        <f t="shared" si="1"/>
        <v>Usine</v>
      </c>
      <c r="L125" s="35" t="str">
        <f>_xlfn.XLOOKUP(mvtst[[#This Row],[Sous Traitant]],coordonnee_st[Identification],coordonnee_st[SERVICE],"Non Trouvé")</f>
        <v>Frange</v>
      </c>
      <c r="M125" s="35" t="str">
        <f>INDEX(_xlfn.TEXTSPLIT(mvtst[[#This Row],[QR Suivis]],"_"),1,2)</f>
        <v>CL00296</v>
      </c>
      <c r="N125" s="35" t="str">
        <f>INDEX(_xlfn.TEXTSPLIT(mvtst[[#This Row],[QR Suivis]],"_"),1,3)</f>
        <v>CM-FT0108</v>
      </c>
      <c r="O125" s="35" t="str">
        <f>INDEX(_xlfn.TEXTSPLIT(mvtst[[#This Row],[QR Suivis]],"_"),1,4)</f>
        <v>EPMA0919-B15-02</v>
      </c>
      <c r="P125" s="35" t="str">
        <f>INDEX(_xlfn.TEXTSPLIT(mvtst[[#This Row],[QR Suivis]],"_"),1,5)</f>
        <v>MARINIERE</v>
      </c>
      <c r="Q125" s="35" t="str">
        <f>_xlfn.TEXTAFTER(mvtst[[#This Row],[QR Suivis]],"_",5)</f>
        <v>0919</v>
      </c>
      <c r="R125" s="84" t="str">
        <f>IF(
   COUNTIFS($A$2:A125,A125,
             $B$2:B125,B125,
             $C$2:C125,C125,
             $D$2:D125,D125,
             $G$2:G125,G125)&gt;1,
   "Doublon",
   "Correcte"
)</f>
        <v>Correcte</v>
      </c>
    </row>
    <row r="126" spans="1:18" x14ac:dyDescent="0.25">
      <c r="A126" s="104" t="s">
        <v>1398</v>
      </c>
      <c r="B126" s="35" t="s">
        <v>649</v>
      </c>
      <c r="C126" s="36">
        <v>5</v>
      </c>
      <c r="D126" s="36">
        <v>0</v>
      </c>
      <c r="E126" s="35"/>
      <c r="F126" s="35" t="s">
        <v>664</v>
      </c>
      <c r="G126" s="37">
        <v>45922</v>
      </c>
      <c r="H126" s="37" t="str">
        <f>INDEX(_xlfn.TEXTSPLIT(mvtst[[#This Row],[QR Suivis]],"_"),1,1)</f>
        <v>OF246533-2</v>
      </c>
      <c r="I126" s="35" t="str">
        <f>_xlfn.TEXTBEFORE(mvtst[[#This Row],[Num Suivis]],"-",,,1)</f>
        <v>OF246533</v>
      </c>
      <c r="J126" s="36">
        <f>SUMIF(mvtst[QR Suivis],mvtst[[#This Row],[QR Suivis]],mvtst[QTE SORTIS])-SUMIF(mvtst[QR Suivis],mvtst[[#This Row],[QR Suivis]],mvtst[QTE RETOUR])</f>
        <v>0</v>
      </c>
      <c r="K126" s="35" t="str">
        <f t="shared" si="1"/>
        <v>Usine</v>
      </c>
      <c r="L126" s="35" t="str">
        <f>_xlfn.XLOOKUP(mvtst[[#This Row],[Sous Traitant]],coordonnee_st[Identification],coordonnee_st[SERVICE],"Non Trouvé")</f>
        <v>Frange</v>
      </c>
      <c r="M126" s="35" t="str">
        <f>INDEX(_xlfn.TEXTSPLIT(mvtst[[#This Row],[QR Suivis]],"_"),1,2)</f>
        <v>CL00296</v>
      </c>
      <c r="N126" s="35" t="str">
        <f>INDEX(_xlfn.TEXTSPLIT(mvtst[[#This Row],[QR Suivis]],"_"),1,3)</f>
        <v>CM-FT0108</v>
      </c>
      <c r="O126" s="35" t="str">
        <f>INDEX(_xlfn.TEXTSPLIT(mvtst[[#This Row],[QR Suivis]],"_"),1,4)</f>
        <v>EPMA0919-B15-02</v>
      </c>
      <c r="P126" s="35" t="str">
        <f>INDEX(_xlfn.TEXTSPLIT(mvtst[[#This Row],[QR Suivis]],"_"),1,5)</f>
        <v>MARINIERE</v>
      </c>
      <c r="Q126" s="35" t="str">
        <f>_xlfn.TEXTAFTER(mvtst[[#This Row],[QR Suivis]],"_",5)</f>
        <v>0919</v>
      </c>
      <c r="R126" s="84" t="str">
        <f>IF(
   COUNTIFS($A$2:A126,A126,
             $B$2:B126,B126,
             $C$2:C126,C126,
             $D$2:D126,D126,
             $G$2:G126,G126)&gt;1,
   "Doublon",
   "Correcte"
)</f>
        <v>Correcte</v>
      </c>
    </row>
    <row r="127" spans="1:18" x14ac:dyDescent="0.25">
      <c r="A127" s="104" t="s">
        <v>1399</v>
      </c>
      <c r="B127" s="35" t="s">
        <v>646</v>
      </c>
      <c r="C127" s="36">
        <v>5</v>
      </c>
      <c r="D127" s="36">
        <v>0</v>
      </c>
      <c r="E127" s="35"/>
      <c r="F127" s="35" t="s">
        <v>664</v>
      </c>
      <c r="G127" s="37">
        <v>45922</v>
      </c>
      <c r="H127" s="37" t="str">
        <f>INDEX(_xlfn.TEXTSPLIT(mvtst[[#This Row],[QR Suivis]],"_"),1,1)</f>
        <v>OF246533-13</v>
      </c>
      <c r="I127" s="35" t="str">
        <f>_xlfn.TEXTBEFORE(mvtst[[#This Row],[Num Suivis]],"-",,,1)</f>
        <v>OF246533</v>
      </c>
      <c r="J127" s="36">
        <f>SUMIF(mvtst[QR Suivis],mvtst[[#This Row],[QR Suivis]],mvtst[QTE SORTIS])-SUMIF(mvtst[QR Suivis],mvtst[[#This Row],[QR Suivis]],mvtst[QTE RETOUR])</f>
        <v>0</v>
      </c>
      <c r="K127" s="35" t="str">
        <f t="shared" si="1"/>
        <v>Usine</v>
      </c>
      <c r="L127" s="35" t="str">
        <f>_xlfn.XLOOKUP(mvtst[[#This Row],[Sous Traitant]],coordonnee_st[Identification],coordonnee_st[SERVICE],"Non Trouvé")</f>
        <v>Frange</v>
      </c>
      <c r="M127" s="35" t="str">
        <f>INDEX(_xlfn.TEXTSPLIT(mvtst[[#This Row],[QR Suivis]],"_"),1,2)</f>
        <v>CL00296</v>
      </c>
      <c r="N127" s="35" t="str">
        <f>INDEX(_xlfn.TEXTSPLIT(mvtst[[#This Row],[QR Suivis]],"_"),1,3)</f>
        <v>CM-FT0108</v>
      </c>
      <c r="O127" s="35" t="str">
        <f>INDEX(_xlfn.TEXTSPLIT(mvtst[[#This Row],[QR Suivis]],"_"),1,4)</f>
        <v>EPMA0919-B15-02</v>
      </c>
      <c r="P127" s="35" t="str">
        <f>INDEX(_xlfn.TEXTSPLIT(mvtst[[#This Row],[QR Suivis]],"_"),1,5)</f>
        <v>MARINIERE</v>
      </c>
      <c r="Q127" s="35" t="str">
        <f>_xlfn.TEXTAFTER(mvtst[[#This Row],[QR Suivis]],"_",5)</f>
        <v>0919</v>
      </c>
      <c r="R127" s="84" t="str">
        <f>IF(
   COUNTIFS($A$2:A127,A127,
             $B$2:B127,B127,
             $C$2:C127,C127,
             $D$2:D127,D127,
             $G$2:G127,G127)&gt;1,
   "Doublon",
   "Correcte"
)</f>
        <v>Correcte</v>
      </c>
    </row>
    <row r="128" spans="1:18" x14ac:dyDescent="0.25">
      <c r="A128" s="104" t="s">
        <v>1400</v>
      </c>
      <c r="B128" s="35" t="s">
        <v>646</v>
      </c>
      <c r="C128" s="36">
        <v>5</v>
      </c>
      <c r="D128" s="36">
        <v>0</v>
      </c>
      <c r="E128" s="35"/>
      <c r="F128" s="35" t="s">
        <v>664</v>
      </c>
      <c r="G128" s="37">
        <v>45922</v>
      </c>
      <c r="H128" s="37" t="str">
        <f>INDEX(_xlfn.TEXTSPLIT(mvtst[[#This Row],[QR Suivis]],"_"),1,1)</f>
        <v>OF246533-12</v>
      </c>
      <c r="I128" s="35" t="str">
        <f>_xlfn.TEXTBEFORE(mvtst[[#This Row],[Num Suivis]],"-",,,1)</f>
        <v>OF246533</v>
      </c>
      <c r="J128" s="36">
        <f>SUMIF(mvtst[QR Suivis],mvtst[[#This Row],[QR Suivis]],mvtst[QTE SORTIS])-SUMIF(mvtst[QR Suivis],mvtst[[#This Row],[QR Suivis]],mvtst[QTE RETOUR])</f>
        <v>0</v>
      </c>
      <c r="K128" s="35" t="str">
        <f t="shared" si="1"/>
        <v>Usine</v>
      </c>
      <c r="L128" s="35" t="str">
        <f>_xlfn.XLOOKUP(mvtst[[#This Row],[Sous Traitant]],coordonnee_st[Identification],coordonnee_st[SERVICE],"Non Trouvé")</f>
        <v>Frange</v>
      </c>
      <c r="M128" s="35" t="str">
        <f>INDEX(_xlfn.TEXTSPLIT(mvtst[[#This Row],[QR Suivis]],"_"),1,2)</f>
        <v>CL00296</v>
      </c>
      <c r="N128" s="35" t="str">
        <f>INDEX(_xlfn.TEXTSPLIT(mvtst[[#This Row],[QR Suivis]],"_"),1,3)</f>
        <v>CM-FT0108</v>
      </c>
      <c r="O128" s="35" t="str">
        <f>INDEX(_xlfn.TEXTSPLIT(mvtst[[#This Row],[QR Suivis]],"_"),1,4)</f>
        <v>EPMA0919-B15-02</v>
      </c>
      <c r="P128" s="35" t="str">
        <f>INDEX(_xlfn.TEXTSPLIT(mvtst[[#This Row],[QR Suivis]],"_"),1,5)</f>
        <v>MARINIERE</v>
      </c>
      <c r="Q128" s="35" t="str">
        <f>_xlfn.TEXTAFTER(mvtst[[#This Row],[QR Suivis]],"_",5)</f>
        <v>0919</v>
      </c>
      <c r="R128" s="84" t="str">
        <f>IF(
   COUNTIFS($A$2:A128,A128,
             $B$2:B128,B128,
             $C$2:C128,C128,
             $D$2:D128,D128,
             $G$2:G128,G128)&gt;1,
   "Doublon",
   "Correcte"
)</f>
        <v>Correcte</v>
      </c>
    </row>
    <row r="129" spans="1:18" x14ac:dyDescent="0.25">
      <c r="A129" s="104" t="s">
        <v>1401</v>
      </c>
      <c r="B129" s="35" t="s">
        <v>646</v>
      </c>
      <c r="C129" s="36">
        <v>5</v>
      </c>
      <c r="D129" s="36">
        <v>0</v>
      </c>
      <c r="E129" s="35"/>
      <c r="F129" s="35" t="s">
        <v>664</v>
      </c>
      <c r="G129" s="37">
        <v>45922</v>
      </c>
      <c r="H129" s="37" t="str">
        <f>INDEX(_xlfn.TEXTSPLIT(mvtst[[#This Row],[QR Suivis]],"_"),1,1)</f>
        <v>OF246533-9</v>
      </c>
      <c r="I129" s="35" t="str">
        <f>_xlfn.TEXTBEFORE(mvtst[[#This Row],[Num Suivis]],"-",,,1)</f>
        <v>OF246533</v>
      </c>
      <c r="J129" s="36">
        <f>SUMIF(mvtst[QR Suivis],mvtst[[#This Row],[QR Suivis]],mvtst[QTE SORTIS])-SUMIF(mvtst[QR Suivis],mvtst[[#This Row],[QR Suivis]],mvtst[QTE RETOUR])</f>
        <v>0</v>
      </c>
      <c r="K129" s="35" t="str">
        <f t="shared" si="1"/>
        <v>Usine</v>
      </c>
      <c r="L129" s="35" t="str">
        <f>_xlfn.XLOOKUP(mvtst[[#This Row],[Sous Traitant]],coordonnee_st[Identification],coordonnee_st[SERVICE],"Non Trouvé")</f>
        <v>Frange</v>
      </c>
      <c r="M129" s="35" t="str">
        <f>INDEX(_xlfn.TEXTSPLIT(mvtst[[#This Row],[QR Suivis]],"_"),1,2)</f>
        <v>CL00296</v>
      </c>
      <c r="N129" s="35" t="str">
        <f>INDEX(_xlfn.TEXTSPLIT(mvtst[[#This Row],[QR Suivis]],"_"),1,3)</f>
        <v>CM-FT0108</v>
      </c>
      <c r="O129" s="35" t="str">
        <f>INDEX(_xlfn.TEXTSPLIT(mvtst[[#This Row],[QR Suivis]],"_"),1,4)</f>
        <v>EPMA0919-B15-02</v>
      </c>
      <c r="P129" s="35" t="str">
        <f>INDEX(_xlfn.TEXTSPLIT(mvtst[[#This Row],[QR Suivis]],"_"),1,5)</f>
        <v>MARINIERE</v>
      </c>
      <c r="Q129" s="35" t="str">
        <f>_xlfn.TEXTAFTER(mvtst[[#This Row],[QR Suivis]],"_",5)</f>
        <v>0919</v>
      </c>
      <c r="R129" s="84" t="str">
        <f>IF(
   COUNTIFS($A$2:A129,A129,
             $B$2:B129,B129,
             $C$2:C129,C129,
             $D$2:D129,D129,
             $G$2:G129,G129)&gt;1,
   "Doublon",
   "Correcte"
)</f>
        <v>Correcte</v>
      </c>
    </row>
    <row r="130" spans="1:18" x14ac:dyDescent="0.25">
      <c r="A130" s="104" t="s">
        <v>1402</v>
      </c>
      <c r="B130" s="35" t="s">
        <v>646</v>
      </c>
      <c r="C130" s="36">
        <v>5</v>
      </c>
      <c r="D130" s="36">
        <v>0</v>
      </c>
      <c r="E130" s="35"/>
      <c r="F130" s="35" t="s">
        <v>664</v>
      </c>
      <c r="G130" s="37">
        <v>45922</v>
      </c>
      <c r="H130" s="37" t="str">
        <f>INDEX(_xlfn.TEXTSPLIT(mvtst[[#This Row],[QR Suivis]],"_"),1,1)</f>
        <v>OF246533-5</v>
      </c>
      <c r="I130" s="35" t="str">
        <f>_xlfn.TEXTBEFORE(mvtst[[#This Row],[Num Suivis]],"-",,,1)</f>
        <v>OF246533</v>
      </c>
      <c r="J130" s="36">
        <f>SUMIF(mvtst[QR Suivis],mvtst[[#This Row],[QR Suivis]],mvtst[QTE SORTIS])-SUMIF(mvtst[QR Suivis],mvtst[[#This Row],[QR Suivis]],mvtst[QTE RETOUR])</f>
        <v>0</v>
      </c>
      <c r="K130" s="35" t="str">
        <f t="shared" si="1"/>
        <v>Usine</v>
      </c>
      <c r="L130" s="35" t="str">
        <f>_xlfn.XLOOKUP(mvtst[[#This Row],[Sous Traitant]],coordonnee_st[Identification],coordonnee_st[SERVICE],"Non Trouvé")</f>
        <v>Frange</v>
      </c>
      <c r="M130" s="35" t="str">
        <f>INDEX(_xlfn.TEXTSPLIT(mvtst[[#This Row],[QR Suivis]],"_"),1,2)</f>
        <v>CL00296</v>
      </c>
      <c r="N130" s="35" t="str">
        <f>INDEX(_xlfn.TEXTSPLIT(mvtst[[#This Row],[QR Suivis]],"_"),1,3)</f>
        <v>CM-FT0108</v>
      </c>
      <c r="O130" s="35" t="str">
        <f>INDEX(_xlfn.TEXTSPLIT(mvtst[[#This Row],[QR Suivis]],"_"),1,4)</f>
        <v>EPMA0919-B15-02</v>
      </c>
      <c r="P130" s="35" t="str">
        <f>INDEX(_xlfn.TEXTSPLIT(mvtst[[#This Row],[QR Suivis]],"_"),1,5)</f>
        <v>MARINIERE</v>
      </c>
      <c r="Q130" s="35" t="str">
        <f>_xlfn.TEXTAFTER(mvtst[[#This Row],[QR Suivis]],"_",5)</f>
        <v>0919</v>
      </c>
      <c r="R130" s="84" t="str">
        <f>IF(
   COUNTIFS($A$2:A130,A130,
             $B$2:B130,B130,
             $C$2:C130,C130,
             $D$2:D130,D130,
             $G$2:G130,G130)&gt;1,
   "Doublon",
   "Correcte"
)</f>
        <v>Correcte</v>
      </c>
    </row>
    <row r="131" spans="1:18" x14ac:dyDescent="0.25">
      <c r="A131" s="104" t="s">
        <v>1403</v>
      </c>
      <c r="B131" s="35" t="s">
        <v>649</v>
      </c>
      <c r="C131" s="36">
        <v>5</v>
      </c>
      <c r="D131" s="36">
        <v>0</v>
      </c>
      <c r="E131" s="35"/>
      <c r="F131" s="35" t="s">
        <v>664</v>
      </c>
      <c r="G131" s="37">
        <v>45922</v>
      </c>
      <c r="H131" s="37" t="str">
        <f>INDEX(_xlfn.TEXTSPLIT(mvtst[[#This Row],[QR Suivis]],"_"),1,1)</f>
        <v>CA250637-7</v>
      </c>
      <c r="I131" s="35" t="str">
        <f>_xlfn.TEXTBEFORE(mvtst[[#This Row],[Num Suivis]],"-",,,1)</f>
        <v>CA250637</v>
      </c>
      <c r="J131" s="36">
        <f>SUMIF(mvtst[QR Suivis],mvtst[[#This Row],[QR Suivis]],mvtst[QTE SORTIS])-SUMIF(mvtst[QR Suivis],mvtst[[#This Row],[QR Suivis]],mvtst[QTE RETOUR])</f>
        <v>0</v>
      </c>
      <c r="K131" s="35" t="str">
        <f t="shared" ref="K131:K194" si="2">"Usine"</f>
        <v>Usine</v>
      </c>
      <c r="L131" s="35" t="str">
        <f>_xlfn.XLOOKUP(mvtst[[#This Row],[Sous Traitant]],coordonnee_st[Identification],coordonnee_st[SERVICE],"Non Trouvé")</f>
        <v>Frange</v>
      </c>
      <c r="M131" s="35" t="str">
        <f>INDEX(_xlfn.TEXTSPLIT(mvtst[[#This Row],[QR Suivis]],"_"),1,2)</f>
        <v>All by Fouta</v>
      </c>
      <c r="N131" s="35" t="str">
        <f>INDEX(_xlfn.TEXTSPLIT(mvtst[[#This Row],[QR Suivis]],"_"),1,3)</f>
        <v>Stock</v>
      </c>
      <c r="O131" s="35" t="str">
        <f>INDEX(_xlfn.TEXTSPLIT(mvtst[[#This Row],[QR Suivis]],"_"),1,4)</f>
        <v>EPMA0919-B26-02</v>
      </c>
      <c r="P131" s="35" t="str">
        <f>INDEX(_xlfn.TEXTSPLIT(mvtst[[#This Row],[QR Suivis]],"_"),1,5)</f>
        <v>MARINIERE</v>
      </c>
      <c r="Q131" s="35" t="str">
        <f>_xlfn.TEXTAFTER(mvtst[[#This Row],[QR Suivis]],"_",5)</f>
        <v>0919</v>
      </c>
      <c r="R131" s="84" t="str">
        <f>IF(
   COUNTIFS($A$2:A131,A131,
             $B$2:B131,B131,
             $C$2:C131,C131,
             $D$2:D131,D131,
             $G$2:G131,G131)&gt;1,
   "Doublon",
   "Correcte"
)</f>
        <v>Correcte</v>
      </c>
    </row>
    <row r="132" spans="1:18" x14ac:dyDescent="0.25">
      <c r="A132" s="104" t="s">
        <v>1404</v>
      </c>
      <c r="B132" s="35" t="s">
        <v>649</v>
      </c>
      <c r="C132" s="36">
        <v>5</v>
      </c>
      <c r="D132" s="36">
        <v>0</v>
      </c>
      <c r="E132" s="35"/>
      <c r="F132" s="35" t="s">
        <v>664</v>
      </c>
      <c r="G132" s="37">
        <v>45922</v>
      </c>
      <c r="H132" s="37" t="str">
        <f>INDEX(_xlfn.TEXTSPLIT(mvtst[[#This Row],[QR Suivis]],"_"),1,1)</f>
        <v>CA250637-4</v>
      </c>
      <c r="I132" s="35" t="str">
        <f>_xlfn.TEXTBEFORE(mvtst[[#This Row],[Num Suivis]],"-",,,1)</f>
        <v>CA250637</v>
      </c>
      <c r="J132" s="36">
        <f>SUMIF(mvtst[QR Suivis],mvtst[[#This Row],[QR Suivis]],mvtst[QTE SORTIS])-SUMIF(mvtst[QR Suivis],mvtst[[#This Row],[QR Suivis]],mvtst[QTE RETOUR])</f>
        <v>0</v>
      </c>
      <c r="K132" s="35" t="str">
        <f t="shared" si="2"/>
        <v>Usine</v>
      </c>
      <c r="L132" s="35" t="str">
        <f>_xlfn.XLOOKUP(mvtst[[#This Row],[Sous Traitant]],coordonnee_st[Identification],coordonnee_st[SERVICE],"Non Trouvé")</f>
        <v>Frange</v>
      </c>
      <c r="M132" s="35" t="str">
        <f>INDEX(_xlfn.TEXTSPLIT(mvtst[[#This Row],[QR Suivis]],"_"),1,2)</f>
        <v>All by Fouta</v>
      </c>
      <c r="N132" s="35" t="str">
        <f>INDEX(_xlfn.TEXTSPLIT(mvtst[[#This Row],[QR Suivis]],"_"),1,3)</f>
        <v>Stock</v>
      </c>
      <c r="O132" s="35" t="str">
        <f>INDEX(_xlfn.TEXTSPLIT(mvtst[[#This Row],[QR Suivis]],"_"),1,4)</f>
        <v>EPMA0919-B26-02</v>
      </c>
      <c r="P132" s="35" t="str">
        <f>INDEX(_xlfn.TEXTSPLIT(mvtst[[#This Row],[QR Suivis]],"_"),1,5)</f>
        <v>MARINIERE</v>
      </c>
      <c r="Q132" s="35" t="str">
        <f>_xlfn.TEXTAFTER(mvtst[[#This Row],[QR Suivis]],"_",5)</f>
        <v>0919</v>
      </c>
      <c r="R132" s="84" t="str">
        <f>IF(
   COUNTIFS($A$2:A132,A132,
             $B$2:B132,B132,
             $C$2:C132,C132,
             $D$2:D132,D132,
             $G$2:G132,G132)&gt;1,
   "Doublon",
   "Correcte"
)</f>
        <v>Correcte</v>
      </c>
    </row>
    <row r="133" spans="1:18" x14ac:dyDescent="0.25">
      <c r="A133" s="104" t="s">
        <v>1405</v>
      </c>
      <c r="B133" s="35" t="s">
        <v>649</v>
      </c>
      <c r="C133" s="36">
        <v>5</v>
      </c>
      <c r="D133" s="36">
        <v>0</v>
      </c>
      <c r="E133" s="35"/>
      <c r="F133" s="35" t="s">
        <v>664</v>
      </c>
      <c r="G133" s="37">
        <v>45922</v>
      </c>
      <c r="H133" s="37" t="str">
        <f>INDEX(_xlfn.TEXTSPLIT(mvtst[[#This Row],[QR Suivis]],"_"),1,1)</f>
        <v>CA250637-5</v>
      </c>
      <c r="I133" s="35" t="str">
        <f>_xlfn.TEXTBEFORE(mvtst[[#This Row],[Num Suivis]],"-",,,1)</f>
        <v>CA250637</v>
      </c>
      <c r="J133" s="36">
        <f>SUMIF(mvtst[QR Suivis],mvtst[[#This Row],[QR Suivis]],mvtst[QTE SORTIS])-SUMIF(mvtst[QR Suivis],mvtst[[#This Row],[QR Suivis]],mvtst[QTE RETOUR])</f>
        <v>0</v>
      </c>
      <c r="K133" s="35" t="str">
        <f t="shared" si="2"/>
        <v>Usine</v>
      </c>
      <c r="L133" s="35" t="str">
        <f>_xlfn.XLOOKUP(mvtst[[#This Row],[Sous Traitant]],coordonnee_st[Identification],coordonnee_st[SERVICE],"Non Trouvé")</f>
        <v>Frange</v>
      </c>
      <c r="M133" s="35" t="str">
        <f>INDEX(_xlfn.TEXTSPLIT(mvtst[[#This Row],[QR Suivis]],"_"),1,2)</f>
        <v>All by Fouta</v>
      </c>
      <c r="N133" s="35" t="str">
        <f>INDEX(_xlfn.TEXTSPLIT(mvtst[[#This Row],[QR Suivis]],"_"),1,3)</f>
        <v>Stock</v>
      </c>
      <c r="O133" s="35" t="str">
        <f>INDEX(_xlfn.TEXTSPLIT(mvtst[[#This Row],[QR Suivis]],"_"),1,4)</f>
        <v>EPMA0919-B26-02</v>
      </c>
      <c r="P133" s="35" t="str">
        <f>INDEX(_xlfn.TEXTSPLIT(mvtst[[#This Row],[QR Suivis]],"_"),1,5)</f>
        <v>MARINIERE</v>
      </c>
      <c r="Q133" s="35" t="str">
        <f>_xlfn.TEXTAFTER(mvtst[[#This Row],[QR Suivis]],"_",5)</f>
        <v>0919</v>
      </c>
      <c r="R133" s="84" t="str">
        <f>IF(
   COUNTIFS($A$2:A133,A133,
             $B$2:B133,B133,
             $C$2:C133,C133,
             $D$2:D133,D133,
             $G$2:G133,G133)&gt;1,
   "Doublon",
   "Correcte"
)</f>
        <v>Correcte</v>
      </c>
    </row>
    <row r="134" spans="1:18" x14ac:dyDescent="0.25">
      <c r="A134" s="104" t="s">
        <v>1406</v>
      </c>
      <c r="B134" s="35" t="s">
        <v>649</v>
      </c>
      <c r="C134" s="36">
        <v>5</v>
      </c>
      <c r="D134" s="36">
        <v>0</v>
      </c>
      <c r="E134" s="35"/>
      <c r="F134" s="35" t="s">
        <v>664</v>
      </c>
      <c r="G134" s="37">
        <v>45922</v>
      </c>
      <c r="H134" s="37" t="str">
        <f>INDEX(_xlfn.TEXTSPLIT(mvtst[[#This Row],[QR Suivis]],"_"),1,1)</f>
        <v>CA250637-8</v>
      </c>
      <c r="I134" s="35" t="str">
        <f>_xlfn.TEXTBEFORE(mvtst[[#This Row],[Num Suivis]],"-",,,1)</f>
        <v>CA250637</v>
      </c>
      <c r="J134" s="36">
        <f>SUMIF(mvtst[QR Suivis],mvtst[[#This Row],[QR Suivis]],mvtst[QTE SORTIS])-SUMIF(mvtst[QR Suivis],mvtst[[#This Row],[QR Suivis]],mvtst[QTE RETOUR])</f>
        <v>0</v>
      </c>
      <c r="K134" s="35" t="str">
        <f t="shared" si="2"/>
        <v>Usine</v>
      </c>
      <c r="L134" s="35" t="str">
        <f>_xlfn.XLOOKUP(mvtst[[#This Row],[Sous Traitant]],coordonnee_st[Identification],coordonnee_st[SERVICE],"Non Trouvé")</f>
        <v>Frange</v>
      </c>
      <c r="M134" s="35" t="str">
        <f>INDEX(_xlfn.TEXTSPLIT(mvtst[[#This Row],[QR Suivis]],"_"),1,2)</f>
        <v>All by Fouta</v>
      </c>
      <c r="N134" s="35" t="str">
        <f>INDEX(_xlfn.TEXTSPLIT(mvtst[[#This Row],[QR Suivis]],"_"),1,3)</f>
        <v>Stock</v>
      </c>
      <c r="O134" s="35" t="str">
        <f>INDEX(_xlfn.TEXTSPLIT(mvtst[[#This Row],[QR Suivis]],"_"),1,4)</f>
        <v>EPMA0919-B26-02</v>
      </c>
      <c r="P134" s="35" t="str">
        <f>INDEX(_xlfn.TEXTSPLIT(mvtst[[#This Row],[QR Suivis]],"_"),1,5)</f>
        <v>MARINIERE</v>
      </c>
      <c r="Q134" s="35" t="str">
        <f>_xlfn.TEXTAFTER(mvtst[[#This Row],[QR Suivis]],"_",5)</f>
        <v>0919</v>
      </c>
      <c r="R134" s="84" t="str">
        <f>IF(
   COUNTIFS($A$2:A134,A134,
             $B$2:B134,B134,
             $C$2:C134,C134,
             $D$2:D134,D134,
             $G$2:G134,G134)&gt;1,
   "Doublon",
   "Correcte"
)</f>
        <v>Correcte</v>
      </c>
    </row>
    <row r="135" spans="1:18" x14ac:dyDescent="0.25">
      <c r="A135" s="104" t="s">
        <v>1407</v>
      </c>
      <c r="B135" s="35" t="s">
        <v>649</v>
      </c>
      <c r="C135" s="36">
        <v>5</v>
      </c>
      <c r="D135" s="36">
        <v>0</v>
      </c>
      <c r="E135" s="35"/>
      <c r="F135" s="35" t="s">
        <v>664</v>
      </c>
      <c r="G135" s="37">
        <v>45922</v>
      </c>
      <c r="H135" s="37" t="str">
        <f>INDEX(_xlfn.TEXTSPLIT(mvtst[[#This Row],[QR Suivis]],"_"),1,1)</f>
        <v>CA250637-9</v>
      </c>
      <c r="I135" s="35" t="str">
        <f>_xlfn.TEXTBEFORE(mvtst[[#This Row],[Num Suivis]],"-",,,1)</f>
        <v>CA250637</v>
      </c>
      <c r="J135" s="36">
        <f>SUMIF(mvtst[QR Suivis],mvtst[[#This Row],[QR Suivis]],mvtst[QTE SORTIS])-SUMIF(mvtst[QR Suivis],mvtst[[#This Row],[QR Suivis]],mvtst[QTE RETOUR])</f>
        <v>0</v>
      </c>
      <c r="K135" s="35" t="str">
        <f t="shared" si="2"/>
        <v>Usine</v>
      </c>
      <c r="L135" s="35" t="str">
        <f>_xlfn.XLOOKUP(mvtst[[#This Row],[Sous Traitant]],coordonnee_st[Identification],coordonnee_st[SERVICE],"Non Trouvé")</f>
        <v>Frange</v>
      </c>
      <c r="M135" s="35" t="str">
        <f>INDEX(_xlfn.TEXTSPLIT(mvtst[[#This Row],[QR Suivis]],"_"),1,2)</f>
        <v>All by Fouta</v>
      </c>
      <c r="N135" s="35" t="str">
        <f>INDEX(_xlfn.TEXTSPLIT(mvtst[[#This Row],[QR Suivis]],"_"),1,3)</f>
        <v>Stock</v>
      </c>
      <c r="O135" s="35" t="str">
        <f>INDEX(_xlfn.TEXTSPLIT(mvtst[[#This Row],[QR Suivis]],"_"),1,4)</f>
        <v>EPMA0919-B26-02</v>
      </c>
      <c r="P135" s="35" t="str">
        <f>INDEX(_xlfn.TEXTSPLIT(mvtst[[#This Row],[QR Suivis]],"_"),1,5)</f>
        <v>MARINIERE</v>
      </c>
      <c r="Q135" s="35" t="str">
        <f>_xlfn.TEXTAFTER(mvtst[[#This Row],[QR Suivis]],"_",5)</f>
        <v>0919</v>
      </c>
      <c r="R135" s="84" t="str">
        <f>IF(
   COUNTIFS($A$2:A135,A135,
             $B$2:B135,B135,
             $C$2:C135,C135,
             $D$2:D135,D135,
             $G$2:G135,G135)&gt;1,
   "Doublon",
   "Correcte"
)</f>
        <v>Correcte</v>
      </c>
    </row>
    <row r="136" spans="1:18" x14ac:dyDescent="0.25">
      <c r="A136" s="104" t="s">
        <v>1408</v>
      </c>
      <c r="B136" s="35" t="s">
        <v>649</v>
      </c>
      <c r="C136" s="36">
        <v>5</v>
      </c>
      <c r="D136" s="36">
        <v>0</v>
      </c>
      <c r="E136" s="35"/>
      <c r="F136" s="35" t="s">
        <v>664</v>
      </c>
      <c r="G136" s="37">
        <v>45922</v>
      </c>
      <c r="H136" s="37" t="str">
        <f>INDEX(_xlfn.TEXTSPLIT(mvtst[[#This Row],[QR Suivis]],"_"),1,1)</f>
        <v>CA250637-14</v>
      </c>
      <c r="I136" s="35" t="str">
        <f>_xlfn.TEXTBEFORE(mvtst[[#This Row],[Num Suivis]],"-",,,1)</f>
        <v>CA250637</v>
      </c>
      <c r="J136" s="36">
        <f>SUMIF(mvtst[QR Suivis],mvtst[[#This Row],[QR Suivis]],mvtst[QTE SORTIS])-SUMIF(mvtst[QR Suivis],mvtst[[#This Row],[QR Suivis]],mvtst[QTE RETOUR])</f>
        <v>0</v>
      </c>
      <c r="K136" s="35" t="str">
        <f t="shared" si="2"/>
        <v>Usine</v>
      </c>
      <c r="L136" s="35" t="str">
        <f>_xlfn.XLOOKUP(mvtst[[#This Row],[Sous Traitant]],coordonnee_st[Identification],coordonnee_st[SERVICE],"Non Trouvé")</f>
        <v>Frange</v>
      </c>
      <c r="M136" s="35" t="str">
        <f>INDEX(_xlfn.TEXTSPLIT(mvtst[[#This Row],[QR Suivis]],"_"),1,2)</f>
        <v>All by Fouta</v>
      </c>
      <c r="N136" s="35" t="str">
        <f>INDEX(_xlfn.TEXTSPLIT(mvtst[[#This Row],[QR Suivis]],"_"),1,3)</f>
        <v>Stock</v>
      </c>
      <c r="O136" s="35" t="str">
        <f>INDEX(_xlfn.TEXTSPLIT(mvtst[[#This Row],[QR Suivis]],"_"),1,4)</f>
        <v>EPMA0919-B26-02</v>
      </c>
      <c r="P136" s="35" t="str">
        <f>INDEX(_xlfn.TEXTSPLIT(mvtst[[#This Row],[QR Suivis]],"_"),1,5)</f>
        <v>MARINIERE</v>
      </c>
      <c r="Q136" s="35" t="str">
        <f>_xlfn.TEXTAFTER(mvtst[[#This Row],[QR Suivis]],"_",5)</f>
        <v>0919</v>
      </c>
      <c r="R136" s="84" t="str">
        <f>IF(
   COUNTIFS($A$2:A136,A136,
             $B$2:B136,B136,
             $C$2:C136,C136,
             $D$2:D136,D136,
             $G$2:G136,G136)&gt;1,
   "Doublon",
   "Correcte"
)</f>
        <v>Correcte</v>
      </c>
    </row>
    <row r="137" spans="1:18" x14ac:dyDescent="0.25">
      <c r="A137" s="104" t="s">
        <v>1409</v>
      </c>
      <c r="B137" s="35" t="s">
        <v>649</v>
      </c>
      <c r="C137" s="36">
        <v>5</v>
      </c>
      <c r="D137" s="36">
        <v>0</v>
      </c>
      <c r="E137" s="35"/>
      <c r="F137" s="35" t="s">
        <v>664</v>
      </c>
      <c r="G137" s="37">
        <v>45922</v>
      </c>
      <c r="H137" s="37" t="str">
        <f>INDEX(_xlfn.TEXTSPLIT(mvtst[[#This Row],[QR Suivis]],"_"),1,1)</f>
        <v>CA250637-3</v>
      </c>
      <c r="I137" s="35" t="str">
        <f>_xlfn.TEXTBEFORE(mvtst[[#This Row],[Num Suivis]],"-",,,1)</f>
        <v>CA250637</v>
      </c>
      <c r="J137" s="36">
        <f>SUMIF(mvtst[QR Suivis],mvtst[[#This Row],[QR Suivis]],mvtst[QTE SORTIS])-SUMIF(mvtst[QR Suivis],mvtst[[#This Row],[QR Suivis]],mvtst[QTE RETOUR])</f>
        <v>0</v>
      </c>
      <c r="K137" s="35" t="str">
        <f t="shared" si="2"/>
        <v>Usine</v>
      </c>
      <c r="L137" s="35" t="str">
        <f>_xlfn.XLOOKUP(mvtst[[#This Row],[Sous Traitant]],coordonnee_st[Identification],coordonnee_st[SERVICE],"Non Trouvé")</f>
        <v>Frange</v>
      </c>
      <c r="M137" s="35" t="str">
        <f>INDEX(_xlfn.TEXTSPLIT(mvtst[[#This Row],[QR Suivis]],"_"),1,2)</f>
        <v>All by Fouta</v>
      </c>
      <c r="N137" s="35" t="str">
        <f>INDEX(_xlfn.TEXTSPLIT(mvtst[[#This Row],[QR Suivis]],"_"),1,3)</f>
        <v>Stock</v>
      </c>
      <c r="O137" s="35" t="str">
        <f>INDEX(_xlfn.TEXTSPLIT(mvtst[[#This Row],[QR Suivis]],"_"),1,4)</f>
        <v>EPMA0919-B26-02</v>
      </c>
      <c r="P137" s="35" t="str">
        <f>INDEX(_xlfn.TEXTSPLIT(mvtst[[#This Row],[QR Suivis]],"_"),1,5)</f>
        <v>MARINIERE</v>
      </c>
      <c r="Q137" s="35" t="str">
        <f>_xlfn.TEXTAFTER(mvtst[[#This Row],[QR Suivis]],"_",5)</f>
        <v>0919</v>
      </c>
      <c r="R137" s="84" t="str">
        <f>IF(
   COUNTIFS($A$2:A137,A137,
             $B$2:B137,B137,
             $C$2:C137,C137,
             $D$2:D137,D137,
             $G$2:G137,G137)&gt;1,
   "Doublon",
   "Correcte"
)</f>
        <v>Correcte</v>
      </c>
    </row>
    <row r="138" spans="1:18" x14ac:dyDescent="0.25">
      <c r="A138" s="104" t="s">
        <v>1410</v>
      </c>
      <c r="B138" s="35" t="s">
        <v>649</v>
      </c>
      <c r="C138" s="36">
        <v>5</v>
      </c>
      <c r="D138" s="36">
        <v>0</v>
      </c>
      <c r="E138" s="35"/>
      <c r="F138" s="35" t="s">
        <v>664</v>
      </c>
      <c r="G138" s="37">
        <v>45922</v>
      </c>
      <c r="H138" s="37" t="str">
        <f>INDEX(_xlfn.TEXTSPLIT(mvtst[[#This Row],[QR Suivis]],"_"),1,1)</f>
        <v>CA250637-6</v>
      </c>
      <c r="I138" s="35" t="str">
        <f>_xlfn.TEXTBEFORE(mvtst[[#This Row],[Num Suivis]],"-",,,1)</f>
        <v>CA250637</v>
      </c>
      <c r="J138" s="36">
        <f>SUMIF(mvtst[QR Suivis],mvtst[[#This Row],[QR Suivis]],mvtst[QTE SORTIS])-SUMIF(mvtst[QR Suivis],mvtst[[#This Row],[QR Suivis]],mvtst[QTE RETOUR])</f>
        <v>0</v>
      </c>
      <c r="K138" s="35" t="str">
        <f t="shared" si="2"/>
        <v>Usine</v>
      </c>
      <c r="L138" s="35" t="str">
        <f>_xlfn.XLOOKUP(mvtst[[#This Row],[Sous Traitant]],coordonnee_st[Identification],coordonnee_st[SERVICE],"Non Trouvé")</f>
        <v>Frange</v>
      </c>
      <c r="M138" s="35" t="str">
        <f>INDEX(_xlfn.TEXTSPLIT(mvtst[[#This Row],[QR Suivis]],"_"),1,2)</f>
        <v>All by Fouta</v>
      </c>
      <c r="N138" s="35" t="str">
        <f>INDEX(_xlfn.TEXTSPLIT(mvtst[[#This Row],[QR Suivis]],"_"),1,3)</f>
        <v>Stock</v>
      </c>
      <c r="O138" s="35" t="str">
        <f>INDEX(_xlfn.TEXTSPLIT(mvtst[[#This Row],[QR Suivis]],"_"),1,4)</f>
        <v>EPMA0919-B26-02</v>
      </c>
      <c r="P138" s="35" t="str">
        <f>INDEX(_xlfn.TEXTSPLIT(mvtst[[#This Row],[QR Suivis]],"_"),1,5)</f>
        <v>MARINIERE</v>
      </c>
      <c r="Q138" s="35" t="str">
        <f>_xlfn.TEXTAFTER(mvtst[[#This Row],[QR Suivis]],"_",5)</f>
        <v>0919</v>
      </c>
      <c r="R138" s="84" t="str">
        <f>IF(
   COUNTIFS($A$2:A138,A138,
             $B$2:B138,B138,
             $C$2:C138,C138,
             $D$2:D138,D138,
             $G$2:G138,G138)&gt;1,
   "Doublon",
   "Correcte"
)</f>
        <v>Correcte</v>
      </c>
    </row>
    <row r="139" spans="1:18" x14ac:dyDescent="0.25">
      <c r="A139" s="104" t="s">
        <v>1411</v>
      </c>
      <c r="B139" s="35" t="s">
        <v>651</v>
      </c>
      <c r="C139" s="36">
        <v>5</v>
      </c>
      <c r="D139" s="36">
        <v>0</v>
      </c>
      <c r="E139" s="35"/>
      <c r="F139" s="35" t="s">
        <v>664</v>
      </c>
      <c r="G139" s="37">
        <v>45922</v>
      </c>
      <c r="H139" s="37" t="str">
        <f>INDEX(_xlfn.TEXTSPLIT(mvtst[[#This Row],[QR Suivis]],"_"),1,1)</f>
        <v>CA250637-10</v>
      </c>
      <c r="I139" s="35" t="str">
        <f>_xlfn.TEXTBEFORE(mvtst[[#This Row],[Num Suivis]],"-",,,1)</f>
        <v>CA250637</v>
      </c>
      <c r="J139" s="36">
        <f>SUMIF(mvtst[QR Suivis],mvtst[[#This Row],[QR Suivis]],mvtst[QTE SORTIS])-SUMIF(mvtst[QR Suivis],mvtst[[#This Row],[QR Suivis]],mvtst[QTE RETOUR])</f>
        <v>0</v>
      </c>
      <c r="K139" s="35" t="str">
        <f t="shared" si="2"/>
        <v>Usine</v>
      </c>
      <c r="L139" s="35" t="str">
        <f>_xlfn.XLOOKUP(mvtst[[#This Row],[Sous Traitant]],coordonnee_st[Identification],coordonnee_st[SERVICE],"Non Trouvé")</f>
        <v>Frange</v>
      </c>
      <c r="M139" s="35" t="str">
        <f>INDEX(_xlfn.TEXTSPLIT(mvtst[[#This Row],[QR Suivis]],"_"),1,2)</f>
        <v>All by Fouta</v>
      </c>
      <c r="N139" s="35" t="str">
        <f>INDEX(_xlfn.TEXTSPLIT(mvtst[[#This Row],[QR Suivis]],"_"),1,3)</f>
        <v>Stock</v>
      </c>
      <c r="O139" s="35" t="str">
        <f>INDEX(_xlfn.TEXTSPLIT(mvtst[[#This Row],[QR Suivis]],"_"),1,4)</f>
        <v>EPMA0919-B26-02</v>
      </c>
      <c r="P139" s="35" t="str">
        <f>INDEX(_xlfn.TEXTSPLIT(mvtst[[#This Row],[QR Suivis]],"_"),1,5)</f>
        <v>MARINIERE</v>
      </c>
      <c r="Q139" s="35" t="str">
        <f>_xlfn.TEXTAFTER(mvtst[[#This Row],[QR Suivis]],"_",5)</f>
        <v>0919</v>
      </c>
      <c r="R139" s="84" t="str">
        <f>IF(
   COUNTIFS($A$2:A139,A139,
             $B$2:B139,B139,
             $C$2:C139,C139,
             $D$2:D139,D139,
             $G$2:G139,G139)&gt;1,
   "Doublon",
   "Correcte"
)</f>
        <v>Correcte</v>
      </c>
    </row>
    <row r="140" spans="1:18" x14ac:dyDescent="0.25">
      <c r="A140" s="104" t="s">
        <v>1412</v>
      </c>
      <c r="B140" s="35" t="s">
        <v>651</v>
      </c>
      <c r="C140" s="36">
        <v>5</v>
      </c>
      <c r="D140" s="36">
        <v>0</v>
      </c>
      <c r="E140" s="35"/>
      <c r="F140" s="35" t="s">
        <v>664</v>
      </c>
      <c r="G140" s="37">
        <v>45922</v>
      </c>
      <c r="H140" s="37" t="str">
        <f>INDEX(_xlfn.TEXTSPLIT(mvtst[[#This Row],[QR Suivis]],"_"),1,1)</f>
        <v>CA250637-11</v>
      </c>
      <c r="I140" s="35" t="str">
        <f>_xlfn.TEXTBEFORE(mvtst[[#This Row],[Num Suivis]],"-",,,1)</f>
        <v>CA250637</v>
      </c>
      <c r="J140" s="36">
        <f>SUMIF(mvtst[QR Suivis],mvtst[[#This Row],[QR Suivis]],mvtst[QTE SORTIS])-SUMIF(mvtst[QR Suivis],mvtst[[#This Row],[QR Suivis]],mvtst[QTE RETOUR])</f>
        <v>0</v>
      </c>
      <c r="K140" s="35" t="str">
        <f t="shared" si="2"/>
        <v>Usine</v>
      </c>
      <c r="L140" s="35" t="str">
        <f>_xlfn.XLOOKUP(mvtst[[#This Row],[Sous Traitant]],coordonnee_st[Identification],coordonnee_st[SERVICE],"Non Trouvé")</f>
        <v>Frange</v>
      </c>
      <c r="M140" s="35" t="str">
        <f>INDEX(_xlfn.TEXTSPLIT(mvtst[[#This Row],[QR Suivis]],"_"),1,2)</f>
        <v>All by Fouta</v>
      </c>
      <c r="N140" s="35" t="str">
        <f>INDEX(_xlfn.TEXTSPLIT(mvtst[[#This Row],[QR Suivis]],"_"),1,3)</f>
        <v>Stock</v>
      </c>
      <c r="O140" s="35" t="str">
        <f>INDEX(_xlfn.TEXTSPLIT(mvtst[[#This Row],[QR Suivis]],"_"),1,4)</f>
        <v>EPMA0919-B26-02</v>
      </c>
      <c r="P140" s="35" t="str">
        <f>INDEX(_xlfn.TEXTSPLIT(mvtst[[#This Row],[QR Suivis]],"_"),1,5)</f>
        <v>MARINIERE</v>
      </c>
      <c r="Q140" s="35" t="str">
        <f>_xlfn.TEXTAFTER(mvtst[[#This Row],[QR Suivis]],"_",5)</f>
        <v>0919</v>
      </c>
      <c r="R140" s="84" t="str">
        <f>IF(
   COUNTIFS($A$2:A140,A140,
             $B$2:B140,B140,
             $C$2:C140,C140,
             $D$2:D140,D140,
             $G$2:G140,G140)&gt;1,
   "Doublon",
   "Correcte"
)</f>
        <v>Correcte</v>
      </c>
    </row>
    <row r="141" spans="1:18" x14ac:dyDescent="0.25">
      <c r="A141" s="104" t="s">
        <v>1413</v>
      </c>
      <c r="B141" s="35" t="s">
        <v>651</v>
      </c>
      <c r="C141" s="36">
        <v>5</v>
      </c>
      <c r="D141" s="36">
        <v>0</v>
      </c>
      <c r="E141" s="35"/>
      <c r="F141" s="35" t="s">
        <v>664</v>
      </c>
      <c r="G141" s="37">
        <v>45922</v>
      </c>
      <c r="H141" s="37" t="str">
        <f>INDEX(_xlfn.TEXTSPLIT(mvtst[[#This Row],[QR Suivis]],"_"),1,1)</f>
        <v>CA250637-12</v>
      </c>
      <c r="I141" s="35" t="str">
        <f>_xlfn.TEXTBEFORE(mvtst[[#This Row],[Num Suivis]],"-",,,1)</f>
        <v>CA250637</v>
      </c>
      <c r="J141" s="36">
        <f>SUMIF(mvtst[QR Suivis],mvtst[[#This Row],[QR Suivis]],mvtst[QTE SORTIS])-SUMIF(mvtst[QR Suivis],mvtst[[#This Row],[QR Suivis]],mvtst[QTE RETOUR])</f>
        <v>0</v>
      </c>
      <c r="K141" s="35" t="str">
        <f t="shared" si="2"/>
        <v>Usine</v>
      </c>
      <c r="L141" s="35" t="str">
        <f>_xlfn.XLOOKUP(mvtst[[#This Row],[Sous Traitant]],coordonnee_st[Identification],coordonnee_st[SERVICE],"Non Trouvé")</f>
        <v>Frange</v>
      </c>
      <c r="M141" s="35" t="str">
        <f>INDEX(_xlfn.TEXTSPLIT(mvtst[[#This Row],[QR Suivis]],"_"),1,2)</f>
        <v>All by Fouta</v>
      </c>
      <c r="N141" s="35" t="str">
        <f>INDEX(_xlfn.TEXTSPLIT(mvtst[[#This Row],[QR Suivis]],"_"),1,3)</f>
        <v>Stock</v>
      </c>
      <c r="O141" s="35" t="str">
        <f>INDEX(_xlfn.TEXTSPLIT(mvtst[[#This Row],[QR Suivis]],"_"),1,4)</f>
        <v>EPMA0919-B26-02</v>
      </c>
      <c r="P141" s="35" t="str">
        <f>INDEX(_xlfn.TEXTSPLIT(mvtst[[#This Row],[QR Suivis]],"_"),1,5)</f>
        <v>MARINIERE</v>
      </c>
      <c r="Q141" s="35" t="str">
        <f>_xlfn.TEXTAFTER(mvtst[[#This Row],[QR Suivis]],"_",5)</f>
        <v>0919</v>
      </c>
      <c r="R141" s="84" t="str">
        <f>IF(
   COUNTIFS($A$2:A141,A141,
             $B$2:B141,B141,
             $C$2:C141,C141,
             $D$2:D141,D141,
             $G$2:G141,G141)&gt;1,
   "Doublon",
   "Correcte"
)</f>
        <v>Correcte</v>
      </c>
    </row>
    <row r="142" spans="1:18" x14ac:dyDescent="0.25">
      <c r="A142" s="104" t="s">
        <v>1414</v>
      </c>
      <c r="B142" s="35" t="s">
        <v>651</v>
      </c>
      <c r="C142" s="36">
        <v>5</v>
      </c>
      <c r="D142" s="36">
        <v>0</v>
      </c>
      <c r="E142" s="35"/>
      <c r="F142" s="35" t="s">
        <v>664</v>
      </c>
      <c r="G142" s="37">
        <v>45922</v>
      </c>
      <c r="H142" s="37" t="str">
        <f>INDEX(_xlfn.TEXTSPLIT(mvtst[[#This Row],[QR Suivis]],"_"),1,1)</f>
        <v>CA250637-13</v>
      </c>
      <c r="I142" s="35" t="str">
        <f>_xlfn.TEXTBEFORE(mvtst[[#This Row],[Num Suivis]],"-",,,1)</f>
        <v>CA250637</v>
      </c>
      <c r="J142" s="36">
        <f>SUMIF(mvtst[QR Suivis],mvtst[[#This Row],[QR Suivis]],mvtst[QTE SORTIS])-SUMIF(mvtst[QR Suivis],mvtst[[#This Row],[QR Suivis]],mvtst[QTE RETOUR])</f>
        <v>0</v>
      </c>
      <c r="K142" s="35" t="str">
        <f t="shared" si="2"/>
        <v>Usine</v>
      </c>
      <c r="L142" s="35" t="str">
        <f>_xlfn.XLOOKUP(mvtst[[#This Row],[Sous Traitant]],coordonnee_st[Identification],coordonnee_st[SERVICE],"Non Trouvé")</f>
        <v>Frange</v>
      </c>
      <c r="M142" s="35" t="str">
        <f>INDEX(_xlfn.TEXTSPLIT(mvtst[[#This Row],[QR Suivis]],"_"),1,2)</f>
        <v>All by Fouta</v>
      </c>
      <c r="N142" s="35" t="str">
        <f>INDEX(_xlfn.TEXTSPLIT(mvtst[[#This Row],[QR Suivis]],"_"),1,3)</f>
        <v>Stock</v>
      </c>
      <c r="O142" s="35" t="str">
        <f>INDEX(_xlfn.TEXTSPLIT(mvtst[[#This Row],[QR Suivis]],"_"),1,4)</f>
        <v>EPMA0919-B26-02</v>
      </c>
      <c r="P142" s="35" t="str">
        <f>INDEX(_xlfn.TEXTSPLIT(mvtst[[#This Row],[QR Suivis]],"_"),1,5)</f>
        <v>MARINIERE</v>
      </c>
      <c r="Q142" s="35" t="str">
        <f>_xlfn.TEXTAFTER(mvtst[[#This Row],[QR Suivis]],"_",5)</f>
        <v>0919</v>
      </c>
      <c r="R142" s="84" t="str">
        <f>IF(
   COUNTIFS($A$2:A142,A142,
             $B$2:B142,B142,
             $C$2:C142,C142,
             $D$2:D142,D142,
             $G$2:G142,G142)&gt;1,
   "Doublon",
   "Correcte"
)</f>
        <v>Correcte</v>
      </c>
    </row>
    <row r="143" spans="1:18" x14ac:dyDescent="0.25">
      <c r="A143" s="104" t="s">
        <v>1311</v>
      </c>
      <c r="B143" s="35" t="s">
        <v>712</v>
      </c>
      <c r="C143" s="36">
        <v>0</v>
      </c>
      <c r="D143" s="36">
        <v>16</v>
      </c>
      <c r="E143" s="35"/>
      <c r="F143" s="35" t="s">
        <v>664</v>
      </c>
      <c r="G143" s="37">
        <v>45923</v>
      </c>
      <c r="H143" s="37" t="str">
        <f>INDEX(_xlfn.TEXTSPLIT(mvtst[[#This Row],[QR Suivis]],"_"),1,1)</f>
        <v>OF250128</v>
      </c>
      <c r="I143" s="35" t="str">
        <f>_xlfn.TEXTBEFORE(mvtst[[#This Row],[Num Suivis]],"-",,,1)</f>
        <v>OF250128</v>
      </c>
      <c r="J143" s="36">
        <f>SUMIF(mvtst[QR Suivis],mvtst[[#This Row],[QR Suivis]],mvtst[QTE SORTIS])-SUMIF(mvtst[QR Suivis],mvtst[[#This Row],[QR Suivis]],mvtst[QTE RETOUR])</f>
        <v>0</v>
      </c>
      <c r="K143" s="35" t="str">
        <f t="shared" si="2"/>
        <v>Usine</v>
      </c>
      <c r="L143" s="35" t="str">
        <f>_xlfn.XLOOKUP(mvtst[[#This Row],[Sous Traitant]],coordonnee_st[Identification],coordonnee_st[SERVICE],"Non Trouvé")</f>
        <v>Frange</v>
      </c>
      <c r="M143" s="35" t="str">
        <f>INDEX(_xlfn.TEXTSPLIT(mvtst[[#This Row],[QR Suivis]],"_"),1,2)</f>
        <v>CL00296</v>
      </c>
      <c r="N143" s="35" t="str">
        <f>INDEX(_xlfn.TEXTSPLIT(mvtst[[#This Row],[QR Suivis]],"_"),1,3)</f>
        <v>CM-FT0129</v>
      </c>
      <c r="O143" s="35" t="str">
        <f>INDEX(_xlfn.TEXTSPLIT(mvtst[[#This Row],[QR Suivis]],"_"),1,4)</f>
        <v>NDL1020-B09-14</v>
      </c>
      <c r="P143" s="35" t="str">
        <f>INDEX(_xlfn.TEXTSPLIT(mvtst[[#This Row],[QR Suivis]],"_"),1,5)</f>
        <v>ND LILI</v>
      </c>
      <c r="Q143" s="35" t="str">
        <f>_xlfn.TEXTAFTER(mvtst[[#This Row],[QR Suivis]],"_",5)</f>
        <v>1020</v>
      </c>
      <c r="R143" s="84" t="str">
        <f>IF(
   COUNTIFS($A$2:A143,A143,
             $B$2:B143,B143,
             $C$2:C143,C143,
             $D$2:D143,D143,
             $G$2:G143,G143)&gt;1,
   "Doublon",
   "Correcte"
)</f>
        <v>Correcte</v>
      </c>
    </row>
    <row r="144" spans="1:18" x14ac:dyDescent="0.25">
      <c r="A144" s="104" t="s">
        <v>1311</v>
      </c>
      <c r="B144" s="35" t="s">
        <v>713</v>
      </c>
      <c r="C144" s="36">
        <v>200</v>
      </c>
      <c r="D144" s="36">
        <v>0</v>
      </c>
      <c r="E144" s="35"/>
      <c r="F144" s="35" t="s">
        <v>664</v>
      </c>
      <c r="G144" s="37">
        <v>45923</v>
      </c>
      <c r="H144" s="37" t="str">
        <f>INDEX(_xlfn.TEXTSPLIT(mvtst[[#This Row],[QR Suivis]],"_"),1,1)</f>
        <v>OF250128</v>
      </c>
      <c r="I144" s="35" t="str">
        <f>_xlfn.TEXTBEFORE(mvtst[[#This Row],[Num Suivis]],"-",,,1)</f>
        <v>OF250128</v>
      </c>
      <c r="J144" s="36">
        <f>SUMIF(mvtst[QR Suivis],mvtst[[#This Row],[QR Suivis]],mvtst[QTE SORTIS])-SUMIF(mvtst[QR Suivis],mvtst[[#This Row],[QR Suivis]],mvtst[QTE RETOUR])</f>
        <v>0</v>
      </c>
      <c r="K144" s="35" t="str">
        <f t="shared" si="2"/>
        <v>Usine</v>
      </c>
      <c r="L144" s="35" t="str">
        <f>_xlfn.XLOOKUP(mvtst[[#This Row],[Sous Traitant]],coordonnee_st[Identification],coordonnee_st[SERVICE],"Non Trouvé")</f>
        <v>Couture</v>
      </c>
      <c r="M144" s="35" t="str">
        <f>INDEX(_xlfn.TEXTSPLIT(mvtst[[#This Row],[QR Suivis]],"_"),1,2)</f>
        <v>CL00296</v>
      </c>
      <c r="N144" s="35" t="str">
        <f>INDEX(_xlfn.TEXTSPLIT(mvtst[[#This Row],[QR Suivis]],"_"),1,3)</f>
        <v>CM-FT0129</v>
      </c>
      <c r="O144" s="35" t="str">
        <f>INDEX(_xlfn.TEXTSPLIT(mvtst[[#This Row],[QR Suivis]],"_"),1,4)</f>
        <v>NDL1020-B09-14</v>
      </c>
      <c r="P144" s="35" t="str">
        <f>INDEX(_xlfn.TEXTSPLIT(mvtst[[#This Row],[QR Suivis]],"_"),1,5)</f>
        <v>ND LILI</v>
      </c>
      <c r="Q144" s="35" t="str">
        <f>_xlfn.TEXTAFTER(mvtst[[#This Row],[QR Suivis]],"_",5)</f>
        <v>1020</v>
      </c>
      <c r="R144" s="84" t="str">
        <f>IF(
   COUNTIFS($A$2:A144,A144,
             $B$2:B144,B144,
             $C$2:C144,C144,
             $D$2:D144,D144,
             $G$2:G144,G144)&gt;1,
   "Doublon",
   "Correcte"
)</f>
        <v>Correcte</v>
      </c>
    </row>
    <row r="145" spans="1:18" x14ac:dyDescent="0.25">
      <c r="A145" s="104" t="s">
        <v>1325</v>
      </c>
      <c r="B145" s="35" t="s">
        <v>596</v>
      </c>
      <c r="C145" s="36">
        <v>0</v>
      </c>
      <c r="D145" s="36">
        <v>30</v>
      </c>
      <c r="E145" s="35"/>
      <c r="F145" s="35" t="s">
        <v>664</v>
      </c>
      <c r="G145" s="37">
        <v>45923</v>
      </c>
      <c r="H145" s="37" t="str">
        <f>INDEX(_xlfn.TEXTSPLIT(mvtst[[#This Row],[QR Suivis]],"_"),1,1)</f>
        <v>CA250358</v>
      </c>
      <c r="I145" s="35" t="str">
        <f>_xlfn.TEXTBEFORE(mvtst[[#This Row],[Num Suivis]],"-",,,1)</f>
        <v>CA250358</v>
      </c>
      <c r="J145" s="36">
        <f>SUMIF(mvtst[QR Suivis],mvtst[[#This Row],[QR Suivis]],mvtst[QTE SORTIS])-SUMIF(mvtst[QR Suivis],mvtst[[#This Row],[QR Suivis]],mvtst[QTE RETOUR])</f>
        <v>0</v>
      </c>
      <c r="K145" s="35" t="str">
        <f t="shared" si="2"/>
        <v>Usine</v>
      </c>
      <c r="L145" s="35" t="str">
        <f>_xlfn.XLOOKUP(mvtst[[#This Row],[Sous Traitant]],coordonnee_st[Identification],coordonnee_st[SERVICE],"Non Trouvé")</f>
        <v>Frange</v>
      </c>
      <c r="M145" s="35" t="str">
        <f>INDEX(_xlfn.TEXTSPLIT(mvtst[[#This Row],[QR Suivis]],"_"),1,2)</f>
        <v>All by Fouta</v>
      </c>
      <c r="N145" s="35" t="str">
        <f>INDEX(_xlfn.TEXTSPLIT(mvtst[[#This Row],[QR Suivis]],"_"),1,3)</f>
        <v>Stock</v>
      </c>
      <c r="O145" s="35" t="str">
        <f>INDEX(_xlfn.TEXTSPLIT(mvtst[[#This Row],[QR Suivis]],"_"),1,4)</f>
        <v>BIB1020-T03-02-17</v>
      </c>
      <c r="P145" s="35" t="str">
        <f>INDEX(_xlfn.TEXTSPLIT(mvtst[[#This Row],[QR Suivis]],"_"),1,5)</f>
        <v>BIBI</v>
      </c>
      <c r="Q145" s="35" t="str">
        <f>_xlfn.TEXTAFTER(mvtst[[#This Row],[QR Suivis]],"_",5)</f>
        <v>1020</v>
      </c>
      <c r="R145" s="84" t="str">
        <f>IF(
   COUNTIFS($A$2:A145,A145,
             $B$2:B145,B145,
             $C$2:C145,C145,
             $D$2:D145,D145,
             $G$2:G145,G145)&gt;1,
   "Doublon",
   "Correcte"
)</f>
        <v>Correcte</v>
      </c>
    </row>
    <row r="146" spans="1:18" x14ac:dyDescent="0.25">
      <c r="A146" s="104" t="s">
        <v>1327</v>
      </c>
      <c r="B146" s="35" t="s">
        <v>596</v>
      </c>
      <c r="C146" s="36">
        <v>0</v>
      </c>
      <c r="D146" s="36">
        <v>30</v>
      </c>
      <c r="E146" s="35"/>
      <c r="F146" s="35" t="s">
        <v>664</v>
      </c>
      <c r="G146" s="37">
        <v>45923</v>
      </c>
      <c r="H146" s="37" t="str">
        <f>INDEX(_xlfn.TEXTSPLIT(mvtst[[#This Row],[QR Suivis]],"_"),1,1)</f>
        <v>CA250363</v>
      </c>
      <c r="I146" s="35" t="str">
        <f>_xlfn.TEXTBEFORE(mvtst[[#This Row],[Num Suivis]],"-",,,1)</f>
        <v>CA250363</v>
      </c>
      <c r="J146" s="36">
        <f>SUMIF(mvtst[QR Suivis],mvtst[[#This Row],[QR Suivis]],mvtst[QTE SORTIS])-SUMIF(mvtst[QR Suivis],mvtst[[#This Row],[QR Suivis]],mvtst[QTE RETOUR])</f>
        <v>0</v>
      </c>
      <c r="K146" s="35" t="str">
        <f t="shared" si="2"/>
        <v>Usine</v>
      </c>
      <c r="L146" s="35" t="str">
        <f>_xlfn.XLOOKUP(mvtst[[#This Row],[Sous Traitant]],coordonnee_st[Identification],coordonnee_st[SERVICE],"Non Trouvé")</f>
        <v>Frange</v>
      </c>
      <c r="M146" s="35" t="str">
        <f>INDEX(_xlfn.TEXTSPLIT(mvtst[[#This Row],[QR Suivis]],"_"),1,2)</f>
        <v>All by Fouta</v>
      </c>
      <c r="N146" s="35" t="str">
        <f>INDEX(_xlfn.TEXTSPLIT(mvtst[[#This Row],[QR Suivis]],"_"),1,3)</f>
        <v>Stock</v>
      </c>
      <c r="O146" s="35" t="str">
        <f>INDEX(_xlfn.TEXTSPLIT(mvtst[[#This Row],[QR Suivis]],"_"),1,4)</f>
        <v>BIB1020-T24-01-29</v>
      </c>
      <c r="P146" s="35" t="str">
        <f>INDEX(_xlfn.TEXTSPLIT(mvtst[[#This Row],[QR Suivis]],"_"),1,5)</f>
        <v>BIBI</v>
      </c>
      <c r="Q146" s="35" t="str">
        <f>_xlfn.TEXTAFTER(mvtst[[#This Row],[QR Suivis]],"_",5)</f>
        <v>1020</v>
      </c>
      <c r="R146" s="84" t="str">
        <f>IF(
   COUNTIFS($A$2:A146,A146,
             $B$2:B146,B146,
             $C$2:C146,C146,
             $D$2:D146,D146,
             $G$2:G146,G146)&gt;1,
   "Doublon",
   "Correcte"
)</f>
        <v>Correcte</v>
      </c>
    </row>
    <row r="147" spans="1:18" x14ac:dyDescent="0.25">
      <c r="A147" s="104" t="s">
        <v>1310</v>
      </c>
      <c r="B147" s="35" t="s">
        <v>596</v>
      </c>
      <c r="C147" s="36">
        <v>0</v>
      </c>
      <c r="D147" s="36">
        <v>30</v>
      </c>
      <c r="E147" s="35"/>
      <c r="F147" s="35" t="s">
        <v>664</v>
      </c>
      <c r="G147" s="37">
        <v>45923</v>
      </c>
      <c r="H147" s="37" t="str">
        <f>INDEX(_xlfn.TEXTSPLIT(mvtst[[#This Row],[QR Suivis]],"_"),1,1)</f>
        <v>CA250392</v>
      </c>
      <c r="I147" s="35" t="str">
        <f>_xlfn.TEXTBEFORE(mvtst[[#This Row],[Num Suivis]],"-",,,1)</f>
        <v>CA250392</v>
      </c>
      <c r="J147" s="36">
        <f>SUMIF(mvtst[QR Suivis],mvtst[[#This Row],[QR Suivis]],mvtst[QTE SORTIS])-SUMIF(mvtst[QR Suivis],mvtst[[#This Row],[QR Suivis]],mvtst[QTE RETOUR])</f>
        <v>0</v>
      </c>
      <c r="K147" s="35" t="str">
        <f t="shared" si="2"/>
        <v>Usine</v>
      </c>
      <c r="L147" s="35" t="str">
        <f>_xlfn.XLOOKUP(mvtst[[#This Row],[Sous Traitant]],coordonnee_st[Identification],coordonnee_st[SERVICE],"Non Trouvé")</f>
        <v>Frange</v>
      </c>
      <c r="M147" s="35" t="str">
        <f>INDEX(_xlfn.TEXTSPLIT(mvtst[[#This Row],[QR Suivis]],"_"),1,2)</f>
        <v>All by Fouta</v>
      </c>
      <c r="N147" s="35" t="str">
        <f>INDEX(_xlfn.TEXTSPLIT(mvtst[[#This Row],[QR Suivis]],"_"),1,3)</f>
        <v>Stock</v>
      </c>
      <c r="O147" s="35" t="str">
        <f>INDEX(_xlfn.TEXTSPLIT(mvtst[[#This Row],[QR Suivis]],"_"),1,4)</f>
        <v>BE1020-Q26-13-01</v>
      </c>
      <c r="P147" s="35" t="str">
        <f>INDEX(_xlfn.TEXTSPLIT(mvtst[[#This Row],[QR Suivis]],"_"),1,5)</f>
        <v>BERBER</v>
      </c>
      <c r="Q147" s="35" t="str">
        <f>_xlfn.TEXTAFTER(mvtst[[#This Row],[QR Suivis]],"_",5)</f>
        <v>1020</v>
      </c>
      <c r="R147" s="84" t="str">
        <f>IF(
   COUNTIFS($A$2:A147,A147,
             $B$2:B147,B147,
             $C$2:C147,C147,
             $D$2:D147,D147,
             $G$2:G147,G147)&gt;1,
   "Doublon",
   "Correcte"
)</f>
        <v>Correcte</v>
      </c>
    </row>
    <row r="148" spans="1:18" x14ac:dyDescent="0.25">
      <c r="A148" s="104" t="s">
        <v>1323</v>
      </c>
      <c r="B148" s="35" t="s">
        <v>596</v>
      </c>
      <c r="C148" s="36">
        <v>0</v>
      </c>
      <c r="D148" s="36">
        <v>40</v>
      </c>
      <c r="E148" s="35"/>
      <c r="F148" s="35" t="s">
        <v>664</v>
      </c>
      <c r="G148" s="37">
        <v>45923</v>
      </c>
      <c r="H148" s="37" t="str">
        <f>INDEX(_xlfn.TEXTSPLIT(mvtst[[#This Row],[QR Suivis]],"_"),1,1)</f>
        <v>CA250393</v>
      </c>
      <c r="I148" s="35" t="str">
        <f>_xlfn.TEXTBEFORE(mvtst[[#This Row],[Num Suivis]],"-",,,1)</f>
        <v>CA250393</v>
      </c>
      <c r="J148" s="36">
        <f>SUMIF(mvtst[QR Suivis],mvtst[[#This Row],[QR Suivis]],mvtst[QTE SORTIS])-SUMIF(mvtst[QR Suivis],mvtst[[#This Row],[QR Suivis]],mvtst[QTE RETOUR])</f>
        <v>0</v>
      </c>
      <c r="K148" s="35" t="str">
        <f t="shared" si="2"/>
        <v>Usine</v>
      </c>
      <c r="L148" s="35" t="str">
        <f>_xlfn.XLOOKUP(mvtst[[#This Row],[Sous Traitant]],coordonnee_st[Identification],coordonnee_st[SERVICE],"Non Trouvé")</f>
        <v>Frange</v>
      </c>
      <c r="M148" s="35" t="str">
        <f>INDEX(_xlfn.TEXTSPLIT(mvtst[[#This Row],[QR Suivis]],"_"),1,2)</f>
        <v>All by Fouta</v>
      </c>
      <c r="N148" s="35" t="str">
        <f>INDEX(_xlfn.TEXTSPLIT(mvtst[[#This Row],[QR Suivis]],"_"),1,3)</f>
        <v>Stock</v>
      </c>
      <c r="O148" s="35" t="str">
        <f>INDEX(_xlfn.TEXTSPLIT(mvtst[[#This Row],[QR Suivis]],"_"),1,4)</f>
        <v>BE1020-Q04-20-01</v>
      </c>
      <c r="P148" s="35" t="str">
        <f>INDEX(_xlfn.TEXTSPLIT(mvtst[[#This Row],[QR Suivis]],"_"),1,5)</f>
        <v>BERBER</v>
      </c>
      <c r="Q148" s="35" t="str">
        <f>_xlfn.TEXTAFTER(mvtst[[#This Row],[QR Suivis]],"_",5)</f>
        <v>1020</v>
      </c>
      <c r="R148" s="84" t="str">
        <f>IF(
   COUNTIFS($A$2:A148,A148,
             $B$2:B148,B148,
             $C$2:C148,C148,
             $D$2:D148,D148,
             $G$2:G148,G148)&gt;1,
   "Doublon",
   "Correcte"
)</f>
        <v>Correcte</v>
      </c>
    </row>
    <row r="149" spans="1:18" x14ac:dyDescent="0.25">
      <c r="A149" s="104" t="s">
        <v>1324</v>
      </c>
      <c r="B149" s="35" t="s">
        <v>596</v>
      </c>
      <c r="C149" s="36">
        <v>0</v>
      </c>
      <c r="D149" s="36">
        <v>30</v>
      </c>
      <c r="E149" s="35"/>
      <c r="F149" s="35" t="s">
        <v>664</v>
      </c>
      <c r="G149" s="37">
        <v>45923</v>
      </c>
      <c r="H149" s="37" t="str">
        <f>INDEX(_xlfn.TEXTSPLIT(mvtst[[#This Row],[QR Suivis]],"_"),1,1)</f>
        <v>CA250362</v>
      </c>
      <c r="I149" s="35" t="str">
        <f>_xlfn.TEXTBEFORE(mvtst[[#This Row],[Num Suivis]],"-",,,1)</f>
        <v>CA250362</v>
      </c>
      <c r="J149" s="36">
        <f>SUMIF(mvtst[QR Suivis],mvtst[[#This Row],[QR Suivis]],mvtst[QTE SORTIS])-SUMIF(mvtst[QR Suivis],mvtst[[#This Row],[QR Suivis]],mvtst[QTE RETOUR])</f>
        <v>0</v>
      </c>
      <c r="K149" s="35" t="str">
        <f t="shared" si="2"/>
        <v>Usine</v>
      </c>
      <c r="L149" s="35" t="str">
        <f>_xlfn.XLOOKUP(mvtst[[#This Row],[Sous Traitant]],coordonnee_st[Identification],coordonnee_st[SERVICE],"Non Trouvé")</f>
        <v>Frange</v>
      </c>
      <c r="M149" s="35" t="str">
        <f>INDEX(_xlfn.TEXTSPLIT(mvtst[[#This Row],[QR Suivis]],"_"),1,2)</f>
        <v>All by Fouta</v>
      </c>
      <c r="N149" s="35" t="str">
        <f>INDEX(_xlfn.TEXTSPLIT(mvtst[[#This Row],[QR Suivis]],"_"),1,3)</f>
        <v>Stock</v>
      </c>
      <c r="O149" s="35" t="str">
        <f>INDEX(_xlfn.TEXTSPLIT(mvtst[[#This Row],[QR Suivis]],"_"),1,4)</f>
        <v>BIB1020-T17-02-10</v>
      </c>
      <c r="P149" s="35" t="str">
        <f>INDEX(_xlfn.TEXTSPLIT(mvtst[[#This Row],[QR Suivis]],"_"),1,5)</f>
        <v>BIBI</v>
      </c>
      <c r="Q149" s="35" t="str">
        <f>_xlfn.TEXTAFTER(mvtst[[#This Row],[QR Suivis]],"_",5)</f>
        <v>1020</v>
      </c>
      <c r="R149" s="84" t="str">
        <f>IF(
   COUNTIFS($A$2:A149,A149,
             $B$2:B149,B149,
             $C$2:C149,C149,
             $D$2:D149,D149,
             $G$2:G149,G149)&gt;1,
   "Doublon",
   "Correcte"
)</f>
        <v>Correcte</v>
      </c>
    </row>
    <row r="150" spans="1:18" x14ac:dyDescent="0.25">
      <c r="A150" s="104" t="s">
        <v>1326</v>
      </c>
      <c r="B150" s="35" t="s">
        <v>596</v>
      </c>
      <c r="C150" s="36">
        <v>0</v>
      </c>
      <c r="D150" s="36">
        <v>5</v>
      </c>
      <c r="E150" s="35"/>
      <c r="F150" s="35" t="s">
        <v>664</v>
      </c>
      <c r="G150" s="37">
        <v>45923</v>
      </c>
      <c r="H150" s="37" t="str">
        <f>INDEX(_xlfn.TEXTSPLIT(mvtst[[#This Row],[QR Suivis]],"_"),1,1)</f>
        <v>CA250365</v>
      </c>
      <c r="I150" s="35" t="str">
        <f>_xlfn.TEXTBEFORE(mvtst[[#This Row],[Num Suivis]],"-",,,1)</f>
        <v>CA250365</v>
      </c>
      <c r="J150" s="36">
        <f>SUMIF(mvtst[QR Suivis],mvtst[[#This Row],[QR Suivis]],mvtst[QTE SORTIS])-SUMIF(mvtst[QR Suivis],mvtst[[#This Row],[QR Suivis]],mvtst[QTE RETOUR])</f>
        <v>0</v>
      </c>
      <c r="K150" s="35" t="str">
        <f t="shared" si="2"/>
        <v>Usine</v>
      </c>
      <c r="L150" s="35" t="str">
        <f>_xlfn.XLOOKUP(mvtst[[#This Row],[Sous Traitant]],coordonnee_st[Identification],coordonnee_st[SERVICE],"Non Trouvé")</f>
        <v>Frange</v>
      </c>
      <c r="M150" s="35" t="str">
        <f>INDEX(_xlfn.TEXTSPLIT(mvtst[[#This Row],[QR Suivis]],"_"),1,2)</f>
        <v>All by Fouta</v>
      </c>
      <c r="N150" s="35" t="str">
        <f>INDEX(_xlfn.TEXTSPLIT(mvtst[[#This Row],[QR Suivis]],"_"),1,3)</f>
        <v>Stock</v>
      </c>
      <c r="O150" s="35" t="str">
        <f>INDEX(_xlfn.TEXTSPLIT(mvtst[[#This Row],[QR Suivis]],"_"),1,4)</f>
        <v>BIB1020-T20-01-24</v>
      </c>
      <c r="P150" s="35" t="str">
        <f>INDEX(_xlfn.TEXTSPLIT(mvtst[[#This Row],[QR Suivis]],"_"),1,5)</f>
        <v>BIBI</v>
      </c>
      <c r="Q150" s="35" t="str">
        <f>_xlfn.TEXTAFTER(mvtst[[#This Row],[QR Suivis]],"_",5)</f>
        <v>1020</v>
      </c>
      <c r="R150" s="84" t="str">
        <f>IF(
   COUNTIFS($A$2:A150,A150,
             $B$2:B150,B150,
             $C$2:C150,C150,
             $D$2:D150,D150,
             $G$2:G150,G150)&gt;1,
   "Doublon",
   "Correcte"
)</f>
        <v>Correcte</v>
      </c>
    </row>
    <row r="151" spans="1:18" x14ac:dyDescent="0.25">
      <c r="A151" s="104" t="s">
        <v>1306</v>
      </c>
      <c r="B151" s="35" t="s">
        <v>712</v>
      </c>
      <c r="C151" s="36">
        <v>0</v>
      </c>
      <c r="D151" s="36">
        <v>10</v>
      </c>
      <c r="E151" s="35"/>
      <c r="F151" s="35" t="s">
        <v>664</v>
      </c>
      <c r="G151" s="37">
        <v>45923</v>
      </c>
      <c r="H151" s="37" t="str">
        <f>INDEX(_xlfn.TEXTSPLIT(mvtst[[#This Row],[QR Suivis]],"_"),1,1)</f>
        <v>CA250068</v>
      </c>
      <c r="I151" s="35" t="str">
        <f>_xlfn.TEXTBEFORE(mvtst[[#This Row],[Num Suivis]],"-",,,1)</f>
        <v>CA250068</v>
      </c>
      <c r="J151" s="36">
        <f>SUMIF(mvtst[QR Suivis],mvtst[[#This Row],[QR Suivis]],mvtst[QTE SORTIS])-SUMIF(mvtst[QR Suivis],mvtst[[#This Row],[QR Suivis]],mvtst[QTE RETOUR])</f>
        <v>0</v>
      </c>
      <c r="K151" s="35" t="str">
        <f t="shared" si="2"/>
        <v>Usine</v>
      </c>
      <c r="L151" s="35" t="str">
        <f>_xlfn.XLOOKUP(mvtst[[#This Row],[Sous Traitant]],coordonnee_st[Identification],coordonnee_st[SERVICE],"Non Trouvé")</f>
        <v>Frange</v>
      </c>
      <c r="M151" s="35" t="str">
        <f>INDEX(_xlfn.TEXTSPLIT(mvtst[[#This Row],[QR Suivis]],"_"),1,2)</f>
        <v>All by Fouta</v>
      </c>
      <c r="N151" s="35" t="str">
        <f>INDEX(_xlfn.TEXTSPLIT(mvtst[[#This Row],[QR Suivis]],"_"),1,3)</f>
        <v>Stock</v>
      </c>
      <c r="O151" s="35" t="str">
        <f>INDEX(_xlfn.TEXTSPLIT(mvtst[[#This Row],[QR Suivis]],"_"),1,4)</f>
        <v>UNS2030-15</v>
      </c>
      <c r="P151" s="35" t="str">
        <f>INDEX(_xlfn.TEXTSPLIT(mvtst[[#This Row],[QR Suivis]],"_"),1,5)</f>
        <v>UNI SURPIQUE</v>
      </c>
      <c r="Q151" s="35" t="str">
        <f>_xlfn.TEXTAFTER(mvtst[[#This Row],[QR Suivis]],"_",5)</f>
        <v>2030</v>
      </c>
      <c r="R151" s="84" t="str">
        <f>IF(
   COUNTIFS($A$2:A151,A151,
             $B$2:B151,B151,
             $C$2:C151,C151,
             $D$2:D151,D151,
             $G$2:G151,G151)&gt;1,
   "Doublon",
   "Correcte"
)</f>
        <v>Correcte</v>
      </c>
    </row>
    <row r="152" spans="1:18" x14ac:dyDescent="0.25">
      <c r="A152" s="104" t="s">
        <v>1380</v>
      </c>
      <c r="B152" s="35" t="s">
        <v>712</v>
      </c>
      <c r="C152" s="36">
        <v>0</v>
      </c>
      <c r="D152" s="36">
        <v>4</v>
      </c>
      <c r="E152" s="35"/>
      <c r="F152" s="35" t="s">
        <v>664</v>
      </c>
      <c r="G152" s="37">
        <v>45923</v>
      </c>
      <c r="H152" s="37" t="str">
        <f>INDEX(_xlfn.TEXTSPLIT(mvtst[[#This Row],[QR Suivis]],"_"),1,1)</f>
        <v>CA250064-4</v>
      </c>
      <c r="I152" s="35" t="str">
        <f>_xlfn.TEXTBEFORE(mvtst[[#This Row],[Num Suivis]],"-",,,1)</f>
        <v>CA250064</v>
      </c>
      <c r="J152" s="36">
        <f>SUMIF(mvtst[QR Suivis],mvtst[[#This Row],[QR Suivis]],mvtst[QTE SORTIS])-SUMIF(mvtst[QR Suivis],mvtst[[#This Row],[QR Suivis]],mvtst[QTE RETOUR])</f>
        <v>0</v>
      </c>
      <c r="K152" s="35" t="str">
        <f t="shared" si="2"/>
        <v>Usine</v>
      </c>
      <c r="L152" s="35" t="str">
        <f>_xlfn.XLOOKUP(mvtst[[#This Row],[Sous Traitant]],coordonnee_st[Identification],coordonnee_st[SERVICE],"Non Trouvé")</f>
        <v>Frange</v>
      </c>
      <c r="M152" s="35" t="str">
        <f>INDEX(_xlfn.TEXTSPLIT(mvtst[[#This Row],[QR Suivis]],"_"),1,2)</f>
        <v>All by Fouta</v>
      </c>
      <c r="N152" s="35" t="str">
        <f>INDEX(_xlfn.TEXTSPLIT(mvtst[[#This Row],[QR Suivis]],"_"),1,3)</f>
        <v>Stock</v>
      </c>
      <c r="O152" s="35" t="str">
        <f>INDEX(_xlfn.TEXTSPLIT(mvtst[[#This Row],[QR Suivis]],"_"),1,4)</f>
        <v>UNS2030-09</v>
      </c>
      <c r="P152" s="35" t="str">
        <f>INDEX(_xlfn.TEXTSPLIT(mvtst[[#This Row],[QR Suivis]],"_"),1,5)</f>
        <v>UNI SURPIQUE</v>
      </c>
      <c r="Q152" s="35" t="str">
        <f>_xlfn.TEXTAFTER(mvtst[[#This Row],[QR Suivis]],"_",5)</f>
        <v>2030</v>
      </c>
      <c r="R152" s="84" t="str">
        <f>IF(
   COUNTIFS($A$2:A152,A152,
             $B$2:B152,B152,
             $C$2:C152,C152,
             $D$2:D152,D152,
             $G$2:G152,G152)&gt;1,
   "Doublon",
   "Correcte"
)</f>
        <v>Correcte</v>
      </c>
    </row>
    <row r="153" spans="1:18" x14ac:dyDescent="0.25">
      <c r="A153" s="104" t="s">
        <v>1321</v>
      </c>
      <c r="B153" s="35" t="s">
        <v>712</v>
      </c>
      <c r="C153" s="36">
        <v>0</v>
      </c>
      <c r="D153" s="36">
        <v>10</v>
      </c>
      <c r="E153" s="35"/>
      <c r="F153" s="35" t="s">
        <v>664</v>
      </c>
      <c r="G153" s="37">
        <v>45923</v>
      </c>
      <c r="H153" s="37" t="str">
        <f>INDEX(_xlfn.TEXTSPLIT(mvtst[[#This Row],[QR Suivis]],"_"),1,1)</f>
        <v>CA250062</v>
      </c>
      <c r="I153" s="35" t="str">
        <f>_xlfn.TEXTBEFORE(mvtst[[#This Row],[Num Suivis]],"-",,,1)</f>
        <v>CA250062</v>
      </c>
      <c r="J153" s="36">
        <f>SUMIF(mvtst[QR Suivis],mvtst[[#This Row],[QR Suivis]],mvtst[QTE SORTIS])-SUMIF(mvtst[QR Suivis],mvtst[[#This Row],[QR Suivis]],mvtst[QTE RETOUR])</f>
        <v>0</v>
      </c>
      <c r="K153" s="35" t="str">
        <f t="shared" si="2"/>
        <v>Usine</v>
      </c>
      <c r="L153" s="35" t="str">
        <f>_xlfn.XLOOKUP(mvtst[[#This Row],[Sous Traitant]],coordonnee_st[Identification],coordonnee_st[SERVICE],"Non Trouvé")</f>
        <v>Frange</v>
      </c>
      <c r="M153" s="35" t="str">
        <f>INDEX(_xlfn.TEXTSPLIT(mvtst[[#This Row],[QR Suivis]],"_"),1,2)</f>
        <v>All by Fouta</v>
      </c>
      <c r="N153" s="35" t="str">
        <f>INDEX(_xlfn.TEXTSPLIT(mvtst[[#This Row],[QR Suivis]],"_"),1,3)</f>
        <v>Stock</v>
      </c>
      <c r="O153" s="35" t="str">
        <f>INDEX(_xlfn.TEXTSPLIT(mvtst[[#This Row],[QR Suivis]],"_"),1,4)</f>
        <v>UNS2030-04</v>
      </c>
      <c r="P153" s="35" t="str">
        <f>INDEX(_xlfn.TEXTSPLIT(mvtst[[#This Row],[QR Suivis]],"_"),1,5)</f>
        <v>UNI SURPIQUE</v>
      </c>
      <c r="Q153" s="35" t="str">
        <f>_xlfn.TEXTAFTER(mvtst[[#This Row],[QR Suivis]],"_",5)</f>
        <v>2030</v>
      </c>
      <c r="R153" s="84" t="str">
        <f>IF(
   COUNTIFS($A$2:A153,A153,
             $B$2:B153,B153,
             $C$2:C153,C153,
             $D$2:D153,D153,
             $G$2:G153,G153)&gt;1,
   "Doublon",
   "Correcte"
)</f>
        <v>Correcte</v>
      </c>
    </row>
    <row r="154" spans="1:18" x14ac:dyDescent="0.25">
      <c r="A154" s="104" t="s">
        <v>1303</v>
      </c>
      <c r="B154" s="35" t="s">
        <v>712</v>
      </c>
      <c r="C154" s="36">
        <v>0</v>
      </c>
      <c r="D154" s="36">
        <v>5</v>
      </c>
      <c r="E154" s="35"/>
      <c r="F154" s="35" t="s">
        <v>664</v>
      </c>
      <c r="G154" s="37">
        <v>45923</v>
      </c>
      <c r="H154" s="37" t="str">
        <f>INDEX(_xlfn.TEXTSPLIT(mvtst[[#This Row],[QR Suivis]],"_"),1,1)</f>
        <v>CA250070</v>
      </c>
      <c r="I154" s="35" t="str">
        <f>_xlfn.TEXTBEFORE(mvtst[[#This Row],[Num Suivis]],"-",,,1)</f>
        <v>CA250070</v>
      </c>
      <c r="J154" s="36">
        <f>SUMIF(mvtst[QR Suivis],mvtst[[#This Row],[QR Suivis]],mvtst[QTE SORTIS])-SUMIF(mvtst[QR Suivis],mvtst[[#This Row],[QR Suivis]],mvtst[QTE RETOUR])</f>
        <v>0</v>
      </c>
      <c r="K154" s="35" t="str">
        <f t="shared" si="2"/>
        <v>Usine</v>
      </c>
      <c r="L154" s="35" t="str">
        <f>_xlfn.XLOOKUP(mvtst[[#This Row],[Sous Traitant]],coordonnee_st[Identification],coordonnee_st[SERVICE],"Non Trouvé")</f>
        <v>Frange</v>
      </c>
      <c r="M154" s="35" t="str">
        <f>INDEX(_xlfn.TEXTSPLIT(mvtst[[#This Row],[QR Suivis]],"_"),1,2)</f>
        <v>All by Fouta</v>
      </c>
      <c r="N154" s="35" t="str">
        <f>INDEX(_xlfn.TEXTSPLIT(mvtst[[#This Row],[QR Suivis]],"_"),1,3)</f>
        <v>Stock</v>
      </c>
      <c r="O154" s="35" t="str">
        <f>INDEX(_xlfn.TEXTSPLIT(mvtst[[#This Row],[QR Suivis]],"_"),1,4)</f>
        <v>UNS2030-18</v>
      </c>
      <c r="P154" s="35" t="str">
        <f>INDEX(_xlfn.TEXTSPLIT(mvtst[[#This Row],[QR Suivis]],"_"),1,5)</f>
        <v>UNI SURPIQUE</v>
      </c>
      <c r="Q154" s="35" t="str">
        <f>_xlfn.TEXTAFTER(mvtst[[#This Row],[QR Suivis]],"_",5)</f>
        <v>2030</v>
      </c>
      <c r="R154" s="84" t="str">
        <f>IF(
   COUNTIFS($A$2:A154,A154,
             $B$2:B154,B154,
             $C$2:C154,C154,
             $D$2:D154,D154,
             $G$2:G154,G154)&gt;1,
   "Doublon",
   "Correcte"
)</f>
        <v>Correcte</v>
      </c>
    </row>
    <row r="155" spans="1:18" x14ac:dyDescent="0.25">
      <c r="A155" s="104" t="s">
        <v>1390</v>
      </c>
      <c r="B155" s="35" t="s">
        <v>712</v>
      </c>
      <c r="C155" s="36">
        <v>0</v>
      </c>
      <c r="D155" s="36">
        <v>10</v>
      </c>
      <c r="E155" s="35"/>
      <c r="F155" s="35" t="s">
        <v>664</v>
      </c>
      <c r="G155" s="37">
        <v>45923</v>
      </c>
      <c r="H155" s="37" t="str">
        <f>INDEX(_xlfn.TEXTSPLIT(mvtst[[#This Row],[QR Suivis]],"_"),1,1)</f>
        <v>OF242493</v>
      </c>
      <c r="I155" s="35" t="str">
        <f>_xlfn.TEXTBEFORE(mvtst[[#This Row],[Num Suivis]],"-",,,1)</f>
        <v>OF242493</v>
      </c>
      <c r="J155" s="36">
        <f>SUMIF(mvtst[QR Suivis],mvtst[[#This Row],[QR Suivis]],mvtst[QTE SORTIS])-SUMIF(mvtst[QR Suivis],mvtst[[#This Row],[QR Suivis]],mvtst[QTE RETOUR])</f>
        <v>0</v>
      </c>
      <c r="K155" s="35" t="str">
        <f t="shared" si="2"/>
        <v>Usine</v>
      </c>
      <c r="L155" s="35" t="str">
        <f>_xlfn.XLOOKUP(mvtst[[#This Row],[Sous Traitant]],coordonnee_st[Identification],coordonnee_st[SERVICE],"Non Trouvé")</f>
        <v>Frange</v>
      </c>
      <c r="M155" s="35" t="str">
        <f>INDEX(_xlfn.TEXTSPLIT(mvtst[[#This Row],[QR Suivis]],"_"),1,2)</f>
        <v>CL00833</v>
      </c>
      <c r="N155" s="35" t="str">
        <f>INDEX(_xlfn.TEXTSPLIT(mvtst[[#This Row],[QR Suivis]],"_"),1,3)</f>
        <v>ABF-CM90226</v>
      </c>
      <c r="O155" s="35" t="str">
        <f>INDEX(_xlfn.TEXTSPLIT(mvtst[[#This Row],[QR Suivis]],"_"),1,4)</f>
        <v>AR2426-B23-01</v>
      </c>
      <c r="P155" s="35" t="str">
        <f>INDEX(_xlfn.TEXTSPLIT(mvtst[[#This Row],[QR Suivis]],"_"),1,5)</f>
        <v>ARTHUR</v>
      </c>
      <c r="Q155" s="35" t="str">
        <f>_xlfn.TEXTAFTER(mvtst[[#This Row],[QR Suivis]],"_",5)</f>
        <v>2426</v>
      </c>
      <c r="R155" s="84" t="str">
        <f>IF(
   COUNTIFS($A$2:A155,A155,
             $B$2:B155,B155,
             $C$2:C155,C155,
             $D$2:D155,D155,
             $G$2:G155,G155)&gt;1,
   "Doublon",
   "Correcte"
)</f>
        <v>Correcte</v>
      </c>
    </row>
    <row r="156" spans="1:18" x14ac:dyDescent="0.25">
      <c r="A156" s="104" t="s">
        <v>1312</v>
      </c>
      <c r="B156" s="35" t="s">
        <v>712</v>
      </c>
      <c r="C156" s="36">
        <v>0</v>
      </c>
      <c r="D156" s="36">
        <v>15</v>
      </c>
      <c r="E156" s="35"/>
      <c r="F156" s="35" t="s">
        <v>664</v>
      </c>
      <c r="G156" s="37">
        <v>45923</v>
      </c>
      <c r="H156" s="37" t="str">
        <f>INDEX(_xlfn.TEXTSPLIT(mvtst[[#This Row],[QR Suivis]],"_"),1,1)</f>
        <v>CA250075</v>
      </c>
      <c r="I156" s="35" t="str">
        <f>_xlfn.TEXTBEFORE(mvtst[[#This Row],[Num Suivis]],"-",,,1)</f>
        <v>CA250075</v>
      </c>
      <c r="J156" s="36">
        <f>SUMIF(mvtst[QR Suivis],mvtst[[#This Row],[QR Suivis]],mvtst[QTE SORTIS])-SUMIF(mvtst[QR Suivis],mvtst[[#This Row],[QR Suivis]],mvtst[QTE RETOUR])</f>
        <v>0</v>
      </c>
      <c r="K156" s="35" t="str">
        <f t="shared" si="2"/>
        <v>Usine</v>
      </c>
      <c r="L156" s="35" t="str">
        <f>_xlfn.XLOOKUP(mvtst[[#This Row],[Sous Traitant]],coordonnee_st[Identification],coordonnee_st[SERVICE],"Non Trouvé")</f>
        <v>Frange</v>
      </c>
      <c r="M156" s="35" t="str">
        <f>INDEX(_xlfn.TEXTSPLIT(mvtst[[#This Row],[QR Suivis]],"_"),1,2)</f>
        <v>All by Fouta</v>
      </c>
      <c r="N156" s="35" t="str">
        <f>INDEX(_xlfn.TEXTSPLIT(mvtst[[#This Row],[QR Suivis]],"_"),1,3)</f>
        <v>Stock</v>
      </c>
      <c r="O156" s="35" t="str">
        <f>INDEX(_xlfn.TEXTSPLIT(mvtst[[#This Row],[QR Suivis]],"_"),1,4)</f>
        <v>UNS2030-26</v>
      </c>
      <c r="P156" s="35" t="str">
        <f>INDEX(_xlfn.TEXTSPLIT(mvtst[[#This Row],[QR Suivis]],"_"),1,5)</f>
        <v>UNI SURPIQUE</v>
      </c>
      <c r="Q156" s="35" t="str">
        <f>_xlfn.TEXTAFTER(mvtst[[#This Row],[QR Suivis]],"_",5)</f>
        <v>2030</v>
      </c>
      <c r="R156" s="84" t="str">
        <f>IF(
   COUNTIFS($A$2:A156,A156,
             $B$2:B156,B156,
             $C$2:C156,C156,
             $D$2:D156,D156,
             $G$2:G156,G156)&gt;1,
   "Doublon",
   "Correcte"
)</f>
        <v>Correcte</v>
      </c>
    </row>
    <row r="157" spans="1:18" x14ac:dyDescent="0.25">
      <c r="A157" s="104" t="s">
        <v>1301</v>
      </c>
      <c r="B157" s="35" t="s">
        <v>712</v>
      </c>
      <c r="C157" s="36">
        <v>0</v>
      </c>
      <c r="D157" s="36">
        <v>20</v>
      </c>
      <c r="E157" s="35"/>
      <c r="F157" s="35" t="s">
        <v>664</v>
      </c>
      <c r="G157" s="37">
        <v>45923</v>
      </c>
      <c r="H157" s="37" t="str">
        <f>INDEX(_xlfn.TEXTSPLIT(mvtst[[#This Row],[QR Suivis]],"_"),1,1)</f>
        <v>CA250069</v>
      </c>
      <c r="I157" s="35" t="str">
        <f>_xlfn.TEXTBEFORE(mvtst[[#This Row],[Num Suivis]],"-",,,1)</f>
        <v>CA250069</v>
      </c>
      <c r="J157" s="36">
        <f>SUMIF(mvtst[QR Suivis],mvtst[[#This Row],[QR Suivis]],mvtst[QTE SORTIS])-SUMIF(mvtst[QR Suivis],mvtst[[#This Row],[QR Suivis]],mvtst[QTE RETOUR])</f>
        <v>0</v>
      </c>
      <c r="K157" s="35" t="str">
        <f t="shared" si="2"/>
        <v>Usine</v>
      </c>
      <c r="L157" s="35" t="str">
        <f>_xlfn.XLOOKUP(mvtst[[#This Row],[Sous Traitant]],coordonnee_st[Identification],coordonnee_st[SERVICE],"Non Trouvé")</f>
        <v>Frange</v>
      </c>
      <c r="M157" s="35" t="str">
        <f>INDEX(_xlfn.TEXTSPLIT(mvtst[[#This Row],[QR Suivis]],"_"),1,2)</f>
        <v>All by Fouta</v>
      </c>
      <c r="N157" s="35" t="str">
        <f>INDEX(_xlfn.TEXTSPLIT(mvtst[[#This Row],[QR Suivis]],"_"),1,3)</f>
        <v>Stock</v>
      </c>
      <c r="O157" s="35" t="str">
        <f>INDEX(_xlfn.TEXTSPLIT(mvtst[[#This Row],[QR Suivis]],"_"),1,4)</f>
        <v>UNS2030-17</v>
      </c>
      <c r="P157" s="35" t="str">
        <f>INDEX(_xlfn.TEXTSPLIT(mvtst[[#This Row],[QR Suivis]],"_"),1,5)</f>
        <v>UNI SURPIQUE</v>
      </c>
      <c r="Q157" s="35" t="str">
        <f>_xlfn.TEXTAFTER(mvtst[[#This Row],[QR Suivis]],"_",5)</f>
        <v>2030</v>
      </c>
      <c r="R157" s="84" t="str">
        <f>IF(
   COUNTIFS($A$2:A157,A157,
             $B$2:B157,B157,
             $C$2:C157,C157,
             $D$2:D157,D157,
             $G$2:G157,G157)&gt;1,
   "Doublon",
   "Correcte"
)</f>
        <v>Correcte</v>
      </c>
    </row>
    <row r="158" spans="1:18" x14ac:dyDescent="0.25">
      <c r="A158" s="104" t="s">
        <v>1387</v>
      </c>
      <c r="B158" s="35" t="s">
        <v>712</v>
      </c>
      <c r="C158" s="36">
        <v>0</v>
      </c>
      <c r="D158" s="36">
        <v>6</v>
      </c>
      <c r="E158" s="35"/>
      <c r="F158" s="35" t="s">
        <v>664</v>
      </c>
      <c r="G158" s="37">
        <v>45923</v>
      </c>
      <c r="H158" s="37" t="str">
        <f>INDEX(_xlfn.TEXTSPLIT(mvtst[[#This Row],[QR Suivis]],"_"),1,1)</f>
        <v>OF246840</v>
      </c>
      <c r="I158" s="35" t="str">
        <f>_xlfn.TEXTBEFORE(mvtst[[#This Row],[Num Suivis]],"-",,,1)</f>
        <v>OF246840</v>
      </c>
      <c r="J158" s="36">
        <f>SUMIF(mvtst[QR Suivis],mvtst[[#This Row],[QR Suivis]],mvtst[QTE SORTIS])-SUMIF(mvtst[QR Suivis],mvtst[[#This Row],[QR Suivis]],mvtst[QTE RETOUR])</f>
        <v>0</v>
      </c>
      <c r="K158" s="35" t="str">
        <f t="shared" si="2"/>
        <v>Usine</v>
      </c>
      <c r="L158" s="35" t="str">
        <f>_xlfn.XLOOKUP(mvtst[[#This Row],[Sous Traitant]],coordonnee_st[Identification],coordonnee_st[SERVICE],"Non Trouvé")</f>
        <v>Frange</v>
      </c>
      <c r="M158" s="35" t="str">
        <f>INDEX(_xlfn.TEXTSPLIT(mvtst[[#This Row],[QR Suivis]],"_"),1,2)</f>
        <v>CL00300</v>
      </c>
      <c r="N158" s="35" t="str">
        <f>INDEX(_xlfn.TEXTSPLIT(mvtst[[#This Row],[QR Suivis]],"_"),1,3)</f>
        <v>CM-FT0116</v>
      </c>
      <c r="O158" s="35" t="str">
        <f>INDEX(_xlfn.TEXTSPLIT(mvtst[[#This Row],[QR Suivis]],"_"),1,4)</f>
        <v>AR2030-B11-25</v>
      </c>
      <c r="P158" s="35" t="str">
        <f>INDEX(_xlfn.TEXTSPLIT(mvtst[[#This Row],[QR Suivis]],"_"),1,5)</f>
        <v>ARTHUR</v>
      </c>
      <c r="Q158" s="35" t="str">
        <f>_xlfn.TEXTAFTER(mvtst[[#This Row],[QR Suivis]],"_",5)</f>
        <v>2030</v>
      </c>
      <c r="R158" s="84" t="str">
        <f>IF(
   COUNTIFS($A$2:A158,A158,
             $B$2:B158,B158,
             $C$2:C158,C158,
             $D$2:D158,D158,
             $G$2:G158,G158)&gt;1,
   "Doublon",
   "Correcte"
)</f>
        <v>Correcte</v>
      </c>
    </row>
    <row r="159" spans="1:18" x14ac:dyDescent="0.25">
      <c r="A159" s="104" t="s">
        <v>1392</v>
      </c>
      <c r="B159" s="35" t="s">
        <v>712</v>
      </c>
      <c r="C159" s="36">
        <v>0</v>
      </c>
      <c r="D159" s="36">
        <v>5</v>
      </c>
      <c r="E159" s="35"/>
      <c r="F159" s="35" t="s">
        <v>664</v>
      </c>
      <c r="G159" s="37">
        <v>45923</v>
      </c>
      <c r="H159" s="37" t="str">
        <f>INDEX(_xlfn.TEXTSPLIT(mvtst[[#This Row],[QR Suivis]],"_"),1,1)</f>
        <v>OF246834</v>
      </c>
      <c r="I159" s="35" t="str">
        <f>_xlfn.TEXTBEFORE(mvtst[[#This Row],[Num Suivis]],"-",,,1)</f>
        <v>OF246834</v>
      </c>
      <c r="J159" s="36">
        <f>SUMIF(mvtst[QR Suivis],mvtst[[#This Row],[QR Suivis]],mvtst[QTE SORTIS])-SUMIF(mvtst[QR Suivis],mvtst[[#This Row],[QR Suivis]],mvtst[QTE RETOUR])</f>
        <v>0</v>
      </c>
      <c r="K159" s="35" t="str">
        <f t="shared" si="2"/>
        <v>Usine</v>
      </c>
      <c r="L159" s="35" t="str">
        <f>_xlfn.XLOOKUP(mvtst[[#This Row],[Sous Traitant]],coordonnee_st[Identification],coordonnee_st[SERVICE],"Non Trouvé")</f>
        <v>Frange</v>
      </c>
      <c r="M159" s="35" t="str">
        <f>INDEX(_xlfn.TEXTSPLIT(mvtst[[#This Row],[QR Suivis]],"_"),1,2)</f>
        <v>CL00300</v>
      </c>
      <c r="N159" s="35" t="str">
        <f>INDEX(_xlfn.TEXTSPLIT(mvtst[[#This Row],[QR Suivis]],"_"),1,3)</f>
        <v>CM-FT0116</v>
      </c>
      <c r="O159" s="35" t="str">
        <f>INDEX(_xlfn.TEXTSPLIT(mvtst[[#This Row],[QR Suivis]],"_"),1,4)</f>
        <v>AR2030-B14-01</v>
      </c>
      <c r="P159" s="35" t="str">
        <f>INDEX(_xlfn.TEXTSPLIT(mvtst[[#This Row],[QR Suivis]],"_"),1,5)</f>
        <v>ARTHUR</v>
      </c>
      <c r="Q159" s="35" t="str">
        <f>_xlfn.TEXTAFTER(mvtst[[#This Row],[QR Suivis]],"_",5)</f>
        <v>2030</v>
      </c>
      <c r="R159" s="84" t="str">
        <f>IF(
   COUNTIFS($A$2:A159,A159,
             $B$2:B159,B159,
             $C$2:C159,C159,
             $D$2:D159,D159,
             $G$2:G159,G159)&gt;1,
   "Doublon",
   "Correcte"
)</f>
        <v>Correcte</v>
      </c>
    </row>
    <row r="160" spans="1:18" x14ac:dyDescent="0.25">
      <c r="A160" s="104" t="s">
        <v>1391</v>
      </c>
      <c r="B160" s="35" t="s">
        <v>712</v>
      </c>
      <c r="C160" s="36">
        <v>0</v>
      </c>
      <c r="D160" s="36">
        <v>5</v>
      </c>
      <c r="E160" s="35"/>
      <c r="F160" s="35" t="s">
        <v>664</v>
      </c>
      <c r="G160" s="37">
        <v>45923</v>
      </c>
      <c r="H160" s="37" t="str">
        <f>INDEX(_xlfn.TEXTSPLIT(mvtst[[#This Row],[QR Suivis]],"_"),1,1)</f>
        <v>OF242492</v>
      </c>
      <c r="I160" s="35" t="str">
        <f>_xlfn.TEXTBEFORE(mvtst[[#This Row],[Num Suivis]],"-",,,1)</f>
        <v>OF242492</v>
      </c>
      <c r="J160" s="36">
        <f>SUMIF(mvtst[QR Suivis],mvtst[[#This Row],[QR Suivis]],mvtst[QTE SORTIS])-SUMIF(mvtst[QR Suivis],mvtst[[#This Row],[QR Suivis]],mvtst[QTE RETOUR])</f>
        <v>0</v>
      </c>
      <c r="K160" s="35" t="str">
        <f t="shared" si="2"/>
        <v>Usine</v>
      </c>
      <c r="L160" s="35" t="str">
        <f>_xlfn.XLOOKUP(mvtst[[#This Row],[Sous Traitant]],coordonnee_st[Identification],coordonnee_st[SERVICE],"Non Trouvé")</f>
        <v>Frange</v>
      </c>
      <c r="M160" s="35" t="str">
        <f>INDEX(_xlfn.TEXTSPLIT(mvtst[[#This Row],[QR Suivis]],"_"),1,2)</f>
        <v>CL00833</v>
      </c>
      <c r="N160" s="35" t="str">
        <f>INDEX(_xlfn.TEXTSPLIT(mvtst[[#This Row],[QR Suivis]],"_"),1,3)</f>
        <v>ABF-CM90226</v>
      </c>
      <c r="O160" s="35" t="str">
        <f>INDEX(_xlfn.TEXTSPLIT(mvtst[[#This Row],[QR Suivis]],"_"),1,4)</f>
        <v>AR2426-B22-01</v>
      </c>
      <c r="P160" s="35" t="str">
        <f>INDEX(_xlfn.TEXTSPLIT(mvtst[[#This Row],[QR Suivis]],"_"),1,5)</f>
        <v>ARTHUR</v>
      </c>
      <c r="Q160" s="35" t="str">
        <f>_xlfn.TEXTAFTER(mvtst[[#This Row],[QR Suivis]],"_",5)</f>
        <v>2426</v>
      </c>
      <c r="R160" s="84" t="str">
        <f>IF(
   COUNTIFS($A$2:A160,A160,
             $B$2:B160,B160,
             $C$2:C160,C160,
             $D$2:D160,D160,
             $G$2:G160,G160)&gt;1,
   "Doublon",
   "Correcte"
)</f>
        <v>Correcte</v>
      </c>
    </row>
    <row r="161" spans="1:18" x14ac:dyDescent="0.25">
      <c r="A161" s="104" t="s">
        <v>1384</v>
      </c>
      <c r="B161" s="35" t="s">
        <v>712</v>
      </c>
      <c r="C161" s="36">
        <v>0</v>
      </c>
      <c r="D161" s="36">
        <v>1</v>
      </c>
      <c r="E161" s="35"/>
      <c r="F161" s="35" t="s">
        <v>664</v>
      </c>
      <c r="G161" s="37">
        <v>45923</v>
      </c>
      <c r="H161" s="37" t="str">
        <f>INDEX(_xlfn.TEXTSPLIT(mvtst[[#This Row],[QR Suivis]],"_"),1,1)</f>
        <v>OF246831</v>
      </c>
      <c r="I161" s="35" t="str">
        <f>_xlfn.TEXTBEFORE(mvtst[[#This Row],[Num Suivis]],"-",,,1)</f>
        <v>OF246831</v>
      </c>
      <c r="J161" s="36">
        <f>SUMIF(mvtst[QR Suivis],mvtst[[#This Row],[QR Suivis]],mvtst[QTE SORTIS])-SUMIF(mvtst[QR Suivis],mvtst[[#This Row],[QR Suivis]],mvtst[QTE RETOUR])</f>
        <v>0</v>
      </c>
      <c r="K161" s="35" t="str">
        <f t="shared" si="2"/>
        <v>Usine</v>
      </c>
      <c r="L161" s="35" t="str">
        <f>_xlfn.XLOOKUP(mvtst[[#This Row],[Sous Traitant]],coordonnee_st[Identification],coordonnee_st[SERVICE],"Non Trouvé")</f>
        <v>Frange</v>
      </c>
      <c r="M161" s="35" t="str">
        <f>INDEX(_xlfn.TEXTSPLIT(mvtst[[#This Row],[QR Suivis]],"_"),1,2)</f>
        <v>CL00300</v>
      </c>
      <c r="N161" s="35" t="str">
        <f>INDEX(_xlfn.TEXTSPLIT(mvtst[[#This Row],[QR Suivis]],"_"),1,3)</f>
        <v>CM-FT0116</v>
      </c>
      <c r="O161" s="35" t="str">
        <f>INDEX(_xlfn.TEXTSPLIT(mvtst[[#This Row],[QR Suivis]],"_"),1,4)</f>
        <v>AR2030-B06-01</v>
      </c>
      <c r="P161" s="35" t="str">
        <f>INDEX(_xlfn.TEXTSPLIT(mvtst[[#This Row],[QR Suivis]],"_"),1,5)</f>
        <v>ARTHUR</v>
      </c>
      <c r="Q161" s="35" t="str">
        <f>_xlfn.TEXTAFTER(mvtst[[#This Row],[QR Suivis]],"_",5)</f>
        <v>2030</v>
      </c>
      <c r="R161" s="84" t="str">
        <f>IF(
   COUNTIFS($A$2:A161,A161,
             $B$2:B161,B161,
             $C$2:C161,C161,
             $D$2:D161,D161,
             $G$2:G161,G161)&gt;1,
   "Doublon",
   "Correcte"
)</f>
        <v>Correcte</v>
      </c>
    </row>
    <row r="162" spans="1:18" x14ac:dyDescent="0.25">
      <c r="A162" s="104" t="s">
        <v>1383</v>
      </c>
      <c r="B162" s="35" t="s">
        <v>712</v>
      </c>
      <c r="C162" s="36">
        <v>0</v>
      </c>
      <c r="D162" s="36">
        <v>1</v>
      </c>
      <c r="E162" s="35"/>
      <c r="F162" s="35" t="s">
        <v>664</v>
      </c>
      <c r="G162" s="37">
        <v>45923</v>
      </c>
      <c r="H162" s="37" t="str">
        <f>INDEX(_xlfn.TEXTSPLIT(mvtst[[#This Row],[QR Suivis]],"_"),1,1)</f>
        <v>OF246839</v>
      </c>
      <c r="I162" s="35" t="str">
        <f>_xlfn.TEXTBEFORE(mvtst[[#This Row],[Num Suivis]],"-",,,1)</f>
        <v>OF246839</v>
      </c>
      <c r="J162" s="36">
        <f>SUMIF(mvtst[QR Suivis],mvtst[[#This Row],[QR Suivis]],mvtst[QTE SORTIS])-SUMIF(mvtst[QR Suivis],mvtst[[#This Row],[QR Suivis]],mvtst[QTE RETOUR])</f>
        <v>0</v>
      </c>
      <c r="K162" s="35" t="str">
        <f t="shared" si="2"/>
        <v>Usine</v>
      </c>
      <c r="L162" s="35" t="str">
        <f>_xlfn.XLOOKUP(mvtst[[#This Row],[Sous Traitant]],coordonnee_st[Identification],coordonnee_st[SERVICE],"Non Trouvé")</f>
        <v>Frange</v>
      </c>
      <c r="M162" s="35" t="str">
        <f>INDEX(_xlfn.TEXTSPLIT(mvtst[[#This Row],[QR Suivis]],"_"),1,2)</f>
        <v>CL00300</v>
      </c>
      <c r="N162" s="35" t="str">
        <f>INDEX(_xlfn.TEXTSPLIT(mvtst[[#This Row],[QR Suivis]],"_"),1,3)</f>
        <v>CM-FT0116</v>
      </c>
      <c r="O162" s="35" t="str">
        <f>INDEX(_xlfn.TEXTSPLIT(mvtst[[#This Row],[QR Suivis]],"_"),1,4)</f>
        <v>AR2030-B07-17</v>
      </c>
      <c r="P162" s="35" t="str">
        <f>INDEX(_xlfn.TEXTSPLIT(mvtst[[#This Row],[QR Suivis]],"_"),1,5)</f>
        <v>ARTHUR</v>
      </c>
      <c r="Q162" s="35" t="str">
        <f>_xlfn.TEXTAFTER(mvtst[[#This Row],[QR Suivis]],"_",5)</f>
        <v>2030</v>
      </c>
      <c r="R162" s="84" t="str">
        <f>IF(
   COUNTIFS($A$2:A162,A162,
             $B$2:B162,B162,
             $C$2:C162,C162,
             $D$2:D162,D162,
             $G$2:G162,G162)&gt;1,
   "Doublon",
   "Correcte"
)</f>
        <v>Correcte</v>
      </c>
    </row>
    <row r="163" spans="1:18" x14ac:dyDescent="0.25">
      <c r="A163" s="104" t="s">
        <v>1388</v>
      </c>
      <c r="B163" s="35" t="s">
        <v>712</v>
      </c>
      <c r="C163" s="36">
        <v>0</v>
      </c>
      <c r="D163" s="36">
        <v>10</v>
      </c>
      <c r="E163" s="35"/>
      <c r="F163" s="35" t="s">
        <v>664</v>
      </c>
      <c r="G163" s="37">
        <v>45923</v>
      </c>
      <c r="H163" s="37" t="str">
        <f>INDEX(_xlfn.TEXTSPLIT(mvtst[[#This Row],[QR Suivis]],"_"),1,1)</f>
        <v>OF242494</v>
      </c>
      <c r="I163" s="35" t="str">
        <f>_xlfn.TEXTBEFORE(mvtst[[#This Row],[Num Suivis]],"-",,,1)</f>
        <v>OF242494</v>
      </c>
      <c r="J163" s="36">
        <f>SUMIF(mvtst[QR Suivis],mvtst[[#This Row],[QR Suivis]],mvtst[QTE SORTIS])-SUMIF(mvtst[QR Suivis],mvtst[[#This Row],[QR Suivis]],mvtst[QTE RETOUR])</f>
        <v>0</v>
      </c>
      <c r="K163" s="35" t="str">
        <f t="shared" si="2"/>
        <v>Usine</v>
      </c>
      <c r="L163" s="35" t="str">
        <f>_xlfn.XLOOKUP(mvtst[[#This Row],[Sous Traitant]],coordonnee_st[Identification],coordonnee_st[SERVICE],"Non Trouvé")</f>
        <v>Frange</v>
      </c>
      <c r="M163" s="35" t="str">
        <f>INDEX(_xlfn.TEXTSPLIT(mvtst[[#This Row],[QR Suivis]],"_"),1,2)</f>
        <v>CL00833</v>
      </c>
      <c r="N163" s="35" t="str">
        <f>INDEX(_xlfn.TEXTSPLIT(mvtst[[#This Row],[QR Suivis]],"_"),1,3)</f>
        <v>ABF-CM90226</v>
      </c>
      <c r="O163" s="35" t="str">
        <f>INDEX(_xlfn.TEXTSPLIT(mvtst[[#This Row],[QR Suivis]],"_"),1,4)</f>
        <v>AR2426-B24-01</v>
      </c>
      <c r="P163" s="35" t="str">
        <f>INDEX(_xlfn.TEXTSPLIT(mvtst[[#This Row],[QR Suivis]],"_"),1,5)</f>
        <v>ARTHUR</v>
      </c>
      <c r="Q163" s="35" t="str">
        <f>_xlfn.TEXTAFTER(mvtst[[#This Row],[QR Suivis]],"_",5)</f>
        <v>2426</v>
      </c>
      <c r="R163" s="84" t="str">
        <f>IF(
   COUNTIFS($A$2:A163,A163,
             $B$2:B163,B163,
             $C$2:C163,C163,
             $D$2:D163,D163,
             $G$2:G163,G163)&gt;1,
   "Doublon",
   "Correcte"
)</f>
        <v>Correcte</v>
      </c>
    </row>
    <row r="164" spans="1:18" x14ac:dyDescent="0.25">
      <c r="A164" s="104" t="s">
        <v>1321</v>
      </c>
      <c r="B164" s="35" t="s">
        <v>712</v>
      </c>
      <c r="C164" s="36">
        <v>0</v>
      </c>
      <c r="D164" s="36">
        <v>6</v>
      </c>
      <c r="E164" s="35"/>
      <c r="F164" s="35" t="s">
        <v>664</v>
      </c>
      <c r="G164" s="37">
        <v>45923</v>
      </c>
      <c r="H164" s="37" t="str">
        <f>INDEX(_xlfn.TEXTSPLIT(mvtst[[#This Row],[QR Suivis]],"_"),1,1)</f>
        <v>CA250062</v>
      </c>
      <c r="I164" s="35" t="str">
        <f>_xlfn.TEXTBEFORE(mvtst[[#This Row],[Num Suivis]],"-",,,1)</f>
        <v>CA250062</v>
      </c>
      <c r="J164" s="36">
        <f>SUMIF(mvtst[QR Suivis],mvtst[[#This Row],[QR Suivis]],mvtst[QTE SORTIS])-SUMIF(mvtst[QR Suivis],mvtst[[#This Row],[QR Suivis]],mvtst[QTE RETOUR])</f>
        <v>0</v>
      </c>
      <c r="K164" s="35" t="str">
        <f t="shared" si="2"/>
        <v>Usine</v>
      </c>
      <c r="L164" s="35" t="str">
        <f>_xlfn.XLOOKUP(mvtst[[#This Row],[Sous Traitant]],coordonnee_st[Identification],coordonnee_st[SERVICE],"Non Trouvé")</f>
        <v>Frange</v>
      </c>
      <c r="M164" s="35" t="str">
        <f>INDEX(_xlfn.TEXTSPLIT(mvtst[[#This Row],[QR Suivis]],"_"),1,2)</f>
        <v>All by Fouta</v>
      </c>
      <c r="N164" s="35" t="str">
        <f>INDEX(_xlfn.TEXTSPLIT(mvtst[[#This Row],[QR Suivis]],"_"),1,3)</f>
        <v>Stock</v>
      </c>
      <c r="O164" s="35" t="str">
        <f>INDEX(_xlfn.TEXTSPLIT(mvtst[[#This Row],[QR Suivis]],"_"),1,4)</f>
        <v>UNS2030-04</v>
      </c>
      <c r="P164" s="35" t="str">
        <f>INDEX(_xlfn.TEXTSPLIT(mvtst[[#This Row],[QR Suivis]],"_"),1,5)</f>
        <v>UNI SURPIQUE</v>
      </c>
      <c r="Q164" s="35" t="str">
        <f>_xlfn.TEXTAFTER(mvtst[[#This Row],[QR Suivis]],"_",5)</f>
        <v>2030</v>
      </c>
      <c r="R164" s="84" t="str">
        <f>IF(
   COUNTIFS($A$2:A164,A164,
             $B$2:B164,B164,
             $C$2:C164,C164,
             $D$2:D164,D164,
             $G$2:G164,G164)&gt;1,
   "Doublon",
   "Correcte"
)</f>
        <v>Correcte</v>
      </c>
    </row>
    <row r="165" spans="1:18" x14ac:dyDescent="0.25">
      <c r="A165" s="104" t="s">
        <v>1415</v>
      </c>
      <c r="B165" s="35" t="s">
        <v>712</v>
      </c>
      <c r="C165" s="36">
        <v>1</v>
      </c>
      <c r="D165" s="36">
        <v>0</v>
      </c>
      <c r="E165" s="35"/>
      <c r="F165" s="35" t="s">
        <v>664</v>
      </c>
      <c r="G165" s="37">
        <v>45923</v>
      </c>
      <c r="H165" s="37" t="str">
        <f>INDEX(_xlfn.TEXTSPLIT(mvtst[[#This Row],[QR Suivis]],"_"),1,1)</f>
        <v>CA250002-13</v>
      </c>
      <c r="I165" s="35" t="str">
        <f>_xlfn.TEXTBEFORE(mvtst[[#This Row],[Num Suivis]],"-",,,1)</f>
        <v>CA250002</v>
      </c>
      <c r="J165" s="36">
        <f>SUMIF(mvtst[QR Suivis],mvtst[[#This Row],[QR Suivis]],mvtst[QTE SORTIS])-SUMIF(mvtst[QR Suivis],mvtst[[#This Row],[QR Suivis]],mvtst[QTE RETOUR])</f>
        <v>0</v>
      </c>
      <c r="K165" s="35" t="str">
        <f t="shared" si="2"/>
        <v>Usine</v>
      </c>
      <c r="L165" s="35" t="str">
        <f>_xlfn.XLOOKUP(mvtst[[#This Row],[Sous Traitant]],coordonnee_st[Identification],coordonnee_st[SERVICE],"Non Trouvé")</f>
        <v>Frange</v>
      </c>
      <c r="M165" s="35" t="str">
        <f>INDEX(_xlfn.TEXTSPLIT(mvtst[[#This Row],[QR Suivis]],"_"),1,2)</f>
        <v>All by Fouta</v>
      </c>
      <c r="N165" s="35" t="str">
        <f>INDEX(_xlfn.TEXTSPLIT(mvtst[[#This Row],[QR Suivis]],"_"),1,3)</f>
        <v>Stock</v>
      </c>
      <c r="O165" s="35" t="str">
        <f>INDEX(_xlfn.TEXTSPLIT(mvtst[[#This Row],[QR Suivis]],"_"),1,4)</f>
        <v>UNS1020-04</v>
      </c>
      <c r="P165" s="35" t="str">
        <f>INDEX(_xlfn.TEXTSPLIT(mvtst[[#This Row],[QR Suivis]],"_"),1,5)</f>
        <v>UNI SURPIQUE</v>
      </c>
      <c r="Q165" s="35" t="str">
        <f>_xlfn.TEXTAFTER(mvtst[[#This Row],[QR Suivis]],"_",5)</f>
        <v>1020</v>
      </c>
      <c r="R165" s="84" t="str">
        <f>IF(
   COUNTIFS($A$2:A165,A165,
             $B$2:B165,B165,
             $C$2:C165,C165,
             $D$2:D165,D165,
             $G$2:G165,G165)&gt;1,
   "Doublon",
   "Correcte"
)</f>
        <v>Correcte</v>
      </c>
    </row>
    <row r="166" spans="1:18" x14ac:dyDescent="0.25">
      <c r="A166" s="104" t="s">
        <v>1416</v>
      </c>
      <c r="B166" s="35" t="s">
        <v>712</v>
      </c>
      <c r="C166" s="36">
        <v>5</v>
      </c>
      <c r="D166" s="36">
        <v>0</v>
      </c>
      <c r="E166" s="35"/>
      <c r="F166" s="35" t="s">
        <v>664</v>
      </c>
      <c r="G166" s="37">
        <v>45923</v>
      </c>
      <c r="H166" s="37" t="str">
        <f>INDEX(_xlfn.TEXTSPLIT(mvtst[[#This Row],[QR Suivis]],"_"),1,1)</f>
        <v>CA250002-10</v>
      </c>
      <c r="I166" s="35" t="str">
        <f>_xlfn.TEXTBEFORE(mvtst[[#This Row],[Num Suivis]],"-",,,1)</f>
        <v>CA250002</v>
      </c>
      <c r="J166" s="36">
        <f>SUMIF(mvtst[QR Suivis],mvtst[[#This Row],[QR Suivis]],mvtst[QTE SORTIS])-SUMIF(mvtst[QR Suivis],mvtst[[#This Row],[QR Suivis]],mvtst[QTE RETOUR])</f>
        <v>0</v>
      </c>
      <c r="K166" s="35" t="str">
        <f t="shared" si="2"/>
        <v>Usine</v>
      </c>
      <c r="L166" s="35" t="str">
        <f>_xlfn.XLOOKUP(mvtst[[#This Row],[Sous Traitant]],coordonnee_st[Identification],coordonnee_st[SERVICE],"Non Trouvé")</f>
        <v>Frange</v>
      </c>
      <c r="M166" s="35" t="str">
        <f>INDEX(_xlfn.TEXTSPLIT(mvtst[[#This Row],[QR Suivis]],"_"),1,2)</f>
        <v>All by Fouta</v>
      </c>
      <c r="N166" s="35" t="str">
        <f>INDEX(_xlfn.TEXTSPLIT(mvtst[[#This Row],[QR Suivis]],"_"),1,3)</f>
        <v>Stock</v>
      </c>
      <c r="O166" s="35" t="str">
        <f>INDEX(_xlfn.TEXTSPLIT(mvtst[[#This Row],[QR Suivis]],"_"),1,4)</f>
        <v>UNS1020-04</v>
      </c>
      <c r="P166" s="35" t="str">
        <f>INDEX(_xlfn.TEXTSPLIT(mvtst[[#This Row],[QR Suivis]],"_"),1,5)</f>
        <v>UNI SURPIQUE</v>
      </c>
      <c r="Q166" s="35" t="str">
        <f>_xlfn.TEXTAFTER(mvtst[[#This Row],[QR Suivis]],"_",5)</f>
        <v>1020</v>
      </c>
      <c r="R166" s="84" t="str">
        <f>IF(
   COUNTIFS($A$2:A166,A166,
             $B$2:B166,B166,
             $C$2:C166,C166,
             $D$2:D166,D166,
             $G$2:G166,G166)&gt;1,
   "Doublon",
   "Correcte"
)</f>
        <v>Correcte</v>
      </c>
    </row>
    <row r="167" spans="1:18" x14ac:dyDescent="0.25">
      <c r="A167" s="104" t="s">
        <v>1417</v>
      </c>
      <c r="B167" s="35" t="s">
        <v>712</v>
      </c>
      <c r="C167" s="36">
        <v>5</v>
      </c>
      <c r="D167" s="36">
        <v>0</v>
      </c>
      <c r="E167" s="35"/>
      <c r="F167" s="35" t="s">
        <v>664</v>
      </c>
      <c r="G167" s="37">
        <v>45923</v>
      </c>
      <c r="H167" s="37" t="str">
        <f>INDEX(_xlfn.TEXTSPLIT(mvtst[[#This Row],[QR Suivis]],"_"),1,1)</f>
        <v>CA250002-11</v>
      </c>
      <c r="I167" s="35" t="str">
        <f>_xlfn.TEXTBEFORE(mvtst[[#This Row],[Num Suivis]],"-",,,1)</f>
        <v>CA250002</v>
      </c>
      <c r="J167" s="36">
        <f>SUMIF(mvtst[QR Suivis],mvtst[[#This Row],[QR Suivis]],mvtst[QTE SORTIS])-SUMIF(mvtst[QR Suivis],mvtst[[#This Row],[QR Suivis]],mvtst[QTE RETOUR])</f>
        <v>0</v>
      </c>
      <c r="K167" s="35" t="str">
        <f t="shared" si="2"/>
        <v>Usine</v>
      </c>
      <c r="L167" s="35" t="str">
        <f>_xlfn.XLOOKUP(mvtst[[#This Row],[Sous Traitant]],coordonnee_st[Identification],coordonnee_st[SERVICE],"Non Trouvé")</f>
        <v>Frange</v>
      </c>
      <c r="M167" s="35" t="str">
        <f>INDEX(_xlfn.TEXTSPLIT(mvtst[[#This Row],[QR Suivis]],"_"),1,2)</f>
        <v>All by Fouta</v>
      </c>
      <c r="N167" s="35" t="str">
        <f>INDEX(_xlfn.TEXTSPLIT(mvtst[[#This Row],[QR Suivis]],"_"),1,3)</f>
        <v>Stock</v>
      </c>
      <c r="O167" s="35" t="str">
        <f>INDEX(_xlfn.TEXTSPLIT(mvtst[[#This Row],[QR Suivis]],"_"),1,4)</f>
        <v>UNS1020-04</v>
      </c>
      <c r="P167" s="35" t="str">
        <f>INDEX(_xlfn.TEXTSPLIT(mvtst[[#This Row],[QR Suivis]],"_"),1,5)</f>
        <v>UNI SURPIQUE</v>
      </c>
      <c r="Q167" s="35" t="str">
        <f>_xlfn.TEXTAFTER(mvtst[[#This Row],[QR Suivis]],"_",5)</f>
        <v>1020</v>
      </c>
      <c r="R167" s="84" t="str">
        <f>IF(
   COUNTIFS($A$2:A167,A167,
             $B$2:B167,B167,
             $C$2:C167,C167,
             $D$2:D167,D167,
             $G$2:G167,G167)&gt;1,
   "Doublon",
   "Correcte"
)</f>
        <v>Correcte</v>
      </c>
    </row>
    <row r="168" spans="1:18" x14ac:dyDescent="0.25">
      <c r="A168" s="104" t="s">
        <v>1418</v>
      </c>
      <c r="B168" s="35" t="s">
        <v>712</v>
      </c>
      <c r="C168" s="36">
        <v>5</v>
      </c>
      <c r="D168" s="36">
        <v>0</v>
      </c>
      <c r="E168" s="35"/>
      <c r="F168" s="35" t="s">
        <v>664</v>
      </c>
      <c r="G168" s="37">
        <v>45923</v>
      </c>
      <c r="H168" s="37" t="str">
        <f>INDEX(_xlfn.TEXTSPLIT(mvtst[[#This Row],[QR Suivis]],"_"),1,1)</f>
        <v>CA250002-12</v>
      </c>
      <c r="I168" s="35" t="str">
        <f>_xlfn.TEXTBEFORE(mvtst[[#This Row],[Num Suivis]],"-",,,1)</f>
        <v>CA250002</v>
      </c>
      <c r="J168" s="36">
        <f>SUMIF(mvtst[QR Suivis],mvtst[[#This Row],[QR Suivis]],mvtst[QTE SORTIS])-SUMIF(mvtst[QR Suivis],mvtst[[#This Row],[QR Suivis]],mvtst[QTE RETOUR])</f>
        <v>0</v>
      </c>
      <c r="K168" s="35" t="str">
        <f t="shared" si="2"/>
        <v>Usine</v>
      </c>
      <c r="L168" s="35" t="str">
        <f>_xlfn.XLOOKUP(mvtst[[#This Row],[Sous Traitant]],coordonnee_st[Identification],coordonnee_st[SERVICE],"Non Trouvé")</f>
        <v>Frange</v>
      </c>
      <c r="M168" s="35" t="str">
        <f>INDEX(_xlfn.TEXTSPLIT(mvtst[[#This Row],[QR Suivis]],"_"),1,2)</f>
        <v>All by Fouta</v>
      </c>
      <c r="N168" s="35" t="str">
        <f>INDEX(_xlfn.TEXTSPLIT(mvtst[[#This Row],[QR Suivis]],"_"),1,3)</f>
        <v>Stock</v>
      </c>
      <c r="O168" s="35" t="str">
        <f>INDEX(_xlfn.TEXTSPLIT(mvtst[[#This Row],[QR Suivis]],"_"),1,4)</f>
        <v>UNS1020-04</v>
      </c>
      <c r="P168" s="35" t="str">
        <f>INDEX(_xlfn.TEXTSPLIT(mvtst[[#This Row],[QR Suivis]],"_"),1,5)</f>
        <v>UNI SURPIQUE</v>
      </c>
      <c r="Q168" s="35" t="str">
        <f>_xlfn.TEXTAFTER(mvtst[[#This Row],[QR Suivis]],"_",5)</f>
        <v>1020</v>
      </c>
      <c r="R168" s="84" t="str">
        <f>IF(
   COUNTIFS($A$2:A168,A168,
             $B$2:B168,B168,
             $C$2:C168,C168,
             $D$2:D168,D168,
             $G$2:G168,G168)&gt;1,
   "Doublon",
   "Correcte"
)</f>
        <v>Correcte</v>
      </c>
    </row>
    <row r="169" spans="1:18" x14ac:dyDescent="0.25">
      <c r="A169" s="104" t="s">
        <v>1419</v>
      </c>
      <c r="B169" s="35" t="s">
        <v>712</v>
      </c>
      <c r="C169" s="36">
        <v>5</v>
      </c>
      <c r="D169" s="36">
        <v>0</v>
      </c>
      <c r="E169" s="35"/>
      <c r="F169" s="35" t="s">
        <v>664</v>
      </c>
      <c r="G169" s="37">
        <v>45923</v>
      </c>
      <c r="H169" s="37" t="str">
        <f>INDEX(_xlfn.TEXTSPLIT(mvtst[[#This Row],[QR Suivis]],"_"),1,1)</f>
        <v>CA250002-9</v>
      </c>
      <c r="I169" s="35" t="str">
        <f>_xlfn.TEXTBEFORE(mvtst[[#This Row],[Num Suivis]],"-",,,1)</f>
        <v>CA250002</v>
      </c>
      <c r="J169" s="36">
        <f>SUMIF(mvtst[QR Suivis],mvtst[[#This Row],[QR Suivis]],mvtst[QTE SORTIS])-SUMIF(mvtst[QR Suivis],mvtst[[#This Row],[QR Suivis]],mvtst[QTE RETOUR])</f>
        <v>0</v>
      </c>
      <c r="K169" s="35" t="str">
        <f t="shared" si="2"/>
        <v>Usine</v>
      </c>
      <c r="L169" s="35" t="str">
        <f>_xlfn.XLOOKUP(mvtst[[#This Row],[Sous Traitant]],coordonnee_st[Identification],coordonnee_st[SERVICE],"Non Trouvé")</f>
        <v>Frange</v>
      </c>
      <c r="M169" s="35" t="str">
        <f>INDEX(_xlfn.TEXTSPLIT(mvtst[[#This Row],[QR Suivis]],"_"),1,2)</f>
        <v>All by Fouta</v>
      </c>
      <c r="N169" s="35" t="str">
        <f>INDEX(_xlfn.TEXTSPLIT(mvtst[[#This Row],[QR Suivis]],"_"),1,3)</f>
        <v>Stock</v>
      </c>
      <c r="O169" s="35" t="str">
        <f>INDEX(_xlfn.TEXTSPLIT(mvtst[[#This Row],[QR Suivis]],"_"),1,4)</f>
        <v>UNS1020-04</v>
      </c>
      <c r="P169" s="35" t="str">
        <f>INDEX(_xlfn.TEXTSPLIT(mvtst[[#This Row],[QR Suivis]],"_"),1,5)</f>
        <v>UNI SURPIQUE</v>
      </c>
      <c r="Q169" s="35" t="str">
        <f>_xlfn.TEXTAFTER(mvtst[[#This Row],[QR Suivis]],"_",5)</f>
        <v>1020</v>
      </c>
      <c r="R169" s="84" t="str">
        <f>IF(
   COUNTIFS($A$2:A169,A169,
             $B$2:B169,B169,
             $C$2:C169,C169,
             $D$2:D169,D169,
             $G$2:G169,G169)&gt;1,
   "Doublon",
   "Correcte"
)</f>
        <v>Correcte</v>
      </c>
    </row>
    <row r="170" spans="1:18" x14ac:dyDescent="0.25">
      <c r="A170" s="104" t="s">
        <v>1420</v>
      </c>
      <c r="B170" s="35" t="s">
        <v>712</v>
      </c>
      <c r="C170" s="36">
        <v>5</v>
      </c>
      <c r="D170" s="36">
        <v>0</v>
      </c>
      <c r="E170" s="35"/>
      <c r="F170" s="35" t="s">
        <v>664</v>
      </c>
      <c r="G170" s="37">
        <v>45923</v>
      </c>
      <c r="H170" s="37" t="str">
        <f>INDEX(_xlfn.TEXTSPLIT(mvtst[[#This Row],[QR Suivis]],"_"),1,1)</f>
        <v>CA250004-1</v>
      </c>
      <c r="I170" s="35" t="str">
        <f>_xlfn.TEXTBEFORE(mvtst[[#This Row],[Num Suivis]],"-",,,1)</f>
        <v>CA250004</v>
      </c>
      <c r="J170" s="36">
        <f>SUMIF(mvtst[QR Suivis],mvtst[[#This Row],[QR Suivis]],mvtst[QTE SORTIS])-SUMIF(mvtst[QR Suivis],mvtst[[#This Row],[QR Suivis]],mvtst[QTE RETOUR])</f>
        <v>0</v>
      </c>
      <c r="K170" s="35" t="str">
        <f t="shared" si="2"/>
        <v>Usine</v>
      </c>
      <c r="L170" s="35" t="str">
        <f>_xlfn.XLOOKUP(mvtst[[#This Row],[Sous Traitant]],coordonnee_st[Identification],coordonnee_st[SERVICE],"Non Trouvé")</f>
        <v>Frange</v>
      </c>
      <c r="M170" s="35" t="str">
        <f>INDEX(_xlfn.TEXTSPLIT(mvtst[[#This Row],[QR Suivis]],"_"),1,2)</f>
        <v>All by Fouta</v>
      </c>
      <c r="N170" s="35" t="str">
        <f>INDEX(_xlfn.TEXTSPLIT(mvtst[[#This Row],[QR Suivis]],"_"),1,3)</f>
        <v>Stock</v>
      </c>
      <c r="O170" s="35" t="str">
        <f>INDEX(_xlfn.TEXTSPLIT(mvtst[[#This Row],[QR Suivis]],"_"),1,4)</f>
        <v>UNS1020-09</v>
      </c>
      <c r="P170" s="35" t="str">
        <f>INDEX(_xlfn.TEXTSPLIT(mvtst[[#This Row],[QR Suivis]],"_"),1,5)</f>
        <v>UNI SURPIQUE</v>
      </c>
      <c r="Q170" s="35" t="str">
        <f>_xlfn.TEXTAFTER(mvtst[[#This Row],[QR Suivis]],"_",5)</f>
        <v>1020</v>
      </c>
      <c r="R170" s="84" t="str">
        <f>IF(
   COUNTIFS($A$2:A170,A170,
             $B$2:B170,B170,
             $C$2:C170,C170,
             $D$2:D170,D170,
             $G$2:G170,G170)&gt;1,
   "Doublon",
   "Correcte"
)</f>
        <v>Correcte</v>
      </c>
    </row>
    <row r="171" spans="1:18" x14ac:dyDescent="0.25">
      <c r="A171" s="104" t="s">
        <v>1421</v>
      </c>
      <c r="B171" s="35" t="s">
        <v>712</v>
      </c>
      <c r="C171" s="36">
        <v>5</v>
      </c>
      <c r="D171" s="36">
        <v>0</v>
      </c>
      <c r="E171" s="35"/>
      <c r="F171" s="35" t="s">
        <v>664</v>
      </c>
      <c r="G171" s="37">
        <v>45923</v>
      </c>
      <c r="H171" s="37" t="str">
        <f>INDEX(_xlfn.TEXTSPLIT(mvtst[[#This Row],[QR Suivis]],"_"),1,1)</f>
        <v>CA250004-2</v>
      </c>
      <c r="I171" s="35" t="str">
        <f>_xlfn.TEXTBEFORE(mvtst[[#This Row],[Num Suivis]],"-",,,1)</f>
        <v>CA250004</v>
      </c>
      <c r="J171" s="36">
        <f>SUMIF(mvtst[QR Suivis],mvtst[[#This Row],[QR Suivis]],mvtst[QTE SORTIS])-SUMIF(mvtst[QR Suivis],mvtst[[#This Row],[QR Suivis]],mvtst[QTE RETOUR])</f>
        <v>0</v>
      </c>
      <c r="K171" s="35" t="str">
        <f t="shared" si="2"/>
        <v>Usine</v>
      </c>
      <c r="L171" s="35" t="str">
        <f>_xlfn.XLOOKUP(mvtst[[#This Row],[Sous Traitant]],coordonnee_st[Identification],coordonnee_st[SERVICE],"Non Trouvé")</f>
        <v>Frange</v>
      </c>
      <c r="M171" s="35" t="str">
        <f>INDEX(_xlfn.TEXTSPLIT(mvtst[[#This Row],[QR Suivis]],"_"),1,2)</f>
        <v>All by Fouta</v>
      </c>
      <c r="N171" s="35" t="str">
        <f>INDEX(_xlfn.TEXTSPLIT(mvtst[[#This Row],[QR Suivis]],"_"),1,3)</f>
        <v>Stock</v>
      </c>
      <c r="O171" s="35" t="str">
        <f>INDEX(_xlfn.TEXTSPLIT(mvtst[[#This Row],[QR Suivis]],"_"),1,4)</f>
        <v>UNS1020-09</v>
      </c>
      <c r="P171" s="35" t="str">
        <f>INDEX(_xlfn.TEXTSPLIT(mvtst[[#This Row],[QR Suivis]],"_"),1,5)</f>
        <v>UNI SURPIQUE</v>
      </c>
      <c r="Q171" s="35" t="str">
        <f>_xlfn.TEXTAFTER(mvtst[[#This Row],[QR Suivis]],"_",5)</f>
        <v>1020</v>
      </c>
      <c r="R171" s="84" t="str">
        <f>IF(
   COUNTIFS($A$2:A171,A171,
             $B$2:B171,B171,
             $C$2:C171,C171,
             $D$2:D171,D171,
             $G$2:G171,G171)&gt;1,
   "Doublon",
   "Correcte"
)</f>
        <v>Correcte</v>
      </c>
    </row>
    <row r="172" spans="1:18" x14ac:dyDescent="0.25">
      <c r="A172" s="104" t="s">
        <v>1422</v>
      </c>
      <c r="B172" s="35" t="s">
        <v>712</v>
      </c>
      <c r="C172" s="36">
        <v>5</v>
      </c>
      <c r="D172" s="36">
        <v>0</v>
      </c>
      <c r="E172" s="35"/>
      <c r="F172" s="35" t="s">
        <v>664</v>
      </c>
      <c r="G172" s="37">
        <v>45923</v>
      </c>
      <c r="H172" s="37" t="str">
        <f>INDEX(_xlfn.TEXTSPLIT(mvtst[[#This Row],[QR Suivis]],"_"),1,1)</f>
        <v>CA250004-6</v>
      </c>
      <c r="I172" s="35" t="str">
        <f>_xlfn.TEXTBEFORE(mvtst[[#This Row],[Num Suivis]],"-",,,1)</f>
        <v>CA250004</v>
      </c>
      <c r="J172" s="36">
        <f>SUMIF(mvtst[QR Suivis],mvtst[[#This Row],[QR Suivis]],mvtst[QTE SORTIS])-SUMIF(mvtst[QR Suivis],mvtst[[#This Row],[QR Suivis]],mvtst[QTE RETOUR])</f>
        <v>0</v>
      </c>
      <c r="K172" s="35" t="str">
        <f t="shared" si="2"/>
        <v>Usine</v>
      </c>
      <c r="L172" s="35" t="str">
        <f>_xlfn.XLOOKUP(mvtst[[#This Row],[Sous Traitant]],coordonnee_st[Identification],coordonnee_st[SERVICE],"Non Trouvé")</f>
        <v>Frange</v>
      </c>
      <c r="M172" s="35" t="str">
        <f>INDEX(_xlfn.TEXTSPLIT(mvtst[[#This Row],[QR Suivis]],"_"),1,2)</f>
        <v>All by Fouta</v>
      </c>
      <c r="N172" s="35" t="str">
        <f>INDEX(_xlfn.TEXTSPLIT(mvtst[[#This Row],[QR Suivis]],"_"),1,3)</f>
        <v>Stock</v>
      </c>
      <c r="O172" s="35" t="str">
        <f>INDEX(_xlfn.TEXTSPLIT(mvtst[[#This Row],[QR Suivis]],"_"),1,4)</f>
        <v>UNS1020-09</v>
      </c>
      <c r="P172" s="35" t="str">
        <f>INDEX(_xlfn.TEXTSPLIT(mvtst[[#This Row],[QR Suivis]],"_"),1,5)</f>
        <v>UNI SURPIQUE</v>
      </c>
      <c r="Q172" s="35" t="str">
        <f>_xlfn.TEXTAFTER(mvtst[[#This Row],[QR Suivis]],"_",5)</f>
        <v>1020</v>
      </c>
      <c r="R172" s="84" t="str">
        <f>IF(
   COUNTIFS($A$2:A172,A172,
             $B$2:B172,B172,
             $C$2:C172,C172,
             $D$2:D172,D172,
             $G$2:G172,G172)&gt;1,
   "Doublon",
   "Correcte"
)</f>
        <v>Correcte</v>
      </c>
    </row>
    <row r="173" spans="1:18" x14ac:dyDescent="0.25">
      <c r="A173" s="104" t="s">
        <v>1423</v>
      </c>
      <c r="B173" s="35" t="s">
        <v>712</v>
      </c>
      <c r="C173" s="36">
        <v>5</v>
      </c>
      <c r="D173" s="36">
        <v>0</v>
      </c>
      <c r="E173" s="35"/>
      <c r="F173" s="35" t="s">
        <v>664</v>
      </c>
      <c r="G173" s="37">
        <v>45923</v>
      </c>
      <c r="H173" s="37" t="str">
        <f>INDEX(_xlfn.TEXTSPLIT(mvtst[[#This Row],[QR Suivis]],"_"),1,1)</f>
        <v>CA250004-7</v>
      </c>
      <c r="I173" s="35" t="str">
        <f>_xlfn.TEXTBEFORE(mvtst[[#This Row],[Num Suivis]],"-",,,1)</f>
        <v>CA250004</v>
      </c>
      <c r="J173" s="36">
        <f>SUMIF(mvtst[QR Suivis],mvtst[[#This Row],[QR Suivis]],mvtst[QTE SORTIS])-SUMIF(mvtst[QR Suivis],mvtst[[#This Row],[QR Suivis]],mvtst[QTE RETOUR])</f>
        <v>0</v>
      </c>
      <c r="K173" s="35" t="str">
        <f t="shared" si="2"/>
        <v>Usine</v>
      </c>
      <c r="L173" s="35" t="str">
        <f>_xlfn.XLOOKUP(mvtst[[#This Row],[Sous Traitant]],coordonnee_st[Identification],coordonnee_st[SERVICE],"Non Trouvé")</f>
        <v>Frange</v>
      </c>
      <c r="M173" s="35" t="str">
        <f>INDEX(_xlfn.TEXTSPLIT(mvtst[[#This Row],[QR Suivis]],"_"),1,2)</f>
        <v>All by Fouta</v>
      </c>
      <c r="N173" s="35" t="str">
        <f>INDEX(_xlfn.TEXTSPLIT(mvtst[[#This Row],[QR Suivis]],"_"),1,3)</f>
        <v>Stock</v>
      </c>
      <c r="O173" s="35" t="str">
        <f>INDEX(_xlfn.TEXTSPLIT(mvtst[[#This Row],[QR Suivis]],"_"),1,4)</f>
        <v>UNS1020-09</v>
      </c>
      <c r="P173" s="35" t="str">
        <f>INDEX(_xlfn.TEXTSPLIT(mvtst[[#This Row],[QR Suivis]],"_"),1,5)</f>
        <v>UNI SURPIQUE</v>
      </c>
      <c r="Q173" s="35" t="str">
        <f>_xlfn.TEXTAFTER(mvtst[[#This Row],[QR Suivis]],"_",5)</f>
        <v>1020</v>
      </c>
      <c r="R173" s="84" t="str">
        <f>IF(
   COUNTIFS($A$2:A173,A173,
             $B$2:B173,B173,
             $C$2:C173,C173,
             $D$2:D173,D173,
             $G$2:G173,G173)&gt;1,
   "Doublon",
   "Correcte"
)</f>
        <v>Correcte</v>
      </c>
    </row>
    <row r="174" spans="1:18" x14ac:dyDescent="0.25">
      <c r="A174" s="104" t="s">
        <v>1424</v>
      </c>
      <c r="B174" s="35" t="s">
        <v>712</v>
      </c>
      <c r="C174" s="36">
        <v>5</v>
      </c>
      <c r="D174" s="36">
        <v>0</v>
      </c>
      <c r="E174" s="35"/>
      <c r="F174" s="35" t="s">
        <v>664</v>
      </c>
      <c r="G174" s="37">
        <v>45923</v>
      </c>
      <c r="H174" s="37" t="str">
        <f>INDEX(_xlfn.TEXTSPLIT(mvtst[[#This Row],[QR Suivis]],"_"),1,1)</f>
        <v>CA250004-9</v>
      </c>
      <c r="I174" s="35" t="str">
        <f>_xlfn.TEXTBEFORE(mvtst[[#This Row],[Num Suivis]],"-",,,1)</f>
        <v>CA250004</v>
      </c>
      <c r="J174" s="36">
        <f>SUMIF(mvtst[QR Suivis],mvtst[[#This Row],[QR Suivis]],mvtst[QTE SORTIS])-SUMIF(mvtst[QR Suivis],mvtst[[#This Row],[QR Suivis]],mvtst[QTE RETOUR])</f>
        <v>0</v>
      </c>
      <c r="K174" s="35" t="str">
        <f t="shared" si="2"/>
        <v>Usine</v>
      </c>
      <c r="L174" s="35" t="str">
        <f>_xlfn.XLOOKUP(mvtst[[#This Row],[Sous Traitant]],coordonnee_st[Identification],coordonnee_st[SERVICE],"Non Trouvé")</f>
        <v>Frange</v>
      </c>
      <c r="M174" s="35" t="str">
        <f>INDEX(_xlfn.TEXTSPLIT(mvtst[[#This Row],[QR Suivis]],"_"),1,2)</f>
        <v>All by Fouta</v>
      </c>
      <c r="N174" s="35" t="str">
        <f>INDEX(_xlfn.TEXTSPLIT(mvtst[[#This Row],[QR Suivis]],"_"),1,3)</f>
        <v>Stock</v>
      </c>
      <c r="O174" s="35" t="str">
        <f>INDEX(_xlfn.TEXTSPLIT(mvtst[[#This Row],[QR Suivis]],"_"),1,4)</f>
        <v>UNS1020-09</v>
      </c>
      <c r="P174" s="35" t="str">
        <f>INDEX(_xlfn.TEXTSPLIT(mvtst[[#This Row],[QR Suivis]],"_"),1,5)</f>
        <v>UNI SURPIQUE</v>
      </c>
      <c r="Q174" s="35" t="str">
        <f>_xlfn.TEXTAFTER(mvtst[[#This Row],[QR Suivis]],"_",5)</f>
        <v>1020</v>
      </c>
      <c r="R174" s="84" t="str">
        <f>IF(
   COUNTIFS($A$2:A174,A174,
             $B$2:B174,B174,
             $C$2:C174,C174,
             $D$2:D174,D174,
             $G$2:G174,G174)&gt;1,
   "Doublon",
   "Correcte"
)</f>
        <v>Correcte</v>
      </c>
    </row>
    <row r="175" spans="1:18" x14ac:dyDescent="0.25">
      <c r="A175" s="104" t="s">
        <v>1425</v>
      </c>
      <c r="B175" s="35" t="s">
        <v>712</v>
      </c>
      <c r="C175" s="36">
        <v>5</v>
      </c>
      <c r="D175" s="36">
        <v>0</v>
      </c>
      <c r="E175" s="35"/>
      <c r="F175" s="35" t="s">
        <v>664</v>
      </c>
      <c r="G175" s="37">
        <v>45923</v>
      </c>
      <c r="H175" s="37" t="str">
        <f>INDEX(_xlfn.TEXTSPLIT(mvtst[[#This Row],[QR Suivis]],"_"),1,1)</f>
        <v>CA250004-5</v>
      </c>
      <c r="I175" s="35" t="str">
        <f>_xlfn.TEXTBEFORE(mvtst[[#This Row],[Num Suivis]],"-",,,1)</f>
        <v>CA250004</v>
      </c>
      <c r="J175" s="36">
        <f>SUMIF(mvtst[QR Suivis],mvtst[[#This Row],[QR Suivis]],mvtst[QTE SORTIS])-SUMIF(mvtst[QR Suivis],mvtst[[#This Row],[QR Suivis]],mvtst[QTE RETOUR])</f>
        <v>0</v>
      </c>
      <c r="K175" s="35" t="str">
        <f t="shared" si="2"/>
        <v>Usine</v>
      </c>
      <c r="L175" s="35" t="str">
        <f>_xlfn.XLOOKUP(mvtst[[#This Row],[Sous Traitant]],coordonnee_st[Identification],coordonnee_st[SERVICE],"Non Trouvé")</f>
        <v>Frange</v>
      </c>
      <c r="M175" s="35" t="str">
        <f>INDEX(_xlfn.TEXTSPLIT(mvtst[[#This Row],[QR Suivis]],"_"),1,2)</f>
        <v>All by Fouta</v>
      </c>
      <c r="N175" s="35" t="str">
        <f>INDEX(_xlfn.TEXTSPLIT(mvtst[[#This Row],[QR Suivis]],"_"),1,3)</f>
        <v>Stock</v>
      </c>
      <c r="O175" s="35" t="str">
        <f>INDEX(_xlfn.TEXTSPLIT(mvtst[[#This Row],[QR Suivis]],"_"),1,4)</f>
        <v>UNS1020-09</v>
      </c>
      <c r="P175" s="35" t="str">
        <f>INDEX(_xlfn.TEXTSPLIT(mvtst[[#This Row],[QR Suivis]],"_"),1,5)</f>
        <v>UNI SURPIQUE</v>
      </c>
      <c r="Q175" s="35" t="str">
        <f>_xlfn.TEXTAFTER(mvtst[[#This Row],[QR Suivis]],"_",5)</f>
        <v>1020</v>
      </c>
      <c r="R175" s="84" t="str">
        <f>IF(
   COUNTIFS($A$2:A175,A175,
             $B$2:B175,B175,
             $C$2:C175,C175,
             $D$2:D175,D175,
             $G$2:G175,G175)&gt;1,
   "Doublon",
   "Correcte"
)</f>
        <v>Correcte</v>
      </c>
    </row>
    <row r="176" spans="1:18" x14ac:dyDescent="0.25">
      <c r="A176" s="104" t="s">
        <v>1426</v>
      </c>
      <c r="B176" s="35" t="s">
        <v>712</v>
      </c>
      <c r="C176" s="36">
        <v>5</v>
      </c>
      <c r="D176" s="36">
        <v>0</v>
      </c>
      <c r="E176" s="35"/>
      <c r="F176" s="35" t="s">
        <v>664</v>
      </c>
      <c r="G176" s="37">
        <v>45923</v>
      </c>
      <c r="H176" s="37" t="str">
        <f>INDEX(_xlfn.TEXTSPLIT(mvtst[[#This Row],[QR Suivis]],"_"),1,1)</f>
        <v>CA250004-12</v>
      </c>
      <c r="I176" s="35" t="str">
        <f>_xlfn.TEXTBEFORE(mvtst[[#This Row],[Num Suivis]],"-",,,1)</f>
        <v>CA250004</v>
      </c>
      <c r="J176" s="36">
        <f>SUMIF(mvtst[QR Suivis],mvtst[[#This Row],[QR Suivis]],mvtst[QTE SORTIS])-SUMIF(mvtst[QR Suivis],mvtst[[#This Row],[QR Suivis]],mvtst[QTE RETOUR])</f>
        <v>0</v>
      </c>
      <c r="K176" s="35" t="str">
        <f t="shared" si="2"/>
        <v>Usine</v>
      </c>
      <c r="L176" s="35" t="str">
        <f>_xlfn.XLOOKUP(mvtst[[#This Row],[Sous Traitant]],coordonnee_st[Identification],coordonnee_st[SERVICE],"Non Trouvé")</f>
        <v>Frange</v>
      </c>
      <c r="M176" s="35" t="str">
        <f>INDEX(_xlfn.TEXTSPLIT(mvtst[[#This Row],[QR Suivis]],"_"),1,2)</f>
        <v>All by Fouta</v>
      </c>
      <c r="N176" s="35" t="str">
        <f>INDEX(_xlfn.TEXTSPLIT(mvtst[[#This Row],[QR Suivis]],"_"),1,3)</f>
        <v>Stock</v>
      </c>
      <c r="O176" s="35" t="str">
        <f>INDEX(_xlfn.TEXTSPLIT(mvtst[[#This Row],[QR Suivis]],"_"),1,4)</f>
        <v>UNS1020-09</v>
      </c>
      <c r="P176" s="35" t="str">
        <f>INDEX(_xlfn.TEXTSPLIT(mvtst[[#This Row],[QR Suivis]],"_"),1,5)</f>
        <v>UNI SURPIQUE</v>
      </c>
      <c r="Q176" s="35" t="str">
        <f>_xlfn.TEXTAFTER(mvtst[[#This Row],[QR Suivis]],"_",5)</f>
        <v>1020</v>
      </c>
      <c r="R176" s="84" t="str">
        <f>IF(
   COUNTIFS($A$2:A176,A176,
             $B$2:B176,B176,
             $C$2:C176,C176,
             $D$2:D176,D176,
             $G$2:G176,G176)&gt;1,
   "Doublon",
   "Correcte"
)</f>
        <v>Correcte</v>
      </c>
    </row>
    <row r="177" spans="1:18" x14ac:dyDescent="0.25">
      <c r="A177" s="104" t="s">
        <v>1427</v>
      </c>
      <c r="B177" s="35" t="s">
        <v>712</v>
      </c>
      <c r="C177" s="36">
        <v>5</v>
      </c>
      <c r="D177" s="36">
        <v>0</v>
      </c>
      <c r="E177" s="35"/>
      <c r="F177" s="35" t="s">
        <v>664</v>
      </c>
      <c r="G177" s="37">
        <v>45923</v>
      </c>
      <c r="H177" s="37" t="str">
        <f>INDEX(_xlfn.TEXTSPLIT(mvtst[[#This Row],[QR Suivis]],"_"),1,1)</f>
        <v>CA250004-4</v>
      </c>
      <c r="I177" s="35" t="str">
        <f>_xlfn.TEXTBEFORE(mvtst[[#This Row],[Num Suivis]],"-",,,1)</f>
        <v>CA250004</v>
      </c>
      <c r="J177" s="36">
        <f>SUMIF(mvtst[QR Suivis],mvtst[[#This Row],[QR Suivis]],mvtst[QTE SORTIS])-SUMIF(mvtst[QR Suivis],mvtst[[#This Row],[QR Suivis]],mvtst[QTE RETOUR])</f>
        <v>0</v>
      </c>
      <c r="K177" s="35" t="str">
        <f t="shared" si="2"/>
        <v>Usine</v>
      </c>
      <c r="L177" s="35" t="str">
        <f>_xlfn.XLOOKUP(mvtst[[#This Row],[Sous Traitant]],coordonnee_st[Identification],coordonnee_st[SERVICE],"Non Trouvé")</f>
        <v>Frange</v>
      </c>
      <c r="M177" s="35" t="str">
        <f>INDEX(_xlfn.TEXTSPLIT(mvtst[[#This Row],[QR Suivis]],"_"),1,2)</f>
        <v>All by Fouta</v>
      </c>
      <c r="N177" s="35" t="str">
        <f>INDEX(_xlfn.TEXTSPLIT(mvtst[[#This Row],[QR Suivis]],"_"),1,3)</f>
        <v>Stock</v>
      </c>
      <c r="O177" s="35" t="str">
        <f>INDEX(_xlfn.TEXTSPLIT(mvtst[[#This Row],[QR Suivis]],"_"),1,4)</f>
        <v>UNS1020-09</v>
      </c>
      <c r="P177" s="35" t="str">
        <f>INDEX(_xlfn.TEXTSPLIT(mvtst[[#This Row],[QR Suivis]],"_"),1,5)</f>
        <v>UNI SURPIQUE</v>
      </c>
      <c r="Q177" s="35" t="str">
        <f>_xlfn.TEXTAFTER(mvtst[[#This Row],[QR Suivis]],"_",5)</f>
        <v>1020</v>
      </c>
      <c r="R177" s="84" t="str">
        <f>IF(
   COUNTIFS($A$2:A177,A177,
             $B$2:B177,B177,
             $C$2:C177,C177,
             $D$2:D177,D177,
             $G$2:G177,G177)&gt;1,
   "Doublon",
   "Correcte"
)</f>
        <v>Correcte</v>
      </c>
    </row>
    <row r="178" spans="1:18" x14ac:dyDescent="0.25">
      <c r="A178" s="104" t="s">
        <v>1428</v>
      </c>
      <c r="B178" s="35" t="s">
        <v>712</v>
      </c>
      <c r="C178" s="36">
        <v>5</v>
      </c>
      <c r="D178" s="36">
        <v>0</v>
      </c>
      <c r="E178" s="35"/>
      <c r="F178" s="35" t="s">
        <v>664</v>
      </c>
      <c r="G178" s="37">
        <v>45923</v>
      </c>
      <c r="H178" s="37" t="str">
        <f>INDEX(_xlfn.TEXTSPLIT(mvtst[[#This Row],[QR Suivis]],"_"),1,1)</f>
        <v>CA250004-8</v>
      </c>
      <c r="I178" s="35" t="str">
        <f>_xlfn.TEXTBEFORE(mvtst[[#This Row],[Num Suivis]],"-",,,1)</f>
        <v>CA250004</v>
      </c>
      <c r="J178" s="36">
        <f>SUMIF(mvtst[QR Suivis],mvtst[[#This Row],[QR Suivis]],mvtst[QTE SORTIS])-SUMIF(mvtst[QR Suivis],mvtst[[#This Row],[QR Suivis]],mvtst[QTE RETOUR])</f>
        <v>0</v>
      </c>
      <c r="K178" s="35" t="str">
        <f t="shared" si="2"/>
        <v>Usine</v>
      </c>
      <c r="L178" s="35" t="str">
        <f>_xlfn.XLOOKUP(mvtst[[#This Row],[Sous Traitant]],coordonnee_st[Identification],coordonnee_st[SERVICE],"Non Trouvé")</f>
        <v>Frange</v>
      </c>
      <c r="M178" s="35" t="str">
        <f>INDEX(_xlfn.TEXTSPLIT(mvtst[[#This Row],[QR Suivis]],"_"),1,2)</f>
        <v>All by Fouta</v>
      </c>
      <c r="N178" s="35" t="str">
        <f>INDEX(_xlfn.TEXTSPLIT(mvtst[[#This Row],[QR Suivis]],"_"),1,3)</f>
        <v>Stock</v>
      </c>
      <c r="O178" s="35" t="str">
        <f>INDEX(_xlfn.TEXTSPLIT(mvtst[[#This Row],[QR Suivis]],"_"),1,4)</f>
        <v>UNS1020-09</v>
      </c>
      <c r="P178" s="35" t="str">
        <f>INDEX(_xlfn.TEXTSPLIT(mvtst[[#This Row],[QR Suivis]],"_"),1,5)</f>
        <v>UNI SURPIQUE</v>
      </c>
      <c r="Q178" s="35" t="str">
        <f>_xlfn.TEXTAFTER(mvtst[[#This Row],[QR Suivis]],"_",5)</f>
        <v>1020</v>
      </c>
      <c r="R178" s="84" t="str">
        <f>IF(
   COUNTIFS($A$2:A178,A178,
             $B$2:B178,B178,
             $C$2:C178,C178,
             $D$2:D178,D178,
             $G$2:G178,G178)&gt;1,
   "Doublon",
   "Correcte"
)</f>
        <v>Correcte</v>
      </c>
    </row>
    <row r="179" spans="1:18" x14ac:dyDescent="0.25">
      <c r="A179" s="104" t="s">
        <v>1429</v>
      </c>
      <c r="B179" s="35" t="s">
        <v>712</v>
      </c>
      <c r="C179" s="36">
        <v>5</v>
      </c>
      <c r="D179" s="36">
        <v>0</v>
      </c>
      <c r="E179" s="35"/>
      <c r="F179" s="35" t="s">
        <v>664</v>
      </c>
      <c r="G179" s="37">
        <v>45923</v>
      </c>
      <c r="H179" s="37" t="str">
        <f>INDEX(_xlfn.TEXTSPLIT(mvtst[[#This Row],[QR Suivis]],"_"),1,1)</f>
        <v>CA250004-10</v>
      </c>
      <c r="I179" s="35" t="str">
        <f>_xlfn.TEXTBEFORE(mvtst[[#This Row],[Num Suivis]],"-",,,1)</f>
        <v>CA250004</v>
      </c>
      <c r="J179" s="36">
        <f>SUMIF(mvtst[QR Suivis],mvtst[[#This Row],[QR Suivis]],mvtst[QTE SORTIS])-SUMIF(mvtst[QR Suivis],mvtst[[#This Row],[QR Suivis]],mvtst[QTE RETOUR])</f>
        <v>0</v>
      </c>
      <c r="K179" s="35" t="str">
        <f t="shared" si="2"/>
        <v>Usine</v>
      </c>
      <c r="L179" s="35" t="str">
        <f>_xlfn.XLOOKUP(mvtst[[#This Row],[Sous Traitant]],coordonnee_st[Identification],coordonnee_st[SERVICE],"Non Trouvé")</f>
        <v>Frange</v>
      </c>
      <c r="M179" s="35" t="str">
        <f>INDEX(_xlfn.TEXTSPLIT(mvtst[[#This Row],[QR Suivis]],"_"),1,2)</f>
        <v>All by Fouta</v>
      </c>
      <c r="N179" s="35" t="str">
        <f>INDEX(_xlfn.TEXTSPLIT(mvtst[[#This Row],[QR Suivis]],"_"),1,3)</f>
        <v>Stock</v>
      </c>
      <c r="O179" s="35" t="str">
        <f>INDEX(_xlfn.TEXTSPLIT(mvtst[[#This Row],[QR Suivis]],"_"),1,4)</f>
        <v>UNS1020-09</v>
      </c>
      <c r="P179" s="35" t="str">
        <f>INDEX(_xlfn.TEXTSPLIT(mvtst[[#This Row],[QR Suivis]],"_"),1,5)</f>
        <v>UNI SURPIQUE</v>
      </c>
      <c r="Q179" s="35" t="str">
        <f>_xlfn.TEXTAFTER(mvtst[[#This Row],[QR Suivis]],"_",5)</f>
        <v>1020</v>
      </c>
      <c r="R179" s="84" t="str">
        <f>IF(
   COUNTIFS($A$2:A179,A179,
             $B$2:B179,B179,
             $C$2:C179,C179,
             $D$2:D179,D179,
             $G$2:G179,G179)&gt;1,
   "Doublon",
   "Correcte"
)</f>
        <v>Correcte</v>
      </c>
    </row>
    <row r="180" spans="1:18" x14ac:dyDescent="0.25">
      <c r="A180" s="104" t="s">
        <v>1430</v>
      </c>
      <c r="B180" s="35" t="s">
        <v>712</v>
      </c>
      <c r="C180" s="36">
        <v>5</v>
      </c>
      <c r="D180" s="36">
        <v>0</v>
      </c>
      <c r="E180" s="35"/>
      <c r="F180" s="35" t="s">
        <v>664</v>
      </c>
      <c r="G180" s="37">
        <v>45923</v>
      </c>
      <c r="H180" s="37" t="str">
        <f>INDEX(_xlfn.TEXTSPLIT(mvtst[[#This Row],[QR Suivis]],"_"),1,1)</f>
        <v>CA250004-3</v>
      </c>
      <c r="I180" s="35" t="str">
        <f>_xlfn.TEXTBEFORE(mvtst[[#This Row],[Num Suivis]],"-",,,1)</f>
        <v>CA250004</v>
      </c>
      <c r="J180" s="36">
        <f>SUMIF(mvtst[QR Suivis],mvtst[[#This Row],[QR Suivis]],mvtst[QTE SORTIS])-SUMIF(mvtst[QR Suivis],mvtst[[#This Row],[QR Suivis]],mvtst[QTE RETOUR])</f>
        <v>0</v>
      </c>
      <c r="K180" s="35" t="str">
        <f t="shared" si="2"/>
        <v>Usine</v>
      </c>
      <c r="L180" s="35" t="str">
        <f>_xlfn.XLOOKUP(mvtst[[#This Row],[Sous Traitant]],coordonnee_st[Identification],coordonnee_st[SERVICE],"Non Trouvé")</f>
        <v>Frange</v>
      </c>
      <c r="M180" s="35" t="str">
        <f>INDEX(_xlfn.TEXTSPLIT(mvtst[[#This Row],[QR Suivis]],"_"),1,2)</f>
        <v>All by Fouta</v>
      </c>
      <c r="N180" s="35" t="str">
        <f>INDEX(_xlfn.TEXTSPLIT(mvtst[[#This Row],[QR Suivis]],"_"),1,3)</f>
        <v>Stock</v>
      </c>
      <c r="O180" s="35" t="str">
        <f>INDEX(_xlfn.TEXTSPLIT(mvtst[[#This Row],[QR Suivis]],"_"),1,4)</f>
        <v>UNS1020-09</v>
      </c>
      <c r="P180" s="35" t="str">
        <f>INDEX(_xlfn.TEXTSPLIT(mvtst[[#This Row],[QR Suivis]],"_"),1,5)</f>
        <v>UNI SURPIQUE</v>
      </c>
      <c r="Q180" s="35" t="str">
        <f>_xlfn.TEXTAFTER(mvtst[[#This Row],[QR Suivis]],"_",5)</f>
        <v>1020</v>
      </c>
      <c r="R180" s="84" t="str">
        <f>IF(
   COUNTIFS($A$2:A180,A180,
             $B$2:B180,B180,
             $C$2:C180,C180,
             $D$2:D180,D180,
             $G$2:G180,G180)&gt;1,
   "Doublon",
   "Correcte"
)</f>
        <v>Correcte</v>
      </c>
    </row>
    <row r="181" spans="1:18" x14ac:dyDescent="0.25">
      <c r="A181" s="104" t="s">
        <v>1431</v>
      </c>
      <c r="B181" s="35" t="s">
        <v>712</v>
      </c>
      <c r="C181" s="36">
        <v>5</v>
      </c>
      <c r="D181" s="36">
        <v>0</v>
      </c>
      <c r="E181" s="35"/>
      <c r="F181" s="35" t="s">
        <v>664</v>
      </c>
      <c r="G181" s="37">
        <v>45923</v>
      </c>
      <c r="H181" s="37" t="str">
        <f>INDEX(_xlfn.TEXTSPLIT(mvtst[[#This Row],[QR Suivis]],"_"),1,1)</f>
        <v>CA250005-3</v>
      </c>
      <c r="I181" s="35" t="str">
        <f>_xlfn.TEXTBEFORE(mvtst[[#This Row],[Num Suivis]],"-",,,1)</f>
        <v>CA250005</v>
      </c>
      <c r="J181" s="36">
        <f>SUMIF(mvtst[QR Suivis],mvtst[[#This Row],[QR Suivis]],mvtst[QTE SORTIS])-SUMIF(mvtst[QR Suivis],mvtst[[#This Row],[QR Suivis]],mvtst[QTE RETOUR])</f>
        <v>0</v>
      </c>
      <c r="K181" s="35" t="str">
        <f t="shared" si="2"/>
        <v>Usine</v>
      </c>
      <c r="L181" s="35" t="str">
        <f>_xlfn.XLOOKUP(mvtst[[#This Row],[Sous Traitant]],coordonnee_st[Identification],coordonnee_st[SERVICE],"Non Trouvé")</f>
        <v>Frange</v>
      </c>
      <c r="M181" s="35" t="str">
        <f>INDEX(_xlfn.TEXTSPLIT(mvtst[[#This Row],[QR Suivis]],"_"),1,2)</f>
        <v>All by Fouta</v>
      </c>
      <c r="N181" s="35" t="str">
        <f>INDEX(_xlfn.TEXTSPLIT(mvtst[[#This Row],[QR Suivis]],"_"),1,3)</f>
        <v>Stock</v>
      </c>
      <c r="O181" s="35" t="str">
        <f>INDEX(_xlfn.TEXTSPLIT(mvtst[[#This Row],[QR Suivis]],"_"),1,4)</f>
        <v>UNS1020-10</v>
      </c>
      <c r="P181" s="35" t="str">
        <f>INDEX(_xlfn.TEXTSPLIT(mvtst[[#This Row],[QR Suivis]],"_"),1,5)</f>
        <v>UNI SURPIQUE</v>
      </c>
      <c r="Q181" s="35" t="str">
        <f>_xlfn.TEXTAFTER(mvtst[[#This Row],[QR Suivis]],"_",5)</f>
        <v>1020</v>
      </c>
      <c r="R181" s="84" t="str">
        <f>IF(
   COUNTIFS($A$2:A181,A181,
             $B$2:B181,B181,
             $C$2:C181,C181,
             $D$2:D181,D181,
             $G$2:G181,G181)&gt;1,
   "Doublon",
   "Correcte"
)</f>
        <v>Correcte</v>
      </c>
    </row>
    <row r="182" spans="1:18" x14ac:dyDescent="0.25">
      <c r="A182" s="104" t="s">
        <v>1432</v>
      </c>
      <c r="B182" s="35" t="s">
        <v>712</v>
      </c>
      <c r="C182" s="36">
        <v>5</v>
      </c>
      <c r="D182" s="36">
        <v>0</v>
      </c>
      <c r="E182" s="35"/>
      <c r="F182" s="35" t="s">
        <v>664</v>
      </c>
      <c r="G182" s="37">
        <v>45923</v>
      </c>
      <c r="H182" s="37" t="str">
        <f>INDEX(_xlfn.TEXTSPLIT(mvtst[[#This Row],[QR Suivis]],"_"),1,1)</f>
        <v>CA250005-9</v>
      </c>
      <c r="I182" s="35" t="str">
        <f>_xlfn.TEXTBEFORE(mvtst[[#This Row],[Num Suivis]],"-",,,1)</f>
        <v>CA250005</v>
      </c>
      <c r="J182" s="36">
        <f>SUMIF(mvtst[QR Suivis],mvtst[[#This Row],[QR Suivis]],mvtst[QTE SORTIS])-SUMIF(mvtst[QR Suivis],mvtst[[#This Row],[QR Suivis]],mvtst[QTE RETOUR])</f>
        <v>0</v>
      </c>
      <c r="K182" s="35" t="str">
        <f t="shared" si="2"/>
        <v>Usine</v>
      </c>
      <c r="L182" s="35" t="str">
        <f>_xlfn.XLOOKUP(mvtst[[#This Row],[Sous Traitant]],coordonnee_st[Identification],coordonnee_st[SERVICE],"Non Trouvé")</f>
        <v>Frange</v>
      </c>
      <c r="M182" s="35" t="str">
        <f>INDEX(_xlfn.TEXTSPLIT(mvtst[[#This Row],[QR Suivis]],"_"),1,2)</f>
        <v>All by Fouta</v>
      </c>
      <c r="N182" s="35" t="str">
        <f>INDEX(_xlfn.TEXTSPLIT(mvtst[[#This Row],[QR Suivis]],"_"),1,3)</f>
        <v>Stock</v>
      </c>
      <c r="O182" s="35" t="str">
        <f>INDEX(_xlfn.TEXTSPLIT(mvtst[[#This Row],[QR Suivis]],"_"),1,4)</f>
        <v>UNS1020-10</v>
      </c>
      <c r="P182" s="35" t="str">
        <f>INDEX(_xlfn.TEXTSPLIT(mvtst[[#This Row],[QR Suivis]],"_"),1,5)</f>
        <v>UNI SURPIQUE</v>
      </c>
      <c r="Q182" s="35" t="str">
        <f>_xlfn.TEXTAFTER(mvtst[[#This Row],[QR Suivis]],"_",5)</f>
        <v>1020</v>
      </c>
      <c r="R182" s="84" t="str">
        <f>IF(
   COUNTIFS($A$2:A182,A182,
             $B$2:B182,B182,
             $C$2:C182,C182,
             $D$2:D182,D182,
             $G$2:G182,G182)&gt;1,
   "Doublon",
   "Correcte"
)</f>
        <v>Correcte</v>
      </c>
    </row>
    <row r="183" spans="1:18" x14ac:dyDescent="0.25">
      <c r="A183" s="104" t="s">
        <v>1433</v>
      </c>
      <c r="B183" s="35" t="s">
        <v>712</v>
      </c>
      <c r="C183" s="36">
        <v>5</v>
      </c>
      <c r="D183" s="36">
        <v>0</v>
      </c>
      <c r="E183" s="35"/>
      <c r="F183" s="35" t="s">
        <v>664</v>
      </c>
      <c r="G183" s="37">
        <v>45923</v>
      </c>
      <c r="H183" s="37" t="str">
        <f>INDEX(_xlfn.TEXTSPLIT(mvtst[[#This Row],[QR Suivis]],"_"),1,1)</f>
        <v>CA250005-10</v>
      </c>
      <c r="I183" s="35" t="str">
        <f>_xlfn.TEXTBEFORE(mvtst[[#This Row],[Num Suivis]],"-",,,1)</f>
        <v>CA250005</v>
      </c>
      <c r="J183" s="36">
        <f>SUMIF(mvtst[QR Suivis],mvtst[[#This Row],[QR Suivis]],mvtst[QTE SORTIS])-SUMIF(mvtst[QR Suivis],mvtst[[#This Row],[QR Suivis]],mvtst[QTE RETOUR])</f>
        <v>0</v>
      </c>
      <c r="K183" s="35" t="str">
        <f t="shared" si="2"/>
        <v>Usine</v>
      </c>
      <c r="L183" s="35" t="str">
        <f>_xlfn.XLOOKUP(mvtst[[#This Row],[Sous Traitant]],coordonnee_st[Identification],coordonnee_st[SERVICE],"Non Trouvé")</f>
        <v>Frange</v>
      </c>
      <c r="M183" s="35" t="str">
        <f>INDEX(_xlfn.TEXTSPLIT(mvtst[[#This Row],[QR Suivis]],"_"),1,2)</f>
        <v>All by Fouta</v>
      </c>
      <c r="N183" s="35" t="str">
        <f>INDEX(_xlfn.TEXTSPLIT(mvtst[[#This Row],[QR Suivis]],"_"),1,3)</f>
        <v>Stock</v>
      </c>
      <c r="O183" s="35" t="str">
        <f>INDEX(_xlfn.TEXTSPLIT(mvtst[[#This Row],[QR Suivis]],"_"),1,4)</f>
        <v>UNS1020-10</v>
      </c>
      <c r="P183" s="35" t="str">
        <f>INDEX(_xlfn.TEXTSPLIT(mvtst[[#This Row],[QR Suivis]],"_"),1,5)</f>
        <v>UNI SURPIQUE</v>
      </c>
      <c r="Q183" s="35" t="str">
        <f>_xlfn.TEXTAFTER(mvtst[[#This Row],[QR Suivis]],"_",5)</f>
        <v>1020</v>
      </c>
      <c r="R183" s="84" t="str">
        <f>IF(
   COUNTIFS($A$2:A183,A183,
             $B$2:B183,B183,
             $C$2:C183,C183,
             $D$2:D183,D183,
             $G$2:G183,G183)&gt;1,
   "Doublon",
   "Correcte"
)</f>
        <v>Correcte</v>
      </c>
    </row>
    <row r="184" spans="1:18" x14ac:dyDescent="0.25">
      <c r="A184" s="104" t="s">
        <v>1434</v>
      </c>
      <c r="B184" s="35" t="s">
        <v>712</v>
      </c>
      <c r="C184" s="36">
        <v>5</v>
      </c>
      <c r="D184" s="36">
        <v>0</v>
      </c>
      <c r="E184" s="35"/>
      <c r="F184" s="35" t="s">
        <v>664</v>
      </c>
      <c r="G184" s="37">
        <v>45923</v>
      </c>
      <c r="H184" s="37" t="str">
        <f>INDEX(_xlfn.TEXTSPLIT(mvtst[[#This Row],[QR Suivis]],"_"),1,1)</f>
        <v>CA250005-4</v>
      </c>
      <c r="I184" s="35" t="str">
        <f>_xlfn.TEXTBEFORE(mvtst[[#This Row],[Num Suivis]],"-",,,1)</f>
        <v>CA250005</v>
      </c>
      <c r="J184" s="36">
        <f>SUMIF(mvtst[QR Suivis],mvtst[[#This Row],[QR Suivis]],mvtst[QTE SORTIS])-SUMIF(mvtst[QR Suivis],mvtst[[#This Row],[QR Suivis]],mvtst[QTE RETOUR])</f>
        <v>0</v>
      </c>
      <c r="K184" s="35" t="str">
        <f t="shared" si="2"/>
        <v>Usine</v>
      </c>
      <c r="L184" s="35" t="str">
        <f>_xlfn.XLOOKUP(mvtst[[#This Row],[Sous Traitant]],coordonnee_st[Identification],coordonnee_st[SERVICE],"Non Trouvé")</f>
        <v>Frange</v>
      </c>
      <c r="M184" s="35" t="str">
        <f>INDEX(_xlfn.TEXTSPLIT(mvtst[[#This Row],[QR Suivis]],"_"),1,2)</f>
        <v>All by Fouta</v>
      </c>
      <c r="N184" s="35" t="str">
        <f>INDEX(_xlfn.TEXTSPLIT(mvtst[[#This Row],[QR Suivis]],"_"),1,3)</f>
        <v>Stock</v>
      </c>
      <c r="O184" s="35" t="str">
        <f>INDEX(_xlfn.TEXTSPLIT(mvtst[[#This Row],[QR Suivis]],"_"),1,4)</f>
        <v>UNS1020-10</v>
      </c>
      <c r="P184" s="35" t="str">
        <f>INDEX(_xlfn.TEXTSPLIT(mvtst[[#This Row],[QR Suivis]],"_"),1,5)</f>
        <v>UNI SURPIQUE</v>
      </c>
      <c r="Q184" s="35" t="str">
        <f>_xlfn.TEXTAFTER(mvtst[[#This Row],[QR Suivis]],"_",5)</f>
        <v>1020</v>
      </c>
      <c r="R184" s="84" t="str">
        <f>IF(
   COUNTIFS($A$2:A184,A184,
             $B$2:B184,B184,
             $C$2:C184,C184,
             $D$2:D184,D184,
             $G$2:G184,G184)&gt;1,
   "Doublon",
   "Correcte"
)</f>
        <v>Correcte</v>
      </c>
    </row>
    <row r="185" spans="1:18" x14ac:dyDescent="0.25">
      <c r="A185" s="104" t="s">
        <v>1435</v>
      </c>
      <c r="B185" s="35" t="s">
        <v>712</v>
      </c>
      <c r="C185" s="36">
        <v>5</v>
      </c>
      <c r="D185" s="36">
        <v>0</v>
      </c>
      <c r="E185" s="35"/>
      <c r="F185" s="35" t="s">
        <v>664</v>
      </c>
      <c r="G185" s="37">
        <v>45923</v>
      </c>
      <c r="H185" s="37" t="str">
        <f>INDEX(_xlfn.TEXTSPLIT(mvtst[[#This Row],[QR Suivis]],"_"),1,1)</f>
        <v>CA250005-2</v>
      </c>
      <c r="I185" s="35" t="str">
        <f>_xlfn.TEXTBEFORE(mvtst[[#This Row],[Num Suivis]],"-",,,1)</f>
        <v>CA250005</v>
      </c>
      <c r="J185" s="36">
        <f>SUMIF(mvtst[QR Suivis],mvtst[[#This Row],[QR Suivis]],mvtst[QTE SORTIS])-SUMIF(mvtst[QR Suivis],mvtst[[#This Row],[QR Suivis]],mvtst[QTE RETOUR])</f>
        <v>0</v>
      </c>
      <c r="K185" s="35" t="str">
        <f t="shared" si="2"/>
        <v>Usine</v>
      </c>
      <c r="L185" s="35" t="str">
        <f>_xlfn.XLOOKUP(mvtst[[#This Row],[Sous Traitant]],coordonnee_st[Identification],coordonnee_st[SERVICE],"Non Trouvé")</f>
        <v>Frange</v>
      </c>
      <c r="M185" s="35" t="str">
        <f>INDEX(_xlfn.TEXTSPLIT(mvtst[[#This Row],[QR Suivis]],"_"),1,2)</f>
        <v>All by Fouta</v>
      </c>
      <c r="N185" s="35" t="str">
        <f>INDEX(_xlfn.TEXTSPLIT(mvtst[[#This Row],[QR Suivis]],"_"),1,3)</f>
        <v>Stock</v>
      </c>
      <c r="O185" s="35" t="str">
        <f>INDEX(_xlfn.TEXTSPLIT(mvtst[[#This Row],[QR Suivis]],"_"),1,4)</f>
        <v>UNS1020-10</v>
      </c>
      <c r="P185" s="35" t="str">
        <f>INDEX(_xlfn.TEXTSPLIT(mvtst[[#This Row],[QR Suivis]],"_"),1,5)</f>
        <v>UNI SURPIQUE</v>
      </c>
      <c r="Q185" s="35" t="str">
        <f>_xlfn.TEXTAFTER(mvtst[[#This Row],[QR Suivis]],"_",5)</f>
        <v>1020</v>
      </c>
      <c r="R185" s="84" t="str">
        <f>IF(
   COUNTIFS($A$2:A185,A185,
             $B$2:B185,B185,
             $C$2:C185,C185,
             $D$2:D185,D185,
             $G$2:G185,G185)&gt;1,
   "Doublon",
   "Correcte"
)</f>
        <v>Correcte</v>
      </c>
    </row>
    <row r="186" spans="1:18" x14ac:dyDescent="0.25">
      <c r="A186" s="104" t="s">
        <v>1436</v>
      </c>
      <c r="B186" s="35" t="s">
        <v>712</v>
      </c>
      <c r="C186" s="36">
        <v>5</v>
      </c>
      <c r="D186" s="36">
        <v>0</v>
      </c>
      <c r="E186" s="35"/>
      <c r="F186" s="35" t="s">
        <v>664</v>
      </c>
      <c r="G186" s="37">
        <v>45923</v>
      </c>
      <c r="H186" s="37" t="str">
        <f>INDEX(_xlfn.TEXTSPLIT(mvtst[[#This Row],[QR Suivis]],"_"),1,1)</f>
        <v>CA250005-12</v>
      </c>
      <c r="I186" s="35" t="str">
        <f>_xlfn.TEXTBEFORE(mvtst[[#This Row],[Num Suivis]],"-",,,1)</f>
        <v>CA250005</v>
      </c>
      <c r="J186" s="36">
        <f>SUMIF(mvtst[QR Suivis],mvtst[[#This Row],[QR Suivis]],mvtst[QTE SORTIS])-SUMIF(mvtst[QR Suivis],mvtst[[#This Row],[QR Suivis]],mvtst[QTE RETOUR])</f>
        <v>0</v>
      </c>
      <c r="K186" s="35" t="str">
        <f t="shared" si="2"/>
        <v>Usine</v>
      </c>
      <c r="L186" s="35" t="str">
        <f>_xlfn.XLOOKUP(mvtst[[#This Row],[Sous Traitant]],coordonnee_st[Identification],coordonnee_st[SERVICE],"Non Trouvé")</f>
        <v>Frange</v>
      </c>
      <c r="M186" s="35" t="str">
        <f>INDEX(_xlfn.TEXTSPLIT(mvtst[[#This Row],[QR Suivis]],"_"),1,2)</f>
        <v>All by Fouta</v>
      </c>
      <c r="N186" s="35" t="str">
        <f>INDEX(_xlfn.TEXTSPLIT(mvtst[[#This Row],[QR Suivis]],"_"),1,3)</f>
        <v>Stock</v>
      </c>
      <c r="O186" s="35" t="str">
        <f>INDEX(_xlfn.TEXTSPLIT(mvtst[[#This Row],[QR Suivis]],"_"),1,4)</f>
        <v>UNS1020-10</v>
      </c>
      <c r="P186" s="35" t="str">
        <f>INDEX(_xlfn.TEXTSPLIT(mvtst[[#This Row],[QR Suivis]],"_"),1,5)</f>
        <v>UNI SURPIQUE</v>
      </c>
      <c r="Q186" s="35" t="str">
        <f>_xlfn.TEXTAFTER(mvtst[[#This Row],[QR Suivis]],"_",5)</f>
        <v>1020</v>
      </c>
      <c r="R186" s="84" t="str">
        <f>IF(
   COUNTIFS($A$2:A186,A186,
             $B$2:B186,B186,
             $C$2:C186,C186,
             $D$2:D186,D186,
             $G$2:G186,G186)&gt;1,
   "Doublon",
   "Correcte"
)</f>
        <v>Correcte</v>
      </c>
    </row>
    <row r="187" spans="1:18" x14ac:dyDescent="0.25">
      <c r="A187" s="104" t="s">
        <v>1437</v>
      </c>
      <c r="B187" s="35" t="s">
        <v>712</v>
      </c>
      <c r="C187" s="36">
        <v>4</v>
      </c>
      <c r="D187" s="36">
        <v>0</v>
      </c>
      <c r="E187" s="35"/>
      <c r="F187" s="35" t="s">
        <v>664</v>
      </c>
      <c r="G187" s="37">
        <v>45923</v>
      </c>
      <c r="H187" s="37" t="str">
        <f>INDEX(_xlfn.TEXTSPLIT(mvtst[[#This Row],[QR Suivis]],"_"),1,1)</f>
        <v>CA250005-7</v>
      </c>
      <c r="I187" s="35" t="str">
        <f>_xlfn.TEXTBEFORE(mvtst[[#This Row],[Num Suivis]],"-",,,1)</f>
        <v>CA250005</v>
      </c>
      <c r="J187" s="36">
        <f>SUMIF(mvtst[QR Suivis],mvtst[[#This Row],[QR Suivis]],mvtst[QTE SORTIS])-SUMIF(mvtst[QR Suivis],mvtst[[#This Row],[QR Suivis]],mvtst[QTE RETOUR])</f>
        <v>0</v>
      </c>
      <c r="K187" s="35" t="str">
        <f t="shared" si="2"/>
        <v>Usine</v>
      </c>
      <c r="L187" s="35" t="str">
        <f>_xlfn.XLOOKUP(mvtst[[#This Row],[Sous Traitant]],coordonnee_st[Identification],coordonnee_st[SERVICE],"Non Trouvé")</f>
        <v>Frange</v>
      </c>
      <c r="M187" s="35" t="str">
        <f>INDEX(_xlfn.TEXTSPLIT(mvtst[[#This Row],[QR Suivis]],"_"),1,2)</f>
        <v>All by Fouta</v>
      </c>
      <c r="N187" s="35" t="str">
        <f>INDEX(_xlfn.TEXTSPLIT(mvtst[[#This Row],[QR Suivis]],"_"),1,3)</f>
        <v>Stock</v>
      </c>
      <c r="O187" s="35" t="str">
        <f>INDEX(_xlfn.TEXTSPLIT(mvtst[[#This Row],[QR Suivis]],"_"),1,4)</f>
        <v>UNS1020-10</v>
      </c>
      <c r="P187" s="35" t="str">
        <f>INDEX(_xlfn.TEXTSPLIT(mvtst[[#This Row],[QR Suivis]],"_"),1,5)</f>
        <v>UNI SURPIQUE</v>
      </c>
      <c r="Q187" s="35" t="str">
        <f>_xlfn.TEXTAFTER(mvtst[[#This Row],[QR Suivis]],"_",5)</f>
        <v>1020</v>
      </c>
      <c r="R187" s="84" t="str">
        <f>IF(
   COUNTIFS($A$2:A187,A187,
             $B$2:B187,B187,
             $C$2:C187,C187,
             $D$2:D187,D187,
             $G$2:G187,G187)&gt;1,
   "Doublon",
   "Correcte"
)</f>
        <v>Correcte</v>
      </c>
    </row>
    <row r="188" spans="1:18" x14ac:dyDescent="0.25">
      <c r="A188" s="104" t="s">
        <v>1438</v>
      </c>
      <c r="B188" s="35" t="s">
        <v>712</v>
      </c>
      <c r="C188" s="36">
        <v>1</v>
      </c>
      <c r="D188" s="36">
        <v>0</v>
      </c>
      <c r="E188" s="35"/>
      <c r="F188" s="35" t="s">
        <v>664</v>
      </c>
      <c r="G188" s="37">
        <v>45923</v>
      </c>
      <c r="H188" s="37" t="str">
        <f>INDEX(_xlfn.TEXTSPLIT(mvtst[[#This Row],[QR Suivis]],"_"),1,1)</f>
        <v>CA250005-13</v>
      </c>
      <c r="I188" s="35" t="str">
        <f>_xlfn.TEXTBEFORE(mvtst[[#This Row],[Num Suivis]],"-",,,1)</f>
        <v>CA250005</v>
      </c>
      <c r="J188" s="36">
        <f>SUMIF(mvtst[QR Suivis],mvtst[[#This Row],[QR Suivis]],mvtst[QTE SORTIS])-SUMIF(mvtst[QR Suivis],mvtst[[#This Row],[QR Suivis]],mvtst[QTE RETOUR])</f>
        <v>0</v>
      </c>
      <c r="K188" s="35" t="str">
        <f t="shared" si="2"/>
        <v>Usine</v>
      </c>
      <c r="L188" s="35" t="str">
        <f>_xlfn.XLOOKUP(mvtst[[#This Row],[Sous Traitant]],coordonnee_st[Identification],coordonnee_st[SERVICE],"Non Trouvé")</f>
        <v>Frange</v>
      </c>
      <c r="M188" s="35" t="str">
        <f>INDEX(_xlfn.TEXTSPLIT(mvtst[[#This Row],[QR Suivis]],"_"),1,2)</f>
        <v>All by Fouta</v>
      </c>
      <c r="N188" s="35" t="str">
        <f>INDEX(_xlfn.TEXTSPLIT(mvtst[[#This Row],[QR Suivis]],"_"),1,3)</f>
        <v>Stock</v>
      </c>
      <c r="O188" s="35" t="str">
        <f>INDEX(_xlfn.TEXTSPLIT(mvtst[[#This Row],[QR Suivis]],"_"),1,4)</f>
        <v>UNS1020-10</v>
      </c>
      <c r="P188" s="35" t="str">
        <f>INDEX(_xlfn.TEXTSPLIT(mvtst[[#This Row],[QR Suivis]],"_"),1,5)</f>
        <v>UNI SURPIQUE</v>
      </c>
      <c r="Q188" s="35" t="str">
        <f>_xlfn.TEXTAFTER(mvtst[[#This Row],[QR Suivis]],"_",5)</f>
        <v>1020</v>
      </c>
      <c r="R188" s="84" t="str">
        <f>IF(
   COUNTIFS($A$2:A188,A188,
             $B$2:B188,B188,
             $C$2:C188,C188,
             $D$2:D188,D188,
             $G$2:G188,G188)&gt;1,
   "Doublon",
   "Correcte"
)</f>
        <v>Correcte</v>
      </c>
    </row>
    <row r="189" spans="1:18" x14ac:dyDescent="0.25">
      <c r="A189" s="104" t="s">
        <v>1439</v>
      </c>
      <c r="B189" s="35" t="s">
        <v>712</v>
      </c>
      <c r="C189" s="36">
        <v>5</v>
      </c>
      <c r="D189" s="36">
        <v>0</v>
      </c>
      <c r="E189" s="35"/>
      <c r="F189" s="35" t="s">
        <v>664</v>
      </c>
      <c r="G189" s="37">
        <v>45923</v>
      </c>
      <c r="H189" s="37" t="str">
        <f>INDEX(_xlfn.TEXTSPLIT(mvtst[[#This Row],[QR Suivis]],"_"),1,1)</f>
        <v>CA250005-5</v>
      </c>
      <c r="I189" s="35" t="str">
        <f>_xlfn.TEXTBEFORE(mvtst[[#This Row],[Num Suivis]],"-",,,1)</f>
        <v>CA250005</v>
      </c>
      <c r="J189" s="36">
        <f>SUMIF(mvtst[QR Suivis],mvtst[[#This Row],[QR Suivis]],mvtst[QTE SORTIS])-SUMIF(mvtst[QR Suivis],mvtst[[#This Row],[QR Suivis]],mvtst[QTE RETOUR])</f>
        <v>0</v>
      </c>
      <c r="K189" s="35" t="str">
        <f t="shared" si="2"/>
        <v>Usine</v>
      </c>
      <c r="L189" s="35" t="str">
        <f>_xlfn.XLOOKUP(mvtst[[#This Row],[Sous Traitant]],coordonnee_st[Identification],coordonnee_st[SERVICE],"Non Trouvé")</f>
        <v>Frange</v>
      </c>
      <c r="M189" s="35" t="str">
        <f>INDEX(_xlfn.TEXTSPLIT(mvtst[[#This Row],[QR Suivis]],"_"),1,2)</f>
        <v>All by Fouta</v>
      </c>
      <c r="N189" s="35" t="str">
        <f>INDEX(_xlfn.TEXTSPLIT(mvtst[[#This Row],[QR Suivis]],"_"),1,3)</f>
        <v>Stock</v>
      </c>
      <c r="O189" s="35" t="str">
        <f>INDEX(_xlfn.TEXTSPLIT(mvtst[[#This Row],[QR Suivis]],"_"),1,4)</f>
        <v>UNS1020-10</v>
      </c>
      <c r="P189" s="35" t="str">
        <f>INDEX(_xlfn.TEXTSPLIT(mvtst[[#This Row],[QR Suivis]],"_"),1,5)</f>
        <v>UNI SURPIQUE</v>
      </c>
      <c r="Q189" s="35" t="str">
        <f>_xlfn.TEXTAFTER(mvtst[[#This Row],[QR Suivis]],"_",5)</f>
        <v>1020</v>
      </c>
      <c r="R189" s="84" t="str">
        <f>IF(
   COUNTIFS($A$2:A189,A189,
             $B$2:B189,B189,
             $C$2:C189,C189,
             $D$2:D189,D189,
             $G$2:G189,G189)&gt;1,
   "Doublon",
   "Correcte"
)</f>
        <v>Correcte</v>
      </c>
    </row>
    <row r="190" spans="1:18" x14ac:dyDescent="0.25">
      <c r="A190" s="104" t="s">
        <v>1440</v>
      </c>
      <c r="B190" s="35" t="s">
        <v>712</v>
      </c>
      <c r="C190" s="36">
        <v>5</v>
      </c>
      <c r="D190" s="36">
        <v>0</v>
      </c>
      <c r="E190" s="35"/>
      <c r="F190" s="35" t="s">
        <v>664</v>
      </c>
      <c r="G190" s="37">
        <v>45923</v>
      </c>
      <c r="H190" s="37" t="str">
        <f>INDEX(_xlfn.TEXTSPLIT(mvtst[[#This Row],[QR Suivis]],"_"),1,1)</f>
        <v>CA250005-1</v>
      </c>
      <c r="I190" s="35" t="str">
        <f>_xlfn.TEXTBEFORE(mvtst[[#This Row],[Num Suivis]],"-",,,1)</f>
        <v>CA250005</v>
      </c>
      <c r="J190" s="36">
        <f>SUMIF(mvtst[QR Suivis],mvtst[[#This Row],[QR Suivis]],mvtst[QTE SORTIS])-SUMIF(mvtst[QR Suivis],mvtst[[#This Row],[QR Suivis]],mvtst[QTE RETOUR])</f>
        <v>0</v>
      </c>
      <c r="K190" s="35" t="str">
        <f t="shared" si="2"/>
        <v>Usine</v>
      </c>
      <c r="L190" s="35" t="str">
        <f>_xlfn.XLOOKUP(mvtst[[#This Row],[Sous Traitant]],coordonnee_st[Identification],coordonnee_st[SERVICE],"Non Trouvé")</f>
        <v>Frange</v>
      </c>
      <c r="M190" s="35" t="str">
        <f>INDEX(_xlfn.TEXTSPLIT(mvtst[[#This Row],[QR Suivis]],"_"),1,2)</f>
        <v>All by Fouta</v>
      </c>
      <c r="N190" s="35" t="str">
        <f>INDEX(_xlfn.TEXTSPLIT(mvtst[[#This Row],[QR Suivis]],"_"),1,3)</f>
        <v>Stock</v>
      </c>
      <c r="O190" s="35" t="str">
        <f>INDEX(_xlfn.TEXTSPLIT(mvtst[[#This Row],[QR Suivis]],"_"),1,4)</f>
        <v>UNS1020-10</v>
      </c>
      <c r="P190" s="35" t="str">
        <f>INDEX(_xlfn.TEXTSPLIT(mvtst[[#This Row],[QR Suivis]],"_"),1,5)</f>
        <v>UNI SURPIQUE</v>
      </c>
      <c r="Q190" s="35" t="str">
        <f>_xlfn.TEXTAFTER(mvtst[[#This Row],[QR Suivis]],"_",5)</f>
        <v>1020</v>
      </c>
      <c r="R190" s="84" t="str">
        <f>IF(
   COUNTIFS($A$2:A190,A190,
             $B$2:B190,B190,
             $C$2:C190,C190,
             $D$2:D190,D190,
             $G$2:G190,G190)&gt;1,
   "Doublon",
   "Correcte"
)</f>
        <v>Correcte</v>
      </c>
    </row>
    <row r="191" spans="1:18" x14ac:dyDescent="0.25">
      <c r="A191" s="104" t="s">
        <v>1441</v>
      </c>
      <c r="B191" s="35" t="s">
        <v>712</v>
      </c>
      <c r="C191" s="36">
        <v>5</v>
      </c>
      <c r="D191" s="36">
        <v>0</v>
      </c>
      <c r="E191" s="35"/>
      <c r="F191" s="35" t="s">
        <v>664</v>
      </c>
      <c r="G191" s="37">
        <v>45923</v>
      </c>
      <c r="H191" s="37" t="str">
        <f>INDEX(_xlfn.TEXTSPLIT(mvtst[[#This Row],[QR Suivis]],"_"),1,1)</f>
        <v>CA250005-6</v>
      </c>
      <c r="I191" s="35" t="str">
        <f>_xlfn.TEXTBEFORE(mvtst[[#This Row],[Num Suivis]],"-",,,1)</f>
        <v>CA250005</v>
      </c>
      <c r="J191" s="36">
        <f>SUMIF(mvtst[QR Suivis],mvtst[[#This Row],[QR Suivis]],mvtst[QTE SORTIS])-SUMIF(mvtst[QR Suivis],mvtst[[#This Row],[QR Suivis]],mvtst[QTE RETOUR])</f>
        <v>0</v>
      </c>
      <c r="K191" s="35" t="str">
        <f t="shared" si="2"/>
        <v>Usine</v>
      </c>
      <c r="L191" s="35" t="str">
        <f>_xlfn.XLOOKUP(mvtst[[#This Row],[Sous Traitant]],coordonnee_st[Identification],coordonnee_st[SERVICE],"Non Trouvé")</f>
        <v>Frange</v>
      </c>
      <c r="M191" s="35" t="str">
        <f>INDEX(_xlfn.TEXTSPLIT(mvtst[[#This Row],[QR Suivis]],"_"),1,2)</f>
        <v>All by Fouta</v>
      </c>
      <c r="N191" s="35" t="str">
        <f>INDEX(_xlfn.TEXTSPLIT(mvtst[[#This Row],[QR Suivis]],"_"),1,3)</f>
        <v>Stock</v>
      </c>
      <c r="O191" s="35" t="str">
        <f>INDEX(_xlfn.TEXTSPLIT(mvtst[[#This Row],[QR Suivis]],"_"),1,4)</f>
        <v>UNS1020-10</v>
      </c>
      <c r="P191" s="35" t="str">
        <f>INDEX(_xlfn.TEXTSPLIT(mvtst[[#This Row],[QR Suivis]],"_"),1,5)</f>
        <v>UNI SURPIQUE</v>
      </c>
      <c r="Q191" s="35" t="str">
        <f>_xlfn.TEXTAFTER(mvtst[[#This Row],[QR Suivis]],"_",5)</f>
        <v>1020</v>
      </c>
      <c r="R191" s="84" t="str">
        <f>IF(
   COUNTIFS($A$2:A191,A191,
             $B$2:B191,B191,
             $C$2:C191,C191,
             $D$2:D191,D191,
             $G$2:G191,G191)&gt;1,
   "Doublon",
   "Correcte"
)</f>
        <v>Correcte</v>
      </c>
    </row>
    <row r="192" spans="1:18" x14ac:dyDescent="0.25">
      <c r="A192" s="104" t="s">
        <v>1442</v>
      </c>
      <c r="B192" s="35" t="s">
        <v>712</v>
      </c>
      <c r="C192" s="36">
        <v>5</v>
      </c>
      <c r="D192" s="36">
        <v>0</v>
      </c>
      <c r="E192" s="35"/>
      <c r="F192" s="35" t="s">
        <v>664</v>
      </c>
      <c r="G192" s="37">
        <v>45923</v>
      </c>
      <c r="H192" s="37" t="str">
        <f>INDEX(_xlfn.TEXTSPLIT(mvtst[[#This Row],[QR Suivis]],"_"),1,1)</f>
        <v>CA250005-11</v>
      </c>
      <c r="I192" s="35" t="str">
        <f>_xlfn.TEXTBEFORE(mvtst[[#This Row],[Num Suivis]],"-",,,1)</f>
        <v>CA250005</v>
      </c>
      <c r="J192" s="36">
        <f>SUMIF(mvtst[QR Suivis],mvtst[[#This Row],[QR Suivis]],mvtst[QTE SORTIS])-SUMIF(mvtst[QR Suivis],mvtst[[#This Row],[QR Suivis]],mvtst[QTE RETOUR])</f>
        <v>0</v>
      </c>
      <c r="K192" s="35" t="str">
        <f t="shared" si="2"/>
        <v>Usine</v>
      </c>
      <c r="L192" s="35" t="str">
        <f>_xlfn.XLOOKUP(mvtst[[#This Row],[Sous Traitant]],coordonnee_st[Identification],coordonnee_st[SERVICE],"Non Trouvé")</f>
        <v>Frange</v>
      </c>
      <c r="M192" s="35" t="str">
        <f>INDEX(_xlfn.TEXTSPLIT(mvtst[[#This Row],[QR Suivis]],"_"),1,2)</f>
        <v>All by Fouta</v>
      </c>
      <c r="N192" s="35" t="str">
        <f>INDEX(_xlfn.TEXTSPLIT(mvtst[[#This Row],[QR Suivis]],"_"),1,3)</f>
        <v>Stock</v>
      </c>
      <c r="O192" s="35" t="str">
        <f>INDEX(_xlfn.TEXTSPLIT(mvtst[[#This Row],[QR Suivis]],"_"),1,4)</f>
        <v>UNS1020-10</v>
      </c>
      <c r="P192" s="35" t="str">
        <f>INDEX(_xlfn.TEXTSPLIT(mvtst[[#This Row],[QR Suivis]],"_"),1,5)</f>
        <v>UNI SURPIQUE</v>
      </c>
      <c r="Q192" s="35" t="str">
        <f>_xlfn.TEXTAFTER(mvtst[[#This Row],[QR Suivis]],"_",5)</f>
        <v>1020</v>
      </c>
      <c r="R192" s="84" t="str">
        <f>IF(
   COUNTIFS($A$2:A192,A192,
             $B$2:B192,B192,
             $C$2:C192,C192,
             $D$2:D192,D192,
             $G$2:G192,G192)&gt;1,
   "Doublon",
   "Correcte"
)</f>
        <v>Correcte</v>
      </c>
    </row>
    <row r="193" spans="1:18" x14ac:dyDescent="0.25">
      <c r="A193" s="104" t="s">
        <v>1443</v>
      </c>
      <c r="B193" s="35" t="s">
        <v>712</v>
      </c>
      <c r="C193" s="36">
        <v>5</v>
      </c>
      <c r="D193" s="36">
        <v>0</v>
      </c>
      <c r="E193" s="35"/>
      <c r="F193" s="35" t="s">
        <v>664</v>
      </c>
      <c r="G193" s="37">
        <v>45923</v>
      </c>
      <c r="H193" s="37" t="str">
        <f>INDEX(_xlfn.TEXTSPLIT(mvtst[[#This Row],[QR Suivis]],"_"),1,1)</f>
        <v>CA250005-8</v>
      </c>
      <c r="I193" s="35" t="str">
        <f>_xlfn.TEXTBEFORE(mvtst[[#This Row],[Num Suivis]],"-",,,1)</f>
        <v>CA250005</v>
      </c>
      <c r="J193" s="36">
        <f>SUMIF(mvtst[QR Suivis],mvtst[[#This Row],[QR Suivis]],mvtst[QTE SORTIS])-SUMIF(mvtst[QR Suivis],mvtst[[#This Row],[QR Suivis]],mvtst[QTE RETOUR])</f>
        <v>0</v>
      </c>
      <c r="K193" s="35" t="str">
        <f t="shared" si="2"/>
        <v>Usine</v>
      </c>
      <c r="L193" s="35" t="str">
        <f>_xlfn.XLOOKUP(mvtst[[#This Row],[Sous Traitant]],coordonnee_st[Identification],coordonnee_st[SERVICE],"Non Trouvé")</f>
        <v>Frange</v>
      </c>
      <c r="M193" s="35" t="str">
        <f>INDEX(_xlfn.TEXTSPLIT(mvtst[[#This Row],[QR Suivis]],"_"),1,2)</f>
        <v>All by Fouta</v>
      </c>
      <c r="N193" s="35" t="str">
        <f>INDEX(_xlfn.TEXTSPLIT(mvtst[[#This Row],[QR Suivis]],"_"),1,3)</f>
        <v>Stock</v>
      </c>
      <c r="O193" s="35" t="str">
        <f>INDEX(_xlfn.TEXTSPLIT(mvtst[[#This Row],[QR Suivis]],"_"),1,4)</f>
        <v>UNS1020-10</v>
      </c>
      <c r="P193" s="35" t="str">
        <f>INDEX(_xlfn.TEXTSPLIT(mvtst[[#This Row],[QR Suivis]],"_"),1,5)</f>
        <v>UNI SURPIQUE</v>
      </c>
      <c r="Q193" s="35" t="str">
        <f>_xlfn.TEXTAFTER(mvtst[[#This Row],[QR Suivis]],"_",5)</f>
        <v>1020</v>
      </c>
      <c r="R193" s="84" t="str">
        <f>IF(
   COUNTIFS($A$2:A193,A193,
             $B$2:B193,B193,
             $C$2:C193,C193,
             $D$2:D193,D193,
             $G$2:G193,G193)&gt;1,
   "Doublon",
   "Correcte"
)</f>
        <v>Correcte</v>
      </c>
    </row>
    <row r="194" spans="1:18" x14ac:dyDescent="0.25">
      <c r="A194" s="104" t="s">
        <v>1444</v>
      </c>
      <c r="B194" s="35" t="s">
        <v>712</v>
      </c>
      <c r="C194" s="36">
        <v>5</v>
      </c>
      <c r="D194" s="36">
        <v>0</v>
      </c>
      <c r="E194" s="35"/>
      <c r="F194" s="35" t="s">
        <v>664</v>
      </c>
      <c r="G194" s="37">
        <v>45923</v>
      </c>
      <c r="H194" s="37" t="str">
        <f>INDEX(_xlfn.TEXTSPLIT(mvtst[[#This Row],[QR Suivis]],"_"),1,1)</f>
        <v>CA250006-1</v>
      </c>
      <c r="I194" s="35" t="str">
        <f>_xlfn.TEXTBEFORE(mvtst[[#This Row],[Num Suivis]],"-",,,1)</f>
        <v>CA250006</v>
      </c>
      <c r="J194" s="36">
        <f>SUMIF(mvtst[QR Suivis],mvtst[[#This Row],[QR Suivis]],mvtst[QTE SORTIS])-SUMIF(mvtst[QR Suivis],mvtst[[#This Row],[QR Suivis]],mvtst[QTE RETOUR])</f>
        <v>0</v>
      </c>
      <c r="K194" s="35" t="str">
        <f t="shared" si="2"/>
        <v>Usine</v>
      </c>
      <c r="L194" s="35" t="str">
        <f>_xlfn.XLOOKUP(mvtst[[#This Row],[Sous Traitant]],coordonnee_st[Identification],coordonnee_st[SERVICE],"Non Trouvé")</f>
        <v>Frange</v>
      </c>
      <c r="M194" s="35" t="str">
        <f>INDEX(_xlfn.TEXTSPLIT(mvtst[[#This Row],[QR Suivis]],"_"),1,2)</f>
        <v>All by Fouta</v>
      </c>
      <c r="N194" s="35" t="str">
        <f>INDEX(_xlfn.TEXTSPLIT(mvtst[[#This Row],[QR Suivis]],"_"),1,3)</f>
        <v>Stock</v>
      </c>
      <c r="O194" s="35" t="str">
        <f>INDEX(_xlfn.TEXTSPLIT(mvtst[[#This Row],[QR Suivis]],"_"),1,4)</f>
        <v>UNS1020-12</v>
      </c>
      <c r="P194" s="35" t="str">
        <f>INDEX(_xlfn.TEXTSPLIT(mvtst[[#This Row],[QR Suivis]],"_"),1,5)</f>
        <v>UNI SURPIQUE</v>
      </c>
      <c r="Q194" s="35" t="str">
        <f>_xlfn.TEXTAFTER(mvtst[[#This Row],[QR Suivis]],"_",5)</f>
        <v>1020</v>
      </c>
      <c r="R194" s="84" t="str">
        <f>IF(
   COUNTIFS($A$2:A194,A194,
             $B$2:B194,B194,
             $C$2:C194,C194,
             $D$2:D194,D194,
             $G$2:G194,G194)&gt;1,
   "Doublon",
   "Correcte"
)</f>
        <v>Correcte</v>
      </c>
    </row>
    <row r="195" spans="1:18" x14ac:dyDescent="0.25">
      <c r="A195" s="104" t="s">
        <v>1445</v>
      </c>
      <c r="B195" s="35" t="s">
        <v>712</v>
      </c>
      <c r="C195" s="36">
        <v>5</v>
      </c>
      <c r="D195" s="36">
        <v>0</v>
      </c>
      <c r="E195" s="35"/>
      <c r="F195" s="35" t="s">
        <v>664</v>
      </c>
      <c r="G195" s="37">
        <v>45923</v>
      </c>
      <c r="H195" s="37" t="str">
        <f>INDEX(_xlfn.TEXTSPLIT(mvtst[[#This Row],[QR Suivis]],"_"),1,1)</f>
        <v>CA250006-12</v>
      </c>
      <c r="I195" s="35" t="str">
        <f>_xlfn.TEXTBEFORE(mvtst[[#This Row],[Num Suivis]],"-",,,1)</f>
        <v>CA250006</v>
      </c>
      <c r="J195" s="36">
        <f>SUMIF(mvtst[QR Suivis],mvtst[[#This Row],[QR Suivis]],mvtst[QTE SORTIS])-SUMIF(mvtst[QR Suivis],mvtst[[#This Row],[QR Suivis]],mvtst[QTE RETOUR])</f>
        <v>0</v>
      </c>
      <c r="K195" s="35" t="str">
        <f t="shared" ref="K195:K258" si="3">"Usine"</f>
        <v>Usine</v>
      </c>
      <c r="L195" s="35" t="str">
        <f>_xlfn.XLOOKUP(mvtst[[#This Row],[Sous Traitant]],coordonnee_st[Identification],coordonnee_st[SERVICE],"Non Trouvé")</f>
        <v>Frange</v>
      </c>
      <c r="M195" s="35" t="str">
        <f>INDEX(_xlfn.TEXTSPLIT(mvtst[[#This Row],[QR Suivis]],"_"),1,2)</f>
        <v>All by Fouta</v>
      </c>
      <c r="N195" s="35" t="str">
        <f>INDEX(_xlfn.TEXTSPLIT(mvtst[[#This Row],[QR Suivis]],"_"),1,3)</f>
        <v>Stock</v>
      </c>
      <c r="O195" s="35" t="str">
        <f>INDEX(_xlfn.TEXTSPLIT(mvtst[[#This Row],[QR Suivis]],"_"),1,4)</f>
        <v>UNS1020-12</v>
      </c>
      <c r="P195" s="35" t="str">
        <f>INDEX(_xlfn.TEXTSPLIT(mvtst[[#This Row],[QR Suivis]],"_"),1,5)</f>
        <v>UNI SURPIQUE</v>
      </c>
      <c r="Q195" s="35" t="str">
        <f>_xlfn.TEXTAFTER(mvtst[[#This Row],[QR Suivis]],"_",5)</f>
        <v>1020</v>
      </c>
      <c r="R195" s="84" t="str">
        <f>IF(
   COUNTIFS($A$2:A195,A195,
             $B$2:B195,B195,
             $C$2:C195,C195,
             $D$2:D195,D195,
             $G$2:G195,G195)&gt;1,
   "Doublon",
   "Correcte"
)</f>
        <v>Correcte</v>
      </c>
    </row>
    <row r="196" spans="1:18" x14ac:dyDescent="0.25">
      <c r="A196" s="104" t="s">
        <v>1446</v>
      </c>
      <c r="B196" s="35" t="s">
        <v>712</v>
      </c>
      <c r="C196" s="36">
        <v>5</v>
      </c>
      <c r="D196" s="36">
        <v>0</v>
      </c>
      <c r="E196" s="35"/>
      <c r="F196" s="35" t="s">
        <v>664</v>
      </c>
      <c r="G196" s="37">
        <v>45923</v>
      </c>
      <c r="H196" s="37" t="str">
        <f>INDEX(_xlfn.TEXTSPLIT(mvtst[[#This Row],[QR Suivis]],"_"),1,1)</f>
        <v>CA250006-2</v>
      </c>
      <c r="I196" s="35" t="str">
        <f>_xlfn.TEXTBEFORE(mvtst[[#This Row],[Num Suivis]],"-",,,1)</f>
        <v>CA250006</v>
      </c>
      <c r="J196" s="36">
        <f>SUMIF(mvtst[QR Suivis],mvtst[[#This Row],[QR Suivis]],mvtst[QTE SORTIS])-SUMIF(mvtst[QR Suivis],mvtst[[#This Row],[QR Suivis]],mvtst[QTE RETOUR])</f>
        <v>0</v>
      </c>
      <c r="K196" s="35" t="str">
        <f t="shared" si="3"/>
        <v>Usine</v>
      </c>
      <c r="L196" s="35" t="str">
        <f>_xlfn.XLOOKUP(mvtst[[#This Row],[Sous Traitant]],coordonnee_st[Identification],coordonnee_st[SERVICE],"Non Trouvé")</f>
        <v>Frange</v>
      </c>
      <c r="M196" s="35" t="str">
        <f>INDEX(_xlfn.TEXTSPLIT(mvtst[[#This Row],[QR Suivis]],"_"),1,2)</f>
        <v>All by Fouta</v>
      </c>
      <c r="N196" s="35" t="str">
        <f>INDEX(_xlfn.TEXTSPLIT(mvtst[[#This Row],[QR Suivis]],"_"),1,3)</f>
        <v>Stock</v>
      </c>
      <c r="O196" s="35" t="str">
        <f>INDEX(_xlfn.TEXTSPLIT(mvtst[[#This Row],[QR Suivis]],"_"),1,4)</f>
        <v>UNS1020-12</v>
      </c>
      <c r="P196" s="35" t="str">
        <f>INDEX(_xlfn.TEXTSPLIT(mvtst[[#This Row],[QR Suivis]],"_"),1,5)</f>
        <v>UNI SURPIQUE</v>
      </c>
      <c r="Q196" s="35" t="str">
        <f>_xlfn.TEXTAFTER(mvtst[[#This Row],[QR Suivis]],"_",5)</f>
        <v>1020</v>
      </c>
      <c r="R196" s="84" t="str">
        <f>IF(
   COUNTIFS($A$2:A196,A196,
             $B$2:B196,B196,
             $C$2:C196,C196,
             $D$2:D196,D196,
             $G$2:G196,G196)&gt;1,
   "Doublon",
   "Correcte"
)</f>
        <v>Correcte</v>
      </c>
    </row>
    <row r="197" spans="1:18" x14ac:dyDescent="0.25">
      <c r="A197" s="104" t="s">
        <v>1447</v>
      </c>
      <c r="B197" s="35" t="s">
        <v>712</v>
      </c>
      <c r="C197" s="36">
        <v>5</v>
      </c>
      <c r="D197" s="36">
        <v>0</v>
      </c>
      <c r="E197" s="35"/>
      <c r="F197" s="35" t="s">
        <v>664</v>
      </c>
      <c r="G197" s="37">
        <v>45923</v>
      </c>
      <c r="H197" s="37" t="str">
        <f>INDEX(_xlfn.TEXTSPLIT(mvtst[[#This Row],[QR Suivis]],"_"),1,1)</f>
        <v>CA250006-4</v>
      </c>
      <c r="I197" s="35" t="str">
        <f>_xlfn.TEXTBEFORE(mvtst[[#This Row],[Num Suivis]],"-",,,1)</f>
        <v>CA250006</v>
      </c>
      <c r="J197" s="36">
        <f>SUMIF(mvtst[QR Suivis],mvtst[[#This Row],[QR Suivis]],mvtst[QTE SORTIS])-SUMIF(mvtst[QR Suivis],mvtst[[#This Row],[QR Suivis]],mvtst[QTE RETOUR])</f>
        <v>0</v>
      </c>
      <c r="K197" s="35" t="str">
        <f t="shared" si="3"/>
        <v>Usine</v>
      </c>
      <c r="L197" s="35" t="str">
        <f>_xlfn.XLOOKUP(mvtst[[#This Row],[Sous Traitant]],coordonnee_st[Identification],coordonnee_st[SERVICE],"Non Trouvé")</f>
        <v>Frange</v>
      </c>
      <c r="M197" s="35" t="str">
        <f>INDEX(_xlfn.TEXTSPLIT(mvtst[[#This Row],[QR Suivis]],"_"),1,2)</f>
        <v>All by Fouta</v>
      </c>
      <c r="N197" s="35" t="str">
        <f>INDEX(_xlfn.TEXTSPLIT(mvtst[[#This Row],[QR Suivis]],"_"),1,3)</f>
        <v>Stock</v>
      </c>
      <c r="O197" s="35" t="str">
        <f>INDEX(_xlfn.TEXTSPLIT(mvtst[[#This Row],[QR Suivis]],"_"),1,4)</f>
        <v>UNS1020-12</v>
      </c>
      <c r="P197" s="35" t="str">
        <f>INDEX(_xlfn.TEXTSPLIT(mvtst[[#This Row],[QR Suivis]],"_"),1,5)</f>
        <v>UNI SURPIQUE</v>
      </c>
      <c r="Q197" s="35" t="str">
        <f>_xlfn.TEXTAFTER(mvtst[[#This Row],[QR Suivis]],"_",5)</f>
        <v>1020</v>
      </c>
      <c r="R197" s="84" t="str">
        <f>IF(
   COUNTIFS($A$2:A197,A197,
             $B$2:B197,B197,
             $C$2:C197,C197,
             $D$2:D197,D197,
             $G$2:G197,G197)&gt;1,
   "Doublon",
   "Correcte"
)</f>
        <v>Correcte</v>
      </c>
    </row>
    <row r="198" spans="1:18" x14ac:dyDescent="0.25">
      <c r="A198" s="104" t="s">
        <v>1448</v>
      </c>
      <c r="B198" s="35" t="s">
        <v>712</v>
      </c>
      <c r="C198" s="36">
        <v>5</v>
      </c>
      <c r="D198" s="36">
        <v>0</v>
      </c>
      <c r="E198" s="35"/>
      <c r="F198" s="35" t="s">
        <v>664</v>
      </c>
      <c r="G198" s="37">
        <v>45923</v>
      </c>
      <c r="H198" s="37" t="str">
        <f>INDEX(_xlfn.TEXTSPLIT(mvtst[[#This Row],[QR Suivis]],"_"),1,1)</f>
        <v>CA250006-8</v>
      </c>
      <c r="I198" s="35" t="str">
        <f>_xlfn.TEXTBEFORE(mvtst[[#This Row],[Num Suivis]],"-",,,1)</f>
        <v>CA250006</v>
      </c>
      <c r="J198" s="36">
        <f>SUMIF(mvtst[QR Suivis],mvtst[[#This Row],[QR Suivis]],mvtst[QTE SORTIS])-SUMIF(mvtst[QR Suivis],mvtst[[#This Row],[QR Suivis]],mvtst[QTE RETOUR])</f>
        <v>0</v>
      </c>
      <c r="K198" s="35" t="str">
        <f t="shared" si="3"/>
        <v>Usine</v>
      </c>
      <c r="L198" s="35" t="str">
        <f>_xlfn.XLOOKUP(mvtst[[#This Row],[Sous Traitant]],coordonnee_st[Identification],coordonnee_st[SERVICE],"Non Trouvé")</f>
        <v>Frange</v>
      </c>
      <c r="M198" s="35" t="str">
        <f>INDEX(_xlfn.TEXTSPLIT(mvtst[[#This Row],[QR Suivis]],"_"),1,2)</f>
        <v>All by Fouta</v>
      </c>
      <c r="N198" s="35" t="str">
        <f>INDEX(_xlfn.TEXTSPLIT(mvtst[[#This Row],[QR Suivis]],"_"),1,3)</f>
        <v>Stock</v>
      </c>
      <c r="O198" s="35" t="str">
        <f>INDEX(_xlfn.TEXTSPLIT(mvtst[[#This Row],[QR Suivis]],"_"),1,4)</f>
        <v>UNS1020-12</v>
      </c>
      <c r="P198" s="35" t="str">
        <f>INDEX(_xlfn.TEXTSPLIT(mvtst[[#This Row],[QR Suivis]],"_"),1,5)</f>
        <v>UNI SURPIQUE</v>
      </c>
      <c r="Q198" s="35" t="str">
        <f>_xlfn.TEXTAFTER(mvtst[[#This Row],[QR Suivis]],"_",5)</f>
        <v>1020</v>
      </c>
      <c r="R198" s="84" t="str">
        <f>IF(
   COUNTIFS($A$2:A198,A198,
             $B$2:B198,B198,
             $C$2:C198,C198,
             $D$2:D198,D198,
             $G$2:G198,G198)&gt;1,
   "Doublon",
   "Correcte"
)</f>
        <v>Correcte</v>
      </c>
    </row>
    <row r="199" spans="1:18" x14ac:dyDescent="0.25">
      <c r="A199" s="104" t="s">
        <v>1449</v>
      </c>
      <c r="B199" s="35" t="s">
        <v>712</v>
      </c>
      <c r="C199" s="36">
        <v>5</v>
      </c>
      <c r="D199" s="36">
        <v>0</v>
      </c>
      <c r="E199" s="35"/>
      <c r="F199" s="35" t="s">
        <v>664</v>
      </c>
      <c r="G199" s="37">
        <v>45923</v>
      </c>
      <c r="H199" s="37" t="str">
        <f>INDEX(_xlfn.TEXTSPLIT(mvtst[[#This Row],[QR Suivis]],"_"),1,1)</f>
        <v>CA250006-3</v>
      </c>
      <c r="I199" s="35" t="str">
        <f>_xlfn.TEXTBEFORE(mvtst[[#This Row],[Num Suivis]],"-",,,1)</f>
        <v>CA250006</v>
      </c>
      <c r="J199" s="36">
        <f>SUMIF(mvtst[QR Suivis],mvtst[[#This Row],[QR Suivis]],mvtst[QTE SORTIS])-SUMIF(mvtst[QR Suivis],mvtst[[#This Row],[QR Suivis]],mvtst[QTE RETOUR])</f>
        <v>0</v>
      </c>
      <c r="K199" s="35" t="str">
        <f t="shared" si="3"/>
        <v>Usine</v>
      </c>
      <c r="L199" s="35" t="str">
        <f>_xlfn.XLOOKUP(mvtst[[#This Row],[Sous Traitant]],coordonnee_st[Identification],coordonnee_st[SERVICE],"Non Trouvé")</f>
        <v>Frange</v>
      </c>
      <c r="M199" s="35" t="str">
        <f>INDEX(_xlfn.TEXTSPLIT(mvtst[[#This Row],[QR Suivis]],"_"),1,2)</f>
        <v>All by Fouta</v>
      </c>
      <c r="N199" s="35" t="str">
        <f>INDEX(_xlfn.TEXTSPLIT(mvtst[[#This Row],[QR Suivis]],"_"),1,3)</f>
        <v>Stock</v>
      </c>
      <c r="O199" s="35" t="str">
        <f>INDEX(_xlfn.TEXTSPLIT(mvtst[[#This Row],[QR Suivis]],"_"),1,4)</f>
        <v>UNS1020-12</v>
      </c>
      <c r="P199" s="35" t="str">
        <f>INDEX(_xlfn.TEXTSPLIT(mvtst[[#This Row],[QR Suivis]],"_"),1,5)</f>
        <v>UNI SURPIQUE</v>
      </c>
      <c r="Q199" s="35" t="str">
        <f>_xlfn.TEXTAFTER(mvtst[[#This Row],[QR Suivis]],"_",5)</f>
        <v>1020</v>
      </c>
      <c r="R199" s="84" t="str">
        <f>IF(
   COUNTIFS($A$2:A199,A199,
             $B$2:B199,B199,
             $C$2:C199,C199,
             $D$2:D199,D199,
             $G$2:G199,G199)&gt;1,
   "Doublon",
   "Correcte"
)</f>
        <v>Correcte</v>
      </c>
    </row>
    <row r="200" spans="1:18" x14ac:dyDescent="0.25">
      <c r="A200" s="104" t="s">
        <v>1450</v>
      </c>
      <c r="B200" s="35" t="s">
        <v>712</v>
      </c>
      <c r="C200" s="36">
        <v>5</v>
      </c>
      <c r="D200" s="36">
        <v>0</v>
      </c>
      <c r="E200" s="35"/>
      <c r="F200" s="35" t="s">
        <v>664</v>
      </c>
      <c r="G200" s="37">
        <v>45923</v>
      </c>
      <c r="H200" s="37" t="str">
        <f>INDEX(_xlfn.TEXTSPLIT(mvtst[[#This Row],[QR Suivis]],"_"),1,1)</f>
        <v>CA250006-9</v>
      </c>
      <c r="I200" s="35" t="str">
        <f>_xlfn.TEXTBEFORE(mvtst[[#This Row],[Num Suivis]],"-",,,1)</f>
        <v>CA250006</v>
      </c>
      <c r="J200" s="36">
        <f>SUMIF(mvtst[QR Suivis],mvtst[[#This Row],[QR Suivis]],mvtst[QTE SORTIS])-SUMIF(mvtst[QR Suivis],mvtst[[#This Row],[QR Suivis]],mvtst[QTE RETOUR])</f>
        <v>0</v>
      </c>
      <c r="K200" s="35" t="str">
        <f t="shared" si="3"/>
        <v>Usine</v>
      </c>
      <c r="L200" s="35" t="str">
        <f>_xlfn.XLOOKUP(mvtst[[#This Row],[Sous Traitant]],coordonnee_st[Identification],coordonnee_st[SERVICE],"Non Trouvé")</f>
        <v>Frange</v>
      </c>
      <c r="M200" s="35" t="str">
        <f>INDEX(_xlfn.TEXTSPLIT(mvtst[[#This Row],[QR Suivis]],"_"),1,2)</f>
        <v>All by Fouta</v>
      </c>
      <c r="N200" s="35" t="str">
        <f>INDEX(_xlfn.TEXTSPLIT(mvtst[[#This Row],[QR Suivis]],"_"),1,3)</f>
        <v>Stock</v>
      </c>
      <c r="O200" s="35" t="str">
        <f>INDEX(_xlfn.TEXTSPLIT(mvtst[[#This Row],[QR Suivis]],"_"),1,4)</f>
        <v>UNS1020-12</v>
      </c>
      <c r="P200" s="35" t="str">
        <f>INDEX(_xlfn.TEXTSPLIT(mvtst[[#This Row],[QR Suivis]],"_"),1,5)</f>
        <v>UNI SURPIQUE</v>
      </c>
      <c r="Q200" s="35" t="str">
        <f>_xlfn.TEXTAFTER(mvtst[[#This Row],[QR Suivis]],"_",5)</f>
        <v>1020</v>
      </c>
      <c r="R200" s="84" t="str">
        <f>IF(
   COUNTIFS($A$2:A200,A200,
             $B$2:B200,B200,
             $C$2:C200,C200,
             $D$2:D200,D200,
             $G$2:G200,G200)&gt;1,
   "Doublon",
   "Correcte"
)</f>
        <v>Correcte</v>
      </c>
    </row>
    <row r="201" spans="1:18" x14ac:dyDescent="0.25">
      <c r="A201" s="104" t="s">
        <v>1451</v>
      </c>
      <c r="B201" s="35" t="s">
        <v>712</v>
      </c>
      <c r="C201" s="36">
        <v>5</v>
      </c>
      <c r="D201" s="36">
        <v>0</v>
      </c>
      <c r="E201" s="35"/>
      <c r="F201" s="35" t="s">
        <v>664</v>
      </c>
      <c r="G201" s="37">
        <v>45923</v>
      </c>
      <c r="H201" s="37" t="str">
        <f>INDEX(_xlfn.TEXTSPLIT(mvtst[[#This Row],[QR Suivis]],"_"),1,1)</f>
        <v>CA250006-5</v>
      </c>
      <c r="I201" s="35" t="str">
        <f>_xlfn.TEXTBEFORE(mvtst[[#This Row],[Num Suivis]],"-",,,1)</f>
        <v>CA250006</v>
      </c>
      <c r="J201" s="36">
        <f>SUMIF(mvtst[QR Suivis],mvtst[[#This Row],[QR Suivis]],mvtst[QTE SORTIS])-SUMIF(mvtst[QR Suivis],mvtst[[#This Row],[QR Suivis]],mvtst[QTE RETOUR])</f>
        <v>0</v>
      </c>
      <c r="K201" s="35" t="str">
        <f t="shared" si="3"/>
        <v>Usine</v>
      </c>
      <c r="L201" s="35" t="str">
        <f>_xlfn.XLOOKUP(mvtst[[#This Row],[Sous Traitant]],coordonnee_st[Identification],coordonnee_st[SERVICE],"Non Trouvé")</f>
        <v>Frange</v>
      </c>
      <c r="M201" s="35" t="str">
        <f>INDEX(_xlfn.TEXTSPLIT(mvtst[[#This Row],[QR Suivis]],"_"),1,2)</f>
        <v>All by Fouta</v>
      </c>
      <c r="N201" s="35" t="str">
        <f>INDEX(_xlfn.TEXTSPLIT(mvtst[[#This Row],[QR Suivis]],"_"),1,3)</f>
        <v>Stock</v>
      </c>
      <c r="O201" s="35" t="str">
        <f>INDEX(_xlfn.TEXTSPLIT(mvtst[[#This Row],[QR Suivis]],"_"),1,4)</f>
        <v>UNS1020-12</v>
      </c>
      <c r="P201" s="35" t="str">
        <f>INDEX(_xlfn.TEXTSPLIT(mvtst[[#This Row],[QR Suivis]],"_"),1,5)</f>
        <v>UNI SURPIQUE</v>
      </c>
      <c r="Q201" s="35" t="str">
        <f>_xlfn.TEXTAFTER(mvtst[[#This Row],[QR Suivis]],"_",5)</f>
        <v>1020</v>
      </c>
      <c r="R201" s="84" t="str">
        <f>IF(
   COUNTIFS($A$2:A201,A201,
             $B$2:B201,B201,
             $C$2:C201,C201,
             $D$2:D201,D201,
             $G$2:G201,G201)&gt;1,
   "Doublon",
   "Correcte"
)</f>
        <v>Correcte</v>
      </c>
    </row>
    <row r="202" spans="1:18" x14ac:dyDescent="0.25">
      <c r="A202" s="104" t="s">
        <v>1452</v>
      </c>
      <c r="B202" s="35" t="s">
        <v>712</v>
      </c>
      <c r="C202" s="36">
        <v>1</v>
      </c>
      <c r="D202" s="36">
        <v>0</v>
      </c>
      <c r="E202" s="35"/>
      <c r="F202" s="35" t="s">
        <v>664</v>
      </c>
      <c r="G202" s="37">
        <v>45923</v>
      </c>
      <c r="H202" s="37" t="str">
        <f>INDEX(_xlfn.TEXTSPLIT(mvtst[[#This Row],[QR Suivis]],"_"),1,1)</f>
        <v>CA250006-13</v>
      </c>
      <c r="I202" s="35" t="str">
        <f>_xlfn.TEXTBEFORE(mvtst[[#This Row],[Num Suivis]],"-",,,1)</f>
        <v>CA250006</v>
      </c>
      <c r="J202" s="36">
        <f>SUMIF(mvtst[QR Suivis],mvtst[[#This Row],[QR Suivis]],mvtst[QTE SORTIS])-SUMIF(mvtst[QR Suivis],mvtst[[#This Row],[QR Suivis]],mvtst[QTE RETOUR])</f>
        <v>0</v>
      </c>
      <c r="K202" s="35" t="str">
        <f t="shared" si="3"/>
        <v>Usine</v>
      </c>
      <c r="L202" s="35" t="str">
        <f>_xlfn.XLOOKUP(mvtst[[#This Row],[Sous Traitant]],coordonnee_st[Identification],coordonnee_st[SERVICE],"Non Trouvé")</f>
        <v>Frange</v>
      </c>
      <c r="M202" s="35" t="str">
        <f>INDEX(_xlfn.TEXTSPLIT(mvtst[[#This Row],[QR Suivis]],"_"),1,2)</f>
        <v>All by Fouta</v>
      </c>
      <c r="N202" s="35" t="str">
        <f>INDEX(_xlfn.TEXTSPLIT(mvtst[[#This Row],[QR Suivis]],"_"),1,3)</f>
        <v>Stock</v>
      </c>
      <c r="O202" s="35" t="str">
        <f>INDEX(_xlfn.TEXTSPLIT(mvtst[[#This Row],[QR Suivis]],"_"),1,4)</f>
        <v>UNS1020-12</v>
      </c>
      <c r="P202" s="35" t="str">
        <f>INDEX(_xlfn.TEXTSPLIT(mvtst[[#This Row],[QR Suivis]],"_"),1,5)</f>
        <v>UNI SURPIQUE</v>
      </c>
      <c r="Q202" s="35" t="str">
        <f>_xlfn.TEXTAFTER(mvtst[[#This Row],[QR Suivis]],"_",5)</f>
        <v>1020</v>
      </c>
      <c r="R202" s="84" t="str">
        <f>IF(
   COUNTIFS($A$2:A202,A202,
             $B$2:B202,B202,
             $C$2:C202,C202,
             $D$2:D202,D202,
             $G$2:G202,G202)&gt;1,
   "Doublon",
   "Correcte"
)</f>
        <v>Correcte</v>
      </c>
    </row>
    <row r="203" spans="1:18" x14ac:dyDescent="0.25">
      <c r="A203" s="104" t="s">
        <v>1453</v>
      </c>
      <c r="B203" s="35" t="s">
        <v>712</v>
      </c>
      <c r="C203" s="36">
        <v>5</v>
      </c>
      <c r="D203" s="36">
        <v>0</v>
      </c>
      <c r="E203" s="35"/>
      <c r="F203" s="35" t="s">
        <v>664</v>
      </c>
      <c r="G203" s="37">
        <v>45923</v>
      </c>
      <c r="H203" s="37" t="str">
        <f>INDEX(_xlfn.TEXTSPLIT(mvtst[[#This Row],[QR Suivis]],"_"),1,1)</f>
        <v>CA250006-6</v>
      </c>
      <c r="I203" s="35" t="str">
        <f>_xlfn.TEXTBEFORE(mvtst[[#This Row],[Num Suivis]],"-",,,1)</f>
        <v>CA250006</v>
      </c>
      <c r="J203" s="36">
        <f>SUMIF(mvtst[QR Suivis],mvtst[[#This Row],[QR Suivis]],mvtst[QTE SORTIS])-SUMIF(mvtst[QR Suivis],mvtst[[#This Row],[QR Suivis]],mvtst[QTE RETOUR])</f>
        <v>0</v>
      </c>
      <c r="K203" s="35" t="str">
        <f t="shared" si="3"/>
        <v>Usine</v>
      </c>
      <c r="L203" s="35" t="str">
        <f>_xlfn.XLOOKUP(mvtst[[#This Row],[Sous Traitant]],coordonnee_st[Identification],coordonnee_st[SERVICE],"Non Trouvé")</f>
        <v>Frange</v>
      </c>
      <c r="M203" s="35" t="str">
        <f>INDEX(_xlfn.TEXTSPLIT(mvtst[[#This Row],[QR Suivis]],"_"),1,2)</f>
        <v>All by Fouta</v>
      </c>
      <c r="N203" s="35" t="str">
        <f>INDEX(_xlfn.TEXTSPLIT(mvtst[[#This Row],[QR Suivis]],"_"),1,3)</f>
        <v>Stock</v>
      </c>
      <c r="O203" s="35" t="str">
        <f>INDEX(_xlfn.TEXTSPLIT(mvtst[[#This Row],[QR Suivis]],"_"),1,4)</f>
        <v>UNS1020-12</v>
      </c>
      <c r="P203" s="35" t="str">
        <f>INDEX(_xlfn.TEXTSPLIT(mvtst[[#This Row],[QR Suivis]],"_"),1,5)</f>
        <v>UNI SURPIQUE</v>
      </c>
      <c r="Q203" s="35" t="str">
        <f>_xlfn.TEXTAFTER(mvtst[[#This Row],[QR Suivis]],"_",5)</f>
        <v>1020</v>
      </c>
      <c r="R203" s="84" t="str">
        <f>IF(
   COUNTIFS($A$2:A203,A203,
             $B$2:B203,B203,
             $C$2:C203,C203,
             $D$2:D203,D203,
             $G$2:G203,G203)&gt;1,
   "Doublon",
   "Correcte"
)</f>
        <v>Correcte</v>
      </c>
    </row>
    <row r="204" spans="1:18" x14ac:dyDescent="0.25">
      <c r="A204" s="104" t="s">
        <v>1454</v>
      </c>
      <c r="B204" s="35" t="s">
        <v>712</v>
      </c>
      <c r="C204" s="36">
        <v>5</v>
      </c>
      <c r="D204" s="36">
        <v>0</v>
      </c>
      <c r="E204" s="35"/>
      <c r="F204" s="35" t="s">
        <v>664</v>
      </c>
      <c r="G204" s="37">
        <v>45923</v>
      </c>
      <c r="H204" s="37" t="str">
        <f>INDEX(_xlfn.TEXTSPLIT(mvtst[[#This Row],[QR Suivis]],"_"),1,1)</f>
        <v>CA250006-11</v>
      </c>
      <c r="I204" s="35" t="str">
        <f>_xlfn.TEXTBEFORE(mvtst[[#This Row],[Num Suivis]],"-",,,1)</f>
        <v>CA250006</v>
      </c>
      <c r="J204" s="36">
        <f>SUMIF(mvtst[QR Suivis],mvtst[[#This Row],[QR Suivis]],mvtst[QTE SORTIS])-SUMIF(mvtst[QR Suivis],mvtst[[#This Row],[QR Suivis]],mvtst[QTE RETOUR])</f>
        <v>0</v>
      </c>
      <c r="K204" s="35" t="str">
        <f t="shared" si="3"/>
        <v>Usine</v>
      </c>
      <c r="L204" s="35" t="str">
        <f>_xlfn.XLOOKUP(mvtst[[#This Row],[Sous Traitant]],coordonnee_st[Identification],coordonnee_st[SERVICE],"Non Trouvé")</f>
        <v>Frange</v>
      </c>
      <c r="M204" s="35" t="str">
        <f>INDEX(_xlfn.TEXTSPLIT(mvtst[[#This Row],[QR Suivis]],"_"),1,2)</f>
        <v>All by Fouta</v>
      </c>
      <c r="N204" s="35" t="str">
        <f>INDEX(_xlfn.TEXTSPLIT(mvtst[[#This Row],[QR Suivis]],"_"),1,3)</f>
        <v>Stock</v>
      </c>
      <c r="O204" s="35" t="str">
        <f>INDEX(_xlfn.TEXTSPLIT(mvtst[[#This Row],[QR Suivis]],"_"),1,4)</f>
        <v>UNS1020-12</v>
      </c>
      <c r="P204" s="35" t="str">
        <f>INDEX(_xlfn.TEXTSPLIT(mvtst[[#This Row],[QR Suivis]],"_"),1,5)</f>
        <v>UNI SURPIQUE</v>
      </c>
      <c r="Q204" s="35" t="str">
        <f>_xlfn.TEXTAFTER(mvtst[[#This Row],[QR Suivis]],"_",5)</f>
        <v>1020</v>
      </c>
      <c r="R204" s="84" t="str">
        <f>IF(
   COUNTIFS($A$2:A204,A204,
             $B$2:B204,B204,
             $C$2:C204,C204,
             $D$2:D204,D204,
             $G$2:G204,G204)&gt;1,
   "Doublon",
   "Correcte"
)</f>
        <v>Correcte</v>
      </c>
    </row>
    <row r="205" spans="1:18" x14ac:dyDescent="0.25">
      <c r="A205" s="104" t="s">
        <v>1455</v>
      </c>
      <c r="B205" s="35" t="s">
        <v>712</v>
      </c>
      <c r="C205" s="36">
        <v>5</v>
      </c>
      <c r="D205" s="36">
        <v>0</v>
      </c>
      <c r="E205" s="35"/>
      <c r="F205" s="35" t="s">
        <v>664</v>
      </c>
      <c r="G205" s="37">
        <v>45923</v>
      </c>
      <c r="H205" s="37" t="str">
        <f>INDEX(_xlfn.TEXTSPLIT(mvtst[[#This Row],[QR Suivis]],"_"),1,1)</f>
        <v>CA250006-7</v>
      </c>
      <c r="I205" s="35" t="str">
        <f>_xlfn.TEXTBEFORE(mvtst[[#This Row],[Num Suivis]],"-",,,1)</f>
        <v>CA250006</v>
      </c>
      <c r="J205" s="36">
        <f>SUMIF(mvtst[QR Suivis],mvtst[[#This Row],[QR Suivis]],mvtst[QTE SORTIS])-SUMIF(mvtst[QR Suivis],mvtst[[#This Row],[QR Suivis]],mvtst[QTE RETOUR])</f>
        <v>0</v>
      </c>
      <c r="K205" s="35" t="str">
        <f t="shared" si="3"/>
        <v>Usine</v>
      </c>
      <c r="L205" s="35" t="str">
        <f>_xlfn.XLOOKUP(mvtst[[#This Row],[Sous Traitant]],coordonnee_st[Identification],coordonnee_st[SERVICE],"Non Trouvé")</f>
        <v>Frange</v>
      </c>
      <c r="M205" s="35" t="str">
        <f>INDEX(_xlfn.TEXTSPLIT(mvtst[[#This Row],[QR Suivis]],"_"),1,2)</f>
        <v>All by Fouta</v>
      </c>
      <c r="N205" s="35" t="str">
        <f>INDEX(_xlfn.TEXTSPLIT(mvtst[[#This Row],[QR Suivis]],"_"),1,3)</f>
        <v>Stock</v>
      </c>
      <c r="O205" s="35" t="str">
        <f>INDEX(_xlfn.TEXTSPLIT(mvtst[[#This Row],[QR Suivis]],"_"),1,4)</f>
        <v>UNS1020-12</v>
      </c>
      <c r="P205" s="35" t="str">
        <f>INDEX(_xlfn.TEXTSPLIT(mvtst[[#This Row],[QR Suivis]],"_"),1,5)</f>
        <v>UNI SURPIQUE</v>
      </c>
      <c r="Q205" s="35" t="str">
        <f>_xlfn.TEXTAFTER(mvtst[[#This Row],[QR Suivis]],"_",5)</f>
        <v>1020</v>
      </c>
      <c r="R205" s="84" t="str">
        <f>IF(
   COUNTIFS($A$2:A205,A205,
             $B$2:B205,B205,
             $C$2:C205,C205,
             $D$2:D205,D205,
             $G$2:G205,G205)&gt;1,
   "Doublon",
   "Correcte"
)</f>
        <v>Correcte</v>
      </c>
    </row>
    <row r="206" spans="1:18" x14ac:dyDescent="0.25">
      <c r="A206" s="104" t="s">
        <v>1456</v>
      </c>
      <c r="B206" s="35" t="s">
        <v>712</v>
      </c>
      <c r="C206" s="36">
        <v>5</v>
      </c>
      <c r="D206" s="36">
        <v>0</v>
      </c>
      <c r="E206" s="35"/>
      <c r="F206" s="35" t="s">
        <v>664</v>
      </c>
      <c r="G206" s="37">
        <v>45923</v>
      </c>
      <c r="H206" s="37" t="str">
        <f>INDEX(_xlfn.TEXTSPLIT(mvtst[[#This Row],[QR Suivis]],"_"),1,1)</f>
        <v>CA250008-1</v>
      </c>
      <c r="I206" s="35" t="str">
        <f>_xlfn.TEXTBEFORE(mvtst[[#This Row],[Num Suivis]],"-",,,1)</f>
        <v>CA250008</v>
      </c>
      <c r="J206" s="36">
        <f>SUMIF(mvtst[QR Suivis],mvtst[[#This Row],[QR Suivis]],mvtst[QTE SORTIS])-SUMIF(mvtst[QR Suivis],mvtst[[#This Row],[QR Suivis]],mvtst[QTE RETOUR])</f>
        <v>0</v>
      </c>
      <c r="K206" s="35" t="str">
        <f t="shared" si="3"/>
        <v>Usine</v>
      </c>
      <c r="L206" s="35" t="str">
        <f>_xlfn.XLOOKUP(mvtst[[#This Row],[Sous Traitant]],coordonnee_st[Identification],coordonnee_st[SERVICE],"Non Trouvé")</f>
        <v>Frange</v>
      </c>
      <c r="M206" s="35" t="str">
        <f>INDEX(_xlfn.TEXTSPLIT(mvtst[[#This Row],[QR Suivis]],"_"),1,2)</f>
        <v>All by Fouta</v>
      </c>
      <c r="N206" s="35" t="str">
        <f>INDEX(_xlfn.TEXTSPLIT(mvtst[[#This Row],[QR Suivis]],"_"),1,3)</f>
        <v>Stock</v>
      </c>
      <c r="O206" s="35" t="str">
        <f>INDEX(_xlfn.TEXTSPLIT(mvtst[[#This Row],[QR Suivis]],"_"),1,4)</f>
        <v>UNS1020-15</v>
      </c>
      <c r="P206" s="35" t="str">
        <f>INDEX(_xlfn.TEXTSPLIT(mvtst[[#This Row],[QR Suivis]],"_"),1,5)</f>
        <v>UNI SURPIQUE</v>
      </c>
      <c r="Q206" s="35" t="str">
        <f>_xlfn.TEXTAFTER(mvtst[[#This Row],[QR Suivis]],"_",5)</f>
        <v>1020</v>
      </c>
      <c r="R206" s="84" t="str">
        <f>IF(
   COUNTIFS($A$2:A206,A206,
             $B$2:B206,B206,
             $C$2:C206,C206,
             $D$2:D206,D206,
             $G$2:G206,G206)&gt;1,
   "Doublon",
   "Correcte"
)</f>
        <v>Correcte</v>
      </c>
    </row>
    <row r="207" spans="1:18" x14ac:dyDescent="0.25">
      <c r="A207" s="104" t="s">
        <v>1457</v>
      </c>
      <c r="B207" s="35" t="s">
        <v>712</v>
      </c>
      <c r="C207" s="36">
        <v>5</v>
      </c>
      <c r="D207" s="36">
        <v>0</v>
      </c>
      <c r="E207" s="35"/>
      <c r="F207" s="35" t="s">
        <v>664</v>
      </c>
      <c r="G207" s="37">
        <v>45923</v>
      </c>
      <c r="H207" s="37" t="str">
        <f>INDEX(_xlfn.TEXTSPLIT(mvtst[[#This Row],[QR Suivis]],"_"),1,1)</f>
        <v>CA250008-9</v>
      </c>
      <c r="I207" s="35" t="str">
        <f>_xlfn.TEXTBEFORE(mvtst[[#This Row],[Num Suivis]],"-",,,1)</f>
        <v>CA250008</v>
      </c>
      <c r="J207" s="36">
        <f>SUMIF(mvtst[QR Suivis],mvtst[[#This Row],[QR Suivis]],mvtst[QTE SORTIS])-SUMIF(mvtst[QR Suivis],mvtst[[#This Row],[QR Suivis]],mvtst[QTE RETOUR])</f>
        <v>0</v>
      </c>
      <c r="K207" s="35" t="str">
        <f t="shared" si="3"/>
        <v>Usine</v>
      </c>
      <c r="L207" s="35" t="str">
        <f>_xlfn.XLOOKUP(mvtst[[#This Row],[Sous Traitant]],coordonnee_st[Identification],coordonnee_st[SERVICE],"Non Trouvé")</f>
        <v>Frange</v>
      </c>
      <c r="M207" s="35" t="str">
        <f>INDEX(_xlfn.TEXTSPLIT(mvtst[[#This Row],[QR Suivis]],"_"),1,2)</f>
        <v>All by Fouta</v>
      </c>
      <c r="N207" s="35" t="str">
        <f>INDEX(_xlfn.TEXTSPLIT(mvtst[[#This Row],[QR Suivis]],"_"),1,3)</f>
        <v>Stock</v>
      </c>
      <c r="O207" s="35" t="str">
        <f>INDEX(_xlfn.TEXTSPLIT(mvtst[[#This Row],[QR Suivis]],"_"),1,4)</f>
        <v>UNS1020-15</v>
      </c>
      <c r="P207" s="35" t="str">
        <f>INDEX(_xlfn.TEXTSPLIT(mvtst[[#This Row],[QR Suivis]],"_"),1,5)</f>
        <v>UNI SURPIQUE</v>
      </c>
      <c r="Q207" s="35" t="str">
        <f>_xlfn.TEXTAFTER(mvtst[[#This Row],[QR Suivis]],"_",5)</f>
        <v>1020</v>
      </c>
      <c r="R207" s="84" t="str">
        <f>IF(
   COUNTIFS($A$2:A207,A207,
             $B$2:B207,B207,
             $C$2:C207,C207,
             $D$2:D207,D207,
             $G$2:G207,G207)&gt;1,
   "Doublon",
   "Correcte"
)</f>
        <v>Correcte</v>
      </c>
    </row>
    <row r="208" spans="1:18" x14ac:dyDescent="0.25">
      <c r="A208" s="104" t="s">
        <v>1458</v>
      </c>
      <c r="B208" s="35" t="s">
        <v>712</v>
      </c>
      <c r="C208" s="36">
        <v>5</v>
      </c>
      <c r="D208" s="36">
        <v>0</v>
      </c>
      <c r="E208" s="35"/>
      <c r="F208" s="35" t="s">
        <v>664</v>
      </c>
      <c r="G208" s="37">
        <v>45923</v>
      </c>
      <c r="H208" s="37" t="str">
        <f>INDEX(_xlfn.TEXTSPLIT(mvtst[[#This Row],[QR Suivis]],"_"),1,1)</f>
        <v>CA250008-2</v>
      </c>
      <c r="I208" s="35" t="str">
        <f>_xlfn.TEXTBEFORE(mvtst[[#This Row],[Num Suivis]],"-",,,1)</f>
        <v>CA250008</v>
      </c>
      <c r="J208" s="36">
        <f>SUMIF(mvtst[QR Suivis],mvtst[[#This Row],[QR Suivis]],mvtst[QTE SORTIS])-SUMIF(mvtst[QR Suivis],mvtst[[#This Row],[QR Suivis]],mvtst[QTE RETOUR])</f>
        <v>0</v>
      </c>
      <c r="K208" s="35" t="str">
        <f t="shared" si="3"/>
        <v>Usine</v>
      </c>
      <c r="L208" s="35" t="str">
        <f>_xlfn.XLOOKUP(mvtst[[#This Row],[Sous Traitant]],coordonnee_st[Identification],coordonnee_st[SERVICE],"Non Trouvé")</f>
        <v>Frange</v>
      </c>
      <c r="M208" s="35" t="str">
        <f>INDEX(_xlfn.TEXTSPLIT(mvtst[[#This Row],[QR Suivis]],"_"),1,2)</f>
        <v>All by Fouta</v>
      </c>
      <c r="N208" s="35" t="str">
        <f>INDEX(_xlfn.TEXTSPLIT(mvtst[[#This Row],[QR Suivis]],"_"),1,3)</f>
        <v>Stock</v>
      </c>
      <c r="O208" s="35" t="str">
        <f>INDEX(_xlfn.TEXTSPLIT(mvtst[[#This Row],[QR Suivis]],"_"),1,4)</f>
        <v>UNS1020-15</v>
      </c>
      <c r="P208" s="35" t="str">
        <f>INDEX(_xlfn.TEXTSPLIT(mvtst[[#This Row],[QR Suivis]],"_"),1,5)</f>
        <v>UNI SURPIQUE</v>
      </c>
      <c r="Q208" s="35" t="str">
        <f>_xlfn.TEXTAFTER(mvtst[[#This Row],[QR Suivis]],"_",5)</f>
        <v>1020</v>
      </c>
      <c r="R208" s="84" t="str">
        <f>IF(
   COUNTIFS($A$2:A208,A208,
             $B$2:B208,B208,
             $C$2:C208,C208,
             $D$2:D208,D208,
             $G$2:G208,G208)&gt;1,
   "Doublon",
   "Correcte"
)</f>
        <v>Correcte</v>
      </c>
    </row>
    <row r="209" spans="1:18" x14ac:dyDescent="0.25">
      <c r="A209" s="104" t="s">
        <v>1459</v>
      </c>
      <c r="B209" s="35" t="s">
        <v>712</v>
      </c>
      <c r="C209" s="36">
        <v>5</v>
      </c>
      <c r="D209" s="36">
        <v>0</v>
      </c>
      <c r="E209" s="35"/>
      <c r="F209" s="35" t="s">
        <v>664</v>
      </c>
      <c r="G209" s="37">
        <v>45923</v>
      </c>
      <c r="H209" s="37" t="str">
        <f>INDEX(_xlfn.TEXTSPLIT(mvtst[[#This Row],[QR Suivis]],"_"),1,1)</f>
        <v>CA250008-7</v>
      </c>
      <c r="I209" s="35" t="str">
        <f>_xlfn.TEXTBEFORE(mvtst[[#This Row],[Num Suivis]],"-",,,1)</f>
        <v>CA250008</v>
      </c>
      <c r="J209" s="36">
        <f>SUMIF(mvtst[QR Suivis],mvtst[[#This Row],[QR Suivis]],mvtst[QTE SORTIS])-SUMIF(mvtst[QR Suivis],mvtst[[#This Row],[QR Suivis]],mvtst[QTE RETOUR])</f>
        <v>0</v>
      </c>
      <c r="K209" s="35" t="str">
        <f t="shared" si="3"/>
        <v>Usine</v>
      </c>
      <c r="L209" s="35" t="str">
        <f>_xlfn.XLOOKUP(mvtst[[#This Row],[Sous Traitant]],coordonnee_st[Identification],coordonnee_st[SERVICE],"Non Trouvé")</f>
        <v>Frange</v>
      </c>
      <c r="M209" s="35" t="str">
        <f>INDEX(_xlfn.TEXTSPLIT(mvtst[[#This Row],[QR Suivis]],"_"),1,2)</f>
        <v>All by Fouta</v>
      </c>
      <c r="N209" s="35" t="str">
        <f>INDEX(_xlfn.TEXTSPLIT(mvtst[[#This Row],[QR Suivis]],"_"),1,3)</f>
        <v>Stock</v>
      </c>
      <c r="O209" s="35" t="str">
        <f>INDEX(_xlfn.TEXTSPLIT(mvtst[[#This Row],[QR Suivis]],"_"),1,4)</f>
        <v>UNS1020-15</v>
      </c>
      <c r="P209" s="35" t="str">
        <f>INDEX(_xlfn.TEXTSPLIT(mvtst[[#This Row],[QR Suivis]],"_"),1,5)</f>
        <v>UNI SURPIQUE</v>
      </c>
      <c r="Q209" s="35" t="str">
        <f>_xlfn.TEXTAFTER(mvtst[[#This Row],[QR Suivis]],"_",5)</f>
        <v>1020</v>
      </c>
      <c r="R209" s="84" t="str">
        <f>IF(
   COUNTIFS($A$2:A209,A209,
             $B$2:B209,B209,
             $C$2:C209,C209,
             $D$2:D209,D209,
             $G$2:G209,G209)&gt;1,
   "Doublon",
   "Correcte"
)</f>
        <v>Correcte</v>
      </c>
    </row>
    <row r="210" spans="1:18" x14ac:dyDescent="0.25">
      <c r="A210" s="104" t="s">
        <v>1460</v>
      </c>
      <c r="B210" s="35" t="s">
        <v>712</v>
      </c>
      <c r="C210" s="36">
        <v>5</v>
      </c>
      <c r="D210" s="36">
        <v>0</v>
      </c>
      <c r="E210" s="35"/>
      <c r="F210" s="35" t="s">
        <v>664</v>
      </c>
      <c r="G210" s="37">
        <v>45923</v>
      </c>
      <c r="H210" s="37" t="str">
        <f>INDEX(_xlfn.TEXTSPLIT(mvtst[[#This Row],[QR Suivis]],"_"),1,1)</f>
        <v>CA250008-8</v>
      </c>
      <c r="I210" s="35" t="str">
        <f>_xlfn.TEXTBEFORE(mvtst[[#This Row],[Num Suivis]],"-",,,1)</f>
        <v>CA250008</v>
      </c>
      <c r="J210" s="36">
        <f>SUMIF(mvtst[QR Suivis],mvtst[[#This Row],[QR Suivis]],mvtst[QTE SORTIS])-SUMIF(mvtst[QR Suivis],mvtst[[#This Row],[QR Suivis]],mvtst[QTE RETOUR])</f>
        <v>0</v>
      </c>
      <c r="K210" s="35" t="str">
        <f t="shared" si="3"/>
        <v>Usine</v>
      </c>
      <c r="L210" s="35" t="str">
        <f>_xlfn.XLOOKUP(mvtst[[#This Row],[Sous Traitant]],coordonnee_st[Identification],coordonnee_st[SERVICE],"Non Trouvé")</f>
        <v>Frange</v>
      </c>
      <c r="M210" s="35" t="str">
        <f>INDEX(_xlfn.TEXTSPLIT(mvtst[[#This Row],[QR Suivis]],"_"),1,2)</f>
        <v>All by Fouta</v>
      </c>
      <c r="N210" s="35" t="str">
        <f>INDEX(_xlfn.TEXTSPLIT(mvtst[[#This Row],[QR Suivis]],"_"),1,3)</f>
        <v>Stock</v>
      </c>
      <c r="O210" s="35" t="str">
        <f>INDEX(_xlfn.TEXTSPLIT(mvtst[[#This Row],[QR Suivis]],"_"),1,4)</f>
        <v>UNS1020-15</v>
      </c>
      <c r="P210" s="35" t="str">
        <f>INDEX(_xlfn.TEXTSPLIT(mvtst[[#This Row],[QR Suivis]],"_"),1,5)</f>
        <v>UNI SURPIQUE</v>
      </c>
      <c r="Q210" s="35" t="str">
        <f>_xlfn.TEXTAFTER(mvtst[[#This Row],[QR Suivis]],"_",5)</f>
        <v>1020</v>
      </c>
      <c r="R210" s="84" t="str">
        <f>IF(
   COUNTIFS($A$2:A210,A210,
             $B$2:B210,B210,
             $C$2:C210,C210,
             $D$2:D210,D210,
             $G$2:G210,G210)&gt;1,
   "Doublon",
   "Correcte"
)</f>
        <v>Correcte</v>
      </c>
    </row>
    <row r="211" spans="1:18" x14ac:dyDescent="0.25">
      <c r="A211" s="104" t="s">
        <v>1461</v>
      </c>
      <c r="B211" s="35" t="s">
        <v>712</v>
      </c>
      <c r="C211" s="36">
        <v>5</v>
      </c>
      <c r="D211" s="36">
        <v>0</v>
      </c>
      <c r="E211" s="35"/>
      <c r="F211" s="35" t="s">
        <v>664</v>
      </c>
      <c r="G211" s="37">
        <v>45923</v>
      </c>
      <c r="H211" s="37" t="str">
        <f>INDEX(_xlfn.TEXTSPLIT(mvtst[[#This Row],[QR Suivis]],"_"),1,1)</f>
        <v>CA250008-5</v>
      </c>
      <c r="I211" s="35" t="str">
        <f>_xlfn.TEXTBEFORE(mvtst[[#This Row],[Num Suivis]],"-",,,1)</f>
        <v>CA250008</v>
      </c>
      <c r="J211" s="36">
        <f>SUMIF(mvtst[QR Suivis],mvtst[[#This Row],[QR Suivis]],mvtst[QTE SORTIS])-SUMIF(mvtst[QR Suivis],mvtst[[#This Row],[QR Suivis]],mvtst[QTE RETOUR])</f>
        <v>0</v>
      </c>
      <c r="K211" s="35" t="str">
        <f t="shared" si="3"/>
        <v>Usine</v>
      </c>
      <c r="L211" s="35" t="str">
        <f>_xlfn.XLOOKUP(mvtst[[#This Row],[Sous Traitant]],coordonnee_st[Identification],coordonnee_st[SERVICE],"Non Trouvé")</f>
        <v>Frange</v>
      </c>
      <c r="M211" s="35" t="str">
        <f>INDEX(_xlfn.TEXTSPLIT(mvtst[[#This Row],[QR Suivis]],"_"),1,2)</f>
        <v>All by Fouta</v>
      </c>
      <c r="N211" s="35" t="str">
        <f>INDEX(_xlfn.TEXTSPLIT(mvtst[[#This Row],[QR Suivis]],"_"),1,3)</f>
        <v>Stock</v>
      </c>
      <c r="O211" s="35" t="str">
        <f>INDEX(_xlfn.TEXTSPLIT(mvtst[[#This Row],[QR Suivis]],"_"),1,4)</f>
        <v>UNS1020-15</v>
      </c>
      <c r="P211" s="35" t="str">
        <f>INDEX(_xlfn.TEXTSPLIT(mvtst[[#This Row],[QR Suivis]],"_"),1,5)</f>
        <v>UNI SURPIQUE</v>
      </c>
      <c r="Q211" s="35" t="str">
        <f>_xlfn.TEXTAFTER(mvtst[[#This Row],[QR Suivis]],"_",5)</f>
        <v>1020</v>
      </c>
      <c r="R211" s="84" t="str">
        <f>IF(
   COUNTIFS($A$2:A211,A211,
             $B$2:B211,B211,
             $C$2:C211,C211,
             $D$2:D211,D211,
             $G$2:G211,G211)&gt;1,
   "Doublon",
   "Correcte"
)</f>
        <v>Correcte</v>
      </c>
    </row>
    <row r="212" spans="1:18" x14ac:dyDescent="0.25">
      <c r="A212" s="104" t="s">
        <v>1462</v>
      </c>
      <c r="B212" s="35" t="s">
        <v>712</v>
      </c>
      <c r="C212" s="36">
        <v>5</v>
      </c>
      <c r="D212" s="36">
        <v>0</v>
      </c>
      <c r="E212" s="35"/>
      <c r="F212" s="35" t="s">
        <v>664</v>
      </c>
      <c r="G212" s="37">
        <v>45923</v>
      </c>
      <c r="H212" s="37" t="str">
        <f>INDEX(_xlfn.TEXTSPLIT(mvtst[[#This Row],[QR Suivis]],"_"),1,1)</f>
        <v>CA250008-3</v>
      </c>
      <c r="I212" s="35" t="str">
        <f>_xlfn.TEXTBEFORE(mvtst[[#This Row],[Num Suivis]],"-",,,1)</f>
        <v>CA250008</v>
      </c>
      <c r="J212" s="36">
        <f>SUMIF(mvtst[QR Suivis],mvtst[[#This Row],[QR Suivis]],mvtst[QTE SORTIS])-SUMIF(mvtst[QR Suivis],mvtst[[#This Row],[QR Suivis]],mvtst[QTE RETOUR])</f>
        <v>0</v>
      </c>
      <c r="K212" s="35" t="str">
        <f t="shared" si="3"/>
        <v>Usine</v>
      </c>
      <c r="L212" s="35" t="str">
        <f>_xlfn.XLOOKUP(mvtst[[#This Row],[Sous Traitant]],coordonnee_st[Identification],coordonnee_st[SERVICE],"Non Trouvé")</f>
        <v>Frange</v>
      </c>
      <c r="M212" s="35" t="str">
        <f>INDEX(_xlfn.TEXTSPLIT(mvtst[[#This Row],[QR Suivis]],"_"),1,2)</f>
        <v>All by Fouta</v>
      </c>
      <c r="N212" s="35" t="str">
        <f>INDEX(_xlfn.TEXTSPLIT(mvtst[[#This Row],[QR Suivis]],"_"),1,3)</f>
        <v>Stock</v>
      </c>
      <c r="O212" s="35" t="str">
        <f>INDEX(_xlfn.TEXTSPLIT(mvtst[[#This Row],[QR Suivis]],"_"),1,4)</f>
        <v>UNS1020-15</v>
      </c>
      <c r="P212" s="35" t="str">
        <f>INDEX(_xlfn.TEXTSPLIT(mvtst[[#This Row],[QR Suivis]],"_"),1,5)</f>
        <v>UNI SURPIQUE</v>
      </c>
      <c r="Q212" s="35" t="str">
        <f>_xlfn.TEXTAFTER(mvtst[[#This Row],[QR Suivis]],"_",5)</f>
        <v>1020</v>
      </c>
      <c r="R212" s="84" t="str">
        <f>IF(
   COUNTIFS($A$2:A212,A212,
             $B$2:B212,B212,
             $C$2:C212,C212,
             $D$2:D212,D212,
             $G$2:G212,G212)&gt;1,
   "Doublon",
   "Correcte"
)</f>
        <v>Correcte</v>
      </c>
    </row>
    <row r="213" spans="1:18" x14ac:dyDescent="0.25">
      <c r="A213" s="104" t="s">
        <v>1463</v>
      </c>
      <c r="B213" s="35" t="s">
        <v>712</v>
      </c>
      <c r="C213" s="36">
        <v>5</v>
      </c>
      <c r="D213" s="36">
        <v>0</v>
      </c>
      <c r="E213" s="35"/>
      <c r="F213" s="35" t="s">
        <v>664</v>
      </c>
      <c r="G213" s="37">
        <v>45923</v>
      </c>
      <c r="H213" s="37" t="str">
        <f>INDEX(_xlfn.TEXTSPLIT(mvtst[[#This Row],[QR Suivis]],"_"),1,1)</f>
        <v>CA250008-10</v>
      </c>
      <c r="I213" s="35" t="str">
        <f>_xlfn.TEXTBEFORE(mvtst[[#This Row],[Num Suivis]],"-",,,1)</f>
        <v>CA250008</v>
      </c>
      <c r="J213" s="36">
        <f>SUMIF(mvtst[QR Suivis],mvtst[[#This Row],[QR Suivis]],mvtst[QTE SORTIS])-SUMIF(mvtst[QR Suivis],mvtst[[#This Row],[QR Suivis]],mvtst[QTE RETOUR])</f>
        <v>0</v>
      </c>
      <c r="K213" s="35" t="str">
        <f t="shared" si="3"/>
        <v>Usine</v>
      </c>
      <c r="L213" s="35" t="str">
        <f>_xlfn.XLOOKUP(mvtst[[#This Row],[Sous Traitant]],coordonnee_st[Identification],coordonnee_st[SERVICE],"Non Trouvé")</f>
        <v>Frange</v>
      </c>
      <c r="M213" s="35" t="str">
        <f>INDEX(_xlfn.TEXTSPLIT(mvtst[[#This Row],[QR Suivis]],"_"),1,2)</f>
        <v>All by Fouta</v>
      </c>
      <c r="N213" s="35" t="str">
        <f>INDEX(_xlfn.TEXTSPLIT(mvtst[[#This Row],[QR Suivis]],"_"),1,3)</f>
        <v>Stock</v>
      </c>
      <c r="O213" s="35" t="str">
        <f>INDEX(_xlfn.TEXTSPLIT(mvtst[[#This Row],[QR Suivis]],"_"),1,4)</f>
        <v>UNS1020-15</v>
      </c>
      <c r="P213" s="35" t="str">
        <f>INDEX(_xlfn.TEXTSPLIT(mvtst[[#This Row],[QR Suivis]],"_"),1,5)</f>
        <v>UNI SURPIQUE</v>
      </c>
      <c r="Q213" s="35" t="str">
        <f>_xlfn.TEXTAFTER(mvtst[[#This Row],[QR Suivis]],"_",5)</f>
        <v>1020</v>
      </c>
      <c r="R213" s="84" t="str">
        <f>IF(
   COUNTIFS($A$2:A213,A213,
             $B$2:B213,B213,
             $C$2:C213,C213,
             $D$2:D213,D213,
             $G$2:G213,G213)&gt;1,
   "Doublon",
   "Correcte"
)</f>
        <v>Correcte</v>
      </c>
    </row>
    <row r="214" spans="1:18" x14ac:dyDescent="0.25">
      <c r="A214" s="104" t="s">
        <v>1464</v>
      </c>
      <c r="B214" s="35" t="s">
        <v>712</v>
      </c>
      <c r="C214" s="36">
        <v>5</v>
      </c>
      <c r="D214" s="36">
        <v>0</v>
      </c>
      <c r="E214" s="35"/>
      <c r="F214" s="35" t="s">
        <v>664</v>
      </c>
      <c r="G214" s="37">
        <v>45923</v>
      </c>
      <c r="H214" s="37" t="str">
        <f>INDEX(_xlfn.TEXTSPLIT(mvtst[[#This Row],[QR Suivis]],"_"),1,1)</f>
        <v>CA250008-12</v>
      </c>
      <c r="I214" s="35" t="str">
        <f>_xlfn.TEXTBEFORE(mvtst[[#This Row],[Num Suivis]],"-",,,1)</f>
        <v>CA250008</v>
      </c>
      <c r="J214" s="36">
        <f>SUMIF(mvtst[QR Suivis],mvtst[[#This Row],[QR Suivis]],mvtst[QTE SORTIS])-SUMIF(mvtst[QR Suivis],mvtst[[#This Row],[QR Suivis]],mvtst[QTE RETOUR])</f>
        <v>0</v>
      </c>
      <c r="K214" s="35" t="str">
        <f t="shared" si="3"/>
        <v>Usine</v>
      </c>
      <c r="L214" s="35" t="str">
        <f>_xlfn.XLOOKUP(mvtst[[#This Row],[Sous Traitant]],coordonnee_st[Identification],coordonnee_st[SERVICE],"Non Trouvé")</f>
        <v>Frange</v>
      </c>
      <c r="M214" s="35" t="str">
        <f>INDEX(_xlfn.TEXTSPLIT(mvtst[[#This Row],[QR Suivis]],"_"),1,2)</f>
        <v>All by Fouta</v>
      </c>
      <c r="N214" s="35" t="str">
        <f>INDEX(_xlfn.TEXTSPLIT(mvtst[[#This Row],[QR Suivis]],"_"),1,3)</f>
        <v>Stock</v>
      </c>
      <c r="O214" s="35" t="str">
        <f>INDEX(_xlfn.TEXTSPLIT(mvtst[[#This Row],[QR Suivis]],"_"),1,4)</f>
        <v>UNS1020-15</v>
      </c>
      <c r="P214" s="35" t="str">
        <f>INDEX(_xlfn.TEXTSPLIT(mvtst[[#This Row],[QR Suivis]],"_"),1,5)</f>
        <v>UNI SURPIQUE</v>
      </c>
      <c r="Q214" s="35" t="str">
        <f>_xlfn.TEXTAFTER(mvtst[[#This Row],[QR Suivis]],"_",5)</f>
        <v>1020</v>
      </c>
      <c r="R214" s="84" t="str">
        <f>IF(
   COUNTIFS($A$2:A214,A214,
             $B$2:B214,B214,
             $C$2:C214,C214,
             $D$2:D214,D214,
             $G$2:G214,G214)&gt;1,
   "Doublon",
   "Correcte"
)</f>
        <v>Correcte</v>
      </c>
    </row>
    <row r="215" spans="1:18" x14ac:dyDescent="0.25">
      <c r="A215" s="104" t="s">
        <v>1465</v>
      </c>
      <c r="B215" s="35" t="s">
        <v>712</v>
      </c>
      <c r="C215" s="36">
        <v>5</v>
      </c>
      <c r="D215" s="36">
        <v>0</v>
      </c>
      <c r="E215" s="35"/>
      <c r="F215" s="35" t="s">
        <v>664</v>
      </c>
      <c r="G215" s="37">
        <v>45923</v>
      </c>
      <c r="H215" s="37" t="str">
        <f>INDEX(_xlfn.TEXTSPLIT(mvtst[[#This Row],[QR Suivis]],"_"),1,1)</f>
        <v>CA250008-6</v>
      </c>
      <c r="I215" s="35" t="str">
        <f>_xlfn.TEXTBEFORE(mvtst[[#This Row],[Num Suivis]],"-",,,1)</f>
        <v>CA250008</v>
      </c>
      <c r="J215" s="36">
        <f>SUMIF(mvtst[QR Suivis],mvtst[[#This Row],[QR Suivis]],mvtst[QTE SORTIS])-SUMIF(mvtst[QR Suivis],mvtst[[#This Row],[QR Suivis]],mvtst[QTE RETOUR])</f>
        <v>0</v>
      </c>
      <c r="K215" s="35" t="str">
        <f t="shared" si="3"/>
        <v>Usine</v>
      </c>
      <c r="L215" s="35" t="str">
        <f>_xlfn.XLOOKUP(mvtst[[#This Row],[Sous Traitant]],coordonnee_st[Identification],coordonnee_st[SERVICE],"Non Trouvé")</f>
        <v>Frange</v>
      </c>
      <c r="M215" s="35" t="str">
        <f>INDEX(_xlfn.TEXTSPLIT(mvtst[[#This Row],[QR Suivis]],"_"),1,2)</f>
        <v>All by Fouta</v>
      </c>
      <c r="N215" s="35" t="str">
        <f>INDEX(_xlfn.TEXTSPLIT(mvtst[[#This Row],[QR Suivis]],"_"),1,3)</f>
        <v>Stock</v>
      </c>
      <c r="O215" s="35" t="str">
        <f>INDEX(_xlfn.TEXTSPLIT(mvtst[[#This Row],[QR Suivis]],"_"),1,4)</f>
        <v>UNS1020-15</v>
      </c>
      <c r="P215" s="35" t="str">
        <f>INDEX(_xlfn.TEXTSPLIT(mvtst[[#This Row],[QR Suivis]],"_"),1,5)</f>
        <v>UNI SURPIQUE</v>
      </c>
      <c r="Q215" s="35" t="str">
        <f>_xlfn.TEXTAFTER(mvtst[[#This Row],[QR Suivis]],"_",5)</f>
        <v>1020</v>
      </c>
      <c r="R215" s="84" t="str">
        <f>IF(
   COUNTIFS($A$2:A215,A215,
             $B$2:B215,B215,
             $C$2:C215,C215,
             $D$2:D215,D215,
             $G$2:G215,G215)&gt;1,
   "Doublon",
   "Correcte"
)</f>
        <v>Correcte</v>
      </c>
    </row>
    <row r="216" spans="1:18" x14ac:dyDescent="0.25">
      <c r="A216" s="104" t="s">
        <v>1466</v>
      </c>
      <c r="B216" s="35" t="s">
        <v>712</v>
      </c>
      <c r="C216" s="36">
        <v>5</v>
      </c>
      <c r="D216" s="36">
        <v>0</v>
      </c>
      <c r="E216" s="35"/>
      <c r="F216" s="35" t="s">
        <v>664</v>
      </c>
      <c r="G216" s="37">
        <v>45923</v>
      </c>
      <c r="H216" s="37" t="str">
        <f>INDEX(_xlfn.TEXTSPLIT(mvtst[[#This Row],[QR Suivis]],"_"),1,1)</f>
        <v>CA250008-11</v>
      </c>
      <c r="I216" s="35" t="str">
        <f>_xlfn.TEXTBEFORE(mvtst[[#This Row],[Num Suivis]],"-",,,1)</f>
        <v>CA250008</v>
      </c>
      <c r="J216" s="36">
        <f>SUMIF(mvtst[QR Suivis],mvtst[[#This Row],[QR Suivis]],mvtst[QTE SORTIS])-SUMIF(mvtst[QR Suivis],mvtst[[#This Row],[QR Suivis]],mvtst[QTE RETOUR])</f>
        <v>0</v>
      </c>
      <c r="K216" s="35" t="str">
        <f t="shared" si="3"/>
        <v>Usine</v>
      </c>
      <c r="L216" s="35" t="str">
        <f>_xlfn.XLOOKUP(mvtst[[#This Row],[Sous Traitant]],coordonnee_st[Identification],coordonnee_st[SERVICE],"Non Trouvé")</f>
        <v>Frange</v>
      </c>
      <c r="M216" s="35" t="str">
        <f>INDEX(_xlfn.TEXTSPLIT(mvtst[[#This Row],[QR Suivis]],"_"),1,2)</f>
        <v>All by Fouta</v>
      </c>
      <c r="N216" s="35" t="str">
        <f>INDEX(_xlfn.TEXTSPLIT(mvtst[[#This Row],[QR Suivis]],"_"),1,3)</f>
        <v>Stock</v>
      </c>
      <c r="O216" s="35" t="str">
        <f>INDEX(_xlfn.TEXTSPLIT(mvtst[[#This Row],[QR Suivis]],"_"),1,4)</f>
        <v>UNS1020-15</v>
      </c>
      <c r="P216" s="35" t="str">
        <f>INDEX(_xlfn.TEXTSPLIT(mvtst[[#This Row],[QR Suivis]],"_"),1,5)</f>
        <v>UNI SURPIQUE</v>
      </c>
      <c r="Q216" s="35" t="str">
        <f>_xlfn.TEXTAFTER(mvtst[[#This Row],[QR Suivis]],"_",5)</f>
        <v>1020</v>
      </c>
      <c r="R216" s="84" t="str">
        <f>IF(
   COUNTIFS($A$2:A216,A216,
             $B$2:B216,B216,
             $C$2:C216,C216,
             $D$2:D216,D216,
             $G$2:G216,G216)&gt;1,
   "Doublon",
   "Correcte"
)</f>
        <v>Correcte</v>
      </c>
    </row>
    <row r="217" spans="1:18" x14ac:dyDescent="0.25">
      <c r="A217" s="104" t="s">
        <v>1467</v>
      </c>
      <c r="B217" s="35" t="s">
        <v>712</v>
      </c>
      <c r="C217" s="36">
        <v>5</v>
      </c>
      <c r="D217" s="36">
        <v>0</v>
      </c>
      <c r="E217" s="35"/>
      <c r="F217" s="35" t="s">
        <v>664</v>
      </c>
      <c r="G217" s="37">
        <v>45923</v>
      </c>
      <c r="H217" s="37" t="str">
        <f>INDEX(_xlfn.TEXTSPLIT(mvtst[[#This Row],[QR Suivis]],"_"),1,1)</f>
        <v>CA250008-4</v>
      </c>
      <c r="I217" s="35" t="str">
        <f>_xlfn.TEXTBEFORE(mvtst[[#This Row],[Num Suivis]],"-",,,1)</f>
        <v>CA250008</v>
      </c>
      <c r="J217" s="36">
        <f>SUMIF(mvtst[QR Suivis],mvtst[[#This Row],[QR Suivis]],mvtst[QTE SORTIS])-SUMIF(mvtst[QR Suivis],mvtst[[#This Row],[QR Suivis]],mvtst[QTE RETOUR])</f>
        <v>0</v>
      </c>
      <c r="K217" s="35" t="str">
        <f t="shared" si="3"/>
        <v>Usine</v>
      </c>
      <c r="L217" s="35" t="str">
        <f>_xlfn.XLOOKUP(mvtst[[#This Row],[Sous Traitant]],coordonnee_st[Identification],coordonnee_st[SERVICE],"Non Trouvé")</f>
        <v>Frange</v>
      </c>
      <c r="M217" s="35" t="str">
        <f>INDEX(_xlfn.TEXTSPLIT(mvtst[[#This Row],[QR Suivis]],"_"),1,2)</f>
        <v>All by Fouta</v>
      </c>
      <c r="N217" s="35" t="str">
        <f>INDEX(_xlfn.TEXTSPLIT(mvtst[[#This Row],[QR Suivis]],"_"),1,3)</f>
        <v>Stock</v>
      </c>
      <c r="O217" s="35" t="str">
        <f>INDEX(_xlfn.TEXTSPLIT(mvtst[[#This Row],[QR Suivis]],"_"),1,4)</f>
        <v>UNS1020-15</v>
      </c>
      <c r="P217" s="35" t="str">
        <f>INDEX(_xlfn.TEXTSPLIT(mvtst[[#This Row],[QR Suivis]],"_"),1,5)</f>
        <v>UNI SURPIQUE</v>
      </c>
      <c r="Q217" s="35" t="str">
        <f>_xlfn.TEXTAFTER(mvtst[[#This Row],[QR Suivis]],"_",5)</f>
        <v>1020</v>
      </c>
      <c r="R217" s="84" t="str">
        <f>IF(
   COUNTIFS($A$2:A217,A217,
             $B$2:B217,B217,
             $C$2:C217,C217,
             $D$2:D217,D217,
             $G$2:G217,G217)&gt;1,
   "Doublon",
   "Correcte"
)</f>
        <v>Correcte</v>
      </c>
    </row>
    <row r="218" spans="1:18" x14ac:dyDescent="0.25">
      <c r="A218" s="104" t="s">
        <v>1468</v>
      </c>
      <c r="B218" s="35" t="s">
        <v>712</v>
      </c>
      <c r="C218" s="36">
        <v>5</v>
      </c>
      <c r="D218" s="36">
        <v>0</v>
      </c>
      <c r="E218" s="35"/>
      <c r="F218" s="35" t="s">
        <v>664</v>
      </c>
      <c r="G218" s="37">
        <v>45923</v>
      </c>
      <c r="H218" s="37" t="str">
        <f>INDEX(_xlfn.TEXTSPLIT(mvtst[[#This Row],[QR Suivis]],"_"),1,1)</f>
        <v>CA250011-5</v>
      </c>
      <c r="I218" s="35" t="str">
        <f>_xlfn.TEXTBEFORE(mvtst[[#This Row],[Num Suivis]],"-",,,1)</f>
        <v>CA250011</v>
      </c>
      <c r="J218" s="36">
        <f>SUMIF(mvtst[QR Suivis],mvtst[[#This Row],[QR Suivis]],mvtst[QTE SORTIS])-SUMIF(mvtst[QR Suivis],mvtst[[#This Row],[QR Suivis]],mvtst[QTE RETOUR])</f>
        <v>0</v>
      </c>
      <c r="K218" s="35" t="str">
        <f t="shared" si="3"/>
        <v>Usine</v>
      </c>
      <c r="L218" s="35" t="str">
        <f>_xlfn.XLOOKUP(mvtst[[#This Row],[Sous Traitant]],coordonnee_st[Identification],coordonnee_st[SERVICE],"Non Trouvé")</f>
        <v>Frange</v>
      </c>
      <c r="M218" s="35" t="str">
        <f>INDEX(_xlfn.TEXTSPLIT(mvtst[[#This Row],[QR Suivis]],"_"),1,2)</f>
        <v>All by Fouta</v>
      </c>
      <c r="N218" s="35" t="str">
        <f>INDEX(_xlfn.TEXTSPLIT(mvtst[[#This Row],[QR Suivis]],"_"),1,3)</f>
        <v>Stock</v>
      </c>
      <c r="O218" s="35" t="str">
        <f>INDEX(_xlfn.TEXTSPLIT(mvtst[[#This Row],[QR Suivis]],"_"),1,4)</f>
        <v>UNS1020-19</v>
      </c>
      <c r="P218" s="35" t="str">
        <f>INDEX(_xlfn.TEXTSPLIT(mvtst[[#This Row],[QR Suivis]],"_"),1,5)</f>
        <v>UNI SURPIQUE</v>
      </c>
      <c r="Q218" s="35" t="str">
        <f>_xlfn.TEXTAFTER(mvtst[[#This Row],[QR Suivis]],"_",5)</f>
        <v>1020</v>
      </c>
      <c r="R218" s="84" t="str">
        <f>IF(
   COUNTIFS($A$2:A218,A218,
             $B$2:B218,B218,
             $C$2:C218,C218,
             $D$2:D218,D218,
             $G$2:G218,G218)&gt;1,
   "Doublon",
   "Correcte"
)</f>
        <v>Correcte</v>
      </c>
    </row>
    <row r="219" spans="1:18" x14ac:dyDescent="0.25">
      <c r="A219" s="104" t="s">
        <v>1469</v>
      </c>
      <c r="B219" s="35" t="s">
        <v>712</v>
      </c>
      <c r="C219" s="36">
        <v>5</v>
      </c>
      <c r="D219" s="36">
        <v>0</v>
      </c>
      <c r="E219" s="35"/>
      <c r="F219" s="35" t="s">
        <v>664</v>
      </c>
      <c r="G219" s="37">
        <v>45923</v>
      </c>
      <c r="H219" s="37" t="str">
        <f>INDEX(_xlfn.TEXTSPLIT(mvtst[[#This Row],[QR Suivis]],"_"),1,1)</f>
        <v>CA250011-3</v>
      </c>
      <c r="I219" s="35" t="str">
        <f>_xlfn.TEXTBEFORE(mvtst[[#This Row],[Num Suivis]],"-",,,1)</f>
        <v>CA250011</v>
      </c>
      <c r="J219" s="36">
        <f>SUMIF(mvtst[QR Suivis],mvtst[[#This Row],[QR Suivis]],mvtst[QTE SORTIS])-SUMIF(mvtst[QR Suivis],mvtst[[#This Row],[QR Suivis]],mvtst[QTE RETOUR])</f>
        <v>0</v>
      </c>
      <c r="K219" s="35" t="str">
        <f t="shared" si="3"/>
        <v>Usine</v>
      </c>
      <c r="L219" s="35" t="str">
        <f>_xlfn.XLOOKUP(mvtst[[#This Row],[Sous Traitant]],coordonnee_st[Identification],coordonnee_st[SERVICE],"Non Trouvé")</f>
        <v>Frange</v>
      </c>
      <c r="M219" s="35" t="str">
        <f>INDEX(_xlfn.TEXTSPLIT(mvtst[[#This Row],[QR Suivis]],"_"),1,2)</f>
        <v>All by Fouta</v>
      </c>
      <c r="N219" s="35" t="str">
        <f>INDEX(_xlfn.TEXTSPLIT(mvtst[[#This Row],[QR Suivis]],"_"),1,3)</f>
        <v>Stock</v>
      </c>
      <c r="O219" s="35" t="str">
        <f>INDEX(_xlfn.TEXTSPLIT(mvtst[[#This Row],[QR Suivis]],"_"),1,4)</f>
        <v>UNS1020-19</v>
      </c>
      <c r="P219" s="35" t="str">
        <f>INDEX(_xlfn.TEXTSPLIT(mvtst[[#This Row],[QR Suivis]],"_"),1,5)</f>
        <v>UNI SURPIQUE</v>
      </c>
      <c r="Q219" s="35" t="str">
        <f>_xlfn.TEXTAFTER(mvtst[[#This Row],[QR Suivis]],"_",5)</f>
        <v>1020</v>
      </c>
      <c r="R219" s="84" t="str">
        <f>IF(
   COUNTIFS($A$2:A219,A219,
             $B$2:B219,B219,
             $C$2:C219,C219,
             $D$2:D219,D219,
             $G$2:G219,G219)&gt;1,
   "Doublon",
   "Correcte"
)</f>
        <v>Correcte</v>
      </c>
    </row>
    <row r="220" spans="1:18" x14ac:dyDescent="0.25">
      <c r="A220" s="104" t="s">
        <v>1470</v>
      </c>
      <c r="B220" s="35" t="s">
        <v>712</v>
      </c>
      <c r="C220" s="36">
        <v>5</v>
      </c>
      <c r="D220" s="36">
        <v>0</v>
      </c>
      <c r="E220" s="35"/>
      <c r="F220" s="35" t="s">
        <v>664</v>
      </c>
      <c r="G220" s="37">
        <v>45923</v>
      </c>
      <c r="H220" s="37" t="str">
        <f>INDEX(_xlfn.TEXTSPLIT(mvtst[[#This Row],[QR Suivis]],"_"),1,1)</f>
        <v>CA250011-4</v>
      </c>
      <c r="I220" s="35" t="str">
        <f>_xlfn.TEXTBEFORE(mvtst[[#This Row],[Num Suivis]],"-",,,1)</f>
        <v>CA250011</v>
      </c>
      <c r="J220" s="36">
        <f>SUMIF(mvtst[QR Suivis],mvtst[[#This Row],[QR Suivis]],mvtst[QTE SORTIS])-SUMIF(mvtst[QR Suivis],mvtst[[#This Row],[QR Suivis]],mvtst[QTE RETOUR])</f>
        <v>0</v>
      </c>
      <c r="K220" s="35" t="str">
        <f t="shared" si="3"/>
        <v>Usine</v>
      </c>
      <c r="L220" s="35" t="str">
        <f>_xlfn.XLOOKUP(mvtst[[#This Row],[Sous Traitant]],coordonnee_st[Identification],coordonnee_st[SERVICE],"Non Trouvé")</f>
        <v>Frange</v>
      </c>
      <c r="M220" s="35" t="str">
        <f>INDEX(_xlfn.TEXTSPLIT(mvtst[[#This Row],[QR Suivis]],"_"),1,2)</f>
        <v>All by Fouta</v>
      </c>
      <c r="N220" s="35" t="str">
        <f>INDEX(_xlfn.TEXTSPLIT(mvtst[[#This Row],[QR Suivis]],"_"),1,3)</f>
        <v>Stock</v>
      </c>
      <c r="O220" s="35" t="str">
        <f>INDEX(_xlfn.TEXTSPLIT(mvtst[[#This Row],[QR Suivis]],"_"),1,4)</f>
        <v>UNS1020-19</v>
      </c>
      <c r="P220" s="35" t="str">
        <f>INDEX(_xlfn.TEXTSPLIT(mvtst[[#This Row],[QR Suivis]],"_"),1,5)</f>
        <v>UNI SURPIQUE</v>
      </c>
      <c r="Q220" s="35" t="str">
        <f>_xlfn.TEXTAFTER(mvtst[[#This Row],[QR Suivis]],"_",5)</f>
        <v>1020</v>
      </c>
      <c r="R220" s="84" t="str">
        <f>IF(
   COUNTIFS($A$2:A220,A220,
             $B$2:B220,B220,
             $C$2:C220,C220,
             $D$2:D220,D220,
             $G$2:G220,G220)&gt;1,
   "Doublon",
   "Correcte"
)</f>
        <v>Correcte</v>
      </c>
    </row>
    <row r="221" spans="1:18" x14ac:dyDescent="0.25">
      <c r="A221" s="104" t="s">
        <v>1471</v>
      </c>
      <c r="B221" s="35" t="s">
        <v>712</v>
      </c>
      <c r="C221" s="36">
        <v>5</v>
      </c>
      <c r="D221" s="36">
        <v>0</v>
      </c>
      <c r="E221" s="35"/>
      <c r="F221" s="35" t="s">
        <v>664</v>
      </c>
      <c r="G221" s="37">
        <v>45923</v>
      </c>
      <c r="H221" s="37" t="str">
        <f>INDEX(_xlfn.TEXTSPLIT(mvtst[[#This Row],[QR Suivis]],"_"),1,1)</f>
        <v>CA250011-9</v>
      </c>
      <c r="I221" s="35" t="str">
        <f>_xlfn.TEXTBEFORE(mvtst[[#This Row],[Num Suivis]],"-",,,1)</f>
        <v>CA250011</v>
      </c>
      <c r="J221" s="36">
        <f>SUMIF(mvtst[QR Suivis],mvtst[[#This Row],[QR Suivis]],mvtst[QTE SORTIS])-SUMIF(mvtst[QR Suivis],mvtst[[#This Row],[QR Suivis]],mvtst[QTE RETOUR])</f>
        <v>0</v>
      </c>
      <c r="K221" s="35" t="str">
        <f t="shared" si="3"/>
        <v>Usine</v>
      </c>
      <c r="L221" s="35" t="str">
        <f>_xlfn.XLOOKUP(mvtst[[#This Row],[Sous Traitant]],coordonnee_st[Identification],coordonnee_st[SERVICE],"Non Trouvé")</f>
        <v>Frange</v>
      </c>
      <c r="M221" s="35" t="str">
        <f>INDEX(_xlfn.TEXTSPLIT(mvtst[[#This Row],[QR Suivis]],"_"),1,2)</f>
        <v>All by Fouta</v>
      </c>
      <c r="N221" s="35" t="str">
        <f>INDEX(_xlfn.TEXTSPLIT(mvtst[[#This Row],[QR Suivis]],"_"),1,3)</f>
        <v>Stock</v>
      </c>
      <c r="O221" s="35" t="str">
        <f>INDEX(_xlfn.TEXTSPLIT(mvtst[[#This Row],[QR Suivis]],"_"),1,4)</f>
        <v>UNS1020-19</v>
      </c>
      <c r="P221" s="35" t="str">
        <f>INDEX(_xlfn.TEXTSPLIT(mvtst[[#This Row],[QR Suivis]],"_"),1,5)</f>
        <v>UNI SURPIQUE</v>
      </c>
      <c r="Q221" s="35" t="str">
        <f>_xlfn.TEXTAFTER(mvtst[[#This Row],[QR Suivis]],"_",5)</f>
        <v>1020</v>
      </c>
      <c r="R221" s="84" t="str">
        <f>IF(
   COUNTIFS($A$2:A221,A221,
             $B$2:B221,B221,
             $C$2:C221,C221,
             $D$2:D221,D221,
             $G$2:G221,G221)&gt;1,
   "Doublon",
   "Correcte"
)</f>
        <v>Correcte</v>
      </c>
    </row>
    <row r="222" spans="1:18" x14ac:dyDescent="0.25">
      <c r="A222" s="104" t="s">
        <v>1472</v>
      </c>
      <c r="B222" s="35" t="s">
        <v>712</v>
      </c>
      <c r="C222" s="36">
        <v>5</v>
      </c>
      <c r="D222" s="36">
        <v>0</v>
      </c>
      <c r="E222" s="35"/>
      <c r="F222" s="35" t="s">
        <v>664</v>
      </c>
      <c r="G222" s="37">
        <v>45923</v>
      </c>
      <c r="H222" s="37" t="str">
        <f>INDEX(_xlfn.TEXTSPLIT(mvtst[[#This Row],[QR Suivis]],"_"),1,1)</f>
        <v>CA250011-10</v>
      </c>
      <c r="I222" s="35" t="str">
        <f>_xlfn.TEXTBEFORE(mvtst[[#This Row],[Num Suivis]],"-",,,1)</f>
        <v>CA250011</v>
      </c>
      <c r="J222" s="36">
        <f>SUMIF(mvtst[QR Suivis],mvtst[[#This Row],[QR Suivis]],mvtst[QTE SORTIS])-SUMIF(mvtst[QR Suivis],mvtst[[#This Row],[QR Suivis]],mvtst[QTE RETOUR])</f>
        <v>0</v>
      </c>
      <c r="K222" s="35" t="str">
        <f t="shared" si="3"/>
        <v>Usine</v>
      </c>
      <c r="L222" s="35" t="str">
        <f>_xlfn.XLOOKUP(mvtst[[#This Row],[Sous Traitant]],coordonnee_st[Identification],coordonnee_st[SERVICE],"Non Trouvé")</f>
        <v>Frange</v>
      </c>
      <c r="M222" s="35" t="str">
        <f>INDEX(_xlfn.TEXTSPLIT(mvtst[[#This Row],[QR Suivis]],"_"),1,2)</f>
        <v>All by Fouta</v>
      </c>
      <c r="N222" s="35" t="str">
        <f>INDEX(_xlfn.TEXTSPLIT(mvtst[[#This Row],[QR Suivis]],"_"),1,3)</f>
        <v>Stock</v>
      </c>
      <c r="O222" s="35" t="str">
        <f>INDEX(_xlfn.TEXTSPLIT(mvtst[[#This Row],[QR Suivis]],"_"),1,4)</f>
        <v>UNS1020-19</v>
      </c>
      <c r="P222" s="35" t="str">
        <f>INDEX(_xlfn.TEXTSPLIT(mvtst[[#This Row],[QR Suivis]],"_"),1,5)</f>
        <v>UNI SURPIQUE</v>
      </c>
      <c r="Q222" s="35" t="str">
        <f>_xlfn.TEXTAFTER(mvtst[[#This Row],[QR Suivis]],"_",5)</f>
        <v>1020</v>
      </c>
      <c r="R222" s="84" t="str">
        <f>IF(
   COUNTIFS($A$2:A222,A222,
             $B$2:B222,B222,
             $C$2:C222,C222,
             $D$2:D222,D222,
             $G$2:G222,G222)&gt;1,
   "Doublon",
   "Correcte"
)</f>
        <v>Correcte</v>
      </c>
    </row>
    <row r="223" spans="1:18" x14ac:dyDescent="0.25">
      <c r="A223" s="104" t="s">
        <v>1473</v>
      </c>
      <c r="B223" s="35" t="s">
        <v>712</v>
      </c>
      <c r="C223" s="36">
        <v>4</v>
      </c>
      <c r="D223" s="36">
        <v>0</v>
      </c>
      <c r="E223" s="35"/>
      <c r="F223" s="35" t="s">
        <v>664</v>
      </c>
      <c r="G223" s="37">
        <v>45923</v>
      </c>
      <c r="H223" s="37" t="str">
        <f>INDEX(_xlfn.TEXTSPLIT(mvtst[[#This Row],[QR Suivis]],"_"),1,1)</f>
        <v>CA250011-12</v>
      </c>
      <c r="I223" s="35" t="str">
        <f>_xlfn.TEXTBEFORE(mvtst[[#This Row],[Num Suivis]],"-",,,1)</f>
        <v>CA250011</v>
      </c>
      <c r="J223" s="36">
        <f>SUMIF(mvtst[QR Suivis],mvtst[[#This Row],[QR Suivis]],mvtst[QTE SORTIS])-SUMIF(mvtst[QR Suivis],mvtst[[#This Row],[QR Suivis]],mvtst[QTE RETOUR])</f>
        <v>0</v>
      </c>
      <c r="K223" s="35" t="str">
        <f t="shared" si="3"/>
        <v>Usine</v>
      </c>
      <c r="L223" s="35" t="str">
        <f>_xlfn.XLOOKUP(mvtst[[#This Row],[Sous Traitant]],coordonnee_st[Identification],coordonnee_st[SERVICE],"Non Trouvé")</f>
        <v>Frange</v>
      </c>
      <c r="M223" s="35" t="str">
        <f>INDEX(_xlfn.TEXTSPLIT(mvtst[[#This Row],[QR Suivis]],"_"),1,2)</f>
        <v>All by Fouta</v>
      </c>
      <c r="N223" s="35" t="str">
        <f>INDEX(_xlfn.TEXTSPLIT(mvtst[[#This Row],[QR Suivis]],"_"),1,3)</f>
        <v>Stock</v>
      </c>
      <c r="O223" s="35" t="str">
        <f>INDEX(_xlfn.TEXTSPLIT(mvtst[[#This Row],[QR Suivis]],"_"),1,4)</f>
        <v>UNS1020-19</v>
      </c>
      <c r="P223" s="35" t="str">
        <f>INDEX(_xlfn.TEXTSPLIT(mvtst[[#This Row],[QR Suivis]],"_"),1,5)</f>
        <v>UNI SURPIQUE</v>
      </c>
      <c r="Q223" s="35" t="str">
        <f>_xlfn.TEXTAFTER(mvtst[[#This Row],[QR Suivis]],"_",5)</f>
        <v>1020</v>
      </c>
      <c r="R223" s="84" t="str">
        <f>IF(
   COUNTIFS($A$2:A223,A223,
             $B$2:B223,B223,
             $C$2:C223,C223,
             $D$2:D223,D223,
             $G$2:G223,G223)&gt;1,
   "Doublon",
   "Correcte"
)</f>
        <v>Correcte</v>
      </c>
    </row>
    <row r="224" spans="1:18" x14ac:dyDescent="0.25">
      <c r="A224" s="104" t="s">
        <v>1474</v>
      </c>
      <c r="B224" s="35" t="s">
        <v>712</v>
      </c>
      <c r="C224" s="36">
        <v>5</v>
      </c>
      <c r="D224" s="36">
        <v>0</v>
      </c>
      <c r="E224" s="35"/>
      <c r="F224" s="35" t="s">
        <v>664</v>
      </c>
      <c r="G224" s="37">
        <v>45923</v>
      </c>
      <c r="H224" s="37" t="str">
        <f>INDEX(_xlfn.TEXTSPLIT(mvtst[[#This Row],[QR Suivis]],"_"),1,1)</f>
        <v>CA250011-8</v>
      </c>
      <c r="I224" s="35" t="str">
        <f>_xlfn.TEXTBEFORE(mvtst[[#This Row],[Num Suivis]],"-",,,1)</f>
        <v>CA250011</v>
      </c>
      <c r="J224" s="36">
        <f>SUMIF(mvtst[QR Suivis],mvtst[[#This Row],[QR Suivis]],mvtst[QTE SORTIS])-SUMIF(mvtst[QR Suivis],mvtst[[#This Row],[QR Suivis]],mvtst[QTE RETOUR])</f>
        <v>0</v>
      </c>
      <c r="K224" s="35" t="str">
        <f t="shared" si="3"/>
        <v>Usine</v>
      </c>
      <c r="L224" s="35" t="str">
        <f>_xlfn.XLOOKUP(mvtst[[#This Row],[Sous Traitant]],coordonnee_st[Identification],coordonnee_st[SERVICE],"Non Trouvé")</f>
        <v>Frange</v>
      </c>
      <c r="M224" s="35" t="str">
        <f>INDEX(_xlfn.TEXTSPLIT(mvtst[[#This Row],[QR Suivis]],"_"),1,2)</f>
        <v>All by Fouta</v>
      </c>
      <c r="N224" s="35" t="str">
        <f>INDEX(_xlfn.TEXTSPLIT(mvtst[[#This Row],[QR Suivis]],"_"),1,3)</f>
        <v>Stock</v>
      </c>
      <c r="O224" s="35" t="str">
        <f>INDEX(_xlfn.TEXTSPLIT(mvtst[[#This Row],[QR Suivis]],"_"),1,4)</f>
        <v>UNS1020-19</v>
      </c>
      <c r="P224" s="35" t="str">
        <f>INDEX(_xlfn.TEXTSPLIT(mvtst[[#This Row],[QR Suivis]],"_"),1,5)</f>
        <v>UNI SURPIQUE</v>
      </c>
      <c r="Q224" s="35" t="str">
        <f>_xlfn.TEXTAFTER(mvtst[[#This Row],[QR Suivis]],"_",5)</f>
        <v>1020</v>
      </c>
      <c r="R224" s="84" t="str">
        <f>IF(
   COUNTIFS($A$2:A224,A224,
             $B$2:B224,B224,
             $C$2:C224,C224,
             $D$2:D224,D224,
             $G$2:G224,G224)&gt;1,
   "Doublon",
   "Correcte"
)</f>
        <v>Correcte</v>
      </c>
    </row>
    <row r="225" spans="1:18" x14ac:dyDescent="0.25">
      <c r="A225" s="104" t="s">
        <v>1475</v>
      </c>
      <c r="B225" s="35" t="s">
        <v>712</v>
      </c>
      <c r="C225" s="36">
        <v>5</v>
      </c>
      <c r="D225" s="36">
        <v>0</v>
      </c>
      <c r="E225" s="35"/>
      <c r="F225" s="35" t="s">
        <v>664</v>
      </c>
      <c r="G225" s="37">
        <v>45923</v>
      </c>
      <c r="H225" s="37" t="str">
        <f>INDEX(_xlfn.TEXTSPLIT(mvtst[[#This Row],[QR Suivis]],"_"),1,1)</f>
        <v>CA250011-1</v>
      </c>
      <c r="I225" s="35" t="str">
        <f>_xlfn.TEXTBEFORE(mvtst[[#This Row],[Num Suivis]],"-",,,1)</f>
        <v>CA250011</v>
      </c>
      <c r="J225" s="36">
        <f>SUMIF(mvtst[QR Suivis],mvtst[[#This Row],[QR Suivis]],mvtst[QTE SORTIS])-SUMIF(mvtst[QR Suivis],mvtst[[#This Row],[QR Suivis]],mvtst[QTE RETOUR])</f>
        <v>0</v>
      </c>
      <c r="K225" s="35" t="str">
        <f t="shared" si="3"/>
        <v>Usine</v>
      </c>
      <c r="L225" s="35" t="str">
        <f>_xlfn.XLOOKUP(mvtst[[#This Row],[Sous Traitant]],coordonnee_st[Identification],coordonnee_st[SERVICE],"Non Trouvé")</f>
        <v>Frange</v>
      </c>
      <c r="M225" s="35" t="str">
        <f>INDEX(_xlfn.TEXTSPLIT(mvtst[[#This Row],[QR Suivis]],"_"),1,2)</f>
        <v>All by Fouta</v>
      </c>
      <c r="N225" s="35" t="str">
        <f>INDEX(_xlfn.TEXTSPLIT(mvtst[[#This Row],[QR Suivis]],"_"),1,3)</f>
        <v>Stock</v>
      </c>
      <c r="O225" s="35" t="str">
        <f>INDEX(_xlfn.TEXTSPLIT(mvtst[[#This Row],[QR Suivis]],"_"),1,4)</f>
        <v>UNS1020-19</v>
      </c>
      <c r="P225" s="35" t="str">
        <f>INDEX(_xlfn.TEXTSPLIT(mvtst[[#This Row],[QR Suivis]],"_"),1,5)</f>
        <v>UNI SURPIQUE</v>
      </c>
      <c r="Q225" s="35" t="str">
        <f>_xlfn.TEXTAFTER(mvtst[[#This Row],[QR Suivis]],"_",5)</f>
        <v>1020</v>
      </c>
      <c r="R225" s="84" t="str">
        <f>IF(
   COUNTIFS($A$2:A225,A225,
             $B$2:B225,B225,
             $C$2:C225,C225,
             $D$2:D225,D225,
             $G$2:G225,G225)&gt;1,
   "Doublon",
   "Correcte"
)</f>
        <v>Correcte</v>
      </c>
    </row>
    <row r="226" spans="1:18" x14ac:dyDescent="0.25">
      <c r="A226" s="104" t="s">
        <v>1476</v>
      </c>
      <c r="B226" s="35" t="s">
        <v>712</v>
      </c>
      <c r="C226" s="36">
        <v>5</v>
      </c>
      <c r="D226" s="36">
        <v>0</v>
      </c>
      <c r="E226" s="35"/>
      <c r="F226" s="35" t="s">
        <v>664</v>
      </c>
      <c r="G226" s="37">
        <v>45923</v>
      </c>
      <c r="H226" s="37" t="str">
        <f>INDEX(_xlfn.TEXTSPLIT(mvtst[[#This Row],[QR Suivis]],"_"),1,1)</f>
        <v>CA250011-7</v>
      </c>
      <c r="I226" s="35" t="str">
        <f>_xlfn.TEXTBEFORE(mvtst[[#This Row],[Num Suivis]],"-",,,1)</f>
        <v>CA250011</v>
      </c>
      <c r="J226" s="36">
        <f>SUMIF(mvtst[QR Suivis],mvtst[[#This Row],[QR Suivis]],mvtst[QTE SORTIS])-SUMIF(mvtst[QR Suivis],mvtst[[#This Row],[QR Suivis]],mvtst[QTE RETOUR])</f>
        <v>0</v>
      </c>
      <c r="K226" s="35" t="str">
        <f t="shared" si="3"/>
        <v>Usine</v>
      </c>
      <c r="L226" s="35" t="str">
        <f>_xlfn.XLOOKUP(mvtst[[#This Row],[Sous Traitant]],coordonnee_st[Identification],coordonnee_st[SERVICE],"Non Trouvé")</f>
        <v>Frange</v>
      </c>
      <c r="M226" s="35" t="str">
        <f>INDEX(_xlfn.TEXTSPLIT(mvtst[[#This Row],[QR Suivis]],"_"),1,2)</f>
        <v>All by Fouta</v>
      </c>
      <c r="N226" s="35" t="str">
        <f>INDEX(_xlfn.TEXTSPLIT(mvtst[[#This Row],[QR Suivis]],"_"),1,3)</f>
        <v>Stock</v>
      </c>
      <c r="O226" s="35" t="str">
        <f>INDEX(_xlfn.TEXTSPLIT(mvtst[[#This Row],[QR Suivis]],"_"),1,4)</f>
        <v>UNS1020-19</v>
      </c>
      <c r="P226" s="35" t="str">
        <f>INDEX(_xlfn.TEXTSPLIT(mvtst[[#This Row],[QR Suivis]],"_"),1,5)</f>
        <v>UNI SURPIQUE</v>
      </c>
      <c r="Q226" s="35" t="str">
        <f>_xlfn.TEXTAFTER(mvtst[[#This Row],[QR Suivis]],"_",5)</f>
        <v>1020</v>
      </c>
      <c r="R226" s="84" t="str">
        <f>IF(
   COUNTIFS($A$2:A226,A226,
             $B$2:B226,B226,
             $C$2:C226,C226,
             $D$2:D226,D226,
             $G$2:G226,G226)&gt;1,
   "Doublon",
   "Correcte"
)</f>
        <v>Correcte</v>
      </c>
    </row>
    <row r="227" spans="1:18" x14ac:dyDescent="0.25">
      <c r="A227" s="104" t="s">
        <v>1477</v>
      </c>
      <c r="B227" s="35" t="s">
        <v>712</v>
      </c>
      <c r="C227" s="36">
        <v>5</v>
      </c>
      <c r="D227" s="36">
        <v>0</v>
      </c>
      <c r="E227" s="35"/>
      <c r="F227" s="35" t="s">
        <v>664</v>
      </c>
      <c r="G227" s="37">
        <v>45923</v>
      </c>
      <c r="H227" s="37" t="str">
        <f>INDEX(_xlfn.TEXTSPLIT(mvtst[[#This Row],[QR Suivis]],"_"),1,1)</f>
        <v>CA250011-11</v>
      </c>
      <c r="I227" s="35" t="str">
        <f>_xlfn.TEXTBEFORE(mvtst[[#This Row],[Num Suivis]],"-",,,1)</f>
        <v>CA250011</v>
      </c>
      <c r="J227" s="36">
        <f>SUMIF(mvtst[QR Suivis],mvtst[[#This Row],[QR Suivis]],mvtst[QTE SORTIS])-SUMIF(mvtst[QR Suivis],mvtst[[#This Row],[QR Suivis]],mvtst[QTE RETOUR])</f>
        <v>0</v>
      </c>
      <c r="K227" s="35" t="str">
        <f t="shared" si="3"/>
        <v>Usine</v>
      </c>
      <c r="L227" s="35" t="str">
        <f>_xlfn.XLOOKUP(mvtst[[#This Row],[Sous Traitant]],coordonnee_st[Identification],coordonnee_st[SERVICE],"Non Trouvé")</f>
        <v>Frange</v>
      </c>
      <c r="M227" s="35" t="str">
        <f>INDEX(_xlfn.TEXTSPLIT(mvtst[[#This Row],[QR Suivis]],"_"),1,2)</f>
        <v>All by Fouta</v>
      </c>
      <c r="N227" s="35" t="str">
        <f>INDEX(_xlfn.TEXTSPLIT(mvtst[[#This Row],[QR Suivis]],"_"),1,3)</f>
        <v>Stock</v>
      </c>
      <c r="O227" s="35" t="str">
        <f>INDEX(_xlfn.TEXTSPLIT(mvtst[[#This Row],[QR Suivis]],"_"),1,4)</f>
        <v>UNS1020-19</v>
      </c>
      <c r="P227" s="35" t="str">
        <f>INDEX(_xlfn.TEXTSPLIT(mvtst[[#This Row],[QR Suivis]],"_"),1,5)</f>
        <v>UNI SURPIQUE</v>
      </c>
      <c r="Q227" s="35" t="str">
        <f>_xlfn.TEXTAFTER(mvtst[[#This Row],[QR Suivis]],"_",5)</f>
        <v>1020</v>
      </c>
      <c r="R227" s="84" t="str">
        <f>IF(
   COUNTIFS($A$2:A227,A227,
             $B$2:B227,B227,
             $C$2:C227,C227,
             $D$2:D227,D227,
             $G$2:G227,G227)&gt;1,
   "Doublon",
   "Correcte"
)</f>
        <v>Correcte</v>
      </c>
    </row>
    <row r="228" spans="1:18" x14ac:dyDescent="0.25">
      <c r="A228" s="104" t="s">
        <v>1478</v>
      </c>
      <c r="B228" s="35" t="s">
        <v>712</v>
      </c>
      <c r="C228" s="36">
        <v>5</v>
      </c>
      <c r="D228" s="36">
        <v>0</v>
      </c>
      <c r="E228" s="35"/>
      <c r="F228" s="35" t="s">
        <v>664</v>
      </c>
      <c r="G228" s="37">
        <v>45923</v>
      </c>
      <c r="H228" s="37" t="str">
        <f>INDEX(_xlfn.TEXTSPLIT(mvtst[[#This Row],[QR Suivis]],"_"),1,1)</f>
        <v>CA250011-2</v>
      </c>
      <c r="I228" s="35" t="str">
        <f>_xlfn.TEXTBEFORE(mvtst[[#This Row],[Num Suivis]],"-",,,1)</f>
        <v>CA250011</v>
      </c>
      <c r="J228" s="36">
        <f>SUMIF(mvtst[QR Suivis],mvtst[[#This Row],[QR Suivis]],mvtst[QTE SORTIS])-SUMIF(mvtst[QR Suivis],mvtst[[#This Row],[QR Suivis]],mvtst[QTE RETOUR])</f>
        <v>0</v>
      </c>
      <c r="K228" s="35" t="str">
        <f t="shared" si="3"/>
        <v>Usine</v>
      </c>
      <c r="L228" s="35" t="str">
        <f>_xlfn.XLOOKUP(mvtst[[#This Row],[Sous Traitant]],coordonnee_st[Identification],coordonnee_st[SERVICE],"Non Trouvé")</f>
        <v>Frange</v>
      </c>
      <c r="M228" s="35" t="str">
        <f>INDEX(_xlfn.TEXTSPLIT(mvtst[[#This Row],[QR Suivis]],"_"),1,2)</f>
        <v>All by Fouta</v>
      </c>
      <c r="N228" s="35" t="str">
        <f>INDEX(_xlfn.TEXTSPLIT(mvtst[[#This Row],[QR Suivis]],"_"),1,3)</f>
        <v>Stock</v>
      </c>
      <c r="O228" s="35" t="str">
        <f>INDEX(_xlfn.TEXTSPLIT(mvtst[[#This Row],[QR Suivis]],"_"),1,4)</f>
        <v>UNS1020-19</v>
      </c>
      <c r="P228" s="35" t="str">
        <f>INDEX(_xlfn.TEXTSPLIT(mvtst[[#This Row],[QR Suivis]],"_"),1,5)</f>
        <v>UNI SURPIQUE</v>
      </c>
      <c r="Q228" s="35" t="str">
        <f>_xlfn.TEXTAFTER(mvtst[[#This Row],[QR Suivis]],"_",5)</f>
        <v>1020</v>
      </c>
      <c r="R228" s="84" t="str">
        <f>IF(
   COUNTIFS($A$2:A228,A228,
             $B$2:B228,B228,
             $C$2:C228,C228,
             $D$2:D228,D228,
             $G$2:G228,G228)&gt;1,
   "Doublon",
   "Correcte"
)</f>
        <v>Correcte</v>
      </c>
    </row>
    <row r="229" spans="1:18" x14ac:dyDescent="0.25">
      <c r="A229" s="104" t="s">
        <v>1479</v>
      </c>
      <c r="B229" s="35" t="s">
        <v>712</v>
      </c>
      <c r="C229" s="36">
        <v>5</v>
      </c>
      <c r="D229" s="36">
        <v>0</v>
      </c>
      <c r="E229" s="35"/>
      <c r="F229" s="35" t="s">
        <v>664</v>
      </c>
      <c r="G229" s="37">
        <v>45923</v>
      </c>
      <c r="H229" s="37" t="str">
        <f>INDEX(_xlfn.TEXTSPLIT(mvtst[[#This Row],[QR Suivis]],"_"),1,1)</f>
        <v>CA250009-2</v>
      </c>
      <c r="I229" s="35" t="str">
        <f>_xlfn.TEXTBEFORE(mvtst[[#This Row],[Num Suivis]],"-",,,1)</f>
        <v>CA250009</v>
      </c>
      <c r="J229" s="36">
        <f>SUMIF(mvtst[QR Suivis],mvtst[[#This Row],[QR Suivis]],mvtst[QTE SORTIS])-SUMIF(mvtst[QR Suivis],mvtst[[#This Row],[QR Suivis]],mvtst[QTE RETOUR])</f>
        <v>0</v>
      </c>
      <c r="K229" s="35" t="str">
        <f t="shared" si="3"/>
        <v>Usine</v>
      </c>
      <c r="L229" s="35" t="str">
        <f>_xlfn.XLOOKUP(mvtst[[#This Row],[Sous Traitant]],coordonnee_st[Identification],coordonnee_st[SERVICE],"Non Trouvé")</f>
        <v>Frange</v>
      </c>
      <c r="M229" s="35" t="str">
        <f>INDEX(_xlfn.TEXTSPLIT(mvtst[[#This Row],[QR Suivis]],"_"),1,2)</f>
        <v>All by Fouta</v>
      </c>
      <c r="N229" s="35" t="str">
        <f>INDEX(_xlfn.TEXTSPLIT(mvtst[[#This Row],[QR Suivis]],"_"),1,3)</f>
        <v>Stock</v>
      </c>
      <c r="O229" s="35" t="str">
        <f>INDEX(_xlfn.TEXTSPLIT(mvtst[[#This Row],[QR Suivis]],"_"),1,4)</f>
        <v>UNS1020-17</v>
      </c>
      <c r="P229" s="35" t="str">
        <f>INDEX(_xlfn.TEXTSPLIT(mvtst[[#This Row],[QR Suivis]],"_"),1,5)</f>
        <v>UNI SURPIQUE</v>
      </c>
      <c r="Q229" s="35" t="str">
        <f>_xlfn.TEXTAFTER(mvtst[[#This Row],[QR Suivis]],"_",5)</f>
        <v>1020</v>
      </c>
      <c r="R229" s="84" t="str">
        <f>IF(
   COUNTIFS($A$2:A229,A229,
             $B$2:B229,B229,
             $C$2:C229,C229,
             $D$2:D229,D229,
             $G$2:G229,G229)&gt;1,
   "Doublon",
   "Correcte"
)</f>
        <v>Correcte</v>
      </c>
    </row>
    <row r="230" spans="1:18" x14ac:dyDescent="0.25">
      <c r="A230" s="104" t="s">
        <v>1480</v>
      </c>
      <c r="B230" s="35" t="s">
        <v>712</v>
      </c>
      <c r="C230" s="36">
        <v>5</v>
      </c>
      <c r="D230" s="36">
        <v>0</v>
      </c>
      <c r="E230" s="35"/>
      <c r="F230" s="35" t="s">
        <v>664</v>
      </c>
      <c r="G230" s="37">
        <v>45923</v>
      </c>
      <c r="H230" s="37" t="str">
        <f>INDEX(_xlfn.TEXTSPLIT(mvtst[[#This Row],[QR Suivis]],"_"),1,1)</f>
        <v>CA250009-9</v>
      </c>
      <c r="I230" s="35" t="str">
        <f>_xlfn.TEXTBEFORE(mvtst[[#This Row],[Num Suivis]],"-",,,1)</f>
        <v>CA250009</v>
      </c>
      <c r="J230" s="36">
        <f>SUMIF(mvtst[QR Suivis],mvtst[[#This Row],[QR Suivis]],mvtst[QTE SORTIS])-SUMIF(mvtst[QR Suivis],mvtst[[#This Row],[QR Suivis]],mvtst[QTE RETOUR])</f>
        <v>0</v>
      </c>
      <c r="K230" s="35" t="str">
        <f t="shared" si="3"/>
        <v>Usine</v>
      </c>
      <c r="L230" s="35" t="str">
        <f>_xlfn.XLOOKUP(mvtst[[#This Row],[Sous Traitant]],coordonnee_st[Identification],coordonnee_st[SERVICE],"Non Trouvé")</f>
        <v>Frange</v>
      </c>
      <c r="M230" s="35" t="str">
        <f>INDEX(_xlfn.TEXTSPLIT(mvtst[[#This Row],[QR Suivis]],"_"),1,2)</f>
        <v>All by Fouta</v>
      </c>
      <c r="N230" s="35" t="str">
        <f>INDEX(_xlfn.TEXTSPLIT(mvtst[[#This Row],[QR Suivis]],"_"),1,3)</f>
        <v>Stock</v>
      </c>
      <c r="O230" s="35" t="str">
        <f>INDEX(_xlfn.TEXTSPLIT(mvtst[[#This Row],[QR Suivis]],"_"),1,4)</f>
        <v>UNS1020-17</v>
      </c>
      <c r="P230" s="35" t="str">
        <f>INDEX(_xlfn.TEXTSPLIT(mvtst[[#This Row],[QR Suivis]],"_"),1,5)</f>
        <v>UNI SURPIQUE</v>
      </c>
      <c r="Q230" s="35" t="str">
        <f>_xlfn.TEXTAFTER(mvtst[[#This Row],[QR Suivis]],"_",5)</f>
        <v>1020</v>
      </c>
      <c r="R230" s="84" t="str">
        <f>IF(
   COUNTIFS($A$2:A230,A230,
             $B$2:B230,B230,
             $C$2:C230,C230,
             $D$2:D230,D230,
             $G$2:G230,G230)&gt;1,
   "Doublon",
   "Correcte"
)</f>
        <v>Correcte</v>
      </c>
    </row>
    <row r="231" spans="1:18" x14ac:dyDescent="0.25">
      <c r="A231" s="104" t="s">
        <v>1481</v>
      </c>
      <c r="B231" s="35" t="s">
        <v>712</v>
      </c>
      <c r="C231" s="36">
        <v>5</v>
      </c>
      <c r="D231" s="36">
        <v>0</v>
      </c>
      <c r="E231" s="35"/>
      <c r="F231" s="35" t="s">
        <v>664</v>
      </c>
      <c r="G231" s="37">
        <v>45923</v>
      </c>
      <c r="H231" s="37" t="str">
        <f>INDEX(_xlfn.TEXTSPLIT(mvtst[[#This Row],[QR Suivis]],"_"),1,1)</f>
        <v>CA250009-7</v>
      </c>
      <c r="I231" s="35" t="str">
        <f>_xlfn.TEXTBEFORE(mvtst[[#This Row],[Num Suivis]],"-",,,1)</f>
        <v>CA250009</v>
      </c>
      <c r="J231" s="36">
        <f>SUMIF(mvtst[QR Suivis],mvtst[[#This Row],[QR Suivis]],mvtst[QTE SORTIS])-SUMIF(mvtst[QR Suivis],mvtst[[#This Row],[QR Suivis]],mvtst[QTE RETOUR])</f>
        <v>0</v>
      </c>
      <c r="K231" s="35" t="str">
        <f t="shared" si="3"/>
        <v>Usine</v>
      </c>
      <c r="L231" s="35" t="str">
        <f>_xlfn.XLOOKUP(mvtst[[#This Row],[Sous Traitant]],coordonnee_st[Identification],coordonnee_st[SERVICE],"Non Trouvé")</f>
        <v>Frange</v>
      </c>
      <c r="M231" s="35" t="str">
        <f>INDEX(_xlfn.TEXTSPLIT(mvtst[[#This Row],[QR Suivis]],"_"),1,2)</f>
        <v>All by Fouta</v>
      </c>
      <c r="N231" s="35" t="str">
        <f>INDEX(_xlfn.TEXTSPLIT(mvtst[[#This Row],[QR Suivis]],"_"),1,3)</f>
        <v>Stock</v>
      </c>
      <c r="O231" s="35" t="str">
        <f>INDEX(_xlfn.TEXTSPLIT(mvtst[[#This Row],[QR Suivis]],"_"),1,4)</f>
        <v>UNS1020-17</v>
      </c>
      <c r="P231" s="35" t="str">
        <f>INDEX(_xlfn.TEXTSPLIT(mvtst[[#This Row],[QR Suivis]],"_"),1,5)</f>
        <v>UNI SURPIQUE</v>
      </c>
      <c r="Q231" s="35" t="str">
        <f>_xlfn.TEXTAFTER(mvtst[[#This Row],[QR Suivis]],"_",5)</f>
        <v>1020</v>
      </c>
      <c r="R231" s="84" t="str">
        <f>IF(
   COUNTIFS($A$2:A231,A231,
             $B$2:B231,B231,
             $C$2:C231,C231,
             $D$2:D231,D231,
             $G$2:G231,G231)&gt;1,
   "Doublon",
   "Correcte"
)</f>
        <v>Correcte</v>
      </c>
    </row>
    <row r="232" spans="1:18" x14ac:dyDescent="0.25">
      <c r="A232" s="104" t="s">
        <v>1482</v>
      </c>
      <c r="B232" s="35" t="s">
        <v>712</v>
      </c>
      <c r="C232" s="36">
        <v>3</v>
      </c>
      <c r="D232" s="36">
        <v>0</v>
      </c>
      <c r="E232" s="35"/>
      <c r="F232" s="35" t="s">
        <v>664</v>
      </c>
      <c r="G232" s="37">
        <v>45923</v>
      </c>
      <c r="H232" s="37" t="str">
        <f>INDEX(_xlfn.TEXTSPLIT(mvtst[[#This Row],[QR Suivis]],"_"),1,1)</f>
        <v>CA250009-12</v>
      </c>
      <c r="I232" s="35" t="str">
        <f>_xlfn.TEXTBEFORE(mvtst[[#This Row],[Num Suivis]],"-",,,1)</f>
        <v>CA250009</v>
      </c>
      <c r="J232" s="36">
        <f>SUMIF(mvtst[QR Suivis],mvtst[[#This Row],[QR Suivis]],mvtst[QTE SORTIS])-SUMIF(mvtst[QR Suivis],mvtst[[#This Row],[QR Suivis]],mvtst[QTE RETOUR])</f>
        <v>0</v>
      </c>
      <c r="K232" s="35" t="str">
        <f t="shared" si="3"/>
        <v>Usine</v>
      </c>
      <c r="L232" s="35" t="str">
        <f>_xlfn.XLOOKUP(mvtst[[#This Row],[Sous Traitant]],coordonnee_st[Identification],coordonnee_st[SERVICE],"Non Trouvé")</f>
        <v>Frange</v>
      </c>
      <c r="M232" s="35" t="str">
        <f>INDEX(_xlfn.TEXTSPLIT(mvtst[[#This Row],[QR Suivis]],"_"),1,2)</f>
        <v>All by Fouta</v>
      </c>
      <c r="N232" s="35" t="str">
        <f>INDEX(_xlfn.TEXTSPLIT(mvtst[[#This Row],[QR Suivis]],"_"),1,3)</f>
        <v>Stock</v>
      </c>
      <c r="O232" s="35" t="str">
        <f>INDEX(_xlfn.TEXTSPLIT(mvtst[[#This Row],[QR Suivis]],"_"),1,4)</f>
        <v>UNS1020-17</v>
      </c>
      <c r="P232" s="35" t="str">
        <f>INDEX(_xlfn.TEXTSPLIT(mvtst[[#This Row],[QR Suivis]],"_"),1,5)</f>
        <v>UNI SURPIQUE</v>
      </c>
      <c r="Q232" s="35" t="str">
        <f>_xlfn.TEXTAFTER(mvtst[[#This Row],[QR Suivis]],"_",5)</f>
        <v>1020</v>
      </c>
      <c r="R232" s="84" t="str">
        <f>IF(
   COUNTIFS($A$2:A232,A232,
             $B$2:B232,B232,
             $C$2:C232,C232,
             $D$2:D232,D232,
             $G$2:G232,G232)&gt;1,
   "Doublon",
   "Correcte"
)</f>
        <v>Correcte</v>
      </c>
    </row>
    <row r="233" spans="1:18" x14ac:dyDescent="0.25">
      <c r="A233" s="104" t="s">
        <v>1483</v>
      </c>
      <c r="B233" s="35" t="s">
        <v>712</v>
      </c>
      <c r="C233" s="36">
        <v>2</v>
      </c>
      <c r="D233" s="36">
        <v>0</v>
      </c>
      <c r="E233" s="35"/>
      <c r="F233" s="35" t="s">
        <v>664</v>
      </c>
      <c r="G233" s="37">
        <v>45923</v>
      </c>
      <c r="H233" s="37" t="str">
        <f>INDEX(_xlfn.TEXTSPLIT(mvtst[[#This Row],[QR Suivis]],"_"),1,1)</f>
        <v>CA250009-13</v>
      </c>
      <c r="I233" s="35" t="str">
        <f>_xlfn.TEXTBEFORE(mvtst[[#This Row],[Num Suivis]],"-",,,1)</f>
        <v>CA250009</v>
      </c>
      <c r="J233" s="36">
        <f>SUMIF(mvtst[QR Suivis],mvtst[[#This Row],[QR Suivis]],mvtst[QTE SORTIS])-SUMIF(mvtst[QR Suivis],mvtst[[#This Row],[QR Suivis]],mvtst[QTE RETOUR])</f>
        <v>0</v>
      </c>
      <c r="K233" s="35" t="str">
        <f t="shared" si="3"/>
        <v>Usine</v>
      </c>
      <c r="L233" s="35" t="str">
        <f>_xlfn.XLOOKUP(mvtst[[#This Row],[Sous Traitant]],coordonnee_st[Identification],coordonnee_st[SERVICE],"Non Trouvé")</f>
        <v>Frange</v>
      </c>
      <c r="M233" s="35" t="str">
        <f>INDEX(_xlfn.TEXTSPLIT(mvtst[[#This Row],[QR Suivis]],"_"),1,2)</f>
        <v>All by Fouta</v>
      </c>
      <c r="N233" s="35" t="str">
        <f>INDEX(_xlfn.TEXTSPLIT(mvtst[[#This Row],[QR Suivis]],"_"),1,3)</f>
        <v>Stock</v>
      </c>
      <c r="O233" s="35" t="str">
        <f>INDEX(_xlfn.TEXTSPLIT(mvtst[[#This Row],[QR Suivis]],"_"),1,4)</f>
        <v>UNS1020-17</v>
      </c>
      <c r="P233" s="35" t="str">
        <f>INDEX(_xlfn.TEXTSPLIT(mvtst[[#This Row],[QR Suivis]],"_"),1,5)</f>
        <v>UNI SURPIQUE</v>
      </c>
      <c r="Q233" s="35" t="str">
        <f>_xlfn.TEXTAFTER(mvtst[[#This Row],[QR Suivis]],"_",5)</f>
        <v>1020</v>
      </c>
      <c r="R233" s="84" t="str">
        <f>IF(
   COUNTIFS($A$2:A233,A233,
             $B$2:B233,B233,
             $C$2:C233,C233,
             $D$2:D233,D233,
             $G$2:G233,G233)&gt;1,
   "Doublon",
   "Correcte"
)</f>
        <v>Correcte</v>
      </c>
    </row>
    <row r="234" spans="1:18" x14ac:dyDescent="0.25">
      <c r="A234" s="104" t="s">
        <v>1484</v>
      </c>
      <c r="B234" s="35" t="s">
        <v>712</v>
      </c>
      <c r="C234" s="36">
        <v>5</v>
      </c>
      <c r="D234" s="36">
        <v>0</v>
      </c>
      <c r="E234" s="35"/>
      <c r="F234" s="35" t="s">
        <v>664</v>
      </c>
      <c r="G234" s="37">
        <v>45923</v>
      </c>
      <c r="H234" s="37" t="str">
        <f>INDEX(_xlfn.TEXTSPLIT(mvtst[[#This Row],[QR Suivis]],"_"),1,1)</f>
        <v>CA250009-4</v>
      </c>
      <c r="I234" s="35" t="str">
        <f>_xlfn.TEXTBEFORE(mvtst[[#This Row],[Num Suivis]],"-",,,1)</f>
        <v>CA250009</v>
      </c>
      <c r="J234" s="36">
        <f>SUMIF(mvtst[QR Suivis],mvtst[[#This Row],[QR Suivis]],mvtst[QTE SORTIS])-SUMIF(mvtst[QR Suivis],mvtst[[#This Row],[QR Suivis]],mvtst[QTE RETOUR])</f>
        <v>0</v>
      </c>
      <c r="K234" s="35" t="str">
        <f t="shared" si="3"/>
        <v>Usine</v>
      </c>
      <c r="L234" s="35" t="str">
        <f>_xlfn.XLOOKUP(mvtst[[#This Row],[Sous Traitant]],coordonnee_st[Identification],coordonnee_st[SERVICE],"Non Trouvé")</f>
        <v>Frange</v>
      </c>
      <c r="M234" s="35" t="str">
        <f>INDEX(_xlfn.TEXTSPLIT(mvtst[[#This Row],[QR Suivis]],"_"),1,2)</f>
        <v>All by Fouta</v>
      </c>
      <c r="N234" s="35" t="str">
        <f>INDEX(_xlfn.TEXTSPLIT(mvtst[[#This Row],[QR Suivis]],"_"),1,3)</f>
        <v>Stock</v>
      </c>
      <c r="O234" s="35" t="str">
        <f>INDEX(_xlfn.TEXTSPLIT(mvtst[[#This Row],[QR Suivis]],"_"),1,4)</f>
        <v>UNS1020-17</v>
      </c>
      <c r="P234" s="35" t="str">
        <f>INDEX(_xlfn.TEXTSPLIT(mvtst[[#This Row],[QR Suivis]],"_"),1,5)</f>
        <v>UNI SURPIQUE</v>
      </c>
      <c r="Q234" s="35" t="str">
        <f>_xlfn.TEXTAFTER(mvtst[[#This Row],[QR Suivis]],"_",5)</f>
        <v>1020</v>
      </c>
      <c r="R234" s="84" t="str">
        <f>IF(
   COUNTIFS($A$2:A234,A234,
             $B$2:B234,B234,
             $C$2:C234,C234,
             $D$2:D234,D234,
             $G$2:G234,G234)&gt;1,
   "Doublon",
   "Correcte"
)</f>
        <v>Correcte</v>
      </c>
    </row>
    <row r="235" spans="1:18" x14ac:dyDescent="0.25">
      <c r="A235" s="104" t="s">
        <v>1485</v>
      </c>
      <c r="B235" s="35" t="s">
        <v>712</v>
      </c>
      <c r="C235" s="36">
        <v>5</v>
      </c>
      <c r="D235" s="36">
        <v>0</v>
      </c>
      <c r="E235" s="35"/>
      <c r="F235" s="35" t="s">
        <v>664</v>
      </c>
      <c r="G235" s="37">
        <v>45923</v>
      </c>
      <c r="H235" s="37" t="str">
        <f>INDEX(_xlfn.TEXTSPLIT(mvtst[[#This Row],[QR Suivis]],"_"),1,1)</f>
        <v>CA250009-1</v>
      </c>
      <c r="I235" s="35" t="str">
        <f>_xlfn.TEXTBEFORE(mvtst[[#This Row],[Num Suivis]],"-",,,1)</f>
        <v>CA250009</v>
      </c>
      <c r="J235" s="36">
        <f>SUMIF(mvtst[QR Suivis],mvtst[[#This Row],[QR Suivis]],mvtst[QTE SORTIS])-SUMIF(mvtst[QR Suivis],mvtst[[#This Row],[QR Suivis]],mvtst[QTE RETOUR])</f>
        <v>0</v>
      </c>
      <c r="K235" s="35" t="str">
        <f t="shared" si="3"/>
        <v>Usine</v>
      </c>
      <c r="L235" s="35" t="str">
        <f>_xlfn.XLOOKUP(mvtst[[#This Row],[Sous Traitant]],coordonnee_st[Identification],coordonnee_st[SERVICE],"Non Trouvé")</f>
        <v>Frange</v>
      </c>
      <c r="M235" s="35" t="str">
        <f>INDEX(_xlfn.TEXTSPLIT(mvtst[[#This Row],[QR Suivis]],"_"),1,2)</f>
        <v>All by Fouta</v>
      </c>
      <c r="N235" s="35" t="str">
        <f>INDEX(_xlfn.TEXTSPLIT(mvtst[[#This Row],[QR Suivis]],"_"),1,3)</f>
        <v>Stock</v>
      </c>
      <c r="O235" s="35" t="str">
        <f>INDEX(_xlfn.TEXTSPLIT(mvtst[[#This Row],[QR Suivis]],"_"),1,4)</f>
        <v>UNS1020-17</v>
      </c>
      <c r="P235" s="35" t="str">
        <f>INDEX(_xlfn.TEXTSPLIT(mvtst[[#This Row],[QR Suivis]],"_"),1,5)</f>
        <v>UNI SURPIQUE</v>
      </c>
      <c r="Q235" s="35" t="str">
        <f>_xlfn.TEXTAFTER(mvtst[[#This Row],[QR Suivis]],"_",5)</f>
        <v>1020</v>
      </c>
      <c r="R235" s="84" t="str">
        <f>IF(
   COUNTIFS($A$2:A235,A235,
             $B$2:B235,B235,
             $C$2:C235,C235,
             $D$2:D235,D235,
             $G$2:G235,G235)&gt;1,
   "Doublon",
   "Correcte"
)</f>
        <v>Correcte</v>
      </c>
    </row>
    <row r="236" spans="1:18" x14ac:dyDescent="0.25">
      <c r="A236" s="104" t="s">
        <v>1486</v>
      </c>
      <c r="B236" s="35" t="s">
        <v>712</v>
      </c>
      <c r="C236" s="36">
        <v>5</v>
      </c>
      <c r="D236" s="36">
        <v>0</v>
      </c>
      <c r="E236" s="35"/>
      <c r="F236" s="35" t="s">
        <v>664</v>
      </c>
      <c r="G236" s="37">
        <v>45923</v>
      </c>
      <c r="H236" s="37" t="str">
        <f>INDEX(_xlfn.TEXTSPLIT(mvtst[[#This Row],[QR Suivis]],"_"),1,1)</f>
        <v>CA250009-3</v>
      </c>
      <c r="I236" s="35" t="str">
        <f>_xlfn.TEXTBEFORE(mvtst[[#This Row],[Num Suivis]],"-",,,1)</f>
        <v>CA250009</v>
      </c>
      <c r="J236" s="36">
        <f>SUMIF(mvtst[QR Suivis],mvtst[[#This Row],[QR Suivis]],mvtst[QTE SORTIS])-SUMIF(mvtst[QR Suivis],mvtst[[#This Row],[QR Suivis]],mvtst[QTE RETOUR])</f>
        <v>0</v>
      </c>
      <c r="K236" s="35" t="str">
        <f t="shared" si="3"/>
        <v>Usine</v>
      </c>
      <c r="L236" s="35" t="str">
        <f>_xlfn.XLOOKUP(mvtst[[#This Row],[Sous Traitant]],coordonnee_st[Identification],coordonnee_st[SERVICE],"Non Trouvé")</f>
        <v>Frange</v>
      </c>
      <c r="M236" s="35" t="str">
        <f>INDEX(_xlfn.TEXTSPLIT(mvtst[[#This Row],[QR Suivis]],"_"),1,2)</f>
        <v>All by Fouta</v>
      </c>
      <c r="N236" s="35" t="str">
        <f>INDEX(_xlfn.TEXTSPLIT(mvtst[[#This Row],[QR Suivis]],"_"),1,3)</f>
        <v>Stock</v>
      </c>
      <c r="O236" s="35" t="str">
        <f>INDEX(_xlfn.TEXTSPLIT(mvtst[[#This Row],[QR Suivis]],"_"),1,4)</f>
        <v>UNS1020-17</v>
      </c>
      <c r="P236" s="35" t="str">
        <f>INDEX(_xlfn.TEXTSPLIT(mvtst[[#This Row],[QR Suivis]],"_"),1,5)</f>
        <v>UNI SURPIQUE</v>
      </c>
      <c r="Q236" s="35" t="str">
        <f>_xlfn.TEXTAFTER(mvtst[[#This Row],[QR Suivis]],"_",5)</f>
        <v>1020</v>
      </c>
      <c r="R236" s="84" t="str">
        <f>IF(
   COUNTIFS($A$2:A236,A236,
             $B$2:B236,B236,
             $C$2:C236,C236,
             $D$2:D236,D236,
             $G$2:G236,G236)&gt;1,
   "Doublon",
   "Correcte"
)</f>
        <v>Correcte</v>
      </c>
    </row>
    <row r="237" spans="1:18" x14ac:dyDescent="0.25">
      <c r="A237" s="104" t="s">
        <v>1487</v>
      </c>
      <c r="B237" s="35" t="s">
        <v>712</v>
      </c>
      <c r="C237" s="36">
        <v>5</v>
      </c>
      <c r="D237" s="36">
        <v>0</v>
      </c>
      <c r="E237" s="35"/>
      <c r="F237" s="35" t="s">
        <v>664</v>
      </c>
      <c r="G237" s="37">
        <v>45923</v>
      </c>
      <c r="H237" s="37" t="str">
        <f>INDEX(_xlfn.TEXTSPLIT(mvtst[[#This Row],[QR Suivis]],"_"),1,1)</f>
        <v>CA250009-5</v>
      </c>
      <c r="I237" s="35" t="str">
        <f>_xlfn.TEXTBEFORE(mvtst[[#This Row],[Num Suivis]],"-",,,1)</f>
        <v>CA250009</v>
      </c>
      <c r="J237" s="36">
        <f>SUMIF(mvtst[QR Suivis],mvtst[[#This Row],[QR Suivis]],mvtst[QTE SORTIS])-SUMIF(mvtst[QR Suivis],mvtst[[#This Row],[QR Suivis]],mvtst[QTE RETOUR])</f>
        <v>0</v>
      </c>
      <c r="K237" s="35" t="str">
        <f t="shared" si="3"/>
        <v>Usine</v>
      </c>
      <c r="L237" s="35" t="str">
        <f>_xlfn.XLOOKUP(mvtst[[#This Row],[Sous Traitant]],coordonnee_st[Identification],coordonnee_st[SERVICE],"Non Trouvé")</f>
        <v>Frange</v>
      </c>
      <c r="M237" s="35" t="str">
        <f>INDEX(_xlfn.TEXTSPLIT(mvtst[[#This Row],[QR Suivis]],"_"),1,2)</f>
        <v>All by Fouta</v>
      </c>
      <c r="N237" s="35" t="str">
        <f>INDEX(_xlfn.TEXTSPLIT(mvtst[[#This Row],[QR Suivis]],"_"),1,3)</f>
        <v>Stock</v>
      </c>
      <c r="O237" s="35" t="str">
        <f>INDEX(_xlfn.TEXTSPLIT(mvtst[[#This Row],[QR Suivis]],"_"),1,4)</f>
        <v>UNS1020-17</v>
      </c>
      <c r="P237" s="35" t="str">
        <f>INDEX(_xlfn.TEXTSPLIT(mvtst[[#This Row],[QR Suivis]],"_"),1,5)</f>
        <v>UNI SURPIQUE</v>
      </c>
      <c r="Q237" s="35" t="str">
        <f>_xlfn.TEXTAFTER(mvtst[[#This Row],[QR Suivis]],"_",5)</f>
        <v>1020</v>
      </c>
      <c r="R237" s="84" t="str">
        <f>IF(
   COUNTIFS($A$2:A237,A237,
             $B$2:B237,B237,
             $C$2:C237,C237,
             $D$2:D237,D237,
             $G$2:G237,G237)&gt;1,
   "Doublon",
   "Correcte"
)</f>
        <v>Correcte</v>
      </c>
    </row>
    <row r="238" spans="1:18" x14ac:dyDescent="0.25">
      <c r="A238" s="104" t="s">
        <v>1488</v>
      </c>
      <c r="B238" s="35" t="s">
        <v>712</v>
      </c>
      <c r="C238" s="36">
        <v>5</v>
      </c>
      <c r="D238" s="36">
        <v>0</v>
      </c>
      <c r="E238" s="35"/>
      <c r="F238" s="35" t="s">
        <v>664</v>
      </c>
      <c r="G238" s="37">
        <v>45923</v>
      </c>
      <c r="H238" s="37" t="str">
        <f>INDEX(_xlfn.TEXTSPLIT(mvtst[[#This Row],[QR Suivis]],"_"),1,1)</f>
        <v>CA250009-10</v>
      </c>
      <c r="I238" s="35" t="str">
        <f>_xlfn.TEXTBEFORE(mvtst[[#This Row],[Num Suivis]],"-",,,1)</f>
        <v>CA250009</v>
      </c>
      <c r="J238" s="36">
        <f>SUMIF(mvtst[QR Suivis],mvtst[[#This Row],[QR Suivis]],mvtst[QTE SORTIS])-SUMIF(mvtst[QR Suivis],mvtst[[#This Row],[QR Suivis]],mvtst[QTE RETOUR])</f>
        <v>0</v>
      </c>
      <c r="K238" s="35" t="str">
        <f t="shared" si="3"/>
        <v>Usine</v>
      </c>
      <c r="L238" s="35" t="str">
        <f>_xlfn.XLOOKUP(mvtst[[#This Row],[Sous Traitant]],coordonnee_st[Identification],coordonnee_st[SERVICE],"Non Trouvé")</f>
        <v>Frange</v>
      </c>
      <c r="M238" s="35" t="str">
        <f>INDEX(_xlfn.TEXTSPLIT(mvtst[[#This Row],[QR Suivis]],"_"),1,2)</f>
        <v>All by Fouta</v>
      </c>
      <c r="N238" s="35" t="str">
        <f>INDEX(_xlfn.TEXTSPLIT(mvtst[[#This Row],[QR Suivis]],"_"),1,3)</f>
        <v>Stock</v>
      </c>
      <c r="O238" s="35" t="str">
        <f>INDEX(_xlfn.TEXTSPLIT(mvtst[[#This Row],[QR Suivis]],"_"),1,4)</f>
        <v>UNS1020-17</v>
      </c>
      <c r="P238" s="35" t="str">
        <f>INDEX(_xlfn.TEXTSPLIT(mvtst[[#This Row],[QR Suivis]],"_"),1,5)</f>
        <v>UNI SURPIQUE</v>
      </c>
      <c r="Q238" s="35" t="str">
        <f>_xlfn.TEXTAFTER(mvtst[[#This Row],[QR Suivis]],"_",5)</f>
        <v>1020</v>
      </c>
      <c r="R238" s="84" t="str">
        <f>IF(
   COUNTIFS($A$2:A238,A238,
             $B$2:B238,B238,
             $C$2:C238,C238,
             $D$2:D238,D238,
             $G$2:G238,G238)&gt;1,
   "Doublon",
   "Correcte"
)</f>
        <v>Correcte</v>
      </c>
    </row>
    <row r="239" spans="1:18" x14ac:dyDescent="0.25">
      <c r="A239" s="104" t="s">
        <v>1489</v>
      </c>
      <c r="B239" s="35" t="s">
        <v>712</v>
      </c>
      <c r="C239" s="36">
        <v>5</v>
      </c>
      <c r="D239" s="36">
        <v>0</v>
      </c>
      <c r="E239" s="35"/>
      <c r="F239" s="35" t="s">
        <v>664</v>
      </c>
      <c r="G239" s="37">
        <v>45923</v>
      </c>
      <c r="H239" s="37" t="str">
        <f>INDEX(_xlfn.TEXTSPLIT(mvtst[[#This Row],[QR Suivis]],"_"),1,1)</f>
        <v>CA250009-8</v>
      </c>
      <c r="I239" s="35" t="str">
        <f>_xlfn.TEXTBEFORE(mvtst[[#This Row],[Num Suivis]],"-",,,1)</f>
        <v>CA250009</v>
      </c>
      <c r="J239" s="36">
        <f>SUMIF(mvtst[QR Suivis],mvtst[[#This Row],[QR Suivis]],mvtst[QTE SORTIS])-SUMIF(mvtst[QR Suivis],mvtst[[#This Row],[QR Suivis]],mvtst[QTE RETOUR])</f>
        <v>0</v>
      </c>
      <c r="K239" s="35" t="str">
        <f t="shared" si="3"/>
        <v>Usine</v>
      </c>
      <c r="L239" s="35" t="str">
        <f>_xlfn.XLOOKUP(mvtst[[#This Row],[Sous Traitant]],coordonnee_st[Identification],coordonnee_st[SERVICE],"Non Trouvé")</f>
        <v>Frange</v>
      </c>
      <c r="M239" s="35" t="str">
        <f>INDEX(_xlfn.TEXTSPLIT(mvtst[[#This Row],[QR Suivis]],"_"),1,2)</f>
        <v>All by Fouta</v>
      </c>
      <c r="N239" s="35" t="str">
        <f>INDEX(_xlfn.TEXTSPLIT(mvtst[[#This Row],[QR Suivis]],"_"),1,3)</f>
        <v>Stock</v>
      </c>
      <c r="O239" s="35" t="str">
        <f>INDEX(_xlfn.TEXTSPLIT(mvtst[[#This Row],[QR Suivis]],"_"),1,4)</f>
        <v>UNS1020-17</v>
      </c>
      <c r="P239" s="35" t="str">
        <f>INDEX(_xlfn.TEXTSPLIT(mvtst[[#This Row],[QR Suivis]],"_"),1,5)</f>
        <v>UNI SURPIQUE</v>
      </c>
      <c r="Q239" s="35" t="str">
        <f>_xlfn.TEXTAFTER(mvtst[[#This Row],[QR Suivis]],"_",5)</f>
        <v>1020</v>
      </c>
      <c r="R239" s="84" t="str">
        <f>IF(
   COUNTIFS($A$2:A239,A239,
             $B$2:B239,B239,
             $C$2:C239,C239,
             $D$2:D239,D239,
             $G$2:G239,G239)&gt;1,
   "Doublon",
   "Correcte"
)</f>
        <v>Correcte</v>
      </c>
    </row>
    <row r="240" spans="1:18" x14ac:dyDescent="0.25">
      <c r="A240" s="104" t="s">
        <v>1490</v>
      </c>
      <c r="B240" s="35" t="s">
        <v>712</v>
      </c>
      <c r="C240" s="36">
        <v>5</v>
      </c>
      <c r="D240" s="36">
        <v>0</v>
      </c>
      <c r="E240" s="35"/>
      <c r="F240" s="35" t="s">
        <v>664</v>
      </c>
      <c r="G240" s="37">
        <v>45923</v>
      </c>
      <c r="H240" s="37" t="str">
        <f>INDEX(_xlfn.TEXTSPLIT(mvtst[[#This Row],[QR Suivis]],"_"),1,1)</f>
        <v>CA250009-11</v>
      </c>
      <c r="I240" s="35" t="str">
        <f>_xlfn.TEXTBEFORE(mvtst[[#This Row],[Num Suivis]],"-",,,1)</f>
        <v>CA250009</v>
      </c>
      <c r="J240" s="36">
        <f>SUMIF(mvtst[QR Suivis],mvtst[[#This Row],[QR Suivis]],mvtst[QTE SORTIS])-SUMIF(mvtst[QR Suivis],mvtst[[#This Row],[QR Suivis]],mvtst[QTE RETOUR])</f>
        <v>0</v>
      </c>
      <c r="K240" s="35" t="str">
        <f t="shared" si="3"/>
        <v>Usine</v>
      </c>
      <c r="L240" s="35" t="str">
        <f>_xlfn.XLOOKUP(mvtst[[#This Row],[Sous Traitant]],coordonnee_st[Identification],coordonnee_st[SERVICE],"Non Trouvé")</f>
        <v>Frange</v>
      </c>
      <c r="M240" s="35" t="str">
        <f>INDEX(_xlfn.TEXTSPLIT(mvtst[[#This Row],[QR Suivis]],"_"),1,2)</f>
        <v>All by Fouta</v>
      </c>
      <c r="N240" s="35" t="str">
        <f>INDEX(_xlfn.TEXTSPLIT(mvtst[[#This Row],[QR Suivis]],"_"),1,3)</f>
        <v>Stock</v>
      </c>
      <c r="O240" s="35" t="str">
        <f>INDEX(_xlfn.TEXTSPLIT(mvtst[[#This Row],[QR Suivis]],"_"),1,4)</f>
        <v>UNS1020-17</v>
      </c>
      <c r="P240" s="35" t="str">
        <f>INDEX(_xlfn.TEXTSPLIT(mvtst[[#This Row],[QR Suivis]],"_"),1,5)</f>
        <v>UNI SURPIQUE</v>
      </c>
      <c r="Q240" s="35" t="str">
        <f>_xlfn.TEXTAFTER(mvtst[[#This Row],[QR Suivis]],"_",5)</f>
        <v>1020</v>
      </c>
      <c r="R240" s="84" t="str">
        <f>IF(
   COUNTIFS($A$2:A240,A240,
             $B$2:B240,B240,
             $C$2:C240,C240,
             $D$2:D240,D240,
             $G$2:G240,G240)&gt;1,
   "Doublon",
   "Correcte"
)</f>
        <v>Correcte</v>
      </c>
    </row>
    <row r="241" spans="1:18" x14ac:dyDescent="0.25">
      <c r="A241" s="104" t="s">
        <v>1491</v>
      </c>
      <c r="B241" s="35" t="s">
        <v>712</v>
      </c>
      <c r="C241" s="36">
        <v>5</v>
      </c>
      <c r="D241" s="36">
        <v>0</v>
      </c>
      <c r="E241" s="35"/>
      <c r="F241" s="35" t="s">
        <v>664</v>
      </c>
      <c r="G241" s="37">
        <v>45923</v>
      </c>
      <c r="H241" s="37" t="str">
        <f>INDEX(_xlfn.TEXTSPLIT(mvtst[[#This Row],[QR Suivis]],"_"),1,1)</f>
        <v>CA250010-1</v>
      </c>
      <c r="I241" s="35" t="str">
        <f>_xlfn.TEXTBEFORE(mvtst[[#This Row],[Num Suivis]],"-",,,1)</f>
        <v>CA250010</v>
      </c>
      <c r="J241" s="36">
        <f>SUMIF(mvtst[QR Suivis],mvtst[[#This Row],[QR Suivis]],mvtst[QTE SORTIS])-SUMIF(mvtst[QR Suivis],mvtst[[#This Row],[QR Suivis]],mvtst[QTE RETOUR])</f>
        <v>0</v>
      </c>
      <c r="K241" s="35" t="str">
        <f t="shared" si="3"/>
        <v>Usine</v>
      </c>
      <c r="L241" s="35" t="str">
        <f>_xlfn.XLOOKUP(mvtst[[#This Row],[Sous Traitant]],coordonnee_st[Identification],coordonnee_st[SERVICE],"Non Trouvé")</f>
        <v>Frange</v>
      </c>
      <c r="M241" s="35" t="str">
        <f>INDEX(_xlfn.TEXTSPLIT(mvtst[[#This Row],[QR Suivis]],"_"),1,2)</f>
        <v>All by Fouta</v>
      </c>
      <c r="N241" s="35" t="str">
        <f>INDEX(_xlfn.TEXTSPLIT(mvtst[[#This Row],[QR Suivis]],"_"),1,3)</f>
        <v>Stock</v>
      </c>
      <c r="O241" s="35" t="str">
        <f>INDEX(_xlfn.TEXTSPLIT(mvtst[[#This Row],[QR Suivis]],"_"),1,4)</f>
        <v>UNS1020-18</v>
      </c>
      <c r="P241" s="35" t="str">
        <f>INDEX(_xlfn.TEXTSPLIT(mvtst[[#This Row],[QR Suivis]],"_"),1,5)</f>
        <v>UNI SURPIQUE</v>
      </c>
      <c r="Q241" s="35" t="str">
        <f>_xlfn.TEXTAFTER(mvtst[[#This Row],[QR Suivis]],"_",5)</f>
        <v>1020</v>
      </c>
      <c r="R241" s="84" t="str">
        <f>IF(
   COUNTIFS($A$2:A241,A241,
             $B$2:B241,B241,
             $C$2:C241,C241,
             $D$2:D241,D241,
             $G$2:G241,G241)&gt;1,
   "Doublon",
   "Correcte"
)</f>
        <v>Correcte</v>
      </c>
    </row>
    <row r="242" spans="1:18" x14ac:dyDescent="0.25">
      <c r="A242" s="104" t="s">
        <v>1492</v>
      </c>
      <c r="B242" s="35" t="s">
        <v>712</v>
      </c>
      <c r="C242" s="36">
        <v>5</v>
      </c>
      <c r="D242" s="36">
        <v>0</v>
      </c>
      <c r="E242" s="35"/>
      <c r="F242" s="35" t="s">
        <v>664</v>
      </c>
      <c r="G242" s="37">
        <v>45923</v>
      </c>
      <c r="H242" s="37" t="str">
        <f>INDEX(_xlfn.TEXTSPLIT(mvtst[[#This Row],[QR Suivis]],"_"),1,1)</f>
        <v>CA250010-2</v>
      </c>
      <c r="I242" s="35" t="str">
        <f>_xlfn.TEXTBEFORE(mvtst[[#This Row],[Num Suivis]],"-",,,1)</f>
        <v>CA250010</v>
      </c>
      <c r="J242" s="36">
        <f>SUMIF(mvtst[QR Suivis],mvtst[[#This Row],[QR Suivis]],mvtst[QTE SORTIS])-SUMIF(mvtst[QR Suivis],mvtst[[#This Row],[QR Suivis]],mvtst[QTE RETOUR])</f>
        <v>0</v>
      </c>
      <c r="K242" s="35" t="str">
        <f t="shared" si="3"/>
        <v>Usine</v>
      </c>
      <c r="L242" s="35" t="str">
        <f>_xlfn.XLOOKUP(mvtst[[#This Row],[Sous Traitant]],coordonnee_st[Identification],coordonnee_st[SERVICE],"Non Trouvé")</f>
        <v>Frange</v>
      </c>
      <c r="M242" s="35" t="str">
        <f>INDEX(_xlfn.TEXTSPLIT(mvtst[[#This Row],[QR Suivis]],"_"),1,2)</f>
        <v>All by Fouta</v>
      </c>
      <c r="N242" s="35" t="str">
        <f>INDEX(_xlfn.TEXTSPLIT(mvtst[[#This Row],[QR Suivis]],"_"),1,3)</f>
        <v>Stock</v>
      </c>
      <c r="O242" s="35" t="str">
        <f>INDEX(_xlfn.TEXTSPLIT(mvtst[[#This Row],[QR Suivis]],"_"),1,4)</f>
        <v>UNS1020-18</v>
      </c>
      <c r="P242" s="35" t="str">
        <f>INDEX(_xlfn.TEXTSPLIT(mvtst[[#This Row],[QR Suivis]],"_"),1,5)</f>
        <v>UNI SURPIQUE</v>
      </c>
      <c r="Q242" s="35" t="str">
        <f>_xlfn.TEXTAFTER(mvtst[[#This Row],[QR Suivis]],"_",5)</f>
        <v>1020</v>
      </c>
      <c r="R242" s="84" t="str">
        <f>IF(
   COUNTIFS($A$2:A242,A242,
             $B$2:B242,B242,
             $C$2:C242,C242,
             $D$2:D242,D242,
             $G$2:G242,G242)&gt;1,
   "Doublon",
   "Correcte"
)</f>
        <v>Correcte</v>
      </c>
    </row>
    <row r="243" spans="1:18" x14ac:dyDescent="0.25">
      <c r="A243" s="104" t="s">
        <v>1493</v>
      </c>
      <c r="B243" s="35" t="s">
        <v>712</v>
      </c>
      <c r="C243" s="36">
        <v>5</v>
      </c>
      <c r="D243" s="36">
        <v>0</v>
      </c>
      <c r="E243" s="35"/>
      <c r="F243" s="35" t="s">
        <v>664</v>
      </c>
      <c r="G243" s="37">
        <v>45923</v>
      </c>
      <c r="H243" s="37" t="str">
        <f>INDEX(_xlfn.TEXTSPLIT(mvtst[[#This Row],[QR Suivis]],"_"),1,1)</f>
        <v>CA250010-4</v>
      </c>
      <c r="I243" s="35" t="str">
        <f>_xlfn.TEXTBEFORE(mvtst[[#This Row],[Num Suivis]],"-",,,1)</f>
        <v>CA250010</v>
      </c>
      <c r="J243" s="36">
        <f>SUMIF(mvtst[QR Suivis],mvtst[[#This Row],[QR Suivis]],mvtst[QTE SORTIS])-SUMIF(mvtst[QR Suivis],mvtst[[#This Row],[QR Suivis]],mvtst[QTE RETOUR])</f>
        <v>0</v>
      </c>
      <c r="K243" s="35" t="str">
        <f t="shared" si="3"/>
        <v>Usine</v>
      </c>
      <c r="L243" s="35" t="str">
        <f>_xlfn.XLOOKUP(mvtst[[#This Row],[Sous Traitant]],coordonnee_st[Identification],coordonnee_st[SERVICE],"Non Trouvé")</f>
        <v>Frange</v>
      </c>
      <c r="M243" s="35" t="str">
        <f>INDEX(_xlfn.TEXTSPLIT(mvtst[[#This Row],[QR Suivis]],"_"),1,2)</f>
        <v>All by Fouta</v>
      </c>
      <c r="N243" s="35" t="str">
        <f>INDEX(_xlfn.TEXTSPLIT(mvtst[[#This Row],[QR Suivis]],"_"),1,3)</f>
        <v>Stock</v>
      </c>
      <c r="O243" s="35" t="str">
        <f>INDEX(_xlfn.TEXTSPLIT(mvtst[[#This Row],[QR Suivis]],"_"),1,4)</f>
        <v>UNS1020-18</v>
      </c>
      <c r="P243" s="35" t="str">
        <f>INDEX(_xlfn.TEXTSPLIT(mvtst[[#This Row],[QR Suivis]],"_"),1,5)</f>
        <v>UNI SURPIQUE</v>
      </c>
      <c r="Q243" s="35" t="str">
        <f>_xlfn.TEXTAFTER(mvtst[[#This Row],[QR Suivis]],"_",5)</f>
        <v>1020</v>
      </c>
      <c r="R243" s="84" t="str">
        <f>IF(
   COUNTIFS($A$2:A243,A243,
             $B$2:B243,B243,
             $C$2:C243,C243,
             $D$2:D243,D243,
             $G$2:G243,G243)&gt;1,
   "Doublon",
   "Correcte"
)</f>
        <v>Correcte</v>
      </c>
    </row>
    <row r="244" spans="1:18" x14ac:dyDescent="0.25">
      <c r="A244" s="104" t="s">
        <v>1494</v>
      </c>
      <c r="B244" s="35" t="s">
        <v>712</v>
      </c>
      <c r="C244" s="36">
        <v>5</v>
      </c>
      <c r="D244" s="36">
        <v>0</v>
      </c>
      <c r="E244" s="35"/>
      <c r="F244" s="35" t="s">
        <v>664</v>
      </c>
      <c r="G244" s="37">
        <v>45923</v>
      </c>
      <c r="H244" s="37" t="str">
        <f>INDEX(_xlfn.TEXTSPLIT(mvtst[[#This Row],[QR Suivis]],"_"),1,1)</f>
        <v>CA250010-8</v>
      </c>
      <c r="I244" s="35" t="str">
        <f>_xlfn.TEXTBEFORE(mvtst[[#This Row],[Num Suivis]],"-",,,1)</f>
        <v>CA250010</v>
      </c>
      <c r="J244" s="36">
        <f>SUMIF(mvtst[QR Suivis],mvtst[[#This Row],[QR Suivis]],mvtst[QTE SORTIS])-SUMIF(mvtst[QR Suivis],mvtst[[#This Row],[QR Suivis]],mvtst[QTE RETOUR])</f>
        <v>0</v>
      </c>
      <c r="K244" s="35" t="str">
        <f t="shared" si="3"/>
        <v>Usine</v>
      </c>
      <c r="L244" s="35" t="str">
        <f>_xlfn.XLOOKUP(mvtst[[#This Row],[Sous Traitant]],coordonnee_st[Identification],coordonnee_st[SERVICE],"Non Trouvé")</f>
        <v>Frange</v>
      </c>
      <c r="M244" s="35" t="str">
        <f>INDEX(_xlfn.TEXTSPLIT(mvtst[[#This Row],[QR Suivis]],"_"),1,2)</f>
        <v>All by Fouta</v>
      </c>
      <c r="N244" s="35" t="str">
        <f>INDEX(_xlfn.TEXTSPLIT(mvtst[[#This Row],[QR Suivis]],"_"),1,3)</f>
        <v>Stock</v>
      </c>
      <c r="O244" s="35" t="str">
        <f>INDEX(_xlfn.TEXTSPLIT(mvtst[[#This Row],[QR Suivis]],"_"),1,4)</f>
        <v>UNS1020-18</v>
      </c>
      <c r="P244" s="35" t="str">
        <f>INDEX(_xlfn.TEXTSPLIT(mvtst[[#This Row],[QR Suivis]],"_"),1,5)</f>
        <v>UNI SURPIQUE</v>
      </c>
      <c r="Q244" s="35" t="str">
        <f>_xlfn.TEXTAFTER(mvtst[[#This Row],[QR Suivis]],"_",5)</f>
        <v>1020</v>
      </c>
      <c r="R244" s="84" t="str">
        <f>IF(
   COUNTIFS($A$2:A244,A244,
             $B$2:B244,B244,
             $C$2:C244,C244,
             $D$2:D244,D244,
             $G$2:G244,G244)&gt;1,
   "Doublon",
   "Correcte"
)</f>
        <v>Correcte</v>
      </c>
    </row>
    <row r="245" spans="1:18" x14ac:dyDescent="0.25">
      <c r="A245" s="104" t="s">
        <v>1495</v>
      </c>
      <c r="B245" s="35" t="s">
        <v>712</v>
      </c>
      <c r="C245" s="36">
        <v>5</v>
      </c>
      <c r="D245" s="36">
        <v>0</v>
      </c>
      <c r="E245" s="35"/>
      <c r="F245" s="35" t="s">
        <v>664</v>
      </c>
      <c r="G245" s="37">
        <v>45923</v>
      </c>
      <c r="H245" s="37" t="str">
        <f>INDEX(_xlfn.TEXTSPLIT(mvtst[[#This Row],[QR Suivis]],"_"),1,1)</f>
        <v>CA250010-7</v>
      </c>
      <c r="I245" s="35" t="str">
        <f>_xlfn.TEXTBEFORE(mvtst[[#This Row],[Num Suivis]],"-",,,1)</f>
        <v>CA250010</v>
      </c>
      <c r="J245" s="36">
        <f>SUMIF(mvtst[QR Suivis],mvtst[[#This Row],[QR Suivis]],mvtst[QTE SORTIS])-SUMIF(mvtst[QR Suivis],mvtst[[#This Row],[QR Suivis]],mvtst[QTE RETOUR])</f>
        <v>0</v>
      </c>
      <c r="K245" s="35" t="str">
        <f t="shared" si="3"/>
        <v>Usine</v>
      </c>
      <c r="L245" s="35" t="str">
        <f>_xlfn.XLOOKUP(mvtst[[#This Row],[Sous Traitant]],coordonnee_st[Identification],coordonnee_st[SERVICE],"Non Trouvé")</f>
        <v>Frange</v>
      </c>
      <c r="M245" s="35" t="str">
        <f>INDEX(_xlfn.TEXTSPLIT(mvtst[[#This Row],[QR Suivis]],"_"),1,2)</f>
        <v>All by Fouta</v>
      </c>
      <c r="N245" s="35" t="str">
        <f>INDEX(_xlfn.TEXTSPLIT(mvtst[[#This Row],[QR Suivis]],"_"),1,3)</f>
        <v>Stock</v>
      </c>
      <c r="O245" s="35" t="str">
        <f>INDEX(_xlfn.TEXTSPLIT(mvtst[[#This Row],[QR Suivis]],"_"),1,4)</f>
        <v>UNS1020-18</v>
      </c>
      <c r="P245" s="35" t="str">
        <f>INDEX(_xlfn.TEXTSPLIT(mvtst[[#This Row],[QR Suivis]],"_"),1,5)</f>
        <v>UNI SURPIQUE</v>
      </c>
      <c r="Q245" s="35" t="str">
        <f>_xlfn.TEXTAFTER(mvtst[[#This Row],[QR Suivis]],"_",5)</f>
        <v>1020</v>
      </c>
      <c r="R245" s="84" t="str">
        <f>IF(
   COUNTIFS($A$2:A245,A245,
             $B$2:B245,B245,
             $C$2:C245,C245,
             $D$2:D245,D245,
             $G$2:G245,G245)&gt;1,
   "Doublon",
   "Correcte"
)</f>
        <v>Correcte</v>
      </c>
    </row>
    <row r="246" spans="1:18" x14ac:dyDescent="0.25">
      <c r="A246" s="104" t="s">
        <v>1496</v>
      </c>
      <c r="B246" s="35" t="s">
        <v>712</v>
      </c>
      <c r="C246" s="36">
        <v>5</v>
      </c>
      <c r="D246" s="36">
        <v>0</v>
      </c>
      <c r="E246" s="35"/>
      <c r="F246" s="35" t="s">
        <v>664</v>
      </c>
      <c r="G246" s="37">
        <v>45923</v>
      </c>
      <c r="H246" s="37" t="str">
        <f>INDEX(_xlfn.TEXTSPLIT(mvtst[[#This Row],[QR Suivis]],"_"),1,1)</f>
        <v>CA250010-9</v>
      </c>
      <c r="I246" s="35" t="str">
        <f>_xlfn.TEXTBEFORE(mvtst[[#This Row],[Num Suivis]],"-",,,1)</f>
        <v>CA250010</v>
      </c>
      <c r="J246" s="36">
        <f>SUMIF(mvtst[QR Suivis],mvtst[[#This Row],[QR Suivis]],mvtst[QTE SORTIS])-SUMIF(mvtst[QR Suivis],mvtst[[#This Row],[QR Suivis]],mvtst[QTE RETOUR])</f>
        <v>0</v>
      </c>
      <c r="K246" s="35" t="str">
        <f t="shared" si="3"/>
        <v>Usine</v>
      </c>
      <c r="L246" s="35" t="str">
        <f>_xlfn.XLOOKUP(mvtst[[#This Row],[Sous Traitant]],coordonnee_st[Identification],coordonnee_st[SERVICE],"Non Trouvé")</f>
        <v>Frange</v>
      </c>
      <c r="M246" s="35" t="str">
        <f>INDEX(_xlfn.TEXTSPLIT(mvtst[[#This Row],[QR Suivis]],"_"),1,2)</f>
        <v>All by Fouta</v>
      </c>
      <c r="N246" s="35" t="str">
        <f>INDEX(_xlfn.TEXTSPLIT(mvtst[[#This Row],[QR Suivis]],"_"),1,3)</f>
        <v>Stock</v>
      </c>
      <c r="O246" s="35" t="str">
        <f>INDEX(_xlfn.TEXTSPLIT(mvtst[[#This Row],[QR Suivis]],"_"),1,4)</f>
        <v>UNS1020-18</v>
      </c>
      <c r="P246" s="35" t="str">
        <f>INDEX(_xlfn.TEXTSPLIT(mvtst[[#This Row],[QR Suivis]],"_"),1,5)</f>
        <v>UNI SURPIQUE</v>
      </c>
      <c r="Q246" s="35" t="str">
        <f>_xlfn.TEXTAFTER(mvtst[[#This Row],[QR Suivis]],"_",5)</f>
        <v>1020</v>
      </c>
      <c r="R246" s="84" t="str">
        <f>IF(
   COUNTIFS($A$2:A246,A246,
             $B$2:B246,B246,
             $C$2:C246,C246,
             $D$2:D246,D246,
             $G$2:G246,G246)&gt;1,
   "Doublon",
   "Correcte"
)</f>
        <v>Correcte</v>
      </c>
    </row>
    <row r="247" spans="1:18" x14ac:dyDescent="0.25">
      <c r="A247" s="104" t="s">
        <v>1497</v>
      </c>
      <c r="B247" s="35" t="s">
        <v>712</v>
      </c>
      <c r="C247" s="36">
        <v>5</v>
      </c>
      <c r="D247" s="36">
        <v>0</v>
      </c>
      <c r="E247" s="35"/>
      <c r="F247" s="35" t="s">
        <v>664</v>
      </c>
      <c r="G247" s="37">
        <v>45923</v>
      </c>
      <c r="H247" s="37" t="str">
        <f>INDEX(_xlfn.TEXTSPLIT(mvtst[[#This Row],[QR Suivis]],"_"),1,1)</f>
        <v>CA250010-12</v>
      </c>
      <c r="I247" s="35" t="str">
        <f>_xlfn.TEXTBEFORE(mvtst[[#This Row],[Num Suivis]],"-",,,1)</f>
        <v>CA250010</v>
      </c>
      <c r="J247" s="36">
        <f>SUMIF(mvtst[QR Suivis],mvtst[[#This Row],[QR Suivis]],mvtst[QTE SORTIS])-SUMIF(mvtst[QR Suivis],mvtst[[#This Row],[QR Suivis]],mvtst[QTE RETOUR])</f>
        <v>0</v>
      </c>
      <c r="K247" s="35" t="str">
        <f t="shared" si="3"/>
        <v>Usine</v>
      </c>
      <c r="L247" s="35" t="str">
        <f>_xlfn.XLOOKUP(mvtst[[#This Row],[Sous Traitant]],coordonnee_st[Identification],coordonnee_st[SERVICE],"Non Trouvé")</f>
        <v>Frange</v>
      </c>
      <c r="M247" s="35" t="str">
        <f>INDEX(_xlfn.TEXTSPLIT(mvtst[[#This Row],[QR Suivis]],"_"),1,2)</f>
        <v>All by Fouta</v>
      </c>
      <c r="N247" s="35" t="str">
        <f>INDEX(_xlfn.TEXTSPLIT(mvtst[[#This Row],[QR Suivis]],"_"),1,3)</f>
        <v>Stock</v>
      </c>
      <c r="O247" s="35" t="str">
        <f>INDEX(_xlfn.TEXTSPLIT(mvtst[[#This Row],[QR Suivis]],"_"),1,4)</f>
        <v>UNS1020-18</v>
      </c>
      <c r="P247" s="35" t="str">
        <f>INDEX(_xlfn.TEXTSPLIT(mvtst[[#This Row],[QR Suivis]],"_"),1,5)</f>
        <v>UNI SURPIQUE</v>
      </c>
      <c r="Q247" s="35" t="str">
        <f>_xlfn.TEXTAFTER(mvtst[[#This Row],[QR Suivis]],"_",5)</f>
        <v>1020</v>
      </c>
      <c r="R247" s="84" t="str">
        <f>IF(
   COUNTIFS($A$2:A247,A247,
             $B$2:B247,B247,
             $C$2:C247,C247,
             $D$2:D247,D247,
             $G$2:G247,G247)&gt;1,
   "Doublon",
   "Correcte"
)</f>
        <v>Correcte</v>
      </c>
    </row>
    <row r="248" spans="1:18" x14ac:dyDescent="0.25">
      <c r="A248" s="104" t="s">
        <v>1498</v>
      </c>
      <c r="B248" s="35" t="s">
        <v>712</v>
      </c>
      <c r="C248" s="36">
        <v>5</v>
      </c>
      <c r="D248" s="36">
        <v>0</v>
      </c>
      <c r="E248" s="35"/>
      <c r="F248" s="35" t="s">
        <v>664</v>
      </c>
      <c r="G248" s="37">
        <v>45923</v>
      </c>
      <c r="H248" s="37" t="str">
        <f>INDEX(_xlfn.TEXTSPLIT(mvtst[[#This Row],[QR Suivis]],"_"),1,1)</f>
        <v>CA250010-10</v>
      </c>
      <c r="I248" s="35" t="str">
        <f>_xlfn.TEXTBEFORE(mvtst[[#This Row],[Num Suivis]],"-",,,1)</f>
        <v>CA250010</v>
      </c>
      <c r="J248" s="36">
        <f>SUMIF(mvtst[QR Suivis],mvtst[[#This Row],[QR Suivis]],mvtst[QTE SORTIS])-SUMIF(mvtst[QR Suivis],mvtst[[#This Row],[QR Suivis]],mvtst[QTE RETOUR])</f>
        <v>0</v>
      </c>
      <c r="K248" s="35" t="str">
        <f t="shared" si="3"/>
        <v>Usine</v>
      </c>
      <c r="L248" s="35" t="str">
        <f>_xlfn.XLOOKUP(mvtst[[#This Row],[Sous Traitant]],coordonnee_st[Identification],coordonnee_st[SERVICE],"Non Trouvé")</f>
        <v>Frange</v>
      </c>
      <c r="M248" s="35" t="str">
        <f>INDEX(_xlfn.TEXTSPLIT(mvtst[[#This Row],[QR Suivis]],"_"),1,2)</f>
        <v>All by Fouta</v>
      </c>
      <c r="N248" s="35" t="str">
        <f>INDEX(_xlfn.TEXTSPLIT(mvtst[[#This Row],[QR Suivis]],"_"),1,3)</f>
        <v>Stock</v>
      </c>
      <c r="O248" s="35" t="str">
        <f>INDEX(_xlfn.TEXTSPLIT(mvtst[[#This Row],[QR Suivis]],"_"),1,4)</f>
        <v>UNS1020-18</v>
      </c>
      <c r="P248" s="35" t="str">
        <f>INDEX(_xlfn.TEXTSPLIT(mvtst[[#This Row],[QR Suivis]],"_"),1,5)</f>
        <v>UNI SURPIQUE</v>
      </c>
      <c r="Q248" s="35" t="str">
        <f>_xlfn.TEXTAFTER(mvtst[[#This Row],[QR Suivis]],"_",5)</f>
        <v>1020</v>
      </c>
      <c r="R248" s="84" t="str">
        <f>IF(
   COUNTIFS($A$2:A248,A248,
             $B$2:B248,B248,
             $C$2:C248,C248,
             $D$2:D248,D248,
             $G$2:G248,G248)&gt;1,
   "Doublon",
   "Correcte"
)</f>
        <v>Correcte</v>
      </c>
    </row>
    <row r="249" spans="1:18" x14ac:dyDescent="0.25">
      <c r="A249" s="104" t="s">
        <v>1499</v>
      </c>
      <c r="B249" s="35" t="s">
        <v>712</v>
      </c>
      <c r="C249" s="36">
        <v>5</v>
      </c>
      <c r="D249" s="36">
        <v>0</v>
      </c>
      <c r="E249" s="35"/>
      <c r="F249" s="35" t="s">
        <v>664</v>
      </c>
      <c r="G249" s="37">
        <v>45923</v>
      </c>
      <c r="H249" s="37" t="str">
        <f>INDEX(_xlfn.TEXTSPLIT(mvtst[[#This Row],[QR Suivis]],"_"),1,1)</f>
        <v>CA250010-11</v>
      </c>
      <c r="I249" s="35" t="str">
        <f>_xlfn.TEXTBEFORE(mvtst[[#This Row],[Num Suivis]],"-",,,1)</f>
        <v>CA250010</v>
      </c>
      <c r="J249" s="36">
        <f>SUMIF(mvtst[QR Suivis],mvtst[[#This Row],[QR Suivis]],mvtst[QTE SORTIS])-SUMIF(mvtst[QR Suivis],mvtst[[#This Row],[QR Suivis]],mvtst[QTE RETOUR])</f>
        <v>0</v>
      </c>
      <c r="K249" s="35" t="str">
        <f t="shared" si="3"/>
        <v>Usine</v>
      </c>
      <c r="L249" s="35" t="str">
        <f>_xlfn.XLOOKUP(mvtst[[#This Row],[Sous Traitant]],coordonnee_st[Identification],coordonnee_st[SERVICE],"Non Trouvé")</f>
        <v>Frange</v>
      </c>
      <c r="M249" s="35" t="str">
        <f>INDEX(_xlfn.TEXTSPLIT(mvtst[[#This Row],[QR Suivis]],"_"),1,2)</f>
        <v>All by Fouta</v>
      </c>
      <c r="N249" s="35" t="str">
        <f>INDEX(_xlfn.TEXTSPLIT(mvtst[[#This Row],[QR Suivis]],"_"),1,3)</f>
        <v>Stock</v>
      </c>
      <c r="O249" s="35" t="str">
        <f>INDEX(_xlfn.TEXTSPLIT(mvtst[[#This Row],[QR Suivis]],"_"),1,4)</f>
        <v>UNS1020-18</v>
      </c>
      <c r="P249" s="35" t="str">
        <f>INDEX(_xlfn.TEXTSPLIT(mvtst[[#This Row],[QR Suivis]],"_"),1,5)</f>
        <v>UNI SURPIQUE</v>
      </c>
      <c r="Q249" s="35" t="str">
        <f>_xlfn.TEXTAFTER(mvtst[[#This Row],[QR Suivis]],"_",5)</f>
        <v>1020</v>
      </c>
      <c r="R249" s="84" t="str">
        <f>IF(
   COUNTIFS($A$2:A249,A249,
             $B$2:B249,B249,
             $C$2:C249,C249,
             $D$2:D249,D249,
             $G$2:G249,G249)&gt;1,
   "Doublon",
   "Correcte"
)</f>
        <v>Correcte</v>
      </c>
    </row>
    <row r="250" spans="1:18" x14ac:dyDescent="0.25">
      <c r="A250" s="104" t="s">
        <v>1500</v>
      </c>
      <c r="B250" s="35" t="s">
        <v>712</v>
      </c>
      <c r="C250" s="36">
        <v>5</v>
      </c>
      <c r="D250" s="36">
        <v>0</v>
      </c>
      <c r="E250" s="35"/>
      <c r="F250" s="35" t="s">
        <v>664</v>
      </c>
      <c r="G250" s="37">
        <v>45923</v>
      </c>
      <c r="H250" s="37" t="str">
        <f>INDEX(_xlfn.TEXTSPLIT(mvtst[[#This Row],[QR Suivis]],"_"),1,1)</f>
        <v>CA250010-3</v>
      </c>
      <c r="I250" s="35" t="str">
        <f>_xlfn.TEXTBEFORE(mvtst[[#This Row],[Num Suivis]],"-",,,1)</f>
        <v>CA250010</v>
      </c>
      <c r="J250" s="36">
        <f>SUMIF(mvtst[QR Suivis],mvtst[[#This Row],[QR Suivis]],mvtst[QTE SORTIS])-SUMIF(mvtst[QR Suivis],mvtst[[#This Row],[QR Suivis]],mvtst[QTE RETOUR])</f>
        <v>0</v>
      </c>
      <c r="K250" s="35" t="str">
        <f t="shared" si="3"/>
        <v>Usine</v>
      </c>
      <c r="L250" s="35" t="str">
        <f>_xlfn.XLOOKUP(mvtst[[#This Row],[Sous Traitant]],coordonnee_st[Identification],coordonnee_st[SERVICE],"Non Trouvé")</f>
        <v>Frange</v>
      </c>
      <c r="M250" s="35" t="str">
        <f>INDEX(_xlfn.TEXTSPLIT(mvtst[[#This Row],[QR Suivis]],"_"),1,2)</f>
        <v>All by Fouta</v>
      </c>
      <c r="N250" s="35" t="str">
        <f>INDEX(_xlfn.TEXTSPLIT(mvtst[[#This Row],[QR Suivis]],"_"),1,3)</f>
        <v>Stock</v>
      </c>
      <c r="O250" s="35" t="str">
        <f>INDEX(_xlfn.TEXTSPLIT(mvtst[[#This Row],[QR Suivis]],"_"),1,4)</f>
        <v>UNS1020-18</v>
      </c>
      <c r="P250" s="35" t="str">
        <f>INDEX(_xlfn.TEXTSPLIT(mvtst[[#This Row],[QR Suivis]],"_"),1,5)</f>
        <v>UNI SURPIQUE</v>
      </c>
      <c r="Q250" s="35" t="str">
        <f>_xlfn.TEXTAFTER(mvtst[[#This Row],[QR Suivis]],"_",5)</f>
        <v>1020</v>
      </c>
      <c r="R250" s="84" t="str">
        <f>IF(
   COUNTIFS($A$2:A250,A250,
             $B$2:B250,B250,
             $C$2:C250,C250,
             $D$2:D250,D250,
             $G$2:G250,G250)&gt;1,
   "Doublon",
   "Correcte"
)</f>
        <v>Correcte</v>
      </c>
    </row>
    <row r="251" spans="1:18" x14ac:dyDescent="0.25">
      <c r="A251" s="104" t="s">
        <v>1501</v>
      </c>
      <c r="B251" s="35" t="s">
        <v>712</v>
      </c>
      <c r="C251" s="36">
        <v>5</v>
      </c>
      <c r="D251" s="36">
        <v>0</v>
      </c>
      <c r="E251" s="35"/>
      <c r="F251" s="35" t="s">
        <v>664</v>
      </c>
      <c r="G251" s="37">
        <v>45923</v>
      </c>
      <c r="H251" s="37" t="str">
        <f>INDEX(_xlfn.TEXTSPLIT(mvtst[[#This Row],[QR Suivis]],"_"),1,1)</f>
        <v>CA250010-5</v>
      </c>
      <c r="I251" s="35" t="str">
        <f>_xlfn.TEXTBEFORE(mvtst[[#This Row],[Num Suivis]],"-",,,1)</f>
        <v>CA250010</v>
      </c>
      <c r="J251" s="36">
        <f>SUMIF(mvtst[QR Suivis],mvtst[[#This Row],[QR Suivis]],mvtst[QTE SORTIS])-SUMIF(mvtst[QR Suivis],mvtst[[#This Row],[QR Suivis]],mvtst[QTE RETOUR])</f>
        <v>0</v>
      </c>
      <c r="K251" s="35" t="str">
        <f t="shared" si="3"/>
        <v>Usine</v>
      </c>
      <c r="L251" s="35" t="str">
        <f>_xlfn.XLOOKUP(mvtst[[#This Row],[Sous Traitant]],coordonnee_st[Identification],coordonnee_st[SERVICE],"Non Trouvé")</f>
        <v>Frange</v>
      </c>
      <c r="M251" s="35" t="str">
        <f>INDEX(_xlfn.TEXTSPLIT(mvtst[[#This Row],[QR Suivis]],"_"),1,2)</f>
        <v>All by Fouta</v>
      </c>
      <c r="N251" s="35" t="str">
        <f>INDEX(_xlfn.TEXTSPLIT(mvtst[[#This Row],[QR Suivis]],"_"),1,3)</f>
        <v>Stock</v>
      </c>
      <c r="O251" s="35" t="str">
        <f>INDEX(_xlfn.TEXTSPLIT(mvtst[[#This Row],[QR Suivis]],"_"),1,4)</f>
        <v>UNS1020-18</v>
      </c>
      <c r="P251" s="35" t="str">
        <f>INDEX(_xlfn.TEXTSPLIT(mvtst[[#This Row],[QR Suivis]],"_"),1,5)</f>
        <v>UNI SURPIQUE</v>
      </c>
      <c r="Q251" s="35" t="str">
        <f>_xlfn.TEXTAFTER(mvtst[[#This Row],[QR Suivis]],"_",5)</f>
        <v>1020</v>
      </c>
      <c r="R251" s="84" t="str">
        <f>IF(
   COUNTIFS($A$2:A251,A251,
             $B$2:B251,B251,
             $C$2:C251,C251,
             $D$2:D251,D251,
             $G$2:G251,G251)&gt;1,
   "Doublon",
   "Correcte"
)</f>
        <v>Correcte</v>
      </c>
    </row>
    <row r="252" spans="1:18" x14ac:dyDescent="0.25">
      <c r="A252" s="104" t="s">
        <v>1502</v>
      </c>
      <c r="B252" s="35" t="s">
        <v>712</v>
      </c>
      <c r="C252" s="36">
        <v>5</v>
      </c>
      <c r="D252" s="36">
        <v>0</v>
      </c>
      <c r="E252" s="35"/>
      <c r="F252" s="35" t="s">
        <v>664</v>
      </c>
      <c r="G252" s="37">
        <v>45923</v>
      </c>
      <c r="H252" s="37" t="str">
        <f>INDEX(_xlfn.TEXTSPLIT(mvtst[[#This Row],[QR Suivis]],"_"),1,1)</f>
        <v>CA250010-6</v>
      </c>
      <c r="I252" s="35" t="str">
        <f>_xlfn.TEXTBEFORE(mvtst[[#This Row],[Num Suivis]],"-",,,1)</f>
        <v>CA250010</v>
      </c>
      <c r="J252" s="36">
        <f>SUMIF(mvtst[QR Suivis],mvtst[[#This Row],[QR Suivis]],mvtst[QTE SORTIS])-SUMIF(mvtst[QR Suivis],mvtst[[#This Row],[QR Suivis]],mvtst[QTE RETOUR])</f>
        <v>0</v>
      </c>
      <c r="K252" s="35" t="str">
        <f t="shared" si="3"/>
        <v>Usine</v>
      </c>
      <c r="L252" s="35" t="str">
        <f>_xlfn.XLOOKUP(mvtst[[#This Row],[Sous Traitant]],coordonnee_st[Identification],coordonnee_st[SERVICE],"Non Trouvé")</f>
        <v>Frange</v>
      </c>
      <c r="M252" s="35" t="str">
        <f>INDEX(_xlfn.TEXTSPLIT(mvtst[[#This Row],[QR Suivis]],"_"),1,2)</f>
        <v>All by Fouta</v>
      </c>
      <c r="N252" s="35" t="str">
        <f>INDEX(_xlfn.TEXTSPLIT(mvtst[[#This Row],[QR Suivis]],"_"),1,3)</f>
        <v>Stock</v>
      </c>
      <c r="O252" s="35" t="str">
        <f>INDEX(_xlfn.TEXTSPLIT(mvtst[[#This Row],[QR Suivis]],"_"),1,4)</f>
        <v>UNS1020-18</v>
      </c>
      <c r="P252" s="35" t="str">
        <f>INDEX(_xlfn.TEXTSPLIT(mvtst[[#This Row],[QR Suivis]],"_"),1,5)</f>
        <v>UNI SURPIQUE</v>
      </c>
      <c r="Q252" s="35" t="str">
        <f>_xlfn.TEXTAFTER(mvtst[[#This Row],[QR Suivis]],"_",5)</f>
        <v>1020</v>
      </c>
      <c r="R252" s="84" t="str">
        <f>IF(
   COUNTIFS($A$2:A252,A252,
             $B$2:B252,B252,
             $C$2:C252,C252,
             $D$2:D252,D252,
             $G$2:G252,G252)&gt;1,
   "Doublon",
   "Correcte"
)</f>
        <v>Correcte</v>
      </c>
    </row>
    <row r="253" spans="1:18" x14ac:dyDescent="0.25">
      <c r="A253" s="104" t="s">
        <v>1503</v>
      </c>
      <c r="B253" s="35" t="s">
        <v>712</v>
      </c>
      <c r="C253" s="36">
        <v>5</v>
      </c>
      <c r="D253" s="36">
        <v>0</v>
      </c>
      <c r="E253" s="35"/>
      <c r="F253" s="35" t="s">
        <v>664</v>
      </c>
      <c r="G253" s="37">
        <v>45923</v>
      </c>
      <c r="H253" s="37" t="str">
        <f>INDEX(_xlfn.TEXTSPLIT(mvtst[[#This Row],[QR Suivis]],"_"),1,1)</f>
        <v>CA250012-1</v>
      </c>
      <c r="I253" s="35" t="str">
        <f>_xlfn.TEXTBEFORE(mvtst[[#This Row],[Num Suivis]],"-",,,1)</f>
        <v>CA250012</v>
      </c>
      <c r="J253" s="36">
        <f>SUMIF(mvtst[QR Suivis],mvtst[[#This Row],[QR Suivis]],mvtst[QTE SORTIS])-SUMIF(mvtst[QR Suivis],mvtst[[#This Row],[QR Suivis]],mvtst[QTE RETOUR])</f>
        <v>0</v>
      </c>
      <c r="K253" s="35" t="str">
        <f t="shared" si="3"/>
        <v>Usine</v>
      </c>
      <c r="L253" s="35" t="str">
        <f>_xlfn.XLOOKUP(mvtst[[#This Row],[Sous Traitant]],coordonnee_st[Identification],coordonnee_st[SERVICE],"Non Trouvé")</f>
        <v>Frange</v>
      </c>
      <c r="M253" s="35" t="str">
        <f>INDEX(_xlfn.TEXTSPLIT(mvtst[[#This Row],[QR Suivis]],"_"),1,2)</f>
        <v>All by Fouta</v>
      </c>
      <c r="N253" s="35" t="str">
        <f>INDEX(_xlfn.TEXTSPLIT(mvtst[[#This Row],[QR Suivis]],"_"),1,3)</f>
        <v>Stock</v>
      </c>
      <c r="O253" s="35" t="str">
        <f>INDEX(_xlfn.TEXTSPLIT(mvtst[[#This Row],[QR Suivis]],"_"),1,4)</f>
        <v>UNS1020-20</v>
      </c>
      <c r="P253" s="35" t="str">
        <f>INDEX(_xlfn.TEXTSPLIT(mvtst[[#This Row],[QR Suivis]],"_"),1,5)</f>
        <v>UNI SURPIQUE</v>
      </c>
      <c r="Q253" s="35" t="str">
        <f>_xlfn.TEXTAFTER(mvtst[[#This Row],[QR Suivis]],"_",5)</f>
        <v>1020</v>
      </c>
      <c r="R253" s="84" t="str">
        <f>IF(
   COUNTIFS($A$2:A253,A253,
             $B$2:B253,B253,
             $C$2:C253,C253,
             $D$2:D253,D253,
             $G$2:G253,G253)&gt;1,
   "Doublon",
   "Correcte"
)</f>
        <v>Correcte</v>
      </c>
    </row>
    <row r="254" spans="1:18" x14ac:dyDescent="0.25">
      <c r="A254" s="104" t="s">
        <v>1504</v>
      </c>
      <c r="B254" s="35" t="s">
        <v>712</v>
      </c>
      <c r="C254" s="36">
        <v>5</v>
      </c>
      <c r="D254" s="36">
        <v>0</v>
      </c>
      <c r="E254" s="35"/>
      <c r="F254" s="35" t="s">
        <v>664</v>
      </c>
      <c r="G254" s="37">
        <v>45923</v>
      </c>
      <c r="H254" s="37" t="str">
        <f>INDEX(_xlfn.TEXTSPLIT(mvtst[[#This Row],[QR Suivis]],"_"),1,1)</f>
        <v>CA250012-4</v>
      </c>
      <c r="I254" s="35" t="str">
        <f>_xlfn.TEXTBEFORE(mvtst[[#This Row],[Num Suivis]],"-",,,1)</f>
        <v>CA250012</v>
      </c>
      <c r="J254" s="36">
        <f>SUMIF(mvtst[QR Suivis],mvtst[[#This Row],[QR Suivis]],mvtst[QTE SORTIS])-SUMIF(mvtst[QR Suivis],mvtst[[#This Row],[QR Suivis]],mvtst[QTE RETOUR])</f>
        <v>0</v>
      </c>
      <c r="K254" s="35" t="str">
        <f t="shared" si="3"/>
        <v>Usine</v>
      </c>
      <c r="L254" s="35" t="str">
        <f>_xlfn.XLOOKUP(mvtst[[#This Row],[Sous Traitant]],coordonnee_st[Identification],coordonnee_st[SERVICE],"Non Trouvé")</f>
        <v>Frange</v>
      </c>
      <c r="M254" s="35" t="str">
        <f>INDEX(_xlfn.TEXTSPLIT(mvtst[[#This Row],[QR Suivis]],"_"),1,2)</f>
        <v>All by Fouta</v>
      </c>
      <c r="N254" s="35" t="str">
        <f>INDEX(_xlfn.TEXTSPLIT(mvtst[[#This Row],[QR Suivis]],"_"),1,3)</f>
        <v>Stock</v>
      </c>
      <c r="O254" s="35" t="str">
        <f>INDEX(_xlfn.TEXTSPLIT(mvtst[[#This Row],[QR Suivis]],"_"),1,4)</f>
        <v>UNS1020-20</v>
      </c>
      <c r="P254" s="35" t="str">
        <f>INDEX(_xlfn.TEXTSPLIT(mvtst[[#This Row],[QR Suivis]],"_"),1,5)</f>
        <v>UNI SURPIQUE</v>
      </c>
      <c r="Q254" s="35" t="str">
        <f>_xlfn.TEXTAFTER(mvtst[[#This Row],[QR Suivis]],"_",5)</f>
        <v>1020</v>
      </c>
      <c r="R254" s="84" t="str">
        <f>IF(
   COUNTIFS($A$2:A254,A254,
             $B$2:B254,B254,
             $C$2:C254,C254,
             $D$2:D254,D254,
             $G$2:G254,G254)&gt;1,
   "Doublon",
   "Correcte"
)</f>
        <v>Correcte</v>
      </c>
    </row>
    <row r="255" spans="1:18" x14ac:dyDescent="0.25">
      <c r="A255" s="104" t="s">
        <v>1505</v>
      </c>
      <c r="B255" s="35" t="s">
        <v>712</v>
      </c>
      <c r="C255" s="36">
        <v>5</v>
      </c>
      <c r="D255" s="36">
        <v>0</v>
      </c>
      <c r="E255" s="35"/>
      <c r="F255" s="35" t="s">
        <v>664</v>
      </c>
      <c r="G255" s="37">
        <v>45923</v>
      </c>
      <c r="H255" s="37" t="str">
        <f>INDEX(_xlfn.TEXTSPLIT(mvtst[[#This Row],[QR Suivis]],"_"),1,1)</f>
        <v>CA250012-3</v>
      </c>
      <c r="I255" s="35" t="str">
        <f>_xlfn.TEXTBEFORE(mvtst[[#This Row],[Num Suivis]],"-",,,1)</f>
        <v>CA250012</v>
      </c>
      <c r="J255" s="36">
        <f>SUMIF(mvtst[QR Suivis],mvtst[[#This Row],[QR Suivis]],mvtst[QTE SORTIS])-SUMIF(mvtst[QR Suivis],mvtst[[#This Row],[QR Suivis]],mvtst[QTE RETOUR])</f>
        <v>0</v>
      </c>
      <c r="K255" s="35" t="str">
        <f t="shared" si="3"/>
        <v>Usine</v>
      </c>
      <c r="L255" s="35" t="str">
        <f>_xlfn.XLOOKUP(mvtst[[#This Row],[Sous Traitant]],coordonnee_st[Identification],coordonnee_st[SERVICE],"Non Trouvé")</f>
        <v>Frange</v>
      </c>
      <c r="M255" s="35" t="str">
        <f>INDEX(_xlfn.TEXTSPLIT(mvtst[[#This Row],[QR Suivis]],"_"),1,2)</f>
        <v>All by Fouta</v>
      </c>
      <c r="N255" s="35" t="str">
        <f>INDEX(_xlfn.TEXTSPLIT(mvtst[[#This Row],[QR Suivis]],"_"),1,3)</f>
        <v>Stock</v>
      </c>
      <c r="O255" s="35" t="str">
        <f>INDEX(_xlfn.TEXTSPLIT(mvtst[[#This Row],[QR Suivis]],"_"),1,4)</f>
        <v>UNS1020-20</v>
      </c>
      <c r="P255" s="35" t="str">
        <f>INDEX(_xlfn.TEXTSPLIT(mvtst[[#This Row],[QR Suivis]],"_"),1,5)</f>
        <v>UNI SURPIQUE</v>
      </c>
      <c r="Q255" s="35" t="str">
        <f>_xlfn.TEXTAFTER(mvtst[[#This Row],[QR Suivis]],"_",5)</f>
        <v>1020</v>
      </c>
      <c r="R255" s="84" t="str">
        <f>IF(
   COUNTIFS($A$2:A255,A255,
             $B$2:B255,B255,
             $C$2:C255,C255,
             $D$2:D255,D255,
             $G$2:G255,G255)&gt;1,
   "Doublon",
   "Correcte"
)</f>
        <v>Correcte</v>
      </c>
    </row>
    <row r="256" spans="1:18" x14ac:dyDescent="0.25">
      <c r="A256" s="104" t="s">
        <v>1506</v>
      </c>
      <c r="B256" s="35" t="s">
        <v>712</v>
      </c>
      <c r="C256" s="36">
        <v>5</v>
      </c>
      <c r="D256" s="36">
        <v>0</v>
      </c>
      <c r="E256" s="35"/>
      <c r="F256" s="35" t="s">
        <v>664</v>
      </c>
      <c r="G256" s="37">
        <v>45923</v>
      </c>
      <c r="H256" s="37" t="str">
        <f>INDEX(_xlfn.TEXTSPLIT(mvtst[[#This Row],[QR Suivis]],"_"),1,1)</f>
        <v>CA250012-10</v>
      </c>
      <c r="I256" s="35" t="str">
        <f>_xlfn.TEXTBEFORE(mvtst[[#This Row],[Num Suivis]],"-",,,1)</f>
        <v>CA250012</v>
      </c>
      <c r="J256" s="36">
        <f>SUMIF(mvtst[QR Suivis],mvtst[[#This Row],[QR Suivis]],mvtst[QTE SORTIS])-SUMIF(mvtst[QR Suivis],mvtst[[#This Row],[QR Suivis]],mvtst[QTE RETOUR])</f>
        <v>0</v>
      </c>
      <c r="K256" s="35" t="str">
        <f t="shared" si="3"/>
        <v>Usine</v>
      </c>
      <c r="L256" s="35" t="str">
        <f>_xlfn.XLOOKUP(mvtst[[#This Row],[Sous Traitant]],coordonnee_st[Identification],coordonnee_st[SERVICE],"Non Trouvé")</f>
        <v>Frange</v>
      </c>
      <c r="M256" s="35" t="str">
        <f>INDEX(_xlfn.TEXTSPLIT(mvtst[[#This Row],[QR Suivis]],"_"),1,2)</f>
        <v>All by Fouta</v>
      </c>
      <c r="N256" s="35" t="str">
        <f>INDEX(_xlfn.TEXTSPLIT(mvtst[[#This Row],[QR Suivis]],"_"),1,3)</f>
        <v>Stock</v>
      </c>
      <c r="O256" s="35" t="str">
        <f>INDEX(_xlfn.TEXTSPLIT(mvtst[[#This Row],[QR Suivis]],"_"),1,4)</f>
        <v>UNS1020-20</v>
      </c>
      <c r="P256" s="35" t="str">
        <f>INDEX(_xlfn.TEXTSPLIT(mvtst[[#This Row],[QR Suivis]],"_"),1,5)</f>
        <v>UNI SURPIQUE</v>
      </c>
      <c r="Q256" s="35" t="str">
        <f>_xlfn.TEXTAFTER(mvtst[[#This Row],[QR Suivis]],"_",5)</f>
        <v>1020</v>
      </c>
      <c r="R256" s="84" t="str">
        <f>IF(
   COUNTIFS($A$2:A256,A256,
             $B$2:B256,B256,
             $C$2:C256,C256,
             $D$2:D256,D256,
             $G$2:G256,G256)&gt;1,
   "Doublon",
   "Correcte"
)</f>
        <v>Correcte</v>
      </c>
    </row>
    <row r="257" spans="1:18" x14ac:dyDescent="0.25">
      <c r="A257" s="104" t="s">
        <v>1507</v>
      </c>
      <c r="B257" s="35" t="s">
        <v>712</v>
      </c>
      <c r="C257" s="36">
        <v>5</v>
      </c>
      <c r="D257" s="36">
        <v>0</v>
      </c>
      <c r="E257" s="35"/>
      <c r="F257" s="35" t="s">
        <v>664</v>
      </c>
      <c r="G257" s="37">
        <v>45923</v>
      </c>
      <c r="H257" s="37" t="str">
        <f>INDEX(_xlfn.TEXTSPLIT(mvtst[[#This Row],[QR Suivis]],"_"),1,1)</f>
        <v>CA250012-11</v>
      </c>
      <c r="I257" s="35" t="str">
        <f>_xlfn.TEXTBEFORE(mvtst[[#This Row],[Num Suivis]],"-",,,1)</f>
        <v>CA250012</v>
      </c>
      <c r="J257" s="36">
        <f>SUMIF(mvtst[QR Suivis],mvtst[[#This Row],[QR Suivis]],mvtst[QTE SORTIS])-SUMIF(mvtst[QR Suivis],mvtst[[#This Row],[QR Suivis]],mvtst[QTE RETOUR])</f>
        <v>0</v>
      </c>
      <c r="K257" s="35" t="str">
        <f t="shared" si="3"/>
        <v>Usine</v>
      </c>
      <c r="L257" s="35" t="str">
        <f>_xlfn.XLOOKUP(mvtst[[#This Row],[Sous Traitant]],coordonnee_st[Identification],coordonnee_st[SERVICE],"Non Trouvé")</f>
        <v>Frange</v>
      </c>
      <c r="M257" s="35" t="str">
        <f>INDEX(_xlfn.TEXTSPLIT(mvtst[[#This Row],[QR Suivis]],"_"),1,2)</f>
        <v>All by Fouta</v>
      </c>
      <c r="N257" s="35" t="str">
        <f>INDEX(_xlfn.TEXTSPLIT(mvtst[[#This Row],[QR Suivis]],"_"),1,3)</f>
        <v>Stock</v>
      </c>
      <c r="O257" s="35" t="str">
        <f>INDEX(_xlfn.TEXTSPLIT(mvtst[[#This Row],[QR Suivis]],"_"),1,4)</f>
        <v>UNS1020-20</v>
      </c>
      <c r="P257" s="35" t="str">
        <f>INDEX(_xlfn.TEXTSPLIT(mvtst[[#This Row],[QR Suivis]],"_"),1,5)</f>
        <v>UNI SURPIQUE</v>
      </c>
      <c r="Q257" s="35" t="str">
        <f>_xlfn.TEXTAFTER(mvtst[[#This Row],[QR Suivis]],"_",5)</f>
        <v>1020</v>
      </c>
      <c r="R257" s="84" t="str">
        <f>IF(
   COUNTIFS($A$2:A257,A257,
             $B$2:B257,B257,
             $C$2:C257,C257,
             $D$2:D257,D257,
             $G$2:G257,G257)&gt;1,
   "Doublon",
   "Correcte"
)</f>
        <v>Correcte</v>
      </c>
    </row>
    <row r="258" spans="1:18" x14ac:dyDescent="0.25">
      <c r="A258" s="104" t="s">
        <v>1508</v>
      </c>
      <c r="B258" s="35" t="s">
        <v>712</v>
      </c>
      <c r="C258" s="36">
        <v>5</v>
      </c>
      <c r="D258" s="36">
        <v>0</v>
      </c>
      <c r="E258" s="35"/>
      <c r="F258" s="35" t="s">
        <v>664</v>
      </c>
      <c r="G258" s="37">
        <v>45923</v>
      </c>
      <c r="H258" s="37" t="str">
        <f>INDEX(_xlfn.TEXTSPLIT(mvtst[[#This Row],[QR Suivis]],"_"),1,1)</f>
        <v>CA250012-12</v>
      </c>
      <c r="I258" s="35" t="str">
        <f>_xlfn.TEXTBEFORE(mvtst[[#This Row],[Num Suivis]],"-",,,1)</f>
        <v>CA250012</v>
      </c>
      <c r="J258" s="36">
        <f>SUMIF(mvtst[QR Suivis],mvtst[[#This Row],[QR Suivis]],mvtst[QTE SORTIS])-SUMIF(mvtst[QR Suivis],mvtst[[#This Row],[QR Suivis]],mvtst[QTE RETOUR])</f>
        <v>0</v>
      </c>
      <c r="K258" s="35" t="str">
        <f t="shared" si="3"/>
        <v>Usine</v>
      </c>
      <c r="L258" s="35" t="str">
        <f>_xlfn.XLOOKUP(mvtst[[#This Row],[Sous Traitant]],coordonnee_st[Identification],coordonnee_st[SERVICE],"Non Trouvé")</f>
        <v>Frange</v>
      </c>
      <c r="M258" s="35" t="str">
        <f>INDEX(_xlfn.TEXTSPLIT(mvtst[[#This Row],[QR Suivis]],"_"),1,2)</f>
        <v>All by Fouta</v>
      </c>
      <c r="N258" s="35" t="str">
        <f>INDEX(_xlfn.TEXTSPLIT(mvtst[[#This Row],[QR Suivis]],"_"),1,3)</f>
        <v>Stock</v>
      </c>
      <c r="O258" s="35" t="str">
        <f>INDEX(_xlfn.TEXTSPLIT(mvtst[[#This Row],[QR Suivis]],"_"),1,4)</f>
        <v>UNS1020-20</v>
      </c>
      <c r="P258" s="35" t="str">
        <f>INDEX(_xlfn.TEXTSPLIT(mvtst[[#This Row],[QR Suivis]],"_"),1,5)</f>
        <v>UNI SURPIQUE</v>
      </c>
      <c r="Q258" s="35" t="str">
        <f>_xlfn.TEXTAFTER(mvtst[[#This Row],[QR Suivis]],"_",5)</f>
        <v>1020</v>
      </c>
      <c r="R258" s="84" t="str">
        <f>IF(
   COUNTIFS($A$2:A258,A258,
             $B$2:B258,B258,
             $C$2:C258,C258,
             $D$2:D258,D258,
             $G$2:G258,G258)&gt;1,
   "Doublon",
   "Correcte"
)</f>
        <v>Correcte</v>
      </c>
    </row>
    <row r="259" spans="1:18" x14ac:dyDescent="0.25">
      <c r="A259" s="104" t="s">
        <v>1509</v>
      </c>
      <c r="B259" s="35" t="s">
        <v>712</v>
      </c>
      <c r="C259" s="36">
        <v>5</v>
      </c>
      <c r="D259" s="36">
        <v>0</v>
      </c>
      <c r="E259" s="35"/>
      <c r="F259" s="35" t="s">
        <v>664</v>
      </c>
      <c r="G259" s="37">
        <v>45923</v>
      </c>
      <c r="H259" s="37" t="str">
        <f>INDEX(_xlfn.TEXTSPLIT(mvtst[[#This Row],[QR Suivis]],"_"),1,1)</f>
        <v>CA250012-2</v>
      </c>
      <c r="I259" s="35" t="str">
        <f>_xlfn.TEXTBEFORE(mvtst[[#This Row],[Num Suivis]],"-",,,1)</f>
        <v>CA250012</v>
      </c>
      <c r="J259" s="36">
        <f>SUMIF(mvtst[QR Suivis],mvtst[[#This Row],[QR Suivis]],mvtst[QTE SORTIS])-SUMIF(mvtst[QR Suivis],mvtst[[#This Row],[QR Suivis]],mvtst[QTE RETOUR])</f>
        <v>0</v>
      </c>
      <c r="K259" s="35" t="str">
        <f t="shared" ref="K259:K322" si="4">"Usine"</f>
        <v>Usine</v>
      </c>
      <c r="L259" s="35" t="str">
        <f>_xlfn.XLOOKUP(mvtst[[#This Row],[Sous Traitant]],coordonnee_st[Identification],coordonnee_st[SERVICE],"Non Trouvé")</f>
        <v>Frange</v>
      </c>
      <c r="M259" s="35" t="str">
        <f>INDEX(_xlfn.TEXTSPLIT(mvtst[[#This Row],[QR Suivis]],"_"),1,2)</f>
        <v>All by Fouta</v>
      </c>
      <c r="N259" s="35" t="str">
        <f>INDEX(_xlfn.TEXTSPLIT(mvtst[[#This Row],[QR Suivis]],"_"),1,3)</f>
        <v>Stock</v>
      </c>
      <c r="O259" s="35" t="str">
        <f>INDEX(_xlfn.TEXTSPLIT(mvtst[[#This Row],[QR Suivis]],"_"),1,4)</f>
        <v>UNS1020-20</v>
      </c>
      <c r="P259" s="35" t="str">
        <f>INDEX(_xlfn.TEXTSPLIT(mvtst[[#This Row],[QR Suivis]],"_"),1,5)</f>
        <v>UNI SURPIQUE</v>
      </c>
      <c r="Q259" s="35" t="str">
        <f>_xlfn.TEXTAFTER(mvtst[[#This Row],[QR Suivis]],"_",5)</f>
        <v>1020</v>
      </c>
      <c r="R259" s="84" t="str">
        <f>IF(
   COUNTIFS($A$2:A259,A259,
             $B$2:B259,B259,
             $C$2:C259,C259,
             $D$2:D259,D259,
             $G$2:G259,G259)&gt;1,
   "Doublon",
   "Correcte"
)</f>
        <v>Correcte</v>
      </c>
    </row>
    <row r="260" spans="1:18" x14ac:dyDescent="0.25">
      <c r="A260" s="104" t="s">
        <v>1510</v>
      </c>
      <c r="B260" s="35" t="s">
        <v>712</v>
      </c>
      <c r="C260" s="36">
        <v>5</v>
      </c>
      <c r="D260" s="36">
        <v>0</v>
      </c>
      <c r="E260" s="35"/>
      <c r="F260" s="35" t="s">
        <v>664</v>
      </c>
      <c r="G260" s="37">
        <v>45923</v>
      </c>
      <c r="H260" s="37" t="str">
        <f>INDEX(_xlfn.TEXTSPLIT(mvtst[[#This Row],[QR Suivis]],"_"),1,1)</f>
        <v>CA250012-9</v>
      </c>
      <c r="I260" s="35" t="str">
        <f>_xlfn.TEXTBEFORE(mvtst[[#This Row],[Num Suivis]],"-",,,1)</f>
        <v>CA250012</v>
      </c>
      <c r="J260" s="36">
        <f>SUMIF(mvtst[QR Suivis],mvtst[[#This Row],[QR Suivis]],mvtst[QTE SORTIS])-SUMIF(mvtst[QR Suivis],mvtst[[#This Row],[QR Suivis]],mvtst[QTE RETOUR])</f>
        <v>0</v>
      </c>
      <c r="K260" s="35" t="str">
        <f t="shared" si="4"/>
        <v>Usine</v>
      </c>
      <c r="L260" s="35" t="str">
        <f>_xlfn.XLOOKUP(mvtst[[#This Row],[Sous Traitant]],coordonnee_st[Identification],coordonnee_st[SERVICE],"Non Trouvé")</f>
        <v>Frange</v>
      </c>
      <c r="M260" s="35" t="str">
        <f>INDEX(_xlfn.TEXTSPLIT(mvtst[[#This Row],[QR Suivis]],"_"),1,2)</f>
        <v>All by Fouta</v>
      </c>
      <c r="N260" s="35" t="str">
        <f>INDEX(_xlfn.TEXTSPLIT(mvtst[[#This Row],[QR Suivis]],"_"),1,3)</f>
        <v>Stock</v>
      </c>
      <c r="O260" s="35" t="str">
        <f>INDEX(_xlfn.TEXTSPLIT(mvtst[[#This Row],[QR Suivis]],"_"),1,4)</f>
        <v>UNS1020-20</v>
      </c>
      <c r="P260" s="35" t="str">
        <f>INDEX(_xlfn.TEXTSPLIT(mvtst[[#This Row],[QR Suivis]],"_"),1,5)</f>
        <v>UNI SURPIQUE</v>
      </c>
      <c r="Q260" s="35" t="str">
        <f>_xlfn.TEXTAFTER(mvtst[[#This Row],[QR Suivis]],"_",5)</f>
        <v>1020</v>
      </c>
      <c r="R260" s="84" t="str">
        <f>IF(
   COUNTIFS($A$2:A260,A260,
             $B$2:B260,B260,
             $C$2:C260,C260,
             $D$2:D260,D260,
             $G$2:G260,G260)&gt;1,
   "Doublon",
   "Correcte"
)</f>
        <v>Correcte</v>
      </c>
    </row>
    <row r="261" spans="1:18" x14ac:dyDescent="0.25">
      <c r="A261" s="104" t="s">
        <v>1511</v>
      </c>
      <c r="B261" s="35" t="s">
        <v>712</v>
      </c>
      <c r="C261" s="36">
        <v>5</v>
      </c>
      <c r="D261" s="36">
        <v>0</v>
      </c>
      <c r="E261" s="35"/>
      <c r="F261" s="35" t="s">
        <v>664</v>
      </c>
      <c r="G261" s="37">
        <v>45923</v>
      </c>
      <c r="H261" s="37" t="str">
        <f>INDEX(_xlfn.TEXTSPLIT(mvtst[[#This Row],[QR Suivis]],"_"),1,1)</f>
        <v>CA250012-7</v>
      </c>
      <c r="I261" s="35" t="str">
        <f>_xlfn.TEXTBEFORE(mvtst[[#This Row],[Num Suivis]],"-",,,1)</f>
        <v>CA250012</v>
      </c>
      <c r="J261" s="36">
        <f>SUMIF(mvtst[QR Suivis],mvtst[[#This Row],[QR Suivis]],mvtst[QTE SORTIS])-SUMIF(mvtst[QR Suivis],mvtst[[#This Row],[QR Suivis]],mvtst[QTE RETOUR])</f>
        <v>0</v>
      </c>
      <c r="K261" s="35" t="str">
        <f t="shared" si="4"/>
        <v>Usine</v>
      </c>
      <c r="L261" s="35" t="str">
        <f>_xlfn.XLOOKUP(mvtst[[#This Row],[Sous Traitant]],coordonnee_st[Identification],coordonnee_st[SERVICE],"Non Trouvé")</f>
        <v>Frange</v>
      </c>
      <c r="M261" s="35" t="str">
        <f>INDEX(_xlfn.TEXTSPLIT(mvtst[[#This Row],[QR Suivis]],"_"),1,2)</f>
        <v>All by Fouta</v>
      </c>
      <c r="N261" s="35" t="str">
        <f>INDEX(_xlfn.TEXTSPLIT(mvtst[[#This Row],[QR Suivis]],"_"),1,3)</f>
        <v>Stock</v>
      </c>
      <c r="O261" s="35" t="str">
        <f>INDEX(_xlfn.TEXTSPLIT(mvtst[[#This Row],[QR Suivis]],"_"),1,4)</f>
        <v>UNS1020-20</v>
      </c>
      <c r="P261" s="35" t="str">
        <f>INDEX(_xlfn.TEXTSPLIT(mvtst[[#This Row],[QR Suivis]],"_"),1,5)</f>
        <v>UNI SURPIQUE</v>
      </c>
      <c r="Q261" s="35" t="str">
        <f>_xlfn.TEXTAFTER(mvtst[[#This Row],[QR Suivis]],"_",5)</f>
        <v>1020</v>
      </c>
      <c r="R261" s="84" t="str">
        <f>IF(
   COUNTIFS($A$2:A261,A261,
             $B$2:B261,B261,
             $C$2:C261,C261,
             $D$2:D261,D261,
             $G$2:G261,G261)&gt;1,
   "Doublon",
   "Correcte"
)</f>
        <v>Correcte</v>
      </c>
    </row>
    <row r="262" spans="1:18" x14ac:dyDescent="0.25">
      <c r="A262" s="104" t="s">
        <v>1512</v>
      </c>
      <c r="B262" s="35" t="s">
        <v>712</v>
      </c>
      <c r="C262" s="36">
        <v>2</v>
      </c>
      <c r="D262" s="36">
        <v>0</v>
      </c>
      <c r="E262" s="35"/>
      <c r="F262" s="35" t="s">
        <v>664</v>
      </c>
      <c r="G262" s="37">
        <v>45923</v>
      </c>
      <c r="H262" s="37" t="str">
        <f>INDEX(_xlfn.TEXTSPLIT(mvtst[[#This Row],[QR Suivis]],"_"),1,1)</f>
        <v>CA250012-13</v>
      </c>
      <c r="I262" s="35" t="str">
        <f>_xlfn.TEXTBEFORE(mvtst[[#This Row],[Num Suivis]],"-",,,1)</f>
        <v>CA250012</v>
      </c>
      <c r="J262" s="36">
        <f>SUMIF(mvtst[QR Suivis],mvtst[[#This Row],[QR Suivis]],mvtst[QTE SORTIS])-SUMIF(mvtst[QR Suivis],mvtst[[#This Row],[QR Suivis]],mvtst[QTE RETOUR])</f>
        <v>0</v>
      </c>
      <c r="K262" s="35" t="str">
        <f t="shared" si="4"/>
        <v>Usine</v>
      </c>
      <c r="L262" s="35" t="str">
        <f>_xlfn.XLOOKUP(mvtst[[#This Row],[Sous Traitant]],coordonnee_st[Identification],coordonnee_st[SERVICE],"Non Trouvé")</f>
        <v>Frange</v>
      </c>
      <c r="M262" s="35" t="str">
        <f>INDEX(_xlfn.TEXTSPLIT(mvtst[[#This Row],[QR Suivis]],"_"),1,2)</f>
        <v>All by Fouta</v>
      </c>
      <c r="N262" s="35" t="str">
        <f>INDEX(_xlfn.TEXTSPLIT(mvtst[[#This Row],[QR Suivis]],"_"),1,3)</f>
        <v>Stock</v>
      </c>
      <c r="O262" s="35" t="str">
        <f>INDEX(_xlfn.TEXTSPLIT(mvtst[[#This Row],[QR Suivis]],"_"),1,4)</f>
        <v>UNS1020-20</v>
      </c>
      <c r="P262" s="35" t="str">
        <f>INDEX(_xlfn.TEXTSPLIT(mvtst[[#This Row],[QR Suivis]],"_"),1,5)</f>
        <v>UNI SURPIQUE</v>
      </c>
      <c r="Q262" s="35" t="str">
        <f>_xlfn.TEXTAFTER(mvtst[[#This Row],[QR Suivis]],"_",5)</f>
        <v>1020</v>
      </c>
      <c r="R262" s="84" t="str">
        <f>IF(
   COUNTIFS($A$2:A262,A262,
             $B$2:B262,B262,
             $C$2:C262,C262,
             $D$2:D262,D262,
             $G$2:G262,G262)&gt;1,
   "Doublon",
   "Correcte"
)</f>
        <v>Correcte</v>
      </c>
    </row>
    <row r="263" spans="1:18" x14ac:dyDescent="0.25">
      <c r="A263" s="104" t="s">
        <v>1513</v>
      </c>
      <c r="B263" s="35" t="s">
        <v>712</v>
      </c>
      <c r="C263" s="36">
        <v>5</v>
      </c>
      <c r="D263" s="36">
        <v>0</v>
      </c>
      <c r="E263" s="35"/>
      <c r="F263" s="35" t="s">
        <v>664</v>
      </c>
      <c r="G263" s="37">
        <v>45923</v>
      </c>
      <c r="H263" s="37" t="str">
        <f>INDEX(_xlfn.TEXTSPLIT(mvtst[[#This Row],[QR Suivis]],"_"),1,1)</f>
        <v>CA250012-8</v>
      </c>
      <c r="I263" s="35" t="str">
        <f>_xlfn.TEXTBEFORE(mvtst[[#This Row],[Num Suivis]],"-",,,1)</f>
        <v>CA250012</v>
      </c>
      <c r="J263" s="36">
        <f>SUMIF(mvtst[QR Suivis],mvtst[[#This Row],[QR Suivis]],mvtst[QTE SORTIS])-SUMIF(mvtst[QR Suivis],mvtst[[#This Row],[QR Suivis]],mvtst[QTE RETOUR])</f>
        <v>0</v>
      </c>
      <c r="K263" s="35" t="str">
        <f t="shared" si="4"/>
        <v>Usine</v>
      </c>
      <c r="L263" s="35" t="str">
        <f>_xlfn.XLOOKUP(mvtst[[#This Row],[Sous Traitant]],coordonnee_st[Identification],coordonnee_st[SERVICE],"Non Trouvé")</f>
        <v>Frange</v>
      </c>
      <c r="M263" s="35" t="str">
        <f>INDEX(_xlfn.TEXTSPLIT(mvtst[[#This Row],[QR Suivis]],"_"),1,2)</f>
        <v>All by Fouta</v>
      </c>
      <c r="N263" s="35" t="str">
        <f>INDEX(_xlfn.TEXTSPLIT(mvtst[[#This Row],[QR Suivis]],"_"),1,3)</f>
        <v>Stock</v>
      </c>
      <c r="O263" s="35" t="str">
        <f>INDEX(_xlfn.TEXTSPLIT(mvtst[[#This Row],[QR Suivis]],"_"),1,4)</f>
        <v>UNS1020-20</v>
      </c>
      <c r="P263" s="35" t="str">
        <f>INDEX(_xlfn.TEXTSPLIT(mvtst[[#This Row],[QR Suivis]],"_"),1,5)</f>
        <v>UNI SURPIQUE</v>
      </c>
      <c r="Q263" s="35" t="str">
        <f>_xlfn.TEXTAFTER(mvtst[[#This Row],[QR Suivis]],"_",5)</f>
        <v>1020</v>
      </c>
      <c r="R263" s="84" t="str">
        <f>IF(
   COUNTIFS($A$2:A263,A263,
             $B$2:B263,B263,
             $C$2:C263,C263,
             $D$2:D263,D263,
             $G$2:G263,G263)&gt;1,
   "Doublon",
   "Correcte"
)</f>
        <v>Correcte</v>
      </c>
    </row>
    <row r="264" spans="1:18" x14ac:dyDescent="0.25">
      <c r="A264" s="104" t="s">
        <v>1514</v>
      </c>
      <c r="B264" s="35" t="s">
        <v>712</v>
      </c>
      <c r="C264" s="36">
        <v>5</v>
      </c>
      <c r="D264" s="36">
        <v>0</v>
      </c>
      <c r="E264" s="35"/>
      <c r="F264" s="35" t="s">
        <v>664</v>
      </c>
      <c r="G264" s="37">
        <v>45923</v>
      </c>
      <c r="H264" s="37" t="str">
        <f>INDEX(_xlfn.TEXTSPLIT(mvtst[[#This Row],[QR Suivis]],"_"),1,1)</f>
        <v>CA250012-6</v>
      </c>
      <c r="I264" s="35" t="str">
        <f>_xlfn.TEXTBEFORE(mvtst[[#This Row],[Num Suivis]],"-",,,1)</f>
        <v>CA250012</v>
      </c>
      <c r="J264" s="36">
        <f>SUMIF(mvtst[QR Suivis],mvtst[[#This Row],[QR Suivis]],mvtst[QTE SORTIS])-SUMIF(mvtst[QR Suivis],mvtst[[#This Row],[QR Suivis]],mvtst[QTE RETOUR])</f>
        <v>0</v>
      </c>
      <c r="K264" s="35" t="str">
        <f t="shared" si="4"/>
        <v>Usine</v>
      </c>
      <c r="L264" s="35" t="str">
        <f>_xlfn.XLOOKUP(mvtst[[#This Row],[Sous Traitant]],coordonnee_st[Identification],coordonnee_st[SERVICE],"Non Trouvé")</f>
        <v>Frange</v>
      </c>
      <c r="M264" s="35" t="str">
        <f>INDEX(_xlfn.TEXTSPLIT(mvtst[[#This Row],[QR Suivis]],"_"),1,2)</f>
        <v>All by Fouta</v>
      </c>
      <c r="N264" s="35" t="str">
        <f>INDEX(_xlfn.TEXTSPLIT(mvtst[[#This Row],[QR Suivis]],"_"),1,3)</f>
        <v>Stock</v>
      </c>
      <c r="O264" s="35" t="str">
        <f>INDEX(_xlfn.TEXTSPLIT(mvtst[[#This Row],[QR Suivis]],"_"),1,4)</f>
        <v>UNS1020-20</v>
      </c>
      <c r="P264" s="35" t="str">
        <f>INDEX(_xlfn.TEXTSPLIT(mvtst[[#This Row],[QR Suivis]],"_"),1,5)</f>
        <v>UNI SURPIQUE</v>
      </c>
      <c r="Q264" s="35" t="str">
        <f>_xlfn.TEXTAFTER(mvtst[[#This Row],[QR Suivis]],"_",5)</f>
        <v>1020</v>
      </c>
      <c r="R264" s="84" t="str">
        <f>IF(
   COUNTIFS($A$2:A264,A264,
             $B$2:B264,B264,
             $C$2:C264,C264,
             $D$2:D264,D264,
             $G$2:G264,G264)&gt;1,
   "Doublon",
   "Correcte"
)</f>
        <v>Correcte</v>
      </c>
    </row>
    <row r="265" spans="1:18" x14ac:dyDescent="0.25">
      <c r="A265" s="104" t="s">
        <v>1515</v>
      </c>
      <c r="B265" s="35" t="s">
        <v>712</v>
      </c>
      <c r="C265" s="36">
        <v>5</v>
      </c>
      <c r="D265" s="36">
        <v>0</v>
      </c>
      <c r="E265" s="35"/>
      <c r="F265" s="35" t="s">
        <v>664</v>
      </c>
      <c r="G265" s="37">
        <v>45923</v>
      </c>
      <c r="H265" s="37" t="str">
        <f>INDEX(_xlfn.TEXTSPLIT(mvtst[[#This Row],[QR Suivis]],"_"),1,1)</f>
        <v>CA250012-5</v>
      </c>
      <c r="I265" s="35" t="str">
        <f>_xlfn.TEXTBEFORE(mvtst[[#This Row],[Num Suivis]],"-",,,1)</f>
        <v>CA250012</v>
      </c>
      <c r="J265" s="36">
        <f>SUMIF(mvtst[QR Suivis],mvtst[[#This Row],[QR Suivis]],mvtst[QTE SORTIS])-SUMIF(mvtst[QR Suivis],mvtst[[#This Row],[QR Suivis]],mvtst[QTE RETOUR])</f>
        <v>0</v>
      </c>
      <c r="K265" s="35" t="str">
        <f t="shared" si="4"/>
        <v>Usine</v>
      </c>
      <c r="L265" s="35" t="str">
        <f>_xlfn.XLOOKUP(mvtst[[#This Row],[Sous Traitant]],coordonnee_st[Identification],coordonnee_st[SERVICE],"Non Trouvé")</f>
        <v>Frange</v>
      </c>
      <c r="M265" s="35" t="str">
        <f>INDEX(_xlfn.TEXTSPLIT(mvtst[[#This Row],[QR Suivis]],"_"),1,2)</f>
        <v>All by Fouta</v>
      </c>
      <c r="N265" s="35" t="str">
        <f>INDEX(_xlfn.TEXTSPLIT(mvtst[[#This Row],[QR Suivis]],"_"),1,3)</f>
        <v>Stock</v>
      </c>
      <c r="O265" s="35" t="str">
        <f>INDEX(_xlfn.TEXTSPLIT(mvtst[[#This Row],[QR Suivis]],"_"),1,4)</f>
        <v>UNS1020-20</v>
      </c>
      <c r="P265" s="35" t="str">
        <f>INDEX(_xlfn.TEXTSPLIT(mvtst[[#This Row],[QR Suivis]],"_"),1,5)</f>
        <v>UNI SURPIQUE</v>
      </c>
      <c r="Q265" s="35" t="str">
        <f>_xlfn.TEXTAFTER(mvtst[[#This Row],[QR Suivis]],"_",5)</f>
        <v>1020</v>
      </c>
      <c r="R265" s="84" t="str">
        <f>IF(
   COUNTIFS($A$2:A265,A265,
             $B$2:B265,B265,
             $C$2:C265,C265,
             $D$2:D265,D265,
             $G$2:G265,G265)&gt;1,
   "Doublon",
   "Correcte"
)</f>
        <v>Correcte</v>
      </c>
    </row>
    <row r="266" spans="1:18" x14ac:dyDescent="0.25">
      <c r="A266" s="104" t="s">
        <v>1516</v>
      </c>
      <c r="B266" s="35" t="s">
        <v>712</v>
      </c>
      <c r="C266" s="36">
        <v>5</v>
      </c>
      <c r="D266" s="36">
        <v>0</v>
      </c>
      <c r="E266" s="35"/>
      <c r="F266" s="35" t="s">
        <v>664</v>
      </c>
      <c r="G266" s="37">
        <v>45923</v>
      </c>
      <c r="H266" s="37" t="str">
        <f>INDEX(_xlfn.TEXTSPLIT(mvtst[[#This Row],[QR Suivis]],"_"),1,1)</f>
        <v>CA250015-7</v>
      </c>
      <c r="I266" s="35" t="str">
        <f>_xlfn.TEXTBEFORE(mvtst[[#This Row],[Num Suivis]],"-",,,1)</f>
        <v>CA250015</v>
      </c>
      <c r="J266" s="36">
        <f>SUMIF(mvtst[QR Suivis],mvtst[[#This Row],[QR Suivis]],mvtst[QTE SORTIS])-SUMIF(mvtst[QR Suivis],mvtst[[#This Row],[QR Suivis]],mvtst[QTE RETOUR])</f>
        <v>0</v>
      </c>
      <c r="K266" s="35" t="str">
        <f t="shared" si="4"/>
        <v>Usine</v>
      </c>
      <c r="L266" s="35" t="str">
        <f>_xlfn.XLOOKUP(mvtst[[#This Row],[Sous Traitant]],coordonnee_st[Identification],coordonnee_st[SERVICE],"Non Trouvé")</f>
        <v>Frange</v>
      </c>
      <c r="M266" s="35" t="str">
        <f>INDEX(_xlfn.TEXTSPLIT(mvtst[[#This Row],[QR Suivis]],"_"),1,2)</f>
        <v>All by Fouta</v>
      </c>
      <c r="N266" s="35" t="str">
        <f>INDEX(_xlfn.TEXTSPLIT(mvtst[[#This Row],[QR Suivis]],"_"),1,3)</f>
        <v>Stock</v>
      </c>
      <c r="O266" s="35" t="str">
        <f>INDEX(_xlfn.TEXTSPLIT(mvtst[[#This Row],[QR Suivis]],"_"),1,4)</f>
        <v>UNS1020-26</v>
      </c>
      <c r="P266" s="35" t="str">
        <f>INDEX(_xlfn.TEXTSPLIT(mvtst[[#This Row],[QR Suivis]],"_"),1,5)</f>
        <v>UNI SURPIQUE</v>
      </c>
      <c r="Q266" s="35" t="str">
        <f>_xlfn.TEXTAFTER(mvtst[[#This Row],[QR Suivis]],"_",5)</f>
        <v>1020</v>
      </c>
      <c r="R266" s="84" t="str">
        <f>IF(
   COUNTIFS($A$2:A266,A266,
             $B$2:B266,B266,
             $C$2:C266,C266,
             $D$2:D266,D266,
             $G$2:G266,G266)&gt;1,
   "Doublon",
   "Correcte"
)</f>
        <v>Correcte</v>
      </c>
    </row>
    <row r="267" spans="1:18" x14ac:dyDescent="0.25">
      <c r="A267" s="104" t="s">
        <v>1517</v>
      </c>
      <c r="B267" s="35" t="s">
        <v>712</v>
      </c>
      <c r="C267" s="36">
        <v>5</v>
      </c>
      <c r="D267" s="36">
        <v>0</v>
      </c>
      <c r="E267" s="35"/>
      <c r="F267" s="35" t="s">
        <v>664</v>
      </c>
      <c r="G267" s="37">
        <v>45923</v>
      </c>
      <c r="H267" s="37" t="str">
        <f>INDEX(_xlfn.TEXTSPLIT(mvtst[[#This Row],[QR Suivis]],"_"),1,1)</f>
        <v>CA250015-9</v>
      </c>
      <c r="I267" s="35" t="str">
        <f>_xlfn.TEXTBEFORE(mvtst[[#This Row],[Num Suivis]],"-",,,1)</f>
        <v>CA250015</v>
      </c>
      <c r="J267" s="36">
        <f>SUMIF(mvtst[QR Suivis],mvtst[[#This Row],[QR Suivis]],mvtst[QTE SORTIS])-SUMIF(mvtst[QR Suivis],mvtst[[#This Row],[QR Suivis]],mvtst[QTE RETOUR])</f>
        <v>0</v>
      </c>
      <c r="K267" s="35" t="str">
        <f t="shared" si="4"/>
        <v>Usine</v>
      </c>
      <c r="L267" s="35" t="str">
        <f>_xlfn.XLOOKUP(mvtst[[#This Row],[Sous Traitant]],coordonnee_st[Identification],coordonnee_st[SERVICE],"Non Trouvé")</f>
        <v>Frange</v>
      </c>
      <c r="M267" s="35" t="str">
        <f>INDEX(_xlfn.TEXTSPLIT(mvtst[[#This Row],[QR Suivis]],"_"),1,2)</f>
        <v>All by Fouta</v>
      </c>
      <c r="N267" s="35" t="str">
        <f>INDEX(_xlfn.TEXTSPLIT(mvtst[[#This Row],[QR Suivis]],"_"),1,3)</f>
        <v>Stock</v>
      </c>
      <c r="O267" s="35" t="str">
        <f>INDEX(_xlfn.TEXTSPLIT(mvtst[[#This Row],[QR Suivis]],"_"),1,4)</f>
        <v>UNS1020-26</v>
      </c>
      <c r="P267" s="35" t="str">
        <f>INDEX(_xlfn.TEXTSPLIT(mvtst[[#This Row],[QR Suivis]],"_"),1,5)</f>
        <v>UNI SURPIQUE</v>
      </c>
      <c r="Q267" s="35" t="str">
        <f>_xlfn.TEXTAFTER(mvtst[[#This Row],[QR Suivis]],"_",5)</f>
        <v>1020</v>
      </c>
      <c r="R267" s="84" t="str">
        <f>IF(
   COUNTIFS($A$2:A267,A267,
             $B$2:B267,B267,
             $C$2:C267,C267,
             $D$2:D267,D267,
             $G$2:G267,G267)&gt;1,
   "Doublon",
   "Correcte"
)</f>
        <v>Correcte</v>
      </c>
    </row>
    <row r="268" spans="1:18" x14ac:dyDescent="0.25">
      <c r="A268" s="104" t="s">
        <v>1518</v>
      </c>
      <c r="B268" s="35" t="s">
        <v>712</v>
      </c>
      <c r="C268" s="36">
        <v>5</v>
      </c>
      <c r="D268" s="36">
        <v>0</v>
      </c>
      <c r="E268" s="35"/>
      <c r="F268" s="35" t="s">
        <v>664</v>
      </c>
      <c r="G268" s="37">
        <v>45923</v>
      </c>
      <c r="H268" s="37" t="str">
        <f>INDEX(_xlfn.TEXTSPLIT(mvtst[[#This Row],[QR Suivis]],"_"),1,1)</f>
        <v>CA250015-2</v>
      </c>
      <c r="I268" s="35" t="str">
        <f>_xlfn.TEXTBEFORE(mvtst[[#This Row],[Num Suivis]],"-",,,1)</f>
        <v>CA250015</v>
      </c>
      <c r="J268" s="36">
        <f>SUMIF(mvtst[QR Suivis],mvtst[[#This Row],[QR Suivis]],mvtst[QTE SORTIS])-SUMIF(mvtst[QR Suivis],mvtst[[#This Row],[QR Suivis]],mvtst[QTE RETOUR])</f>
        <v>0</v>
      </c>
      <c r="K268" s="35" t="str">
        <f t="shared" si="4"/>
        <v>Usine</v>
      </c>
      <c r="L268" s="35" t="str">
        <f>_xlfn.XLOOKUP(mvtst[[#This Row],[Sous Traitant]],coordonnee_st[Identification],coordonnee_st[SERVICE],"Non Trouvé")</f>
        <v>Frange</v>
      </c>
      <c r="M268" s="35" t="str">
        <f>INDEX(_xlfn.TEXTSPLIT(mvtst[[#This Row],[QR Suivis]],"_"),1,2)</f>
        <v>All by Fouta</v>
      </c>
      <c r="N268" s="35" t="str">
        <f>INDEX(_xlfn.TEXTSPLIT(mvtst[[#This Row],[QR Suivis]],"_"),1,3)</f>
        <v>Stock</v>
      </c>
      <c r="O268" s="35" t="str">
        <f>INDEX(_xlfn.TEXTSPLIT(mvtst[[#This Row],[QR Suivis]],"_"),1,4)</f>
        <v>UNS1020-26</v>
      </c>
      <c r="P268" s="35" t="str">
        <f>INDEX(_xlfn.TEXTSPLIT(mvtst[[#This Row],[QR Suivis]],"_"),1,5)</f>
        <v>UNI SURPIQUE</v>
      </c>
      <c r="Q268" s="35" t="str">
        <f>_xlfn.TEXTAFTER(mvtst[[#This Row],[QR Suivis]],"_",5)</f>
        <v>1020</v>
      </c>
      <c r="R268" s="84" t="str">
        <f>IF(
   COUNTIFS($A$2:A268,A268,
             $B$2:B268,B268,
             $C$2:C268,C268,
             $D$2:D268,D268,
             $G$2:G268,G268)&gt;1,
   "Doublon",
   "Correcte"
)</f>
        <v>Correcte</v>
      </c>
    </row>
    <row r="269" spans="1:18" x14ac:dyDescent="0.25">
      <c r="A269" s="104" t="s">
        <v>1519</v>
      </c>
      <c r="B269" s="35" t="s">
        <v>712</v>
      </c>
      <c r="C269" s="36">
        <v>5</v>
      </c>
      <c r="D269" s="36">
        <v>0</v>
      </c>
      <c r="E269" s="35"/>
      <c r="F269" s="35" t="s">
        <v>664</v>
      </c>
      <c r="G269" s="37">
        <v>45923</v>
      </c>
      <c r="H269" s="37" t="str">
        <f>INDEX(_xlfn.TEXTSPLIT(mvtst[[#This Row],[QR Suivis]],"_"),1,1)</f>
        <v>CA250015-12</v>
      </c>
      <c r="I269" s="35" t="str">
        <f>_xlfn.TEXTBEFORE(mvtst[[#This Row],[Num Suivis]],"-",,,1)</f>
        <v>CA250015</v>
      </c>
      <c r="J269" s="36">
        <f>SUMIF(mvtst[QR Suivis],mvtst[[#This Row],[QR Suivis]],mvtst[QTE SORTIS])-SUMIF(mvtst[QR Suivis],mvtst[[#This Row],[QR Suivis]],mvtst[QTE RETOUR])</f>
        <v>0</v>
      </c>
      <c r="K269" s="35" t="str">
        <f t="shared" si="4"/>
        <v>Usine</v>
      </c>
      <c r="L269" s="35" t="str">
        <f>_xlfn.XLOOKUP(mvtst[[#This Row],[Sous Traitant]],coordonnee_st[Identification],coordonnee_st[SERVICE],"Non Trouvé")</f>
        <v>Frange</v>
      </c>
      <c r="M269" s="35" t="str">
        <f>INDEX(_xlfn.TEXTSPLIT(mvtst[[#This Row],[QR Suivis]],"_"),1,2)</f>
        <v>All by Fouta</v>
      </c>
      <c r="N269" s="35" t="str">
        <f>INDEX(_xlfn.TEXTSPLIT(mvtst[[#This Row],[QR Suivis]],"_"),1,3)</f>
        <v>Stock</v>
      </c>
      <c r="O269" s="35" t="str">
        <f>INDEX(_xlfn.TEXTSPLIT(mvtst[[#This Row],[QR Suivis]],"_"),1,4)</f>
        <v>UNS1020-26</v>
      </c>
      <c r="P269" s="35" t="str">
        <f>INDEX(_xlfn.TEXTSPLIT(mvtst[[#This Row],[QR Suivis]],"_"),1,5)</f>
        <v>UNI SURPIQUE</v>
      </c>
      <c r="Q269" s="35" t="str">
        <f>_xlfn.TEXTAFTER(mvtst[[#This Row],[QR Suivis]],"_",5)</f>
        <v>1020</v>
      </c>
      <c r="R269" s="84" t="str">
        <f>IF(
   COUNTIFS($A$2:A269,A269,
             $B$2:B269,B269,
             $C$2:C269,C269,
             $D$2:D269,D269,
             $G$2:G269,G269)&gt;1,
   "Doublon",
   "Correcte"
)</f>
        <v>Correcte</v>
      </c>
    </row>
    <row r="270" spans="1:18" x14ac:dyDescent="0.25">
      <c r="A270" s="104" t="s">
        <v>1520</v>
      </c>
      <c r="B270" s="35" t="s">
        <v>712</v>
      </c>
      <c r="C270" s="36">
        <v>5</v>
      </c>
      <c r="D270" s="36">
        <v>0</v>
      </c>
      <c r="E270" s="35"/>
      <c r="F270" s="35" t="s">
        <v>664</v>
      </c>
      <c r="G270" s="37">
        <v>45923</v>
      </c>
      <c r="H270" s="37" t="str">
        <f>INDEX(_xlfn.TEXTSPLIT(mvtst[[#This Row],[QR Suivis]],"_"),1,1)</f>
        <v>CA250015-3</v>
      </c>
      <c r="I270" s="35" t="str">
        <f>_xlfn.TEXTBEFORE(mvtst[[#This Row],[Num Suivis]],"-",,,1)</f>
        <v>CA250015</v>
      </c>
      <c r="J270" s="36">
        <f>SUMIF(mvtst[QR Suivis],mvtst[[#This Row],[QR Suivis]],mvtst[QTE SORTIS])-SUMIF(mvtst[QR Suivis],mvtst[[#This Row],[QR Suivis]],mvtst[QTE RETOUR])</f>
        <v>0</v>
      </c>
      <c r="K270" s="35" t="str">
        <f t="shared" si="4"/>
        <v>Usine</v>
      </c>
      <c r="L270" s="35" t="str">
        <f>_xlfn.XLOOKUP(mvtst[[#This Row],[Sous Traitant]],coordonnee_st[Identification],coordonnee_st[SERVICE],"Non Trouvé")</f>
        <v>Frange</v>
      </c>
      <c r="M270" s="35" t="str">
        <f>INDEX(_xlfn.TEXTSPLIT(mvtst[[#This Row],[QR Suivis]],"_"),1,2)</f>
        <v>All by Fouta</v>
      </c>
      <c r="N270" s="35" t="str">
        <f>INDEX(_xlfn.TEXTSPLIT(mvtst[[#This Row],[QR Suivis]],"_"),1,3)</f>
        <v>Stock</v>
      </c>
      <c r="O270" s="35" t="str">
        <f>INDEX(_xlfn.TEXTSPLIT(mvtst[[#This Row],[QR Suivis]],"_"),1,4)</f>
        <v>UNS1020-26</v>
      </c>
      <c r="P270" s="35" t="str">
        <f>INDEX(_xlfn.TEXTSPLIT(mvtst[[#This Row],[QR Suivis]],"_"),1,5)</f>
        <v>UNI SURPIQUE</v>
      </c>
      <c r="Q270" s="35" t="str">
        <f>_xlfn.TEXTAFTER(mvtst[[#This Row],[QR Suivis]],"_",5)</f>
        <v>1020</v>
      </c>
      <c r="R270" s="84" t="str">
        <f>IF(
   COUNTIFS($A$2:A270,A270,
             $B$2:B270,B270,
             $C$2:C270,C270,
             $D$2:D270,D270,
             $G$2:G270,G270)&gt;1,
   "Doublon",
   "Correcte"
)</f>
        <v>Correcte</v>
      </c>
    </row>
    <row r="271" spans="1:18" x14ac:dyDescent="0.25">
      <c r="A271" s="104" t="s">
        <v>1521</v>
      </c>
      <c r="B271" s="35" t="s">
        <v>712</v>
      </c>
      <c r="C271" s="36">
        <v>5</v>
      </c>
      <c r="D271" s="36">
        <v>0</v>
      </c>
      <c r="E271" s="35"/>
      <c r="F271" s="35" t="s">
        <v>664</v>
      </c>
      <c r="G271" s="37">
        <v>45923</v>
      </c>
      <c r="H271" s="37" t="str">
        <f>INDEX(_xlfn.TEXTSPLIT(mvtst[[#This Row],[QR Suivis]],"_"),1,1)</f>
        <v>CA250015-6</v>
      </c>
      <c r="I271" s="35" t="str">
        <f>_xlfn.TEXTBEFORE(mvtst[[#This Row],[Num Suivis]],"-",,,1)</f>
        <v>CA250015</v>
      </c>
      <c r="J271" s="36">
        <f>SUMIF(mvtst[QR Suivis],mvtst[[#This Row],[QR Suivis]],mvtst[QTE SORTIS])-SUMIF(mvtst[QR Suivis],mvtst[[#This Row],[QR Suivis]],mvtst[QTE RETOUR])</f>
        <v>0</v>
      </c>
      <c r="K271" s="35" t="str">
        <f t="shared" si="4"/>
        <v>Usine</v>
      </c>
      <c r="L271" s="35" t="str">
        <f>_xlfn.XLOOKUP(mvtst[[#This Row],[Sous Traitant]],coordonnee_st[Identification],coordonnee_st[SERVICE],"Non Trouvé")</f>
        <v>Frange</v>
      </c>
      <c r="M271" s="35" t="str">
        <f>INDEX(_xlfn.TEXTSPLIT(mvtst[[#This Row],[QR Suivis]],"_"),1,2)</f>
        <v>All by Fouta</v>
      </c>
      <c r="N271" s="35" t="str">
        <f>INDEX(_xlfn.TEXTSPLIT(mvtst[[#This Row],[QR Suivis]],"_"),1,3)</f>
        <v>Stock</v>
      </c>
      <c r="O271" s="35" t="str">
        <f>INDEX(_xlfn.TEXTSPLIT(mvtst[[#This Row],[QR Suivis]],"_"),1,4)</f>
        <v>UNS1020-26</v>
      </c>
      <c r="P271" s="35" t="str">
        <f>INDEX(_xlfn.TEXTSPLIT(mvtst[[#This Row],[QR Suivis]],"_"),1,5)</f>
        <v>UNI SURPIQUE</v>
      </c>
      <c r="Q271" s="35" t="str">
        <f>_xlfn.TEXTAFTER(mvtst[[#This Row],[QR Suivis]],"_",5)</f>
        <v>1020</v>
      </c>
      <c r="R271" s="84" t="str">
        <f>IF(
   COUNTIFS($A$2:A271,A271,
             $B$2:B271,B271,
             $C$2:C271,C271,
             $D$2:D271,D271,
             $G$2:G271,G271)&gt;1,
   "Doublon",
   "Correcte"
)</f>
        <v>Correcte</v>
      </c>
    </row>
    <row r="272" spans="1:18" x14ac:dyDescent="0.25">
      <c r="A272" s="104" t="s">
        <v>1522</v>
      </c>
      <c r="B272" s="35" t="s">
        <v>712</v>
      </c>
      <c r="C272" s="36">
        <v>5</v>
      </c>
      <c r="D272" s="36">
        <v>0</v>
      </c>
      <c r="E272" s="35"/>
      <c r="F272" s="35" t="s">
        <v>664</v>
      </c>
      <c r="G272" s="37">
        <v>45923</v>
      </c>
      <c r="H272" s="37" t="str">
        <f>INDEX(_xlfn.TEXTSPLIT(mvtst[[#This Row],[QR Suivis]],"_"),1,1)</f>
        <v>CA250015-4</v>
      </c>
      <c r="I272" s="35" t="str">
        <f>_xlfn.TEXTBEFORE(mvtst[[#This Row],[Num Suivis]],"-",,,1)</f>
        <v>CA250015</v>
      </c>
      <c r="J272" s="36">
        <f>SUMIF(mvtst[QR Suivis],mvtst[[#This Row],[QR Suivis]],mvtst[QTE SORTIS])-SUMIF(mvtst[QR Suivis],mvtst[[#This Row],[QR Suivis]],mvtst[QTE RETOUR])</f>
        <v>0</v>
      </c>
      <c r="K272" s="35" t="str">
        <f t="shared" si="4"/>
        <v>Usine</v>
      </c>
      <c r="L272" s="35" t="str">
        <f>_xlfn.XLOOKUP(mvtst[[#This Row],[Sous Traitant]],coordonnee_st[Identification],coordonnee_st[SERVICE],"Non Trouvé")</f>
        <v>Frange</v>
      </c>
      <c r="M272" s="35" t="str">
        <f>INDEX(_xlfn.TEXTSPLIT(mvtst[[#This Row],[QR Suivis]],"_"),1,2)</f>
        <v>All by Fouta</v>
      </c>
      <c r="N272" s="35" t="str">
        <f>INDEX(_xlfn.TEXTSPLIT(mvtst[[#This Row],[QR Suivis]],"_"),1,3)</f>
        <v>Stock</v>
      </c>
      <c r="O272" s="35" t="str">
        <f>INDEX(_xlfn.TEXTSPLIT(mvtst[[#This Row],[QR Suivis]],"_"),1,4)</f>
        <v>UNS1020-26</v>
      </c>
      <c r="P272" s="35" t="str">
        <f>INDEX(_xlfn.TEXTSPLIT(mvtst[[#This Row],[QR Suivis]],"_"),1,5)</f>
        <v>UNI SURPIQUE</v>
      </c>
      <c r="Q272" s="35" t="str">
        <f>_xlfn.TEXTAFTER(mvtst[[#This Row],[QR Suivis]],"_",5)</f>
        <v>1020</v>
      </c>
      <c r="R272" s="84" t="str">
        <f>IF(
   COUNTIFS($A$2:A272,A272,
             $B$2:B272,B272,
             $C$2:C272,C272,
             $D$2:D272,D272,
             $G$2:G272,G272)&gt;1,
   "Doublon",
   "Correcte"
)</f>
        <v>Correcte</v>
      </c>
    </row>
    <row r="273" spans="1:18" x14ac:dyDescent="0.25">
      <c r="A273" s="104" t="s">
        <v>1523</v>
      </c>
      <c r="B273" s="35" t="s">
        <v>712</v>
      </c>
      <c r="C273" s="36">
        <v>5</v>
      </c>
      <c r="D273" s="36">
        <v>0</v>
      </c>
      <c r="E273" s="35"/>
      <c r="F273" s="35" t="s">
        <v>664</v>
      </c>
      <c r="G273" s="37">
        <v>45923</v>
      </c>
      <c r="H273" s="37" t="str">
        <f>INDEX(_xlfn.TEXTSPLIT(mvtst[[#This Row],[QR Suivis]],"_"),1,1)</f>
        <v>CA250015-1</v>
      </c>
      <c r="I273" s="35" t="str">
        <f>_xlfn.TEXTBEFORE(mvtst[[#This Row],[Num Suivis]],"-",,,1)</f>
        <v>CA250015</v>
      </c>
      <c r="J273" s="36">
        <f>SUMIF(mvtst[QR Suivis],mvtst[[#This Row],[QR Suivis]],mvtst[QTE SORTIS])-SUMIF(mvtst[QR Suivis],mvtst[[#This Row],[QR Suivis]],mvtst[QTE RETOUR])</f>
        <v>0</v>
      </c>
      <c r="K273" s="35" t="str">
        <f t="shared" si="4"/>
        <v>Usine</v>
      </c>
      <c r="L273" s="35" t="str">
        <f>_xlfn.XLOOKUP(mvtst[[#This Row],[Sous Traitant]],coordonnee_st[Identification],coordonnee_st[SERVICE],"Non Trouvé")</f>
        <v>Frange</v>
      </c>
      <c r="M273" s="35" t="str">
        <f>INDEX(_xlfn.TEXTSPLIT(mvtst[[#This Row],[QR Suivis]],"_"),1,2)</f>
        <v>All by Fouta</v>
      </c>
      <c r="N273" s="35" t="str">
        <f>INDEX(_xlfn.TEXTSPLIT(mvtst[[#This Row],[QR Suivis]],"_"),1,3)</f>
        <v>Stock</v>
      </c>
      <c r="O273" s="35" t="str">
        <f>INDEX(_xlfn.TEXTSPLIT(mvtst[[#This Row],[QR Suivis]],"_"),1,4)</f>
        <v>UNS1020-26</v>
      </c>
      <c r="P273" s="35" t="str">
        <f>INDEX(_xlfn.TEXTSPLIT(mvtst[[#This Row],[QR Suivis]],"_"),1,5)</f>
        <v>UNI SURPIQUE</v>
      </c>
      <c r="Q273" s="35" t="str">
        <f>_xlfn.TEXTAFTER(mvtst[[#This Row],[QR Suivis]],"_",5)</f>
        <v>1020</v>
      </c>
      <c r="R273" s="84" t="str">
        <f>IF(
   COUNTIFS($A$2:A273,A273,
             $B$2:B273,B273,
             $C$2:C273,C273,
             $D$2:D273,D273,
             $G$2:G273,G273)&gt;1,
   "Doublon",
   "Correcte"
)</f>
        <v>Correcte</v>
      </c>
    </row>
    <row r="274" spans="1:18" x14ac:dyDescent="0.25">
      <c r="A274" s="104" t="s">
        <v>1524</v>
      </c>
      <c r="B274" s="35" t="s">
        <v>712</v>
      </c>
      <c r="C274" s="36">
        <v>5</v>
      </c>
      <c r="D274" s="36">
        <v>0</v>
      </c>
      <c r="E274" s="35"/>
      <c r="F274" s="35" t="s">
        <v>664</v>
      </c>
      <c r="G274" s="37">
        <v>45923</v>
      </c>
      <c r="H274" s="37" t="str">
        <f>INDEX(_xlfn.TEXTSPLIT(mvtst[[#This Row],[QR Suivis]],"_"),1,1)</f>
        <v>CA250015-8</v>
      </c>
      <c r="I274" s="35" t="str">
        <f>_xlfn.TEXTBEFORE(mvtst[[#This Row],[Num Suivis]],"-",,,1)</f>
        <v>CA250015</v>
      </c>
      <c r="J274" s="36">
        <f>SUMIF(mvtst[QR Suivis],mvtst[[#This Row],[QR Suivis]],mvtst[QTE SORTIS])-SUMIF(mvtst[QR Suivis],mvtst[[#This Row],[QR Suivis]],mvtst[QTE RETOUR])</f>
        <v>0</v>
      </c>
      <c r="K274" s="35" t="str">
        <f t="shared" si="4"/>
        <v>Usine</v>
      </c>
      <c r="L274" s="35" t="str">
        <f>_xlfn.XLOOKUP(mvtst[[#This Row],[Sous Traitant]],coordonnee_st[Identification],coordonnee_st[SERVICE],"Non Trouvé")</f>
        <v>Frange</v>
      </c>
      <c r="M274" s="35" t="str">
        <f>INDEX(_xlfn.TEXTSPLIT(mvtst[[#This Row],[QR Suivis]],"_"),1,2)</f>
        <v>All by Fouta</v>
      </c>
      <c r="N274" s="35" t="str">
        <f>INDEX(_xlfn.TEXTSPLIT(mvtst[[#This Row],[QR Suivis]],"_"),1,3)</f>
        <v>Stock</v>
      </c>
      <c r="O274" s="35" t="str">
        <f>INDEX(_xlfn.TEXTSPLIT(mvtst[[#This Row],[QR Suivis]],"_"),1,4)</f>
        <v>UNS1020-26</v>
      </c>
      <c r="P274" s="35" t="str">
        <f>INDEX(_xlfn.TEXTSPLIT(mvtst[[#This Row],[QR Suivis]],"_"),1,5)</f>
        <v>UNI SURPIQUE</v>
      </c>
      <c r="Q274" s="35" t="str">
        <f>_xlfn.TEXTAFTER(mvtst[[#This Row],[QR Suivis]],"_",5)</f>
        <v>1020</v>
      </c>
      <c r="R274" s="84" t="str">
        <f>IF(
   COUNTIFS($A$2:A274,A274,
             $B$2:B274,B274,
             $C$2:C274,C274,
             $D$2:D274,D274,
             $G$2:G274,G274)&gt;1,
   "Doublon",
   "Correcte"
)</f>
        <v>Correcte</v>
      </c>
    </row>
    <row r="275" spans="1:18" x14ac:dyDescent="0.25">
      <c r="A275" s="104" t="s">
        <v>1525</v>
      </c>
      <c r="B275" s="35" t="s">
        <v>712</v>
      </c>
      <c r="C275" s="36">
        <v>5</v>
      </c>
      <c r="D275" s="36">
        <v>0</v>
      </c>
      <c r="E275" s="35"/>
      <c r="F275" s="35" t="s">
        <v>664</v>
      </c>
      <c r="G275" s="37">
        <v>45923</v>
      </c>
      <c r="H275" s="37" t="str">
        <f>INDEX(_xlfn.TEXTSPLIT(mvtst[[#This Row],[QR Suivis]],"_"),1,1)</f>
        <v>CA250015-11</v>
      </c>
      <c r="I275" s="35" t="str">
        <f>_xlfn.TEXTBEFORE(mvtst[[#This Row],[Num Suivis]],"-",,,1)</f>
        <v>CA250015</v>
      </c>
      <c r="J275" s="36">
        <f>SUMIF(mvtst[QR Suivis],mvtst[[#This Row],[QR Suivis]],mvtst[QTE SORTIS])-SUMIF(mvtst[QR Suivis],mvtst[[#This Row],[QR Suivis]],mvtst[QTE RETOUR])</f>
        <v>0</v>
      </c>
      <c r="K275" s="35" t="str">
        <f t="shared" si="4"/>
        <v>Usine</v>
      </c>
      <c r="L275" s="35" t="str">
        <f>_xlfn.XLOOKUP(mvtst[[#This Row],[Sous Traitant]],coordonnee_st[Identification],coordonnee_st[SERVICE],"Non Trouvé")</f>
        <v>Frange</v>
      </c>
      <c r="M275" s="35" t="str">
        <f>INDEX(_xlfn.TEXTSPLIT(mvtst[[#This Row],[QR Suivis]],"_"),1,2)</f>
        <v>All by Fouta</v>
      </c>
      <c r="N275" s="35" t="str">
        <f>INDEX(_xlfn.TEXTSPLIT(mvtst[[#This Row],[QR Suivis]],"_"),1,3)</f>
        <v>Stock</v>
      </c>
      <c r="O275" s="35" t="str">
        <f>INDEX(_xlfn.TEXTSPLIT(mvtst[[#This Row],[QR Suivis]],"_"),1,4)</f>
        <v>UNS1020-26</v>
      </c>
      <c r="P275" s="35" t="str">
        <f>INDEX(_xlfn.TEXTSPLIT(mvtst[[#This Row],[QR Suivis]],"_"),1,5)</f>
        <v>UNI SURPIQUE</v>
      </c>
      <c r="Q275" s="35" t="str">
        <f>_xlfn.TEXTAFTER(mvtst[[#This Row],[QR Suivis]],"_",5)</f>
        <v>1020</v>
      </c>
      <c r="R275" s="84" t="str">
        <f>IF(
   COUNTIFS($A$2:A275,A275,
             $B$2:B275,B275,
             $C$2:C275,C275,
             $D$2:D275,D275,
             $G$2:G275,G275)&gt;1,
   "Doublon",
   "Correcte"
)</f>
        <v>Correcte</v>
      </c>
    </row>
    <row r="276" spans="1:18" x14ac:dyDescent="0.25">
      <c r="A276" s="104" t="s">
        <v>1526</v>
      </c>
      <c r="B276" s="35" t="s">
        <v>712</v>
      </c>
      <c r="C276" s="36">
        <v>5</v>
      </c>
      <c r="D276" s="36">
        <v>0</v>
      </c>
      <c r="E276" s="35"/>
      <c r="F276" s="35" t="s">
        <v>664</v>
      </c>
      <c r="G276" s="37">
        <v>45923</v>
      </c>
      <c r="H276" s="37" t="str">
        <f>INDEX(_xlfn.TEXTSPLIT(mvtst[[#This Row],[QR Suivis]],"_"),1,1)</f>
        <v>CA250015-10</v>
      </c>
      <c r="I276" s="35" t="str">
        <f>_xlfn.TEXTBEFORE(mvtst[[#This Row],[Num Suivis]],"-",,,1)</f>
        <v>CA250015</v>
      </c>
      <c r="J276" s="36">
        <f>SUMIF(mvtst[QR Suivis],mvtst[[#This Row],[QR Suivis]],mvtst[QTE SORTIS])-SUMIF(mvtst[QR Suivis],mvtst[[#This Row],[QR Suivis]],mvtst[QTE RETOUR])</f>
        <v>0</v>
      </c>
      <c r="K276" s="35" t="str">
        <f t="shared" si="4"/>
        <v>Usine</v>
      </c>
      <c r="L276" s="35" t="str">
        <f>_xlfn.XLOOKUP(mvtst[[#This Row],[Sous Traitant]],coordonnee_st[Identification],coordonnee_st[SERVICE],"Non Trouvé")</f>
        <v>Frange</v>
      </c>
      <c r="M276" s="35" t="str">
        <f>INDEX(_xlfn.TEXTSPLIT(mvtst[[#This Row],[QR Suivis]],"_"),1,2)</f>
        <v>All by Fouta</v>
      </c>
      <c r="N276" s="35" t="str">
        <f>INDEX(_xlfn.TEXTSPLIT(mvtst[[#This Row],[QR Suivis]],"_"),1,3)</f>
        <v>Stock</v>
      </c>
      <c r="O276" s="35" t="str">
        <f>INDEX(_xlfn.TEXTSPLIT(mvtst[[#This Row],[QR Suivis]],"_"),1,4)</f>
        <v>UNS1020-26</v>
      </c>
      <c r="P276" s="35" t="str">
        <f>INDEX(_xlfn.TEXTSPLIT(mvtst[[#This Row],[QR Suivis]],"_"),1,5)</f>
        <v>UNI SURPIQUE</v>
      </c>
      <c r="Q276" s="35" t="str">
        <f>_xlfn.TEXTAFTER(mvtst[[#This Row],[QR Suivis]],"_",5)</f>
        <v>1020</v>
      </c>
      <c r="R276" s="84" t="str">
        <f>IF(
   COUNTIFS($A$2:A276,A276,
             $B$2:B276,B276,
             $C$2:C276,C276,
             $D$2:D276,D276,
             $G$2:G276,G276)&gt;1,
   "Doublon",
   "Correcte"
)</f>
        <v>Correcte</v>
      </c>
    </row>
    <row r="277" spans="1:18" x14ac:dyDescent="0.25">
      <c r="A277" s="104" t="s">
        <v>1527</v>
      </c>
      <c r="B277" s="35" t="s">
        <v>712</v>
      </c>
      <c r="C277" s="36">
        <v>5</v>
      </c>
      <c r="D277" s="36">
        <v>0</v>
      </c>
      <c r="E277" s="35"/>
      <c r="F277" s="35" t="s">
        <v>664</v>
      </c>
      <c r="G277" s="37">
        <v>45923</v>
      </c>
      <c r="H277" s="37" t="str">
        <f>INDEX(_xlfn.TEXTSPLIT(mvtst[[#This Row],[QR Suivis]],"_"),1,1)</f>
        <v>CA250015-5</v>
      </c>
      <c r="I277" s="35" t="str">
        <f>_xlfn.TEXTBEFORE(mvtst[[#This Row],[Num Suivis]],"-",,,1)</f>
        <v>CA250015</v>
      </c>
      <c r="J277" s="36">
        <f>SUMIF(mvtst[QR Suivis],mvtst[[#This Row],[QR Suivis]],mvtst[QTE SORTIS])-SUMIF(mvtst[QR Suivis],mvtst[[#This Row],[QR Suivis]],mvtst[QTE RETOUR])</f>
        <v>0</v>
      </c>
      <c r="K277" s="35" t="str">
        <f t="shared" si="4"/>
        <v>Usine</v>
      </c>
      <c r="L277" s="35" t="str">
        <f>_xlfn.XLOOKUP(mvtst[[#This Row],[Sous Traitant]],coordonnee_st[Identification],coordonnee_st[SERVICE],"Non Trouvé")</f>
        <v>Frange</v>
      </c>
      <c r="M277" s="35" t="str">
        <f>INDEX(_xlfn.TEXTSPLIT(mvtst[[#This Row],[QR Suivis]],"_"),1,2)</f>
        <v>All by Fouta</v>
      </c>
      <c r="N277" s="35" t="str">
        <f>INDEX(_xlfn.TEXTSPLIT(mvtst[[#This Row],[QR Suivis]],"_"),1,3)</f>
        <v>Stock</v>
      </c>
      <c r="O277" s="35" t="str">
        <f>INDEX(_xlfn.TEXTSPLIT(mvtst[[#This Row],[QR Suivis]],"_"),1,4)</f>
        <v>UNS1020-26</v>
      </c>
      <c r="P277" s="35" t="str">
        <f>INDEX(_xlfn.TEXTSPLIT(mvtst[[#This Row],[QR Suivis]],"_"),1,5)</f>
        <v>UNI SURPIQUE</v>
      </c>
      <c r="Q277" s="35" t="str">
        <f>_xlfn.TEXTAFTER(mvtst[[#This Row],[QR Suivis]],"_",5)</f>
        <v>1020</v>
      </c>
      <c r="R277" s="84" t="str">
        <f>IF(
   COUNTIFS($A$2:A277,A277,
             $B$2:B277,B277,
             $C$2:C277,C277,
             $D$2:D277,D277,
             $G$2:G277,G277)&gt;1,
   "Doublon",
   "Correcte"
)</f>
        <v>Correcte</v>
      </c>
    </row>
    <row r="278" spans="1:18" x14ac:dyDescent="0.25">
      <c r="A278" s="104" t="s">
        <v>1528</v>
      </c>
      <c r="B278" s="35" t="s">
        <v>712</v>
      </c>
      <c r="C278" s="36">
        <v>5</v>
      </c>
      <c r="D278" s="36">
        <v>0</v>
      </c>
      <c r="E278" s="35"/>
      <c r="F278" s="35" t="s">
        <v>664</v>
      </c>
      <c r="G278" s="37">
        <v>45923</v>
      </c>
      <c r="H278" s="37" t="str">
        <f>INDEX(_xlfn.TEXTSPLIT(mvtst[[#This Row],[QR Suivis]],"_"),1,1)</f>
        <v>CA250013-3</v>
      </c>
      <c r="I278" s="35" t="str">
        <f>_xlfn.TEXTBEFORE(mvtst[[#This Row],[Num Suivis]],"-",,,1)</f>
        <v>CA250013</v>
      </c>
      <c r="J278" s="36">
        <f>SUMIF(mvtst[QR Suivis],mvtst[[#This Row],[QR Suivis]],mvtst[QTE SORTIS])-SUMIF(mvtst[QR Suivis],mvtst[[#This Row],[QR Suivis]],mvtst[QTE RETOUR])</f>
        <v>0</v>
      </c>
      <c r="K278" s="35" t="str">
        <f t="shared" si="4"/>
        <v>Usine</v>
      </c>
      <c r="L278" s="35" t="str">
        <f>_xlfn.XLOOKUP(mvtst[[#This Row],[Sous Traitant]],coordonnee_st[Identification],coordonnee_st[SERVICE],"Non Trouvé")</f>
        <v>Frange</v>
      </c>
      <c r="M278" s="35" t="str">
        <f>INDEX(_xlfn.TEXTSPLIT(mvtst[[#This Row],[QR Suivis]],"_"),1,2)</f>
        <v>All by Fouta</v>
      </c>
      <c r="N278" s="35" t="str">
        <f>INDEX(_xlfn.TEXTSPLIT(mvtst[[#This Row],[QR Suivis]],"_"),1,3)</f>
        <v>Stock</v>
      </c>
      <c r="O278" s="35" t="str">
        <f>INDEX(_xlfn.TEXTSPLIT(mvtst[[#This Row],[QR Suivis]],"_"),1,4)</f>
        <v>UNS1020-23</v>
      </c>
      <c r="P278" s="35" t="str">
        <f>INDEX(_xlfn.TEXTSPLIT(mvtst[[#This Row],[QR Suivis]],"_"),1,5)</f>
        <v>UNI SURPIQUE</v>
      </c>
      <c r="Q278" s="35" t="str">
        <f>_xlfn.TEXTAFTER(mvtst[[#This Row],[QR Suivis]],"_",5)</f>
        <v>1020</v>
      </c>
      <c r="R278" s="84" t="str">
        <f>IF(
   COUNTIFS($A$2:A278,A278,
             $B$2:B278,B278,
             $C$2:C278,C278,
             $D$2:D278,D278,
             $G$2:G278,G278)&gt;1,
   "Doublon",
   "Correcte"
)</f>
        <v>Correcte</v>
      </c>
    </row>
    <row r="279" spans="1:18" x14ac:dyDescent="0.25">
      <c r="A279" s="104" t="s">
        <v>1529</v>
      </c>
      <c r="B279" s="35" t="s">
        <v>712</v>
      </c>
      <c r="C279" s="36">
        <v>5</v>
      </c>
      <c r="D279" s="36">
        <v>0</v>
      </c>
      <c r="E279" s="35"/>
      <c r="F279" s="35" t="s">
        <v>664</v>
      </c>
      <c r="G279" s="37">
        <v>45923</v>
      </c>
      <c r="H279" s="37" t="str">
        <f>INDEX(_xlfn.TEXTSPLIT(mvtst[[#This Row],[QR Suivis]],"_"),1,1)</f>
        <v>CA250013-2</v>
      </c>
      <c r="I279" s="35" t="str">
        <f>_xlfn.TEXTBEFORE(mvtst[[#This Row],[Num Suivis]],"-",,,1)</f>
        <v>CA250013</v>
      </c>
      <c r="J279" s="36">
        <f>SUMIF(mvtst[QR Suivis],mvtst[[#This Row],[QR Suivis]],mvtst[QTE SORTIS])-SUMIF(mvtst[QR Suivis],mvtst[[#This Row],[QR Suivis]],mvtst[QTE RETOUR])</f>
        <v>0</v>
      </c>
      <c r="K279" s="35" t="str">
        <f t="shared" si="4"/>
        <v>Usine</v>
      </c>
      <c r="L279" s="35" t="str">
        <f>_xlfn.XLOOKUP(mvtst[[#This Row],[Sous Traitant]],coordonnee_st[Identification],coordonnee_st[SERVICE],"Non Trouvé")</f>
        <v>Frange</v>
      </c>
      <c r="M279" s="35" t="str">
        <f>INDEX(_xlfn.TEXTSPLIT(mvtst[[#This Row],[QR Suivis]],"_"),1,2)</f>
        <v>All by Fouta</v>
      </c>
      <c r="N279" s="35" t="str">
        <f>INDEX(_xlfn.TEXTSPLIT(mvtst[[#This Row],[QR Suivis]],"_"),1,3)</f>
        <v>Stock</v>
      </c>
      <c r="O279" s="35" t="str">
        <f>INDEX(_xlfn.TEXTSPLIT(mvtst[[#This Row],[QR Suivis]],"_"),1,4)</f>
        <v>UNS1020-23</v>
      </c>
      <c r="P279" s="35" t="str">
        <f>INDEX(_xlfn.TEXTSPLIT(mvtst[[#This Row],[QR Suivis]],"_"),1,5)</f>
        <v>UNI SURPIQUE</v>
      </c>
      <c r="Q279" s="35" t="str">
        <f>_xlfn.TEXTAFTER(mvtst[[#This Row],[QR Suivis]],"_",5)</f>
        <v>1020</v>
      </c>
      <c r="R279" s="84" t="str">
        <f>IF(
   COUNTIFS($A$2:A279,A279,
             $B$2:B279,B279,
             $C$2:C279,C279,
             $D$2:D279,D279,
             $G$2:G279,G279)&gt;1,
   "Doublon",
   "Correcte"
)</f>
        <v>Correcte</v>
      </c>
    </row>
    <row r="280" spans="1:18" x14ac:dyDescent="0.25">
      <c r="A280" s="104" t="s">
        <v>1530</v>
      </c>
      <c r="B280" s="35" t="s">
        <v>712</v>
      </c>
      <c r="C280" s="36">
        <v>5</v>
      </c>
      <c r="D280" s="36">
        <v>0</v>
      </c>
      <c r="E280" s="35"/>
      <c r="F280" s="35" t="s">
        <v>664</v>
      </c>
      <c r="G280" s="37">
        <v>45923</v>
      </c>
      <c r="H280" s="37" t="str">
        <f>INDEX(_xlfn.TEXTSPLIT(mvtst[[#This Row],[QR Suivis]],"_"),1,1)</f>
        <v>CA250013-5</v>
      </c>
      <c r="I280" s="35" t="str">
        <f>_xlfn.TEXTBEFORE(mvtst[[#This Row],[Num Suivis]],"-",,,1)</f>
        <v>CA250013</v>
      </c>
      <c r="J280" s="36">
        <f>SUMIF(mvtst[QR Suivis],mvtst[[#This Row],[QR Suivis]],mvtst[QTE SORTIS])-SUMIF(mvtst[QR Suivis],mvtst[[#This Row],[QR Suivis]],mvtst[QTE RETOUR])</f>
        <v>0</v>
      </c>
      <c r="K280" s="35" t="str">
        <f t="shared" si="4"/>
        <v>Usine</v>
      </c>
      <c r="L280" s="35" t="str">
        <f>_xlfn.XLOOKUP(mvtst[[#This Row],[Sous Traitant]],coordonnee_st[Identification],coordonnee_st[SERVICE],"Non Trouvé")</f>
        <v>Frange</v>
      </c>
      <c r="M280" s="35" t="str">
        <f>INDEX(_xlfn.TEXTSPLIT(mvtst[[#This Row],[QR Suivis]],"_"),1,2)</f>
        <v>All by Fouta</v>
      </c>
      <c r="N280" s="35" t="str">
        <f>INDEX(_xlfn.TEXTSPLIT(mvtst[[#This Row],[QR Suivis]],"_"),1,3)</f>
        <v>Stock</v>
      </c>
      <c r="O280" s="35" t="str">
        <f>INDEX(_xlfn.TEXTSPLIT(mvtst[[#This Row],[QR Suivis]],"_"),1,4)</f>
        <v>UNS1020-23</v>
      </c>
      <c r="P280" s="35" t="str">
        <f>INDEX(_xlfn.TEXTSPLIT(mvtst[[#This Row],[QR Suivis]],"_"),1,5)</f>
        <v>UNI SURPIQUE</v>
      </c>
      <c r="Q280" s="35" t="str">
        <f>_xlfn.TEXTAFTER(mvtst[[#This Row],[QR Suivis]],"_",5)</f>
        <v>1020</v>
      </c>
      <c r="R280" s="84" t="str">
        <f>IF(
   COUNTIFS($A$2:A280,A280,
             $B$2:B280,B280,
             $C$2:C280,C280,
             $D$2:D280,D280,
             $G$2:G280,G280)&gt;1,
   "Doublon",
   "Correcte"
)</f>
        <v>Correcte</v>
      </c>
    </row>
    <row r="281" spans="1:18" x14ac:dyDescent="0.25">
      <c r="A281" s="104" t="s">
        <v>1531</v>
      </c>
      <c r="B281" s="35" t="s">
        <v>712</v>
      </c>
      <c r="C281" s="36">
        <v>5</v>
      </c>
      <c r="D281" s="36">
        <v>0</v>
      </c>
      <c r="E281" s="35"/>
      <c r="F281" s="35" t="s">
        <v>664</v>
      </c>
      <c r="G281" s="37">
        <v>45923</v>
      </c>
      <c r="H281" s="37" t="str">
        <f>INDEX(_xlfn.TEXTSPLIT(mvtst[[#This Row],[QR Suivis]],"_"),1,1)</f>
        <v>CA250013-9</v>
      </c>
      <c r="I281" s="35" t="str">
        <f>_xlfn.TEXTBEFORE(mvtst[[#This Row],[Num Suivis]],"-",,,1)</f>
        <v>CA250013</v>
      </c>
      <c r="J281" s="36">
        <f>SUMIF(mvtst[QR Suivis],mvtst[[#This Row],[QR Suivis]],mvtst[QTE SORTIS])-SUMIF(mvtst[QR Suivis],mvtst[[#This Row],[QR Suivis]],mvtst[QTE RETOUR])</f>
        <v>0</v>
      </c>
      <c r="K281" s="35" t="str">
        <f t="shared" si="4"/>
        <v>Usine</v>
      </c>
      <c r="L281" s="35" t="str">
        <f>_xlfn.XLOOKUP(mvtst[[#This Row],[Sous Traitant]],coordonnee_st[Identification],coordonnee_st[SERVICE],"Non Trouvé")</f>
        <v>Frange</v>
      </c>
      <c r="M281" s="35" t="str">
        <f>INDEX(_xlfn.TEXTSPLIT(mvtst[[#This Row],[QR Suivis]],"_"),1,2)</f>
        <v>All by Fouta</v>
      </c>
      <c r="N281" s="35" t="str">
        <f>INDEX(_xlfn.TEXTSPLIT(mvtst[[#This Row],[QR Suivis]],"_"),1,3)</f>
        <v>Stock</v>
      </c>
      <c r="O281" s="35" t="str">
        <f>INDEX(_xlfn.TEXTSPLIT(mvtst[[#This Row],[QR Suivis]],"_"),1,4)</f>
        <v>UNS1020-23</v>
      </c>
      <c r="P281" s="35" t="str">
        <f>INDEX(_xlfn.TEXTSPLIT(mvtst[[#This Row],[QR Suivis]],"_"),1,5)</f>
        <v>UNI SURPIQUE</v>
      </c>
      <c r="Q281" s="35" t="str">
        <f>_xlfn.TEXTAFTER(mvtst[[#This Row],[QR Suivis]],"_",5)</f>
        <v>1020</v>
      </c>
      <c r="R281" s="84" t="str">
        <f>IF(
   COUNTIFS($A$2:A281,A281,
             $B$2:B281,B281,
             $C$2:C281,C281,
             $D$2:D281,D281,
             $G$2:G281,G281)&gt;1,
   "Doublon",
   "Correcte"
)</f>
        <v>Correcte</v>
      </c>
    </row>
    <row r="282" spans="1:18" x14ac:dyDescent="0.25">
      <c r="A282" s="104" t="s">
        <v>1532</v>
      </c>
      <c r="B282" s="35" t="s">
        <v>712</v>
      </c>
      <c r="C282" s="36">
        <v>5</v>
      </c>
      <c r="D282" s="36">
        <v>0</v>
      </c>
      <c r="E282" s="35"/>
      <c r="F282" s="35" t="s">
        <v>664</v>
      </c>
      <c r="G282" s="37">
        <v>45923</v>
      </c>
      <c r="H282" s="37" t="str">
        <f>INDEX(_xlfn.TEXTSPLIT(mvtst[[#This Row],[QR Suivis]],"_"),1,1)</f>
        <v>CA250013-12</v>
      </c>
      <c r="I282" s="35" t="str">
        <f>_xlfn.TEXTBEFORE(mvtst[[#This Row],[Num Suivis]],"-",,,1)</f>
        <v>CA250013</v>
      </c>
      <c r="J282" s="36">
        <f>SUMIF(mvtst[QR Suivis],mvtst[[#This Row],[QR Suivis]],mvtst[QTE SORTIS])-SUMIF(mvtst[QR Suivis],mvtst[[#This Row],[QR Suivis]],mvtst[QTE RETOUR])</f>
        <v>0</v>
      </c>
      <c r="K282" s="35" t="str">
        <f t="shared" si="4"/>
        <v>Usine</v>
      </c>
      <c r="L282" s="35" t="str">
        <f>_xlfn.XLOOKUP(mvtst[[#This Row],[Sous Traitant]],coordonnee_st[Identification],coordonnee_st[SERVICE],"Non Trouvé")</f>
        <v>Frange</v>
      </c>
      <c r="M282" s="35" t="str">
        <f>INDEX(_xlfn.TEXTSPLIT(mvtst[[#This Row],[QR Suivis]],"_"),1,2)</f>
        <v>All by Fouta</v>
      </c>
      <c r="N282" s="35" t="str">
        <f>INDEX(_xlfn.TEXTSPLIT(mvtst[[#This Row],[QR Suivis]],"_"),1,3)</f>
        <v>Stock</v>
      </c>
      <c r="O282" s="35" t="str">
        <f>INDEX(_xlfn.TEXTSPLIT(mvtst[[#This Row],[QR Suivis]],"_"),1,4)</f>
        <v>UNS1020-23</v>
      </c>
      <c r="P282" s="35" t="str">
        <f>INDEX(_xlfn.TEXTSPLIT(mvtst[[#This Row],[QR Suivis]],"_"),1,5)</f>
        <v>UNI SURPIQUE</v>
      </c>
      <c r="Q282" s="35" t="str">
        <f>_xlfn.TEXTAFTER(mvtst[[#This Row],[QR Suivis]],"_",5)</f>
        <v>1020</v>
      </c>
      <c r="R282" s="84" t="str">
        <f>IF(
   COUNTIFS($A$2:A282,A282,
             $B$2:B282,B282,
             $C$2:C282,C282,
             $D$2:D282,D282,
             $G$2:G282,G282)&gt;1,
   "Doublon",
   "Correcte"
)</f>
        <v>Correcte</v>
      </c>
    </row>
    <row r="283" spans="1:18" x14ac:dyDescent="0.25">
      <c r="A283" s="104" t="s">
        <v>1533</v>
      </c>
      <c r="B283" s="35" t="s">
        <v>712</v>
      </c>
      <c r="C283" s="36">
        <v>5</v>
      </c>
      <c r="D283" s="36">
        <v>0</v>
      </c>
      <c r="E283" s="35"/>
      <c r="F283" s="35" t="s">
        <v>664</v>
      </c>
      <c r="G283" s="37">
        <v>45923</v>
      </c>
      <c r="H283" s="37" t="str">
        <f>INDEX(_xlfn.TEXTSPLIT(mvtst[[#This Row],[QR Suivis]],"_"),1,1)</f>
        <v>CA250013-11</v>
      </c>
      <c r="I283" s="35" t="str">
        <f>_xlfn.TEXTBEFORE(mvtst[[#This Row],[Num Suivis]],"-",,,1)</f>
        <v>CA250013</v>
      </c>
      <c r="J283" s="36">
        <f>SUMIF(mvtst[QR Suivis],mvtst[[#This Row],[QR Suivis]],mvtst[QTE SORTIS])-SUMIF(mvtst[QR Suivis],mvtst[[#This Row],[QR Suivis]],mvtst[QTE RETOUR])</f>
        <v>0</v>
      </c>
      <c r="K283" s="35" t="str">
        <f t="shared" si="4"/>
        <v>Usine</v>
      </c>
      <c r="L283" s="35" t="str">
        <f>_xlfn.XLOOKUP(mvtst[[#This Row],[Sous Traitant]],coordonnee_st[Identification],coordonnee_st[SERVICE],"Non Trouvé")</f>
        <v>Frange</v>
      </c>
      <c r="M283" s="35" t="str">
        <f>INDEX(_xlfn.TEXTSPLIT(mvtst[[#This Row],[QR Suivis]],"_"),1,2)</f>
        <v>All by Fouta</v>
      </c>
      <c r="N283" s="35" t="str">
        <f>INDEX(_xlfn.TEXTSPLIT(mvtst[[#This Row],[QR Suivis]],"_"),1,3)</f>
        <v>Stock</v>
      </c>
      <c r="O283" s="35" t="str">
        <f>INDEX(_xlfn.TEXTSPLIT(mvtst[[#This Row],[QR Suivis]],"_"),1,4)</f>
        <v>UNS1020-23</v>
      </c>
      <c r="P283" s="35" t="str">
        <f>INDEX(_xlfn.TEXTSPLIT(mvtst[[#This Row],[QR Suivis]],"_"),1,5)</f>
        <v>UNI SURPIQUE</v>
      </c>
      <c r="Q283" s="35" t="str">
        <f>_xlfn.TEXTAFTER(mvtst[[#This Row],[QR Suivis]],"_",5)</f>
        <v>1020</v>
      </c>
      <c r="R283" s="84" t="str">
        <f>IF(
   COUNTIFS($A$2:A283,A283,
             $B$2:B283,B283,
             $C$2:C283,C283,
             $D$2:D283,D283,
             $G$2:G283,G283)&gt;1,
   "Doublon",
   "Correcte"
)</f>
        <v>Correcte</v>
      </c>
    </row>
    <row r="284" spans="1:18" x14ac:dyDescent="0.25">
      <c r="A284" s="104" t="s">
        <v>1309</v>
      </c>
      <c r="B284" s="35" t="s">
        <v>712</v>
      </c>
      <c r="C284" s="36">
        <v>5</v>
      </c>
      <c r="D284" s="36">
        <v>0</v>
      </c>
      <c r="E284" s="35"/>
      <c r="F284" s="35" t="s">
        <v>664</v>
      </c>
      <c r="G284" s="37">
        <v>45923</v>
      </c>
      <c r="H284" s="37" t="str">
        <f>INDEX(_xlfn.TEXTSPLIT(mvtst[[#This Row],[QR Suivis]],"_"),1,1)</f>
        <v>CA250013</v>
      </c>
      <c r="I284" s="35" t="str">
        <f>_xlfn.TEXTBEFORE(mvtst[[#This Row],[Num Suivis]],"-",,,1)</f>
        <v>CA250013</v>
      </c>
      <c r="J284" s="36">
        <f>SUMIF(mvtst[QR Suivis],mvtst[[#This Row],[QR Suivis]],mvtst[QTE SORTIS])-SUMIF(mvtst[QR Suivis],mvtst[[#This Row],[QR Suivis]],mvtst[QTE RETOUR])</f>
        <v>0</v>
      </c>
      <c r="K284" s="35" t="str">
        <f t="shared" si="4"/>
        <v>Usine</v>
      </c>
      <c r="L284" s="35" t="str">
        <f>_xlfn.XLOOKUP(mvtst[[#This Row],[Sous Traitant]],coordonnee_st[Identification],coordonnee_st[SERVICE],"Non Trouvé")</f>
        <v>Frange</v>
      </c>
      <c r="M284" s="35" t="str">
        <f>INDEX(_xlfn.TEXTSPLIT(mvtst[[#This Row],[QR Suivis]],"_"),1,2)</f>
        <v>All by Fouta</v>
      </c>
      <c r="N284" s="35" t="str">
        <f>INDEX(_xlfn.TEXTSPLIT(mvtst[[#This Row],[QR Suivis]],"_"),1,3)</f>
        <v>Stock</v>
      </c>
      <c r="O284" s="35" t="str">
        <f>INDEX(_xlfn.TEXTSPLIT(mvtst[[#This Row],[QR Suivis]],"_"),1,4)</f>
        <v>UNS1020-23</v>
      </c>
      <c r="P284" s="35" t="str">
        <f>INDEX(_xlfn.TEXTSPLIT(mvtst[[#This Row],[QR Suivis]],"_"),1,5)</f>
        <v>UNI SURPIQUE</v>
      </c>
      <c r="Q284" s="35" t="str">
        <f>_xlfn.TEXTAFTER(mvtst[[#This Row],[QR Suivis]],"_",5)</f>
        <v>1020</v>
      </c>
      <c r="R284" s="84" t="str">
        <f>IF(
   COUNTIFS($A$2:A284,A284,
             $B$2:B284,B284,
             $C$2:C284,C284,
             $D$2:D284,D284,
             $G$2:G284,G284)&gt;1,
   "Doublon",
   "Correcte"
)</f>
        <v>Correcte</v>
      </c>
    </row>
    <row r="285" spans="1:18" x14ac:dyDescent="0.25">
      <c r="A285" s="104" t="s">
        <v>1534</v>
      </c>
      <c r="B285" s="35" t="s">
        <v>712</v>
      </c>
      <c r="C285" s="36">
        <v>5</v>
      </c>
      <c r="D285" s="36">
        <v>0</v>
      </c>
      <c r="E285" s="35"/>
      <c r="F285" s="35" t="s">
        <v>664</v>
      </c>
      <c r="G285" s="37">
        <v>45923</v>
      </c>
      <c r="H285" s="37" t="str">
        <f>INDEX(_xlfn.TEXTSPLIT(mvtst[[#This Row],[QR Suivis]],"_"),1,1)</f>
        <v>CA250013-7</v>
      </c>
      <c r="I285" s="35" t="str">
        <f>_xlfn.TEXTBEFORE(mvtst[[#This Row],[Num Suivis]],"-",,,1)</f>
        <v>CA250013</v>
      </c>
      <c r="J285" s="36">
        <f>SUMIF(mvtst[QR Suivis],mvtst[[#This Row],[QR Suivis]],mvtst[QTE SORTIS])-SUMIF(mvtst[QR Suivis],mvtst[[#This Row],[QR Suivis]],mvtst[QTE RETOUR])</f>
        <v>0</v>
      </c>
      <c r="K285" s="35" t="str">
        <f t="shared" si="4"/>
        <v>Usine</v>
      </c>
      <c r="L285" s="35" t="str">
        <f>_xlfn.XLOOKUP(mvtst[[#This Row],[Sous Traitant]],coordonnee_st[Identification],coordonnee_st[SERVICE],"Non Trouvé")</f>
        <v>Frange</v>
      </c>
      <c r="M285" s="35" t="str">
        <f>INDEX(_xlfn.TEXTSPLIT(mvtst[[#This Row],[QR Suivis]],"_"),1,2)</f>
        <v>All by Fouta</v>
      </c>
      <c r="N285" s="35" t="str">
        <f>INDEX(_xlfn.TEXTSPLIT(mvtst[[#This Row],[QR Suivis]],"_"),1,3)</f>
        <v>Stock</v>
      </c>
      <c r="O285" s="35" t="str">
        <f>INDEX(_xlfn.TEXTSPLIT(mvtst[[#This Row],[QR Suivis]],"_"),1,4)</f>
        <v>UNS1020-23</v>
      </c>
      <c r="P285" s="35" t="str">
        <f>INDEX(_xlfn.TEXTSPLIT(mvtst[[#This Row],[QR Suivis]],"_"),1,5)</f>
        <v>UNI SURPIQUE</v>
      </c>
      <c r="Q285" s="35" t="str">
        <f>_xlfn.TEXTAFTER(mvtst[[#This Row],[QR Suivis]],"_",5)</f>
        <v>1020</v>
      </c>
      <c r="R285" s="84" t="str">
        <f>IF(
   COUNTIFS($A$2:A285,A285,
             $B$2:B285,B285,
             $C$2:C285,C285,
             $D$2:D285,D285,
             $G$2:G285,G285)&gt;1,
   "Doublon",
   "Correcte"
)</f>
        <v>Correcte</v>
      </c>
    </row>
    <row r="286" spans="1:18" x14ac:dyDescent="0.25">
      <c r="A286" s="104" t="s">
        <v>1535</v>
      </c>
      <c r="B286" s="35" t="s">
        <v>712</v>
      </c>
      <c r="C286" s="36">
        <v>5</v>
      </c>
      <c r="D286" s="36">
        <v>0</v>
      </c>
      <c r="E286" s="35"/>
      <c r="F286" s="35" t="s">
        <v>664</v>
      </c>
      <c r="G286" s="37">
        <v>45923</v>
      </c>
      <c r="H286" s="37" t="str">
        <f>INDEX(_xlfn.TEXTSPLIT(mvtst[[#This Row],[QR Suivis]],"_"),1,1)</f>
        <v>CA250013-8</v>
      </c>
      <c r="I286" s="35" t="str">
        <f>_xlfn.TEXTBEFORE(mvtst[[#This Row],[Num Suivis]],"-",,,1)</f>
        <v>CA250013</v>
      </c>
      <c r="J286" s="36">
        <f>SUMIF(mvtst[QR Suivis],mvtst[[#This Row],[QR Suivis]],mvtst[QTE SORTIS])-SUMIF(mvtst[QR Suivis],mvtst[[#This Row],[QR Suivis]],mvtst[QTE RETOUR])</f>
        <v>0</v>
      </c>
      <c r="K286" s="35" t="str">
        <f t="shared" si="4"/>
        <v>Usine</v>
      </c>
      <c r="L286" s="35" t="str">
        <f>_xlfn.XLOOKUP(mvtst[[#This Row],[Sous Traitant]],coordonnee_st[Identification],coordonnee_st[SERVICE],"Non Trouvé")</f>
        <v>Frange</v>
      </c>
      <c r="M286" s="35" t="str">
        <f>INDEX(_xlfn.TEXTSPLIT(mvtst[[#This Row],[QR Suivis]],"_"),1,2)</f>
        <v>All by Fouta</v>
      </c>
      <c r="N286" s="35" t="str">
        <f>INDEX(_xlfn.TEXTSPLIT(mvtst[[#This Row],[QR Suivis]],"_"),1,3)</f>
        <v>Stock</v>
      </c>
      <c r="O286" s="35" t="str">
        <f>INDEX(_xlfn.TEXTSPLIT(mvtst[[#This Row],[QR Suivis]],"_"),1,4)</f>
        <v>UNS1020-23</v>
      </c>
      <c r="P286" s="35" t="str">
        <f>INDEX(_xlfn.TEXTSPLIT(mvtst[[#This Row],[QR Suivis]],"_"),1,5)</f>
        <v>UNI SURPIQUE</v>
      </c>
      <c r="Q286" s="35" t="str">
        <f>_xlfn.TEXTAFTER(mvtst[[#This Row],[QR Suivis]],"_",5)</f>
        <v>1020</v>
      </c>
      <c r="R286" s="84" t="str">
        <f>IF(
   COUNTIFS($A$2:A286,A286,
             $B$2:B286,B286,
             $C$2:C286,C286,
             $D$2:D286,D286,
             $G$2:G286,G286)&gt;1,
   "Doublon",
   "Correcte"
)</f>
        <v>Correcte</v>
      </c>
    </row>
    <row r="287" spans="1:18" x14ac:dyDescent="0.25">
      <c r="A287" s="104" t="s">
        <v>1536</v>
      </c>
      <c r="B287" s="35" t="s">
        <v>712</v>
      </c>
      <c r="C287" s="36">
        <v>4</v>
      </c>
      <c r="D287" s="36">
        <v>0</v>
      </c>
      <c r="E287" s="35"/>
      <c r="F287" s="35" t="s">
        <v>664</v>
      </c>
      <c r="G287" s="37">
        <v>45923</v>
      </c>
      <c r="H287" s="37" t="str">
        <f>INDEX(_xlfn.TEXTSPLIT(mvtst[[#This Row],[QR Suivis]],"_"),1,1)</f>
        <v>CA250013-13</v>
      </c>
      <c r="I287" s="35" t="str">
        <f>_xlfn.TEXTBEFORE(mvtst[[#This Row],[Num Suivis]],"-",,,1)</f>
        <v>CA250013</v>
      </c>
      <c r="J287" s="36">
        <f>SUMIF(mvtst[QR Suivis],mvtst[[#This Row],[QR Suivis]],mvtst[QTE SORTIS])-SUMIF(mvtst[QR Suivis],mvtst[[#This Row],[QR Suivis]],mvtst[QTE RETOUR])</f>
        <v>0</v>
      </c>
      <c r="K287" s="35" t="str">
        <f t="shared" si="4"/>
        <v>Usine</v>
      </c>
      <c r="L287" s="35" t="str">
        <f>_xlfn.XLOOKUP(mvtst[[#This Row],[Sous Traitant]],coordonnee_st[Identification],coordonnee_st[SERVICE],"Non Trouvé")</f>
        <v>Frange</v>
      </c>
      <c r="M287" s="35" t="str">
        <f>INDEX(_xlfn.TEXTSPLIT(mvtst[[#This Row],[QR Suivis]],"_"),1,2)</f>
        <v>All by Fouta</v>
      </c>
      <c r="N287" s="35" t="str">
        <f>INDEX(_xlfn.TEXTSPLIT(mvtst[[#This Row],[QR Suivis]],"_"),1,3)</f>
        <v>Stock</v>
      </c>
      <c r="O287" s="35" t="str">
        <f>INDEX(_xlfn.TEXTSPLIT(mvtst[[#This Row],[QR Suivis]],"_"),1,4)</f>
        <v>UNS1020-23</v>
      </c>
      <c r="P287" s="35" t="str">
        <f>INDEX(_xlfn.TEXTSPLIT(mvtst[[#This Row],[QR Suivis]],"_"),1,5)</f>
        <v>UNI SURPIQUE</v>
      </c>
      <c r="Q287" s="35" t="str">
        <f>_xlfn.TEXTAFTER(mvtst[[#This Row],[QR Suivis]],"_",5)</f>
        <v>1020</v>
      </c>
      <c r="R287" s="84" t="str">
        <f>IF(
   COUNTIFS($A$2:A287,A287,
             $B$2:B287,B287,
             $C$2:C287,C287,
             $D$2:D287,D287,
             $G$2:G287,G287)&gt;1,
   "Doublon",
   "Correcte"
)</f>
        <v>Correcte</v>
      </c>
    </row>
    <row r="288" spans="1:18" x14ac:dyDescent="0.25">
      <c r="A288" s="104" t="s">
        <v>1537</v>
      </c>
      <c r="B288" s="35" t="s">
        <v>712</v>
      </c>
      <c r="C288" s="36">
        <v>5</v>
      </c>
      <c r="D288" s="36">
        <v>0</v>
      </c>
      <c r="E288" s="35"/>
      <c r="F288" s="35" t="s">
        <v>664</v>
      </c>
      <c r="G288" s="37">
        <v>45923</v>
      </c>
      <c r="H288" s="37" t="str">
        <f>INDEX(_xlfn.TEXTSPLIT(mvtst[[#This Row],[QR Suivis]],"_"),1,1)</f>
        <v>CA250013-10</v>
      </c>
      <c r="I288" s="35" t="str">
        <f>_xlfn.TEXTBEFORE(mvtst[[#This Row],[Num Suivis]],"-",,,1)</f>
        <v>CA250013</v>
      </c>
      <c r="J288" s="36">
        <f>SUMIF(mvtst[QR Suivis],mvtst[[#This Row],[QR Suivis]],mvtst[QTE SORTIS])-SUMIF(mvtst[QR Suivis],mvtst[[#This Row],[QR Suivis]],mvtst[QTE RETOUR])</f>
        <v>0</v>
      </c>
      <c r="K288" s="35" t="str">
        <f t="shared" si="4"/>
        <v>Usine</v>
      </c>
      <c r="L288" s="35" t="str">
        <f>_xlfn.XLOOKUP(mvtst[[#This Row],[Sous Traitant]],coordonnee_st[Identification],coordonnee_st[SERVICE],"Non Trouvé")</f>
        <v>Frange</v>
      </c>
      <c r="M288" s="35" t="str">
        <f>INDEX(_xlfn.TEXTSPLIT(mvtst[[#This Row],[QR Suivis]],"_"),1,2)</f>
        <v>All by Fouta</v>
      </c>
      <c r="N288" s="35" t="str">
        <f>INDEX(_xlfn.TEXTSPLIT(mvtst[[#This Row],[QR Suivis]],"_"),1,3)</f>
        <v>Stock</v>
      </c>
      <c r="O288" s="35" t="str">
        <f>INDEX(_xlfn.TEXTSPLIT(mvtst[[#This Row],[QR Suivis]],"_"),1,4)</f>
        <v>UNS1020-23</v>
      </c>
      <c r="P288" s="35" t="str">
        <f>INDEX(_xlfn.TEXTSPLIT(mvtst[[#This Row],[QR Suivis]],"_"),1,5)</f>
        <v>UNI SURPIQUE</v>
      </c>
      <c r="Q288" s="35" t="str">
        <f>_xlfn.TEXTAFTER(mvtst[[#This Row],[QR Suivis]],"_",5)</f>
        <v>1020</v>
      </c>
      <c r="R288" s="84" t="str">
        <f>IF(
   COUNTIFS($A$2:A288,A288,
             $B$2:B288,B288,
             $C$2:C288,C288,
             $D$2:D288,D288,
             $G$2:G288,G288)&gt;1,
   "Doublon",
   "Correcte"
)</f>
        <v>Correcte</v>
      </c>
    </row>
    <row r="289" spans="1:18" x14ac:dyDescent="0.25">
      <c r="A289" s="104" t="s">
        <v>1538</v>
      </c>
      <c r="B289" s="35" t="s">
        <v>712</v>
      </c>
      <c r="C289" s="36">
        <v>5</v>
      </c>
      <c r="D289" s="36">
        <v>0</v>
      </c>
      <c r="E289" s="35"/>
      <c r="F289" s="35" t="s">
        <v>664</v>
      </c>
      <c r="G289" s="37">
        <v>45923</v>
      </c>
      <c r="H289" s="37" t="str">
        <f>INDEX(_xlfn.TEXTSPLIT(mvtst[[#This Row],[QR Suivis]],"_"),1,1)</f>
        <v>CA250013-6</v>
      </c>
      <c r="I289" s="35" t="str">
        <f>_xlfn.TEXTBEFORE(mvtst[[#This Row],[Num Suivis]],"-",,,1)</f>
        <v>CA250013</v>
      </c>
      <c r="J289" s="36">
        <f>SUMIF(mvtst[QR Suivis],mvtst[[#This Row],[QR Suivis]],mvtst[QTE SORTIS])-SUMIF(mvtst[QR Suivis],mvtst[[#This Row],[QR Suivis]],mvtst[QTE RETOUR])</f>
        <v>0</v>
      </c>
      <c r="K289" s="35" t="str">
        <f t="shared" si="4"/>
        <v>Usine</v>
      </c>
      <c r="L289" s="35" t="str">
        <f>_xlfn.XLOOKUP(mvtst[[#This Row],[Sous Traitant]],coordonnee_st[Identification],coordonnee_st[SERVICE],"Non Trouvé")</f>
        <v>Frange</v>
      </c>
      <c r="M289" s="35" t="str">
        <f>INDEX(_xlfn.TEXTSPLIT(mvtst[[#This Row],[QR Suivis]],"_"),1,2)</f>
        <v>All by Fouta</v>
      </c>
      <c r="N289" s="35" t="str">
        <f>INDEX(_xlfn.TEXTSPLIT(mvtst[[#This Row],[QR Suivis]],"_"),1,3)</f>
        <v>Stock</v>
      </c>
      <c r="O289" s="35" t="str">
        <f>INDEX(_xlfn.TEXTSPLIT(mvtst[[#This Row],[QR Suivis]],"_"),1,4)</f>
        <v>UNS1020-23</v>
      </c>
      <c r="P289" s="35" t="str">
        <f>INDEX(_xlfn.TEXTSPLIT(mvtst[[#This Row],[QR Suivis]],"_"),1,5)</f>
        <v>UNI SURPIQUE</v>
      </c>
      <c r="Q289" s="35" t="str">
        <f>_xlfn.TEXTAFTER(mvtst[[#This Row],[QR Suivis]],"_",5)</f>
        <v>1020</v>
      </c>
      <c r="R289" s="84" t="str">
        <f>IF(
   COUNTIFS($A$2:A289,A289,
             $B$2:B289,B289,
             $C$2:C289,C289,
             $D$2:D289,D289,
             $G$2:G289,G289)&gt;1,
   "Doublon",
   "Correcte"
)</f>
        <v>Correcte</v>
      </c>
    </row>
    <row r="290" spans="1:18" x14ac:dyDescent="0.25">
      <c r="A290" s="104" t="s">
        <v>1539</v>
      </c>
      <c r="B290" s="35" t="s">
        <v>712</v>
      </c>
      <c r="C290" s="36">
        <v>5</v>
      </c>
      <c r="D290" s="36">
        <v>0</v>
      </c>
      <c r="E290" s="35"/>
      <c r="F290" s="35" t="s">
        <v>664</v>
      </c>
      <c r="G290" s="37">
        <v>45923</v>
      </c>
      <c r="H290" s="37" t="str">
        <f>INDEX(_xlfn.TEXTSPLIT(mvtst[[#This Row],[QR Suivis]],"_"),1,1)</f>
        <v>CA250013-1</v>
      </c>
      <c r="I290" s="35" t="str">
        <f>_xlfn.TEXTBEFORE(mvtst[[#This Row],[Num Suivis]],"-",,,1)</f>
        <v>CA250013</v>
      </c>
      <c r="J290" s="36">
        <f>SUMIF(mvtst[QR Suivis],mvtst[[#This Row],[QR Suivis]],mvtst[QTE SORTIS])-SUMIF(mvtst[QR Suivis],mvtst[[#This Row],[QR Suivis]],mvtst[QTE RETOUR])</f>
        <v>0</v>
      </c>
      <c r="K290" s="35" t="str">
        <f t="shared" si="4"/>
        <v>Usine</v>
      </c>
      <c r="L290" s="35" t="str">
        <f>_xlfn.XLOOKUP(mvtst[[#This Row],[Sous Traitant]],coordonnee_st[Identification],coordonnee_st[SERVICE],"Non Trouvé")</f>
        <v>Frange</v>
      </c>
      <c r="M290" s="35" t="str">
        <f>INDEX(_xlfn.TEXTSPLIT(mvtst[[#This Row],[QR Suivis]],"_"),1,2)</f>
        <v>All by Fouta</v>
      </c>
      <c r="N290" s="35" t="str">
        <f>INDEX(_xlfn.TEXTSPLIT(mvtst[[#This Row],[QR Suivis]],"_"),1,3)</f>
        <v>Stock</v>
      </c>
      <c r="O290" s="35" t="str">
        <f>INDEX(_xlfn.TEXTSPLIT(mvtst[[#This Row],[QR Suivis]],"_"),1,4)</f>
        <v>UNS1020-23</v>
      </c>
      <c r="P290" s="35" t="str">
        <f>INDEX(_xlfn.TEXTSPLIT(mvtst[[#This Row],[QR Suivis]],"_"),1,5)</f>
        <v>UNI SURPIQUE</v>
      </c>
      <c r="Q290" s="35" t="str">
        <f>_xlfn.TEXTAFTER(mvtst[[#This Row],[QR Suivis]],"_",5)</f>
        <v>1020</v>
      </c>
      <c r="R290" s="84" t="str">
        <f>IF(
   COUNTIFS($A$2:A290,A290,
             $B$2:B290,B290,
             $C$2:C290,C290,
             $D$2:D290,D290,
             $G$2:G290,G290)&gt;1,
   "Doublon",
   "Correcte"
)</f>
        <v>Correcte</v>
      </c>
    </row>
    <row r="291" spans="1:18" x14ac:dyDescent="0.25">
      <c r="A291" s="104" t="s">
        <v>1540</v>
      </c>
      <c r="B291" s="35" t="s">
        <v>712</v>
      </c>
      <c r="C291" s="36">
        <v>4</v>
      </c>
      <c r="D291" s="36">
        <v>0</v>
      </c>
      <c r="E291" s="35"/>
      <c r="F291" s="35" t="s">
        <v>664</v>
      </c>
      <c r="G291" s="37">
        <v>45923</v>
      </c>
      <c r="H291" s="37" t="str">
        <f>INDEX(_xlfn.TEXTSPLIT(mvtst[[#This Row],[QR Suivis]],"_"),1,1)</f>
        <v>CA250014-12</v>
      </c>
      <c r="I291" s="35" t="str">
        <f>_xlfn.TEXTBEFORE(mvtst[[#This Row],[Num Suivis]],"-",,,1)</f>
        <v>CA250014</v>
      </c>
      <c r="J291" s="36">
        <f>SUMIF(mvtst[QR Suivis],mvtst[[#This Row],[QR Suivis]],mvtst[QTE SORTIS])-SUMIF(mvtst[QR Suivis],mvtst[[#This Row],[QR Suivis]],mvtst[QTE RETOUR])</f>
        <v>0</v>
      </c>
      <c r="K291" s="35" t="str">
        <f t="shared" si="4"/>
        <v>Usine</v>
      </c>
      <c r="L291" s="35" t="str">
        <f>_xlfn.XLOOKUP(mvtst[[#This Row],[Sous Traitant]],coordonnee_st[Identification],coordonnee_st[SERVICE],"Non Trouvé")</f>
        <v>Frange</v>
      </c>
      <c r="M291" s="35" t="str">
        <f>INDEX(_xlfn.TEXTSPLIT(mvtst[[#This Row],[QR Suivis]],"_"),1,2)</f>
        <v>All by Fouta</v>
      </c>
      <c r="N291" s="35" t="str">
        <f>INDEX(_xlfn.TEXTSPLIT(mvtst[[#This Row],[QR Suivis]],"_"),1,3)</f>
        <v>Stock</v>
      </c>
      <c r="O291" s="35" t="str">
        <f>INDEX(_xlfn.TEXTSPLIT(mvtst[[#This Row],[QR Suivis]],"_"),1,4)</f>
        <v>UNS1020-24</v>
      </c>
      <c r="P291" s="35" t="str">
        <f>INDEX(_xlfn.TEXTSPLIT(mvtst[[#This Row],[QR Suivis]],"_"),1,5)</f>
        <v>UNI SURPIQUE</v>
      </c>
      <c r="Q291" s="35" t="str">
        <f>_xlfn.TEXTAFTER(mvtst[[#This Row],[QR Suivis]],"_",5)</f>
        <v>1020</v>
      </c>
      <c r="R291" s="84" t="str">
        <f>IF(
   COUNTIFS($A$2:A291,A291,
             $B$2:B291,B291,
             $C$2:C291,C291,
             $D$2:D291,D291,
             $G$2:G291,G291)&gt;1,
   "Doublon",
   "Correcte"
)</f>
        <v>Correcte</v>
      </c>
    </row>
    <row r="292" spans="1:18" x14ac:dyDescent="0.25">
      <c r="A292" s="104" t="s">
        <v>1541</v>
      </c>
      <c r="B292" s="35" t="s">
        <v>712</v>
      </c>
      <c r="C292" s="36">
        <v>5</v>
      </c>
      <c r="D292" s="36">
        <v>0</v>
      </c>
      <c r="E292" s="35"/>
      <c r="F292" s="35" t="s">
        <v>664</v>
      </c>
      <c r="G292" s="37">
        <v>45923</v>
      </c>
      <c r="H292" s="37" t="str">
        <f>INDEX(_xlfn.TEXTSPLIT(mvtst[[#This Row],[QR Suivis]],"_"),1,1)</f>
        <v>CA250014-10</v>
      </c>
      <c r="I292" s="35" t="str">
        <f>_xlfn.TEXTBEFORE(mvtst[[#This Row],[Num Suivis]],"-",,,1)</f>
        <v>CA250014</v>
      </c>
      <c r="J292" s="36">
        <f>SUMIF(mvtst[QR Suivis],mvtst[[#This Row],[QR Suivis]],mvtst[QTE SORTIS])-SUMIF(mvtst[QR Suivis],mvtst[[#This Row],[QR Suivis]],mvtst[QTE RETOUR])</f>
        <v>0</v>
      </c>
      <c r="K292" s="35" t="str">
        <f t="shared" si="4"/>
        <v>Usine</v>
      </c>
      <c r="L292" s="35" t="str">
        <f>_xlfn.XLOOKUP(mvtst[[#This Row],[Sous Traitant]],coordonnee_st[Identification],coordonnee_st[SERVICE],"Non Trouvé")</f>
        <v>Frange</v>
      </c>
      <c r="M292" s="35" t="str">
        <f>INDEX(_xlfn.TEXTSPLIT(mvtst[[#This Row],[QR Suivis]],"_"),1,2)</f>
        <v>All by Fouta</v>
      </c>
      <c r="N292" s="35" t="str">
        <f>INDEX(_xlfn.TEXTSPLIT(mvtst[[#This Row],[QR Suivis]],"_"),1,3)</f>
        <v>Stock</v>
      </c>
      <c r="O292" s="35" t="str">
        <f>INDEX(_xlfn.TEXTSPLIT(mvtst[[#This Row],[QR Suivis]],"_"),1,4)</f>
        <v>UNS1020-24</v>
      </c>
      <c r="P292" s="35" t="str">
        <f>INDEX(_xlfn.TEXTSPLIT(mvtst[[#This Row],[QR Suivis]],"_"),1,5)</f>
        <v>UNI SURPIQUE</v>
      </c>
      <c r="Q292" s="35" t="str">
        <f>_xlfn.TEXTAFTER(mvtst[[#This Row],[QR Suivis]],"_",5)</f>
        <v>1020</v>
      </c>
      <c r="R292" s="84" t="str">
        <f>IF(
   COUNTIFS($A$2:A292,A292,
             $B$2:B292,B292,
             $C$2:C292,C292,
             $D$2:D292,D292,
             $G$2:G292,G292)&gt;1,
   "Doublon",
   "Correcte"
)</f>
        <v>Correcte</v>
      </c>
    </row>
    <row r="293" spans="1:18" x14ac:dyDescent="0.25">
      <c r="A293" s="104" t="s">
        <v>1542</v>
      </c>
      <c r="B293" s="35" t="s">
        <v>712</v>
      </c>
      <c r="C293" s="36">
        <v>5</v>
      </c>
      <c r="D293" s="36">
        <v>0</v>
      </c>
      <c r="E293" s="35"/>
      <c r="F293" s="35" t="s">
        <v>664</v>
      </c>
      <c r="G293" s="37">
        <v>45923</v>
      </c>
      <c r="H293" s="37" t="str">
        <f>INDEX(_xlfn.TEXTSPLIT(mvtst[[#This Row],[QR Suivis]],"_"),1,1)</f>
        <v>CA250014-4</v>
      </c>
      <c r="I293" s="35" t="str">
        <f>_xlfn.TEXTBEFORE(mvtst[[#This Row],[Num Suivis]],"-",,,1)</f>
        <v>CA250014</v>
      </c>
      <c r="J293" s="36">
        <f>SUMIF(mvtst[QR Suivis],mvtst[[#This Row],[QR Suivis]],mvtst[QTE SORTIS])-SUMIF(mvtst[QR Suivis],mvtst[[#This Row],[QR Suivis]],mvtst[QTE RETOUR])</f>
        <v>0</v>
      </c>
      <c r="K293" s="35" t="str">
        <f t="shared" si="4"/>
        <v>Usine</v>
      </c>
      <c r="L293" s="35" t="str">
        <f>_xlfn.XLOOKUP(mvtst[[#This Row],[Sous Traitant]],coordonnee_st[Identification],coordonnee_st[SERVICE],"Non Trouvé")</f>
        <v>Frange</v>
      </c>
      <c r="M293" s="35" t="str">
        <f>INDEX(_xlfn.TEXTSPLIT(mvtst[[#This Row],[QR Suivis]],"_"),1,2)</f>
        <v>All by Fouta</v>
      </c>
      <c r="N293" s="35" t="str">
        <f>INDEX(_xlfn.TEXTSPLIT(mvtst[[#This Row],[QR Suivis]],"_"),1,3)</f>
        <v>Stock</v>
      </c>
      <c r="O293" s="35" t="str">
        <f>INDEX(_xlfn.TEXTSPLIT(mvtst[[#This Row],[QR Suivis]],"_"),1,4)</f>
        <v>UNS1020-24</v>
      </c>
      <c r="P293" s="35" t="str">
        <f>INDEX(_xlfn.TEXTSPLIT(mvtst[[#This Row],[QR Suivis]],"_"),1,5)</f>
        <v>UNI SURPIQUE</v>
      </c>
      <c r="Q293" s="35" t="str">
        <f>_xlfn.TEXTAFTER(mvtst[[#This Row],[QR Suivis]],"_",5)</f>
        <v>1020</v>
      </c>
      <c r="R293" s="84" t="str">
        <f>IF(
   COUNTIFS($A$2:A293,A293,
             $B$2:B293,B293,
             $C$2:C293,C293,
             $D$2:D293,D293,
             $G$2:G293,G293)&gt;1,
   "Doublon",
   "Correcte"
)</f>
        <v>Correcte</v>
      </c>
    </row>
    <row r="294" spans="1:18" x14ac:dyDescent="0.25">
      <c r="A294" s="104" t="s">
        <v>1307</v>
      </c>
      <c r="B294" s="35" t="s">
        <v>712</v>
      </c>
      <c r="C294" s="36">
        <v>5</v>
      </c>
      <c r="D294" s="36">
        <v>0</v>
      </c>
      <c r="E294" s="35"/>
      <c r="F294" s="35" t="s">
        <v>664</v>
      </c>
      <c r="G294" s="37">
        <v>45923</v>
      </c>
      <c r="H294" s="37" t="str">
        <f>INDEX(_xlfn.TEXTSPLIT(mvtst[[#This Row],[QR Suivis]],"_"),1,1)</f>
        <v>CA250014</v>
      </c>
      <c r="I294" s="35" t="str">
        <f>_xlfn.TEXTBEFORE(mvtst[[#This Row],[Num Suivis]],"-",,,1)</f>
        <v>CA250014</v>
      </c>
      <c r="J294" s="36">
        <f>SUMIF(mvtst[QR Suivis],mvtst[[#This Row],[QR Suivis]],mvtst[QTE SORTIS])-SUMIF(mvtst[QR Suivis],mvtst[[#This Row],[QR Suivis]],mvtst[QTE RETOUR])</f>
        <v>0</v>
      </c>
      <c r="K294" s="35" t="str">
        <f t="shared" si="4"/>
        <v>Usine</v>
      </c>
      <c r="L294" s="35" t="str">
        <f>_xlfn.XLOOKUP(mvtst[[#This Row],[Sous Traitant]],coordonnee_st[Identification],coordonnee_st[SERVICE],"Non Trouvé")</f>
        <v>Frange</v>
      </c>
      <c r="M294" s="35" t="str">
        <f>INDEX(_xlfn.TEXTSPLIT(mvtst[[#This Row],[QR Suivis]],"_"),1,2)</f>
        <v>All by Fouta</v>
      </c>
      <c r="N294" s="35" t="str">
        <f>INDEX(_xlfn.TEXTSPLIT(mvtst[[#This Row],[QR Suivis]],"_"),1,3)</f>
        <v>Stock</v>
      </c>
      <c r="O294" s="35" t="str">
        <f>INDEX(_xlfn.TEXTSPLIT(mvtst[[#This Row],[QR Suivis]],"_"),1,4)</f>
        <v>UNS1020-24</v>
      </c>
      <c r="P294" s="35" t="str">
        <f>INDEX(_xlfn.TEXTSPLIT(mvtst[[#This Row],[QR Suivis]],"_"),1,5)</f>
        <v>UNI SURPIQUE</v>
      </c>
      <c r="Q294" s="35" t="str">
        <f>_xlfn.TEXTAFTER(mvtst[[#This Row],[QR Suivis]],"_",5)</f>
        <v>1020</v>
      </c>
      <c r="R294" s="84" t="str">
        <f>IF(
   COUNTIFS($A$2:A294,A294,
             $B$2:B294,B294,
             $C$2:C294,C294,
             $D$2:D294,D294,
             $G$2:G294,G294)&gt;1,
   "Doublon",
   "Correcte"
)</f>
        <v>Correcte</v>
      </c>
    </row>
    <row r="295" spans="1:18" x14ac:dyDescent="0.25">
      <c r="A295" s="104" t="s">
        <v>1543</v>
      </c>
      <c r="B295" s="35" t="s">
        <v>712</v>
      </c>
      <c r="C295" s="36">
        <v>1</v>
      </c>
      <c r="D295" s="36">
        <v>0</v>
      </c>
      <c r="E295" s="35"/>
      <c r="F295" s="35" t="s">
        <v>664</v>
      </c>
      <c r="G295" s="37">
        <v>45923</v>
      </c>
      <c r="H295" s="37" t="str">
        <f>INDEX(_xlfn.TEXTSPLIT(mvtst[[#This Row],[QR Suivis]],"_"),1,1)</f>
        <v>CA250014-13</v>
      </c>
      <c r="I295" s="35" t="str">
        <f>_xlfn.TEXTBEFORE(mvtst[[#This Row],[Num Suivis]],"-",,,1)</f>
        <v>CA250014</v>
      </c>
      <c r="J295" s="36">
        <f>SUMIF(mvtst[QR Suivis],mvtst[[#This Row],[QR Suivis]],mvtst[QTE SORTIS])-SUMIF(mvtst[QR Suivis],mvtst[[#This Row],[QR Suivis]],mvtst[QTE RETOUR])</f>
        <v>0</v>
      </c>
      <c r="K295" s="35" t="str">
        <f t="shared" si="4"/>
        <v>Usine</v>
      </c>
      <c r="L295" s="35" t="str">
        <f>_xlfn.XLOOKUP(mvtst[[#This Row],[Sous Traitant]],coordonnee_st[Identification],coordonnee_st[SERVICE],"Non Trouvé")</f>
        <v>Frange</v>
      </c>
      <c r="M295" s="35" t="str">
        <f>INDEX(_xlfn.TEXTSPLIT(mvtst[[#This Row],[QR Suivis]],"_"),1,2)</f>
        <v>All by Fouta</v>
      </c>
      <c r="N295" s="35" t="str">
        <f>INDEX(_xlfn.TEXTSPLIT(mvtst[[#This Row],[QR Suivis]],"_"),1,3)</f>
        <v>Stock</v>
      </c>
      <c r="O295" s="35" t="str">
        <f>INDEX(_xlfn.TEXTSPLIT(mvtst[[#This Row],[QR Suivis]],"_"),1,4)</f>
        <v>UNS1020-24</v>
      </c>
      <c r="P295" s="35" t="str">
        <f>INDEX(_xlfn.TEXTSPLIT(mvtst[[#This Row],[QR Suivis]],"_"),1,5)</f>
        <v>UNI SURPIQUE</v>
      </c>
      <c r="Q295" s="35" t="str">
        <f>_xlfn.TEXTAFTER(mvtst[[#This Row],[QR Suivis]],"_",5)</f>
        <v>1020</v>
      </c>
      <c r="R295" s="84" t="str">
        <f>IF(
   COUNTIFS($A$2:A295,A295,
             $B$2:B295,B295,
             $C$2:C295,C295,
             $D$2:D295,D295,
             $G$2:G295,G295)&gt;1,
   "Doublon",
   "Correcte"
)</f>
        <v>Correcte</v>
      </c>
    </row>
    <row r="296" spans="1:18" x14ac:dyDescent="0.25">
      <c r="A296" s="104" t="s">
        <v>1544</v>
      </c>
      <c r="B296" s="35" t="s">
        <v>712</v>
      </c>
      <c r="C296" s="36">
        <v>5</v>
      </c>
      <c r="D296" s="36">
        <v>0</v>
      </c>
      <c r="E296" s="35"/>
      <c r="F296" s="35" t="s">
        <v>664</v>
      </c>
      <c r="G296" s="37">
        <v>45923</v>
      </c>
      <c r="H296" s="37" t="str">
        <f>INDEX(_xlfn.TEXTSPLIT(mvtst[[#This Row],[QR Suivis]],"_"),1,1)</f>
        <v>CA250014-5</v>
      </c>
      <c r="I296" s="35" t="str">
        <f>_xlfn.TEXTBEFORE(mvtst[[#This Row],[Num Suivis]],"-",,,1)</f>
        <v>CA250014</v>
      </c>
      <c r="J296" s="36">
        <f>SUMIF(mvtst[QR Suivis],mvtst[[#This Row],[QR Suivis]],mvtst[QTE SORTIS])-SUMIF(mvtst[QR Suivis],mvtst[[#This Row],[QR Suivis]],mvtst[QTE RETOUR])</f>
        <v>0</v>
      </c>
      <c r="K296" s="35" t="str">
        <f t="shared" si="4"/>
        <v>Usine</v>
      </c>
      <c r="L296" s="35" t="str">
        <f>_xlfn.XLOOKUP(mvtst[[#This Row],[Sous Traitant]],coordonnee_st[Identification],coordonnee_st[SERVICE],"Non Trouvé")</f>
        <v>Frange</v>
      </c>
      <c r="M296" s="35" t="str">
        <f>INDEX(_xlfn.TEXTSPLIT(mvtst[[#This Row],[QR Suivis]],"_"),1,2)</f>
        <v>All by Fouta</v>
      </c>
      <c r="N296" s="35" t="str">
        <f>INDEX(_xlfn.TEXTSPLIT(mvtst[[#This Row],[QR Suivis]],"_"),1,3)</f>
        <v>Stock</v>
      </c>
      <c r="O296" s="35" t="str">
        <f>INDEX(_xlfn.TEXTSPLIT(mvtst[[#This Row],[QR Suivis]],"_"),1,4)</f>
        <v>UNS1020-24</v>
      </c>
      <c r="P296" s="35" t="str">
        <f>INDEX(_xlfn.TEXTSPLIT(mvtst[[#This Row],[QR Suivis]],"_"),1,5)</f>
        <v>UNI SURPIQUE</v>
      </c>
      <c r="Q296" s="35" t="str">
        <f>_xlfn.TEXTAFTER(mvtst[[#This Row],[QR Suivis]],"_",5)</f>
        <v>1020</v>
      </c>
      <c r="R296" s="84" t="str">
        <f>IF(
   COUNTIFS($A$2:A296,A296,
             $B$2:B296,B296,
             $C$2:C296,C296,
             $D$2:D296,D296,
             $G$2:G296,G296)&gt;1,
   "Doublon",
   "Correcte"
)</f>
        <v>Correcte</v>
      </c>
    </row>
    <row r="297" spans="1:18" x14ac:dyDescent="0.25">
      <c r="A297" s="104" t="s">
        <v>1545</v>
      </c>
      <c r="B297" s="35" t="s">
        <v>712</v>
      </c>
      <c r="C297" s="36">
        <v>5</v>
      </c>
      <c r="D297" s="36">
        <v>0</v>
      </c>
      <c r="E297" s="35"/>
      <c r="F297" s="35" t="s">
        <v>664</v>
      </c>
      <c r="G297" s="37">
        <v>45923</v>
      </c>
      <c r="H297" s="37" t="str">
        <f>INDEX(_xlfn.TEXTSPLIT(mvtst[[#This Row],[QR Suivis]],"_"),1,1)</f>
        <v>CA250014-1</v>
      </c>
      <c r="I297" s="35" t="str">
        <f>_xlfn.TEXTBEFORE(mvtst[[#This Row],[Num Suivis]],"-",,,1)</f>
        <v>CA250014</v>
      </c>
      <c r="J297" s="36">
        <f>SUMIF(mvtst[QR Suivis],mvtst[[#This Row],[QR Suivis]],mvtst[QTE SORTIS])-SUMIF(mvtst[QR Suivis],mvtst[[#This Row],[QR Suivis]],mvtst[QTE RETOUR])</f>
        <v>0</v>
      </c>
      <c r="K297" s="35" t="str">
        <f t="shared" si="4"/>
        <v>Usine</v>
      </c>
      <c r="L297" s="35" t="str">
        <f>_xlfn.XLOOKUP(mvtst[[#This Row],[Sous Traitant]],coordonnee_st[Identification],coordonnee_st[SERVICE],"Non Trouvé")</f>
        <v>Frange</v>
      </c>
      <c r="M297" s="35" t="str">
        <f>INDEX(_xlfn.TEXTSPLIT(mvtst[[#This Row],[QR Suivis]],"_"),1,2)</f>
        <v>All by Fouta</v>
      </c>
      <c r="N297" s="35" t="str">
        <f>INDEX(_xlfn.TEXTSPLIT(mvtst[[#This Row],[QR Suivis]],"_"),1,3)</f>
        <v>Stock</v>
      </c>
      <c r="O297" s="35" t="str">
        <f>INDEX(_xlfn.TEXTSPLIT(mvtst[[#This Row],[QR Suivis]],"_"),1,4)</f>
        <v>UNS1020-24</v>
      </c>
      <c r="P297" s="35" t="str">
        <f>INDEX(_xlfn.TEXTSPLIT(mvtst[[#This Row],[QR Suivis]],"_"),1,5)</f>
        <v>UNI SURPIQUE</v>
      </c>
      <c r="Q297" s="35" t="str">
        <f>_xlfn.TEXTAFTER(mvtst[[#This Row],[QR Suivis]],"_",5)</f>
        <v>1020</v>
      </c>
      <c r="R297" s="84" t="str">
        <f>IF(
   COUNTIFS($A$2:A297,A297,
             $B$2:B297,B297,
             $C$2:C297,C297,
             $D$2:D297,D297,
             $G$2:G297,G297)&gt;1,
   "Doublon",
   "Correcte"
)</f>
        <v>Correcte</v>
      </c>
    </row>
    <row r="298" spans="1:18" x14ac:dyDescent="0.25">
      <c r="A298" s="104" t="s">
        <v>1546</v>
      </c>
      <c r="B298" s="35" t="s">
        <v>712</v>
      </c>
      <c r="C298" s="36">
        <v>5</v>
      </c>
      <c r="D298" s="36">
        <v>0</v>
      </c>
      <c r="E298" s="35"/>
      <c r="F298" s="35" t="s">
        <v>664</v>
      </c>
      <c r="G298" s="37">
        <v>45923</v>
      </c>
      <c r="H298" s="37" t="str">
        <f>INDEX(_xlfn.TEXTSPLIT(mvtst[[#This Row],[QR Suivis]],"_"),1,1)</f>
        <v>CA250014-11</v>
      </c>
      <c r="I298" s="35" t="str">
        <f>_xlfn.TEXTBEFORE(mvtst[[#This Row],[Num Suivis]],"-",,,1)</f>
        <v>CA250014</v>
      </c>
      <c r="J298" s="36">
        <f>SUMIF(mvtst[QR Suivis],mvtst[[#This Row],[QR Suivis]],mvtst[QTE SORTIS])-SUMIF(mvtst[QR Suivis],mvtst[[#This Row],[QR Suivis]],mvtst[QTE RETOUR])</f>
        <v>0</v>
      </c>
      <c r="K298" s="35" t="str">
        <f t="shared" si="4"/>
        <v>Usine</v>
      </c>
      <c r="L298" s="35" t="str">
        <f>_xlfn.XLOOKUP(mvtst[[#This Row],[Sous Traitant]],coordonnee_st[Identification],coordonnee_st[SERVICE],"Non Trouvé")</f>
        <v>Frange</v>
      </c>
      <c r="M298" s="35" t="str">
        <f>INDEX(_xlfn.TEXTSPLIT(mvtst[[#This Row],[QR Suivis]],"_"),1,2)</f>
        <v>All by Fouta</v>
      </c>
      <c r="N298" s="35" t="str">
        <f>INDEX(_xlfn.TEXTSPLIT(mvtst[[#This Row],[QR Suivis]],"_"),1,3)</f>
        <v>Stock</v>
      </c>
      <c r="O298" s="35" t="str">
        <f>INDEX(_xlfn.TEXTSPLIT(mvtst[[#This Row],[QR Suivis]],"_"),1,4)</f>
        <v>UNS1020-24</v>
      </c>
      <c r="P298" s="35" t="str">
        <f>INDEX(_xlfn.TEXTSPLIT(mvtst[[#This Row],[QR Suivis]],"_"),1,5)</f>
        <v>UNI SURPIQUE</v>
      </c>
      <c r="Q298" s="35" t="str">
        <f>_xlfn.TEXTAFTER(mvtst[[#This Row],[QR Suivis]],"_",5)</f>
        <v>1020</v>
      </c>
      <c r="R298" s="84" t="str">
        <f>IF(
   COUNTIFS($A$2:A298,A298,
             $B$2:B298,B298,
             $C$2:C298,C298,
             $D$2:D298,D298,
             $G$2:G298,G298)&gt;1,
   "Doublon",
   "Correcte"
)</f>
        <v>Correcte</v>
      </c>
    </row>
    <row r="299" spans="1:18" x14ac:dyDescent="0.25">
      <c r="A299" s="104" t="s">
        <v>1547</v>
      </c>
      <c r="B299" s="35" t="s">
        <v>712</v>
      </c>
      <c r="C299" s="36">
        <v>5</v>
      </c>
      <c r="D299" s="36">
        <v>0</v>
      </c>
      <c r="E299" s="35"/>
      <c r="F299" s="35" t="s">
        <v>664</v>
      </c>
      <c r="G299" s="37">
        <v>45923</v>
      </c>
      <c r="H299" s="37" t="str">
        <f>INDEX(_xlfn.TEXTSPLIT(mvtst[[#This Row],[QR Suivis]],"_"),1,1)</f>
        <v>CA250014-8</v>
      </c>
      <c r="I299" s="35" t="str">
        <f>_xlfn.TEXTBEFORE(mvtst[[#This Row],[Num Suivis]],"-",,,1)</f>
        <v>CA250014</v>
      </c>
      <c r="J299" s="36">
        <f>SUMIF(mvtst[QR Suivis],mvtst[[#This Row],[QR Suivis]],mvtst[QTE SORTIS])-SUMIF(mvtst[QR Suivis],mvtst[[#This Row],[QR Suivis]],mvtst[QTE RETOUR])</f>
        <v>0</v>
      </c>
      <c r="K299" s="35" t="str">
        <f t="shared" si="4"/>
        <v>Usine</v>
      </c>
      <c r="L299" s="35" t="str">
        <f>_xlfn.XLOOKUP(mvtst[[#This Row],[Sous Traitant]],coordonnee_st[Identification],coordonnee_st[SERVICE],"Non Trouvé")</f>
        <v>Frange</v>
      </c>
      <c r="M299" s="35" t="str">
        <f>INDEX(_xlfn.TEXTSPLIT(mvtst[[#This Row],[QR Suivis]],"_"),1,2)</f>
        <v>All by Fouta</v>
      </c>
      <c r="N299" s="35" t="str">
        <f>INDEX(_xlfn.TEXTSPLIT(mvtst[[#This Row],[QR Suivis]],"_"),1,3)</f>
        <v>Stock</v>
      </c>
      <c r="O299" s="35" t="str">
        <f>INDEX(_xlfn.TEXTSPLIT(mvtst[[#This Row],[QR Suivis]],"_"),1,4)</f>
        <v>UNS1020-24</v>
      </c>
      <c r="P299" s="35" t="str">
        <f>INDEX(_xlfn.TEXTSPLIT(mvtst[[#This Row],[QR Suivis]],"_"),1,5)</f>
        <v>UNI SURPIQUE</v>
      </c>
      <c r="Q299" s="35" t="str">
        <f>_xlfn.TEXTAFTER(mvtst[[#This Row],[QR Suivis]],"_",5)</f>
        <v>1020</v>
      </c>
      <c r="R299" s="84" t="str">
        <f>IF(
   COUNTIFS($A$2:A299,A299,
             $B$2:B299,B299,
             $C$2:C299,C299,
             $D$2:D299,D299,
             $G$2:G299,G299)&gt;1,
   "Doublon",
   "Correcte"
)</f>
        <v>Correcte</v>
      </c>
    </row>
    <row r="300" spans="1:18" x14ac:dyDescent="0.25">
      <c r="A300" s="104" t="s">
        <v>1548</v>
      </c>
      <c r="B300" s="35" t="s">
        <v>712</v>
      </c>
      <c r="C300" s="36">
        <v>5</v>
      </c>
      <c r="D300" s="36">
        <v>0</v>
      </c>
      <c r="E300" s="35"/>
      <c r="F300" s="35" t="s">
        <v>664</v>
      </c>
      <c r="G300" s="37">
        <v>45923</v>
      </c>
      <c r="H300" s="37" t="str">
        <f>INDEX(_xlfn.TEXTSPLIT(mvtst[[#This Row],[QR Suivis]],"_"),1,1)</f>
        <v>CA250014-2</v>
      </c>
      <c r="I300" s="35" t="str">
        <f>_xlfn.TEXTBEFORE(mvtst[[#This Row],[Num Suivis]],"-",,,1)</f>
        <v>CA250014</v>
      </c>
      <c r="J300" s="36">
        <f>SUMIF(mvtst[QR Suivis],mvtst[[#This Row],[QR Suivis]],mvtst[QTE SORTIS])-SUMIF(mvtst[QR Suivis],mvtst[[#This Row],[QR Suivis]],mvtst[QTE RETOUR])</f>
        <v>0</v>
      </c>
      <c r="K300" s="35" t="str">
        <f t="shared" si="4"/>
        <v>Usine</v>
      </c>
      <c r="L300" s="35" t="str">
        <f>_xlfn.XLOOKUP(mvtst[[#This Row],[Sous Traitant]],coordonnee_st[Identification],coordonnee_st[SERVICE],"Non Trouvé")</f>
        <v>Frange</v>
      </c>
      <c r="M300" s="35" t="str">
        <f>INDEX(_xlfn.TEXTSPLIT(mvtst[[#This Row],[QR Suivis]],"_"),1,2)</f>
        <v>All by Fouta</v>
      </c>
      <c r="N300" s="35" t="str">
        <f>INDEX(_xlfn.TEXTSPLIT(mvtst[[#This Row],[QR Suivis]],"_"),1,3)</f>
        <v>Stock</v>
      </c>
      <c r="O300" s="35" t="str">
        <f>INDEX(_xlfn.TEXTSPLIT(mvtst[[#This Row],[QR Suivis]],"_"),1,4)</f>
        <v>UNS1020-24</v>
      </c>
      <c r="P300" s="35" t="str">
        <f>INDEX(_xlfn.TEXTSPLIT(mvtst[[#This Row],[QR Suivis]],"_"),1,5)</f>
        <v>UNI SURPIQUE</v>
      </c>
      <c r="Q300" s="35" t="str">
        <f>_xlfn.TEXTAFTER(mvtst[[#This Row],[QR Suivis]],"_",5)</f>
        <v>1020</v>
      </c>
      <c r="R300" s="84" t="str">
        <f>IF(
   COUNTIFS($A$2:A300,A300,
             $B$2:B300,B300,
             $C$2:C300,C300,
             $D$2:D300,D300,
             $G$2:G300,G300)&gt;1,
   "Doublon",
   "Correcte"
)</f>
        <v>Correcte</v>
      </c>
    </row>
    <row r="301" spans="1:18" x14ac:dyDescent="0.25">
      <c r="A301" s="104" t="s">
        <v>1549</v>
      </c>
      <c r="B301" s="35" t="s">
        <v>712</v>
      </c>
      <c r="C301" s="36">
        <v>5</v>
      </c>
      <c r="D301" s="36">
        <v>0</v>
      </c>
      <c r="E301" s="35"/>
      <c r="F301" s="35" t="s">
        <v>664</v>
      </c>
      <c r="G301" s="37">
        <v>45923</v>
      </c>
      <c r="H301" s="37" t="str">
        <f>INDEX(_xlfn.TEXTSPLIT(mvtst[[#This Row],[QR Suivis]],"_"),1,1)</f>
        <v>CA250014-3</v>
      </c>
      <c r="I301" s="35" t="str">
        <f>_xlfn.TEXTBEFORE(mvtst[[#This Row],[Num Suivis]],"-",,,1)</f>
        <v>CA250014</v>
      </c>
      <c r="J301" s="36">
        <f>SUMIF(mvtst[QR Suivis],mvtst[[#This Row],[QR Suivis]],mvtst[QTE SORTIS])-SUMIF(mvtst[QR Suivis],mvtst[[#This Row],[QR Suivis]],mvtst[QTE RETOUR])</f>
        <v>0</v>
      </c>
      <c r="K301" s="35" t="str">
        <f t="shared" si="4"/>
        <v>Usine</v>
      </c>
      <c r="L301" s="35" t="str">
        <f>_xlfn.XLOOKUP(mvtst[[#This Row],[Sous Traitant]],coordonnee_st[Identification],coordonnee_st[SERVICE],"Non Trouvé")</f>
        <v>Frange</v>
      </c>
      <c r="M301" s="35" t="str">
        <f>INDEX(_xlfn.TEXTSPLIT(mvtst[[#This Row],[QR Suivis]],"_"),1,2)</f>
        <v>All by Fouta</v>
      </c>
      <c r="N301" s="35" t="str">
        <f>INDEX(_xlfn.TEXTSPLIT(mvtst[[#This Row],[QR Suivis]],"_"),1,3)</f>
        <v>Stock</v>
      </c>
      <c r="O301" s="35" t="str">
        <f>INDEX(_xlfn.TEXTSPLIT(mvtst[[#This Row],[QR Suivis]],"_"),1,4)</f>
        <v>UNS1020-24</v>
      </c>
      <c r="P301" s="35" t="str">
        <f>INDEX(_xlfn.TEXTSPLIT(mvtst[[#This Row],[QR Suivis]],"_"),1,5)</f>
        <v>UNI SURPIQUE</v>
      </c>
      <c r="Q301" s="35" t="str">
        <f>_xlfn.TEXTAFTER(mvtst[[#This Row],[QR Suivis]],"_",5)</f>
        <v>1020</v>
      </c>
      <c r="R301" s="84" t="str">
        <f>IF(
   COUNTIFS($A$2:A301,A301,
             $B$2:B301,B301,
             $C$2:C301,C301,
             $D$2:D301,D301,
             $G$2:G301,G301)&gt;1,
   "Doublon",
   "Correcte"
)</f>
        <v>Correcte</v>
      </c>
    </row>
    <row r="302" spans="1:18" x14ac:dyDescent="0.25">
      <c r="A302" s="104" t="s">
        <v>1550</v>
      </c>
      <c r="B302" s="35" t="s">
        <v>712</v>
      </c>
      <c r="C302" s="36">
        <v>5</v>
      </c>
      <c r="D302" s="36">
        <v>0</v>
      </c>
      <c r="E302" s="35"/>
      <c r="F302" s="35" t="s">
        <v>664</v>
      </c>
      <c r="G302" s="37">
        <v>45923</v>
      </c>
      <c r="H302" s="37" t="str">
        <f>INDEX(_xlfn.TEXTSPLIT(mvtst[[#This Row],[QR Suivis]],"_"),1,1)</f>
        <v>CA250014-9</v>
      </c>
      <c r="I302" s="35" t="str">
        <f>_xlfn.TEXTBEFORE(mvtst[[#This Row],[Num Suivis]],"-",,,1)</f>
        <v>CA250014</v>
      </c>
      <c r="J302" s="36">
        <f>SUMIF(mvtst[QR Suivis],mvtst[[#This Row],[QR Suivis]],mvtst[QTE SORTIS])-SUMIF(mvtst[QR Suivis],mvtst[[#This Row],[QR Suivis]],mvtst[QTE RETOUR])</f>
        <v>0</v>
      </c>
      <c r="K302" s="35" t="str">
        <f t="shared" si="4"/>
        <v>Usine</v>
      </c>
      <c r="L302" s="35" t="str">
        <f>_xlfn.XLOOKUP(mvtst[[#This Row],[Sous Traitant]],coordonnee_st[Identification],coordonnee_st[SERVICE],"Non Trouvé")</f>
        <v>Frange</v>
      </c>
      <c r="M302" s="35" t="str">
        <f>INDEX(_xlfn.TEXTSPLIT(mvtst[[#This Row],[QR Suivis]],"_"),1,2)</f>
        <v>All by Fouta</v>
      </c>
      <c r="N302" s="35" t="str">
        <f>INDEX(_xlfn.TEXTSPLIT(mvtst[[#This Row],[QR Suivis]],"_"),1,3)</f>
        <v>Stock</v>
      </c>
      <c r="O302" s="35" t="str">
        <f>INDEX(_xlfn.TEXTSPLIT(mvtst[[#This Row],[QR Suivis]],"_"),1,4)</f>
        <v>UNS1020-24</v>
      </c>
      <c r="P302" s="35" t="str">
        <f>INDEX(_xlfn.TEXTSPLIT(mvtst[[#This Row],[QR Suivis]],"_"),1,5)</f>
        <v>UNI SURPIQUE</v>
      </c>
      <c r="Q302" s="35" t="str">
        <f>_xlfn.TEXTAFTER(mvtst[[#This Row],[QR Suivis]],"_",5)</f>
        <v>1020</v>
      </c>
      <c r="R302" s="84" t="str">
        <f>IF(
   COUNTIFS($A$2:A302,A302,
             $B$2:B302,B302,
             $C$2:C302,C302,
             $D$2:D302,D302,
             $G$2:G302,G302)&gt;1,
   "Doublon",
   "Correcte"
)</f>
        <v>Correcte</v>
      </c>
    </row>
    <row r="303" spans="1:18" x14ac:dyDescent="0.25">
      <c r="A303" s="104" t="s">
        <v>1551</v>
      </c>
      <c r="B303" s="35" t="s">
        <v>712</v>
      </c>
      <c r="C303" s="36">
        <v>5</v>
      </c>
      <c r="D303" s="36">
        <v>0</v>
      </c>
      <c r="E303" s="35"/>
      <c r="F303" s="35" t="s">
        <v>664</v>
      </c>
      <c r="G303" s="37">
        <v>45923</v>
      </c>
      <c r="H303" s="37" t="str">
        <f>INDEX(_xlfn.TEXTSPLIT(mvtst[[#This Row],[QR Suivis]],"_"),1,1)</f>
        <v>CA250014-6</v>
      </c>
      <c r="I303" s="35" t="str">
        <f>_xlfn.TEXTBEFORE(mvtst[[#This Row],[Num Suivis]],"-",,,1)</f>
        <v>CA250014</v>
      </c>
      <c r="J303" s="36">
        <f>SUMIF(mvtst[QR Suivis],mvtst[[#This Row],[QR Suivis]],mvtst[QTE SORTIS])-SUMIF(mvtst[QR Suivis],mvtst[[#This Row],[QR Suivis]],mvtst[QTE RETOUR])</f>
        <v>0</v>
      </c>
      <c r="K303" s="35" t="str">
        <f t="shared" si="4"/>
        <v>Usine</v>
      </c>
      <c r="L303" s="35" t="str">
        <f>_xlfn.XLOOKUP(mvtst[[#This Row],[Sous Traitant]],coordonnee_st[Identification],coordonnee_st[SERVICE],"Non Trouvé")</f>
        <v>Frange</v>
      </c>
      <c r="M303" s="35" t="str">
        <f>INDEX(_xlfn.TEXTSPLIT(mvtst[[#This Row],[QR Suivis]],"_"),1,2)</f>
        <v>All by Fouta</v>
      </c>
      <c r="N303" s="35" t="str">
        <f>INDEX(_xlfn.TEXTSPLIT(mvtst[[#This Row],[QR Suivis]],"_"),1,3)</f>
        <v>Stock</v>
      </c>
      <c r="O303" s="35" t="str">
        <f>INDEX(_xlfn.TEXTSPLIT(mvtst[[#This Row],[QR Suivis]],"_"),1,4)</f>
        <v>UNS1020-24</v>
      </c>
      <c r="P303" s="35" t="str">
        <f>INDEX(_xlfn.TEXTSPLIT(mvtst[[#This Row],[QR Suivis]],"_"),1,5)</f>
        <v>UNI SURPIQUE</v>
      </c>
      <c r="Q303" s="35" t="str">
        <f>_xlfn.TEXTAFTER(mvtst[[#This Row],[QR Suivis]],"_",5)</f>
        <v>1020</v>
      </c>
      <c r="R303" s="84" t="str">
        <f>IF(
   COUNTIFS($A$2:A303,A303,
             $B$2:B303,B303,
             $C$2:C303,C303,
             $D$2:D303,D303,
             $G$2:G303,G303)&gt;1,
   "Doublon",
   "Correcte"
)</f>
        <v>Correcte</v>
      </c>
    </row>
    <row r="304" spans="1:18" x14ac:dyDescent="0.25">
      <c r="A304" s="104" t="s">
        <v>1343</v>
      </c>
      <c r="B304" s="35" t="s">
        <v>596</v>
      </c>
      <c r="C304" s="36">
        <v>0</v>
      </c>
      <c r="D304" s="36">
        <v>5</v>
      </c>
      <c r="E304" s="35"/>
      <c r="F304" s="35" t="s">
        <v>664</v>
      </c>
      <c r="G304" s="37">
        <v>45923</v>
      </c>
      <c r="H304" s="37" t="str">
        <f>INDEX(_xlfn.TEXTSPLIT(mvtst[[#This Row],[QR Suivis]],"_"),1,1)</f>
        <v>CA250469-1</v>
      </c>
      <c r="I304" s="35" t="str">
        <f>_xlfn.TEXTBEFORE(mvtst[[#This Row],[Num Suivis]],"-",,,1)</f>
        <v>CA250469</v>
      </c>
      <c r="J304" s="36">
        <f>SUMIF(mvtst[QR Suivis],mvtst[[#This Row],[QR Suivis]],mvtst[QTE SORTIS])-SUMIF(mvtst[QR Suivis],mvtst[[#This Row],[QR Suivis]],mvtst[QTE RETOUR])</f>
        <v>0</v>
      </c>
      <c r="K304" s="35" t="str">
        <f t="shared" si="4"/>
        <v>Usine</v>
      </c>
      <c r="L304" s="35" t="str">
        <f>_xlfn.XLOOKUP(mvtst[[#This Row],[Sous Traitant]],coordonnee_st[Identification],coordonnee_st[SERVICE],"Non Trouvé")</f>
        <v>Frange</v>
      </c>
      <c r="M304" s="35" t="str">
        <f>INDEX(_xlfn.TEXTSPLIT(mvtst[[#This Row],[QR Suivis]],"_"),1,2)</f>
        <v>All by Fouta</v>
      </c>
      <c r="N304" s="35" t="str">
        <f>INDEX(_xlfn.TEXTSPLIT(mvtst[[#This Row],[QR Suivis]],"_"),1,3)</f>
        <v>Stock</v>
      </c>
      <c r="O304" s="35" t="str">
        <f>INDEX(_xlfn.TEXTSPLIT(mvtst[[#This Row],[QR Suivis]],"_"),1,4)</f>
        <v>FAF1020-B04-02</v>
      </c>
      <c r="P304" s="35" t="str">
        <f>INDEX(_xlfn.TEXTSPLIT(mvtst[[#This Row],[QR Suivis]],"_"),1,5)</f>
        <v>FIL A FIL</v>
      </c>
      <c r="Q304" s="35" t="str">
        <f>_xlfn.TEXTAFTER(mvtst[[#This Row],[QR Suivis]],"_",5)</f>
        <v>1020</v>
      </c>
      <c r="R304" s="84" t="str">
        <f>IF(
   COUNTIFS($A$2:A304,A304,
             $B$2:B304,B304,
             $C$2:C304,C304,
             $D$2:D304,D304,
             $G$2:G304,G304)&gt;1,
   "Doublon",
   "Correcte"
)</f>
        <v>Correcte</v>
      </c>
    </row>
    <row r="305" spans="1:18" x14ac:dyDescent="0.25">
      <c r="A305" s="104" t="s">
        <v>1344</v>
      </c>
      <c r="B305" s="35" t="s">
        <v>596</v>
      </c>
      <c r="C305" s="36">
        <v>0</v>
      </c>
      <c r="D305" s="36">
        <v>5</v>
      </c>
      <c r="E305" s="35"/>
      <c r="F305" s="35" t="s">
        <v>664</v>
      </c>
      <c r="G305" s="37">
        <v>45923</v>
      </c>
      <c r="H305" s="37" t="str">
        <f>INDEX(_xlfn.TEXTSPLIT(mvtst[[#This Row],[QR Suivis]],"_"),1,1)</f>
        <v>CA250469-2</v>
      </c>
      <c r="I305" s="35" t="str">
        <f>_xlfn.TEXTBEFORE(mvtst[[#This Row],[Num Suivis]],"-",,,1)</f>
        <v>CA250469</v>
      </c>
      <c r="J305" s="36">
        <f>SUMIF(mvtst[QR Suivis],mvtst[[#This Row],[QR Suivis]],mvtst[QTE SORTIS])-SUMIF(mvtst[QR Suivis],mvtst[[#This Row],[QR Suivis]],mvtst[QTE RETOUR])</f>
        <v>0</v>
      </c>
      <c r="K305" s="35" t="str">
        <f t="shared" si="4"/>
        <v>Usine</v>
      </c>
      <c r="L305" s="35" t="str">
        <f>_xlfn.XLOOKUP(mvtst[[#This Row],[Sous Traitant]],coordonnee_st[Identification],coordonnee_st[SERVICE],"Non Trouvé")</f>
        <v>Frange</v>
      </c>
      <c r="M305" s="35" t="str">
        <f>INDEX(_xlfn.TEXTSPLIT(mvtst[[#This Row],[QR Suivis]],"_"),1,2)</f>
        <v>All by Fouta</v>
      </c>
      <c r="N305" s="35" t="str">
        <f>INDEX(_xlfn.TEXTSPLIT(mvtst[[#This Row],[QR Suivis]],"_"),1,3)</f>
        <v>Stock</v>
      </c>
      <c r="O305" s="35" t="str">
        <f>INDEX(_xlfn.TEXTSPLIT(mvtst[[#This Row],[QR Suivis]],"_"),1,4)</f>
        <v>FAF1020-B04-02</v>
      </c>
      <c r="P305" s="35" t="str">
        <f>INDEX(_xlfn.TEXTSPLIT(mvtst[[#This Row],[QR Suivis]],"_"),1,5)</f>
        <v>FIL A FIL</v>
      </c>
      <c r="Q305" s="35" t="str">
        <f>_xlfn.TEXTAFTER(mvtst[[#This Row],[QR Suivis]],"_",5)</f>
        <v>1020</v>
      </c>
      <c r="R305" s="84" t="str">
        <f>IF(
   COUNTIFS($A$2:A305,A305,
             $B$2:B305,B305,
             $C$2:C305,C305,
             $D$2:D305,D305,
             $G$2:G305,G305)&gt;1,
   "Doublon",
   "Correcte"
)</f>
        <v>Correcte</v>
      </c>
    </row>
    <row r="306" spans="1:18" x14ac:dyDescent="0.25">
      <c r="A306" s="104" t="s">
        <v>1345</v>
      </c>
      <c r="B306" s="35" t="s">
        <v>596</v>
      </c>
      <c r="C306" s="36">
        <v>0</v>
      </c>
      <c r="D306" s="36">
        <v>5</v>
      </c>
      <c r="E306" s="35"/>
      <c r="F306" s="35" t="s">
        <v>664</v>
      </c>
      <c r="G306" s="37">
        <v>45923</v>
      </c>
      <c r="H306" s="37" t="str">
        <f>INDEX(_xlfn.TEXTSPLIT(mvtst[[#This Row],[QR Suivis]],"_"),1,1)</f>
        <v>CA250469-3</v>
      </c>
      <c r="I306" s="35" t="str">
        <f>_xlfn.TEXTBEFORE(mvtst[[#This Row],[Num Suivis]],"-",,,1)</f>
        <v>CA250469</v>
      </c>
      <c r="J306" s="36">
        <f>SUMIF(mvtst[QR Suivis],mvtst[[#This Row],[QR Suivis]],mvtst[QTE SORTIS])-SUMIF(mvtst[QR Suivis],mvtst[[#This Row],[QR Suivis]],mvtst[QTE RETOUR])</f>
        <v>0</v>
      </c>
      <c r="K306" s="35" t="str">
        <f t="shared" si="4"/>
        <v>Usine</v>
      </c>
      <c r="L306" s="35" t="str">
        <f>_xlfn.XLOOKUP(mvtst[[#This Row],[Sous Traitant]],coordonnee_st[Identification],coordonnee_st[SERVICE],"Non Trouvé")</f>
        <v>Frange</v>
      </c>
      <c r="M306" s="35" t="str">
        <f>INDEX(_xlfn.TEXTSPLIT(mvtst[[#This Row],[QR Suivis]],"_"),1,2)</f>
        <v>All by Fouta</v>
      </c>
      <c r="N306" s="35" t="str">
        <f>INDEX(_xlfn.TEXTSPLIT(mvtst[[#This Row],[QR Suivis]],"_"),1,3)</f>
        <v>Stock</v>
      </c>
      <c r="O306" s="35" t="str">
        <f>INDEX(_xlfn.TEXTSPLIT(mvtst[[#This Row],[QR Suivis]],"_"),1,4)</f>
        <v>FAF1020-B04-02</v>
      </c>
      <c r="P306" s="35" t="str">
        <f>INDEX(_xlfn.TEXTSPLIT(mvtst[[#This Row],[QR Suivis]],"_"),1,5)</f>
        <v>FIL A FIL</v>
      </c>
      <c r="Q306" s="35" t="str">
        <f>_xlfn.TEXTAFTER(mvtst[[#This Row],[QR Suivis]],"_",5)</f>
        <v>1020</v>
      </c>
      <c r="R306" s="84" t="str">
        <f>IF(
   COUNTIFS($A$2:A306,A306,
             $B$2:B306,B306,
             $C$2:C306,C306,
             $D$2:D306,D306,
             $G$2:G306,G306)&gt;1,
   "Doublon",
   "Correcte"
)</f>
        <v>Correcte</v>
      </c>
    </row>
    <row r="307" spans="1:18" x14ac:dyDescent="0.25">
      <c r="A307" s="104" t="s">
        <v>1346</v>
      </c>
      <c r="B307" s="35" t="s">
        <v>596</v>
      </c>
      <c r="C307" s="36">
        <v>0</v>
      </c>
      <c r="D307" s="36">
        <v>5</v>
      </c>
      <c r="E307" s="35"/>
      <c r="F307" s="35" t="s">
        <v>664</v>
      </c>
      <c r="G307" s="37">
        <v>45923</v>
      </c>
      <c r="H307" s="37" t="str">
        <f>INDEX(_xlfn.TEXTSPLIT(mvtst[[#This Row],[QR Suivis]],"_"),1,1)</f>
        <v>CA250469-4</v>
      </c>
      <c r="I307" s="35" t="str">
        <f>_xlfn.TEXTBEFORE(mvtst[[#This Row],[Num Suivis]],"-",,,1)</f>
        <v>CA250469</v>
      </c>
      <c r="J307" s="36">
        <f>SUMIF(mvtst[QR Suivis],mvtst[[#This Row],[QR Suivis]],mvtst[QTE SORTIS])-SUMIF(mvtst[QR Suivis],mvtst[[#This Row],[QR Suivis]],mvtst[QTE RETOUR])</f>
        <v>0</v>
      </c>
      <c r="K307" s="35" t="str">
        <f t="shared" si="4"/>
        <v>Usine</v>
      </c>
      <c r="L307" s="35" t="str">
        <f>_xlfn.XLOOKUP(mvtst[[#This Row],[Sous Traitant]],coordonnee_st[Identification],coordonnee_st[SERVICE],"Non Trouvé")</f>
        <v>Frange</v>
      </c>
      <c r="M307" s="35" t="str">
        <f>INDEX(_xlfn.TEXTSPLIT(mvtst[[#This Row],[QR Suivis]],"_"),1,2)</f>
        <v>All by Fouta</v>
      </c>
      <c r="N307" s="35" t="str">
        <f>INDEX(_xlfn.TEXTSPLIT(mvtst[[#This Row],[QR Suivis]],"_"),1,3)</f>
        <v>Stock</v>
      </c>
      <c r="O307" s="35" t="str">
        <f>INDEX(_xlfn.TEXTSPLIT(mvtst[[#This Row],[QR Suivis]],"_"),1,4)</f>
        <v>FAF1020-B04-02</v>
      </c>
      <c r="P307" s="35" t="str">
        <f>INDEX(_xlfn.TEXTSPLIT(mvtst[[#This Row],[QR Suivis]],"_"),1,5)</f>
        <v>FIL A FIL</v>
      </c>
      <c r="Q307" s="35" t="str">
        <f>_xlfn.TEXTAFTER(mvtst[[#This Row],[QR Suivis]],"_",5)</f>
        <v>1020</v>
      </c>
      <c r="R307" s="84" t="str">
        <f>IF(
   COUNTIFS($A$2:A307,A307,
             $B$2:B307,B307,
             $C$2:C307,C307,
             $D$2:D307,D307,
             $G$2:G307,G307)&gt;1,
   "Doublon",
   "Correcte"
)</f>
        <v>Correcte</v>
      </c>
    </row>
    <row r="308" spans="1:18" x14ac:dyDescent="0.25">
      <c r="A308" s="104" t="s">
        <v>1347</v>
      </c>
      <c r="B308" s="35" t="s">
        <v>596</v>
      </c>
      <c r="C308" s="36">
        <v>0</v>
      </c>
      <c r="D308" s="36">
        <v>5</v>
      </c>
      <c r="E308" s="35"/>
      <c r="F308" s="35" t="s">
        <v>664</v>
      </c>
      <c r="G308" s="37">
        <v>45923</v>
      </c>
      <c r="H308" s="37" t="str">
        <f>INDEX(_xlfn.TEXTSPLIT(mvtst[[#This Row],[QR Suivis]],"_"),1,1)</f>
        <v>CA250469-5</v>
      </c>
      <c r="I308" s="35" t="str">
        <f>_xlfn.TEXTBEFORE(mvtst[[#This Row],[Num Suivis]],"-",,,1)</f>
        <v>CA250469</v>
      </c>
      <c r="J308" s="36">
        <f>SUMIF(mvtst[QR Suivis],mvtst[[#This Row],[QR Suivis]],mvtst[QTE SORTIS])-SUMIF(mvtst[QR Suivis],mvtst[[#This Row],[QR Suivis]],mvtst[QTE RETOUR])</f>
        <v>0</v>
      </c>
      <c r="K308" s="35" t="str">
        <f t="shared" si="4"/>
        <v>Usine</v>
      </c>
      <c r="L308" s="35" t="str">
        <f>_xlfn.XLOOKUP(mvtst[[#This Row],[Sous Traitant]],coordonnee_st[Identification],coordonnee_st[SERVICE],"Non Trouvé")</f>
        <v>Frange</v>
      </c>
      <c r="M308" s="35" t="str">
        <f>INDEX(_xlfn.TEXTSPLIT(mvtst[[#This Row],[QR Suivis]],"_"),1,2)</f>
        <v>All by Fouta</v>
      </c>
      <c r="N308" s="35" t="str">
        <f>INDEX(_xlfn.TEXTSPLIT(mvtst[[#This Row],[QR Suivis]],"_"),1,3)</f>
        <v>Stock</v>
      </c>
      <c r="O308" s="35" t="str">
        <f>INDEX(_xlfn.TEXTSPLIT(mvtst[[#This Row],[QR Suivis]],"_"),1,4)</f>
        <v>FAF1020-B04-02</v>
      </c>
      <c r="P308" s="35" t="str">
        <f>INDEX(_xlfn.TEXTSPLIT(mvtst[[#This Row],[QR Suivis]],"_"),1,5)</f>
        <v>FIL A FIL</v>
      </c>
      <c r="Q308" s="35" t="str">
        <f>_xlfn.TEXTAFTER(mvtst[[#This Row],[QR Suivis]],"_",5)</f>
        <v>1020</v>
      </c>
      <c r="R308" s="84" t="str">
        <f>IF(
   COUNTIFS($A$2:A308,A308,
             $B$2:B308,B308,
             $C$2:C308,C308,
             $D$2:D308,D308,
             $G$2:G308,G308)&gt;1,
   "Doublon",
   "Correcte"
)</f>
        <v>Correcte</v>
      </c>
    </row>
    <row r="309" spans="1:18" x14ac:dyDescent="0.25">
      <c r="A309" s="104" t="s">
        <v>1348</v>
      </c>
      <c r="B309" s="35" t="s">
        <v>596</v>
      </c>
      <c r="C309" s="36">
        <v>0</v>
      </c>
      <c r="D309" s="36">
        <v>5</v>
      </c>
      <c r="E309" s="35"/>
      <c r="F309" s="35" t="s">
        <v>664</v>
      </c>
      <c r="G309" s="37">
        <v>45923</v>
      </c>
      <c r="H309" s="37" t="str">
        <f>INDEX(_xlfn.TEXTSPLIT(mvtst[[#This Row],[QR Suivis]],"_"),1,1)</f>
        <v>CA250469-6</v>
      </c>
      <c r="I309" s="35" t="str">
        <f>_xlfn.TEXTBEFORE(mvtst[[#This Row],[Num Suivis]],"-",,,1)</f>
        <v>CA250469</v>
      </c>
      <c r="J309" s="36">
        <f>SUMIF(mvtst[QR Suivis],mvtst[[#This Row],[QR Suivis]],mvtst[QTE SORTIS])-SUMIF(mvtst[QR Suivis],mvtst[[#This Row],[QR Suivis]],mvtst[QTE RETOUR])</f>
        <v>0</v>
      </c>
      <c r="K309" s="35" t="str">
        <f t="shared" si="4"/>
        <v>Usine</v>
      </c>
      <c r="L309" s="35" t="str">
        <f>_xlfn.XLOOKUP(mvtst[[#This Row],[Sous Traitant]],coordonnee_st[Identification],coordonnee_st[SERVICE],"Non Trouvé")</f>
        <v>Frange</v>
      </c>
      <c r="M309" s="35" t="str">
        <f>INDEX(_xlfn.TEXTSPLIT(mvtst[[#This Row],[QR Suivis]],"_"),1,2)</f>
        <v>All by Fouta</v>
      </c>
      <c r="N309" s="35" t="str">
        <f>INDEX(_xlfn.TEXTSPLIT(mvtst[[#This Row],[QR Suivis]],"_"),1,3)</f>
        <v>Stock</v>
      </c>
      <c r="O309" s="35" t="str">
        <f>INDEX(_xlfn.TEXTSPLIT(mvtst[[#This Row],[QR Suivis]],"_"),1,4)</f>
        <v>FAF1020-B04-02</v>
      </c>
      <c r="P309" s="35" t="str">
        <f>INDEX(_xlfn.TEXTSPLIT(mvtst[[#This Row],[QR Suivis]],"_"),1,5)</f>
        <v>FIL A FIL</v>
      </c>
      <c r="Q309" s="35" t="str">
        <f>_xlfn.TEXTAFTER(mvtst[[#This Row],[QR Suivis]],"_",5)</f>
        <v>1020</v>
      </c>
      <c r="R309" s="84" t="str">
        <f>IF(
   COUNTIFS($A$2:A309,A309,
             $B$2:B309,B309,
             $C$2:C309,C309,
             $D$2:D309,D309,
             $G$2:G309,G309)&gt;1,
   "Doublon",
   "Correcte"
)</f>
        <v>Correcte</v>
      </c>
    </row>
    <row r="310" spans="1:18" x14ac:dyDescent="0.25">
      <c r="A310" s="104" t="s">
        <v>1356</v>
      </c>
      <c r="B310" s="35" t="s">
        <v>596</v>
      </c>
      <c r="C310" s="36">
        <v>0</v>
      </c>
      <c r="D310" s="36">
        <v>5</v>
      </c>
      <c r="E310" s="35"/>
      <c r="F310" s="35" t="s">
        <v>664</v>
      </c>
      <c r="G310" s="37">
        <v>45923</v>
      </c>
      <c r="H310" s="37" t="str">
        <f>INDEX(_xlfn.TEXTSPLIT(mvtst[[#This Row],[QR Suivis]],"_"),1,1)</f>
        <v>CA250391-5</v>
      </c>
      <c r="I310" s="35" t="str">
        <f>_xlfn.TEXTBEFORE(mvtst[[#This Row],[Num Suivis]],"-",,,1)</f>
        <v>CA250391</v>
      </c>
      <c r="J310" s="36">
        <f>SUMIF(mvtst[QR Suivis],mvtst[[#This Row],[QR Suivis]],mvtst[QTE SORTIS])-SUMIF(mvtst[QR Suivis],mvtst[[#This Row],[QR Suivis]],mvtst[QTE RETOUR])</f>
        <v>0</v>
      </c>
      <c r="K310" s="35" t="str">
        <f t="shared" si="4"/>
        <v>Usine</v>
      </c>
      <c r="L310" s="35" t="str">
        <f>_xlfn.XLOOKUP(mvtst[[#This Row],[Sous Traitant]],coordonnee_st[Identification],coordonnee_st[SERVICE],"Non Trouvé")</f>
        <v>Frange</v>
      </c>
      <c r="M310" s="35" t="str">
        <f>INDEX(_xlfn.TEXTSPLIT(mvtst[[#This Row],[QR Suivis]],"_"),1,2)</f>
        <v>All by Fouta</v>
      </c>
      <c r="N310" s="35" t="str">
        <f>INDEX(_xlfn.TEXTSPLIT(mvtst[[#This Row],[QR Suivis]],"_"),1,3)</f>
        <v>Stock</v>
      </c>
      <c r="O310" s="35" t="str">
        <f>INDEX(_xlfn.TEXTSPLIT(mvtst[[#This Row],[QR Suivis]],"_"),1,4)</f>
        <v>BE1020-Q04-24-20</v>
      </c>
      <c r="P310" s="35" t="str">
        <f>INDEX(_xlfn.TEXTSPLIT(mvtst[[#This Row],[QR Suivis]],"_"),1,5)</f>
        <v>BERBER</v>
      </c>
      <c r="Q310" s="35" t="str">
        <f>_xlfn.TEXTAFTER(mvtst[[#This Row],[QR Suivis]],"_",5)</f>
        <v>1020</v>
      </c>
      <c r="R310" s="84" t="str">
        <f>IF(
   COUNTIFS($A$2:A310,A310,
             $B$2:B310,B310,
             $C$2:C310,C310,
             $D$2:D310,D310,
             $G$2:G310,G310)&gt;1,
   "Doublon",
   "Correcte"
)</f>
        <v>Correcte</v>
      </c>
    </row>
    <row r="311" spans="1:18" x14ac:dyDescent="0.25">
      <c r="A311" s="104" t="s">
        <v>1357</v>
      </c>
      <c r="B311" s="35" t="s">
        <v>596</v>
      </c>
      <c r="C311" s="36">
        <v>0</v>
      </c>
      <c r="D311" s="36">
        <v>5</v>
      </c>
      <c r="E311" s="35"/>
      <c r="F311" s="35" t="s">
        <v>664</v>
      </c>
      <c r="G311" s="37">
        <v>45923</v>
      </c>
      <c r="H311" s="37" t="str">
        <f>INDEX(_xlfn.TEXTSPLIT(mvtst[[#This Row],[QR Suivis]],"_"),1,1)</f>
        <v>CA250391-6</v>
      </c>
      <c r="I311" s="35" t="str">
        <f>_xlfn.TEXTBEFORE(mvtst[[#This Row],[Num Suivis]],"-",,,1)</f>
        <v>CA250391</v>
      </c>
      <c r="J311" s="36">
        <f>SUMIF(mvtst[QR Suivis],mvtst[[#This Row],[QR Suivis]],mvtst[QTE SORTIS])-SUMIF(mvtst[QR Suivis],mvtst[[#This Row],[QR Suivis]],mvtst[QTE RETOUR])</f>
        <v>0</v>
      </c>
      <c r="K311" s="35" t="str">
        <f t="shared" si="4"/>
        <v>Usine</v>
      </c>
      <c r="L311" s="35" t="str">
        <f>_xlfn.XLOOKUP(mvtst[[#This Row],[Sous Traitant]],coordonnee_st[Identification],coordonnee_st[SERVICE],"Non Trouvé")</f>
        <v>Frange</v>
      </c>
      <c r="M311" s="35" t="str">
        <f>INDEX(_xlfn.TEXTSPLIT(mvtst[[#This Row],[QR Suivis]],"_"),1,2)</f>
        <v>All by Fouta</v>
      </c>
      <c r="N311" s="35" t="str">
        <f>INDEX(_xlfn.TEXTSPLIT(mvtst[[#This Row],[QR Suivis]],"_"),1,3)</f>
        <v>Stock</v>
      </c>
      <c r="O311" s="35" t="str">
        <f>INDEX(_xlfn.TEXTSPLIT(mvtst[[#This Row],[QR Suivis]],"_"),1,4)</f>
        <v>BE1020-Q04-24-20</v>
      </c>
      <c r="P311" s="35" t="str">
        <f>INDEX(_xlfn.TEXTSPLIT(mvtst[[#This Row],[QR Suivis]],"_"),1,5)</f>
        <v>BERBER</v>
      </c>
      <c r="Q311" s="35" t="str">
        <f>_xlfn.TEXTAFTER(mvtst[[#This Row],[QR Suivis]],"_",5)</f>
        <v>1020</v>
      </c>
      <c r="R311" s="84" t="str">
        <f>IF(
   COUNTIFS($A$2:A311,A311,
             $B$2:B311,B311,
             $C$2:C311,C311,
             $D$2:D311,D311,
             $G$2:G311,G311)&gt;1,
   "Doublon",
   "Correcte"
)</f>
        <v>Correcte</v>
      </c>
    </row>
    <row r="312" spans="1:18" x14ac:dyDescent="0.25">
      <c r="A312" s="104" t="s">
        <v>1358</v>
      </c>
      <c r="B312" s="35" t="s">
        <v>596</v>
      </c>
      <c r="C312" s="36">
        <v>0</v>
      </c>
      <c r="D312" s="36">
        <v>5</v>
      </c>
      <c r="E312" s="35"/>
      <c r="F312" s="35" t="s">
        <v>664</v>
      </c>
      <c r="G312" s="37">
        <v>45923</v>
      </c>
      <c r="H312" s="37" t="str">
        <f>INDEX(_xlfn.TEXTSPLIT(mvtst[[#This Row],[QR Suivis]],"_"),1,1)</f>
        <v>CA250391-7</v>
      </c>
      <c r="I312" s="35" t="str">
        <f>_xlfn.TEXTBEFORE(mvtst[[#This Row],[Num Suivis]],"-",,,1)</f>
        <v>CA250391</v>
      </c>
      <c r="J312" s="36">
        <f>SUMIF(mvtst[QR Suivis],mvtst[[#This Row],[QR Suivis]],mvtst[QTE SORTIS])-SUMIF(mvtst[QR Suivis],mvtst[[#This Row],[QR Suivis]],mvtst[QTE RETOUR])</f>
        <v>0</v>
      </c>
      <c r="K312" s="35" t="str">
        <f t="shared" si="4"/>
        <v>Usine</v>
      </c>
      <c r="L312" s="35" t="str">
        <f>_xlfn.XLOOKUP(mvtst[[#This Row],[Sous Traitant]],coordonnee_st[Identification],coordonnee_st[SERVICE],"Non Trouvé")</f>
        <v>Frange</v>
      </c>
      <c r="M312" s="35" t="str">
        <f>INDEX(_xlfn.TEXTSPLIT(mvtst[[#This Row],[QR Suivis]],"_"),1,2)</f>
        <v>All by Fouta</v>
      </c>
      <c r="N312" s="35" t="str">
        <f>INDEX(_xlfn.TEXTSPLIT(mvtst[[#This Row],[QR Suivis]],"_"),1,3)</f>
        <v>Stock</v>
      </c>
      <c r="O312" s="35" t="str">
        <f>INDEX(_xlfn.TEXTSPLIT(mvtst[[#This Row],[QR Suivis]],"_"),1,4)</f>
        <v>BE1020-Q04-24-20</v>
      </c>
      <c r="P312" s="35" t="str">
        <f>INDEX(_xlfn.TEXTSPLIT(mvtst[[#This Row],[QR Suivis]],"_"),1,5)</f>
        <v>BERBER</v>
      </c>
      <c r="Q312" s="35" t="str">
        <f>_xlfn.TEXTAFTER(mvtst[[#This Row],[QR Suivis]],"_",5)</f>
        <v>1020</v>
      </c>
      <c r="R312" s="84" t="str">
        <f>IF(
   COUNTIFS($A$2:A312,A312,
             $B$2:B312,B312,
             $C$2:C312,C312,
             $D$2:D312,D312,
             $G$2:G312,G312)&gt;1,
   "Doublon",
   "Correcte"
)</f>
        <v>Correcte</v>
      </c>
    </row>
    <row r="313" spans="1:18" x14ac:dyDescent="0.25">
      <c r="A313" s="104" t="s">
        <v>1359</v>
      </c>
      <c r="B313" s="35" t="s">
        <v>596</v>
      </c>
      <c r="C313" s="36">
        <v>0</v>
      </c>
      <c r="D313" s="36">
        <v>5</v>
      </c>
      <c r="E313" s="35"/>
      <c r="F313" s="35" t="s">
        <v>664</v>
      </c>
      <c r="G313" s="37">
        <v>45923</v>
      </c>
      <c r="H313" s="37" t="str">
        <f>INDEX(_xlfn.TEXTSPLIT(mvtst[[#This Row],[QR Suivis]],"_"),1,1)</f>
        <v>CA250391-8</v>
      </c>
      <c r="I313" s="35" t="str">
        <f>_xlfn.TEXTBEFORE(mvtst[[#This Row],[Num Suivis]],"-",,,1)</f>
        <v>CA250391</v>
      </c>
      <c r="J313" s="36">
        <f>SUMIF(mvtst[QR Suivis],mvtst[[#This Row],[QR Suivis]],mvtst[QTE SORTIS])-SUMIF(mvtst[QR Suivis],mvtst[[#This Row],[QR Suivis]],mvtst[QTE RETOUR])</f>
        <v>0</v>
      </c>
      <c r="K313" s="35" t="str">
        <f t="shared" si="4"/>
        <v>Usine</v>
      </c>
      <c r="L313" s="35" t="str">
        <f>_xlfn.XLOOKUP(mvtst[[#This Row],[Sous Traitant]],coordonnee_st[Identification],coordonnee_st[SERVICE],"Non Trouvé")</f>
        <v>Frange</v>
      </c>
      <c r="M313" s="35" t="str">
        <f>INDEX(_xlfn.TEXTSPLIT(mvtst[[#This Row],[QR Suivis]],"_"),1,2)</f>
        <v>All by Fouta</v>
      </c>
      <c r="N313" s="35" t="str">
        <f>INDEX(_xlfn.TEXTSPLIT(mvtst[[#This Row],[QR Suivis]],"_"),1,3)</f>
        <v>Stock</v>
      </c>
      <c r="O313" s="35" t="str">
        <f>INDEX(_xlfn.TEXTSPLIT(mvtst[[#This Row],[QR Suivis]],"_"),1,4)</f>
        <v>BE1020-Q04-24-20</v>
      </c>
      <c r="P313" s="35" t="str">
        <f>INDEX(_xlfn.TEXTSPLIT(mvtst[[#This Row],[QR Suivis]],"_"),1,5)</f>
        <v>BERBER</v>
      </c>
      <c r="Q313" s="35" t="str">
        <f>_xlfn.TEXTAFTER(mvtst[[#This Row],[QR Suivis]],"_",5)</f>
        <v>1020</v>
      </c>
      <c r="R313" s="84" t="str">
        <f>IF(
   COUNTIFS($A$2:A313,A313,
             $B$2:B313,B313,
             $C$2:C313,C313,
             $D$2:D313,D313,
             $G$2:G313,G313)&gt;1,
   "Doublon",
   "Correcte"
)</f>
        <v>Correcte</v>
      </c>
    </row>
    <row r="314" spans="1:18" x14ac:dyDescent="0.25">
      <c r="A314" s="104" t="s">
        <v>1360</v>
      </c>
      <c r="B314" s="35" t="s">
        <v>596</v>
      </c>
      <c r="C314" s="36">
        <v>0</v>
      </c>
      <c r="D314" s="36">
        <v>5</v>
      </c>
      <c r="E314" s="35"/>
      <c r="F314" s="35" t="s">
        <v>664</v>
      </c>
      <c r="G314" s="37">
        <v>45923</v>
      </c>
      <c r="H314" s="37" t="str">
        <f>INDEX(_xlfn.TEXTSPLIT(mvtst[[#This Row],[QR Suivis]],"_"),1,1)</f>
        <v>CA250391-9</v>
      </c>
      <c r="I314" s="35" t="str">
        <f>_xlfn.TEXTBEFORE(mvtst[[#This Row],[Num Suivis]],"-",,,1)</f>
        <v>CA250391</v>
      </c>
      <c r="J314" s="36">
        <f>SUMIF(mvtst[QR Suivis],mvtst[[#This Row],[QR Suivis]],mvtst[QTE SORTIS])-SUMIF(mvtst[QR Suivis],mvtst[[#This Row],[QR Suivis]],mvtst[QTE RETOUR])</f>
        <v>0</v>
      </c>
      <c r="K314" s="35" t="str">
        <f t="shared" si="4"/>
        <v>Usine</v>
      </c>
      <c r="L314" s="35" t="str">
        <f>_xlfn.XLOOKUP(mvtst[[#This Row],[Sous Traitant]],coordonnee_st[Identification],coordonnee_st[SERVICE],"Non Trouvé")</f>
        <v>Frange</v>
      </c>
      <c r="M314" s="35" t="str">
        <f>INDEX(_xlfn.TEXTSPLIT(mvtst[[#This Row],[QR Suivis]],"_"),1,2)</f>
        <v>All by Fouta</v>
      </c>
      <c r="N314" s="35" t="str">
        <f>INDEX(_xlfn.TEXTSPLIT(mvtst[[#This Row],[QR Suivis]],"_"),1,3)</f>
        <v>Stock</v>
      </c>
      <c r="O314" s="35" t="str">
        <f>INDEX(_xlfn.TEXTSPLIT(mvtst[[#This Row],[QR Suivis]],"_"),1,4)</f>
        <v>BE1020-Q04-24-20</v>
      </c>
      <c r="P314" s="35" t="str">
        <f>INDEX(_xlfn.TEXTSPLIT(mvtst[[#This Row],[QR Suivis]],"_"),1,5)</f>
        <v>BERBER</v>
      </c>
      <c r="Q314" s="35" t="str">
        <f>_xlfn.TEXTAFTER(mvtst[[#This Row],[QR Suivis]],"_",5)</f>
        <v>1020</v>
      </c>
      <c r="R314" s="84" t="str">
        <f>IF(
   COUNTIFS($A$2:A314,A314,
             $B$2:B314,B314,
             $C$2:C314,C314,
             $D$2:D314,D314,
             $G$2:G314,G314)&gt;1,
   "Doublon",
   "Correcte"
)</f>
        <v>Correcte</v>
      </c>
    </row>
    <row r="315" spans="1:18" x14ac:dyDescent="0.25">
      <c r="A315" s="104" t="s">
        <v>1361</v>
      </c>
      <c r="B315" s="35" t="s">
        <v>596</v>
      </c>
      <c r="C315" s="36">
        <v>0</v>
      </c>
      <c r="D315" s="36">
        <v>5</v>
      </c>
      <c r="E315" s="35"/>
      <c r="F315" s="35" t="s">
        <v>664</v>
      </c>
      <c r="G315" s="37">
        <v>45923</v>
      </c>
      <c r="H315" s="37" t="str">
        <f>INDEX(_xlfn.TEXTSPLIT(mvtst[[#This Row],[QR Suivis]],"_"),1,1)</f>
        <v>CA250391-10</v>
      </c>
      <c r="I315" s="35" t="str">
        <f>_xlfn.TEXTBEFORE(mvtst[[#This Row],[Num Suivis]],"-",,,1)</f>
        <v>CA250391</v>
      </c>
      <c r="J315" s="36">
        <f>SUMIF(mvtst[QR Suivis],mvtst[[#This Row],[QR Suivis]],mvtst[QTE SORTIS])-SUMIF(mvtst[QR Suivis],mvtst[[#This Row],[QR Suivis]],mvtst[QTE RETOUR])</f>
        <v>0</v>
      </c>
      <c r="K315" s="35" t="str">
        <f t="shared" si="4"/>
        <v>Usine</v>
      </c>
      <c r="L315" s="35" t="str">
        <f>_xlfn.XLOOKUP(mvtst[[#This Row],[Sous Traitant]],coordonnee_st[Identification],coordonnee_st[SERVICE],"Non Trouvé")</f>
        <v>Frange</v>
      </c>
      <c r="M315" s="35" t="str">
        <f>INDEX(_xlfn.TEXTSPLIT(mvtst[[#This Row],[QR Suivis]],"_"),1,2)</f>
        <v>All by Fouta</v>
      </c>
      <c r="N315" s="35" t="str">
        <f>INDEX(_xlfn.TEXTSPLIT(mvtst[[#This Row],[QR Suivis]],"_"),1,3)</f>
        <v>Stock</v>
      </c>
      <c r="O315" s="35" t="str">
        <f>INDEX(_xlfn.TEXTSPLIT(mvtst[[#This Row],[QR Suivis]],"_"),1,4)</f>
        <v>BE1020-Q04-24-20</v>
      </c>
      <c r="P315" s="35" t="str">
        <f>INDEX(_xlfn.TEXTSPLIT(mvtst[[#This Row],[QR Suivis]],"_"),1,5)</f>
        <v>BERBER</v>
      </c>
      <c r="Q315" s="35" t="str">
        <f>_xlfn.TEXTAFTER(mvtst[[#This Row],[QR Suivis]],"_",5)</f>
        <v>1020</v>
      </c>
      <c r="R315" s="84" t="str">
        <f>IF(
   COUNTIFS($A$2:A315,A315,
             $B$2:B315,B315,
             $C$2:C315,C315,
             $D$2:D315,D315,
             $G$2:G315,G315)&gt;1,
   "Doublon",
   "Correcte"
)</f>
        <v>Correcte</v>
      </c>
    </row>
    <row r="316" spans="1:18" x14ac:dyDescent="0.25">
      <c r="A316" s="104" t="s">
        <v>1552</v>
      </c>
      <c r="B316" s="35" t="s">
        <v>713</v>
      </c>
      <c r="C316" s="36">
        <v>40</v>
      </c>
      <c r="D316" s="36">
        <v>0</v>
      </c>
      <c r="E316" s="35"/>
      <c r="F316" s="35" t="s">
        <v>664</v>
      </c>
      <c r="G316" s="37">
        <v>45924</v>
      </c>
      <c r="H316" s="37" t="str">
        <f>INDEX(_xlfn.TEXTSPLIT(mvtst[[#This Row],[QR Suivis]],"_"),1,1)</f>
        <v>OF246516</v>
      </c>
      <c r="I316" s="35" t="str">
        <f>_xlfn.TEXTBEFORE(mvtst[[#This Row],[Num Suivis]],"-",,,1)</f>
        <v>OF246516</v>
      </c>
      <c r="J316" s="36">
        <f>SUMIF(mvtst[QR Suivis],mvtst[[#This Row],[QR Suivis]],mvtst[QTE SORTIS])-SUMIF(mvtst[QR Suivis],mvtst[[#This Row],[QR Suivis]],mvtst[QTE RETOUR])</f>
        <v>0</v>
      </c>
      <c r="K316" s="35" t="str">
        <f t="shared" si="4"/>
        <v>Usine</v>
      </c>
      <c r="L316" s="35" t="str">
        <f>_xlfn.XLOOKUP(mvtst[[#This Row],[Sous Traitant]],coordonnee_st[Identification],coordonnee_st[SERVICE],"Non Trouvé")</f>
        <v>Couture</v>
      </c>
      <c r="M316" s="35" t="str">
        <f>INDEX(_xlfn.TEXTSPLIT(mvtst[[#This Row],[QR Suivis]],"_"),1,2)</f>
        <v>CL00296</v>
      </c>
      <c r="N316" s="35" t="str">
        <f>INDEX(_xlfn.TEXTSPLIT(mvtst[[#This Row],[QR Suivis]],"_"),1,3)</f>
        <v>CM-FT0108</v>
      </c>
      <c r="O316" s="35" t="str">
        <f>INDEX(_xlfn.TEXTSPLIT(mvtst[[#This Row],[QR Suivis]],"_"),1,4)</f>
        <v>SACF0507-12</v>
      </c>
      <c r="P316" s="35" t="str">
        <f>INDEX(_xlfn.TEXTSPLIT(mvtst[[#This Row],[QR Suivis]],"_"),1,5)</f>
        <v>SAC FOUTA</v>
      </c>
      <c r="Q316" s="35" t="str">
        <f>_xlfn.TEXTAFTER(mvtst[[#This Row],[QR Suivis]],"_",5)</f>
        <v>0507</v>
      </c>
      <c r="R316" s="84" t="str">
        <f>IF(
   COUNTIFS($A$2:A316,A316,
             $B$2:B316,B316,
             $C$2:C316,C316,
             $D$2:D316,D316,
             $G$2:G316,G316)&gt;1,
   "Doublon",
   "Correcte"
)</f>
        <v>Correcte</v>
      </c>
    </row>
    <row r="317" spans="1:18" x14ac:dyDescent="0.25">
      <c r="A317" s="104" t="s">
        <v>1553</v>
      </c>
      <c r="B317" s="35" t="s">
        <v>713</v>
      </c>
      <c r="C317" s="36">
        <v>40</v>
      </c>
      <c r="D317" s="36">
        <v>0</v>
      </c>
      <c r="E317" s="35"/>
      <c r="F317" s="35" t="s">
        <v>664</v>
      </c>
      <c r="G317" s="37">
        <v>45924</v>
      </c>
      <c r="H317" s="37" t="str">
        <f>INDEX(_xlfn.TEXTSPLIT(mvtst[[#This Row],[QR Suivis]],"_"),1,1)</f>
        <v>OF246515</v>
      </c>
      <c r="I317" s="35" t="str">
        <f>_xlfn.TEXTBEFORE(mvtst[[#This Row],[Num Suivis]],"-",,,1)</f>
        <v>OF246515</v>
      </c>
      <c r="J317" s="36">
        <f>SUMIF(mvtst[QR Suivis],mvtst[[#This Row],[QR Suivis]],mvtst[QTE SORTIS])-SUMIF(mvtst[QR Suivis],mvtst[[#This Row],[QR Suivis]],mvtst[QTE RETOUR])</f>
        <v>0</v>
      </c>
      <c r="K317" s="35" t="str">
        <f t="shared" si="4"/>
        <v>Usine</v>
      </c>
      <c r="L317" s="35" t="str">
        <f>_xlfn.XLOOKUP(mvtst[[#This Row],[Sous Traitant]],coordonnee_st[Identification],coordonnee_st[SERVICE],"Non Trouvé")</f>
        <v>Couture</v>
      </c>
      <c r="M317" s="35" t="str">
        <f>INDEX(_xlfn.TEXTSPLIT(mvtst[[#This Row],[QR Suivis]],"_"),1,2)</f>
        <v>CL00296</v>
      </c>
      <c r="N317" s="35" t="str">
        <f>INDEX(_xlfn.TEXTSPLIT(mvtst[[#This Row],[QR Suivis]],"_"),1,3)</f>
        <v>CM-FT0108</v>
      </c>
      <c r="O317" s="35" t="str">
        <f>INDEX(_xlfn.TEXTSPLIT(mvtst[[#This Row],[QR Suivis]],"_"),1,4)</f>
        <v>NDL1020-B12-01</v>
      </c>
      <c r="P317" s="35" t="str">
        <f>INDEX(_xlfn.TEXTSPLIT(mvtst[[#This Row],[QR Suivis]],"_"),1,5)</f>
        <v>ND LILI</v>
      </c>
      <c r="Q317" s="35" t="str">
        <f>_xlfn.TEXTAFTER(mvtst[[#This Row],[QR Suivis]],"_",5)</f>
        <v>1020</v>
      </c>
      <c r="R317" s="84" t="str">
        <f>IF(
   COUNTIFS($A$2:A317,A317,
             $B$2:B317,B317,
             $C$2:C317,C317,
             $D$2:D317,D317,
             $G$2:G317,G317)&gt;1,
   "Doublon",
   "Correcte"
)</f>
        <v>Correcte</v>
      </c>
    </row>
    <row r="318" spans="1:18" x14ac:dyDescent="0.25">
      <c r="A318" s="104" t="s">
        <v>1554</v>
      </c>
      <c r="B318" s="35" t="s">
        <v>712</v>
      </c>
      <c r="C318" s="36">
        <v>5</v>
      </c>
      <c r="D318" s="36">
        <v>0</v>
      </c>
      <c r="E318" s="35"/>
      <c r="F318" s="35" t="s">
        <v>664</v>
      </c>
      <c r="G318" s="37">
        <v>45924</v>
      </c>
      <c r="H318" s="37" t="str">
        <f>INDEX(_xlfn.TEXTSPLIT(mvtst[[#This Row],[QR Suivis]],"_"),1,1)</f>
        <v>CA250079-1</v>
      </c>
      <c r="I318" s="35" t="str">
        <f>_xlfn.TEXTBEFORE(mvtst[[#This Row],[Num Suivis]],"-",,,1)</f>
        <v>CA250079</v>
      </c>
      <c r="J318" s="36">
        <f>SUMIF(mvtst[QR Suivis],mvtst[[#This Row],[QR Suivis]],mvtst[QTE SORTIS])-SUMIF(mvtst[QR Suivis],mvtst[[#This Row],[QR Suivis]],mvtst[QTE RETOUR])</f>
        <v>0</v>
      </c>
      <c r="K318" s="35" t="str">
        <f t="shared" si="4"/>
        <v>Usine</v>
      </c>
      <c r="L318" s="35" t="str">
        <f>_xlfn.XLOOKUP(mvtst[[#This Row],[Sous Traitant]],coordonnee_st[Identification],coordonnee_st[SERVICE],"Non Trouvé")</f>
        <v>Frange</v>
      </c>
      <c r="M318" s="35" t="str">
        <f>INDEX(_xlfn.TEXTSPLIT(mvtst[[#This Row],[QR Suivis]],"_"),1,2)</f>
        <v>All by Fouta</v>
      </c>
      <c r="N318" s="35" t="str">
        <f>INDEX(_xlfn.TEXTSPLIT(mvtst[[#This Row],[QR Suivis]],"_"),1,3)</f>
        <v>Stock</v>
      </c>
      <c r="O318" s="35" t="str">
        <f>INDEX(_xlfn.TEXTSPLIT(mvtst[[#This Row],[QR Suivis]],"_"),1,4)</f>
        <v>UNS2030-32</v>
      </c>
      <c r="P318" s="35" t="str">
        <f>INDEX(_xlfn.TEXTSPLIT(mvtst[[#This Row],[QR Suivis]],"_"),1,5)</f>
        <v>UNI SURPIQUE</v>
      </c>
      <c r="Q318" s="35" t="str">
        <f>_xlfn.TEXTAFTER(mvtst[[#This Row],[QR Suivis]],"_",5)</f>
        <v>2030</v>
      </c>
      <c r="R318" s="84" t="str">
        <f>IF(
   COUNTIFS($A$2:A318,A318,
             $B$2:B318,B318,
             $C$2:C318,C318,
             $D$2:D318,D318,
             $G$2:G318,G318)&gt;1,
   "Doublon",
   "Correcte"
)</f>
        <v>Correcte</v>
      </c>
    </row>
    <row r="319" spans="1:18" x14ac:dyDescent="0.25">
      <c r="A319" s="104" t="s">
        <v>1555</v>
      </c>
      <c r="B319" s="35" t="s">
        <v>712</v>
      </c>
      <c r="C319" s="36">
        <v>5</v>
      </c>
      <c r="D319" s="36">
        <v>0</v>
      </c>
      <c r="E319" s="35"/>
      <c r="F319" s="35" t="s">
        <v>664</v>
      </c>
      <c r="G319" s="37">
        <v>45924</v>
      </c>
      <c r="H319" s="37" t="str">
        <f>INDEX(_xlfn.TEXTSPLIT(mvtst[[#This Row],[QR Suivis]],"_"),1,1)</f>
        <v>CA250079-2</v>
      </c>
      <c r="I319" s="35" t="str">
        <f>_xlfn.TEXTBEFORE(mvtst[[#This Row],[Num Suivis]],"-",,,1)</f>
        <v>CA250079</v>
      </c>
      <c r="J319" s="36">
        <f>SUMIF(mvtst[QR Suivis],mvtst[[#This Row],[QR Suivis]],mvtst[QTE SORTIS])-SUMIF(mvtst[QR Suivis],mvtst[[#This Row],[QR Suivis]],mvtst[QTE RETOUR])</f>
        <v>0</v>
      </c>
      <c r="K319" s="35" t="str">
        <f t="shared" si="4"/>
        <v>Usine</v>
      </c>
      <c r="L319" s="35" t="str">
        <f>_xlfn.XLOOKUP(mvtst[[#This Row],[Sous Traitant]],coordonnee_st[Identification],coordonnee_st[SERVICE],"Non Trouvé")</f>
        <v>Frange</v>
      </c>
      <c r="M319" s="35" t="str">
        <f>INDEX(_xlfn.TEXTSPLIT(mvtst[[#This Row],[QR Suivis]],"_"),1,2)</f>
        <v>All by Fouta</v>
      </c>
      <c r="N319" s="35" t="str">
        <f>INDEX(_xlfn.TEXTSPLIT(mvtst[[#This Row],[QR Suivis]],"_"),1,3)</f>
        <v>Stock</v>
      </c>
      <c r="O319" s="35" t="str">
        <f>INDEX(_xlfn.TEXTSPLIT(mvtst[[#This Row],[QR Suivis]],"_"),1,4)</f>
        <v>UNS2030-32</v>
      </c>
      <c r="P319" s="35" t="str">
        <f>INDEX(_xlfn.TEXTSPLIT(mvtst[[#This Row],[QR Suivis]],"_"),1,5)</f>
        <v>UNI SURPIQUE</v>
      </c>
      <c r="Q319" s="35" t="str">
        <f>_xlfn.TEXTAFTER(mvtst[[#This Row],[QR Suivis]],"_",5)</f>
        <v>2030</v>
      </c>
      <c r="R319" s="84" t="str">
        <f>IF(
   COUNTIFS($A$2:A319,A319,
             $B$2:B319,B319,
             $C$2:C319,C319,
             $D$2:D319,D319,
             $G$2:G319,G319)&gt;1,
   "Doublon",
   "Correcte"
)</f>
        <v>Correcte</v>
      </c>
    </row>
    <row r="320" spans="1:18" x14ac:dyDescent="0.25">
      <c r="A320" s="104" t="s">
        <v>1556</v>
      </c>
      <c r="B320" s="35" t="s">
        <v>712</v>
      </c>
      <c r="C320" s="36">
        <v>5</v>
      </c>
      <c r="D320" s="36">
        <v>0</v>
      </c>
      <c r="E320" s="35"/>
      <c r="F320" s="35" t="s">
        <v>664</v>
      </c>
      <c r="G320" s="37">
        <v>45924</v>
      </c>
      <c r="H320" s="37" t="str">
        <f>INDEX(_xlfn.TEXTSPLIT(mvtst[[#This Row],[QR Suivis]],"_"),1,1)</f>
        <v>CA250076-3</v>
      </c>
      <c r="I320" s="35" t="str">
        <f>_xlfn.TEXTBEFORE(mvtst[[#This Row],[Num Suivis]],"-",,,1)</f>
        <v>CA250076</v>
      </c>
      <c r="J320" s="36">
        <f>SUMIF(mvtst[QR Suivis],mvtst[[#This Row],[QR Suivis]],mvtst[QTE SORTIS])-SUMIF(mvtst[QR Suivis],mvtst[[#This Row],[QR Suivis]],mvtst[QTE RETOUR])</f>
        <v>0</v>
      </c>
      <c r="K320" s="35" t="str">
        <f t="shared" si="4"/>
        <v>Usine</v>
      </c>
      <c r="L320" s="35" t="str">
        <f>_xlfn.XLOOKUP(mvtst[[#This Row],[Sous Traitant]],coordonnee_st[Identification],coordonnee_st[SERVICE],"Non Trouvé")</f>
        <v>Frange</v>
      </c>
      <c r="M320" s="35" t="str">
        <f>INDEX(_xlfn.TEXTSPLIT(mvtst[[#This Row],[QR Suivis]],"_"),1,2)</f>
        <v>All by Fouta</v>
      </c>
      <c r="N320" s="35" t="str">
        <f>INDEX(_xlfn.TEXTSPLIT(mvtst[[#This Row],[QR Suivis]],"_"),1,3)</f>
        <v>Stock</v>
      </c>
      <c r="O320" s="35" t="str">
        <f>INDEX(_xlfn.TEXTSPLIT(mvtst[[#This Row],[QR Suivis]],"_"),1,4)</f>
        <v>UNS2030-27</v>
      </c>
      <c r="P320" s="35" t="str">
        <f>INDEX(_xlfn.TEXTSPLIT(mvtst[[#This Row],[QR Suivis]],"_"),1,5)</f>
        <v>UNI SURPIQUE</v>
      </c>
      <c r="Q320" s="35" t="str">
        <f>_xlfn.TEXTAFTER(mvtst[[#This Row],[QR Suivis]],"_",5)</f>
        <v>2030</v>
      </c>
      <c r="R320" s="84" t="str">
        <f>IF(
   COUNTIFS($A$2:A320,A320,
             $B$2:B320,B320,
             $C$2:C320,C320,
             $D$2:D320,D320,
             $G$2:G320,G320)&gt;1,
   "Doublon",
   "Correcte"
)</f>
        <v>Correcte</v>
      </c>
    </row>
    <row r="321" spans="1:18" x14ac:dyDescent="0.25">
      <c r="A321" s="104" t="s">
        <v>1557</v>
      </c>
      <c r="B321" s="35" t="s">
        <v>712</v>
      </c>
      <c r="C321" s="36">
        <v>5</v>
      </c>
      <c r="D321" s="36">
        <v>0</v>
      </c>
      <c r="E321" s="35"/>
      <c r="F321" s="35" t="s">
        <v>664</v>
      </c>
      <c r="G321" s="37">
        <v>45924</v>
      </c>
      <c r="H321" s="37" t="str">
        <f>INDEX(_xlfn.TEXTSPLIT(mvtst[[#This Row],[QR Suivis]],"_"),1,1)</f>
        <v>CA250076-4</v>
      </c>
      <c r="I321" s="35" t="str">
        <f>_xlfn.TEXTBEFORE(mvtst[[#This Row],[Num Suivis]],"-",,,1)</f>
        <v>CA250076</v>
      </c>
      <c r="J321" s="36">
        <f>SUMIF(mvtst[QR Suivis],mvtst[[#This Row],[QR Suivis]],mvtst[QTE SORTIS])-SUMIF(mvtst[QR Suivis],mvtst[[#This Row],[QR Suivis]],mvtst[QTE RETOUR])</f>
        <v>0</v>
      </c>
      <c r="K321" s="35" t="str">
        <f t="shared" si="4"/>
        <v>Usine</v>
      </c>
      <c r="L321" s="35" t="str">
        <f>_xlfn.XLOOKUP(mvtst[[#This Row],[Sous Traitant]],coordonnee_st[Identification],coordonnee_st[SERVICE],"Non Trouvé")</f>
        <v>Frange</v>
      </c>
      <c r="M321" s="35" t="str">
        <f>INDEX(_xlfn.TEXTSPLIT(mvtst[[#This Row],[QR Suivis]],"_"),1,2)</f>
        <v>All by Fouta</v>
      </c>
      <c r="N321" s="35" t="str">
        <f>INDEX(_xlfn.TEXTSPLIT(mvtst[[#This Row],[QR Suivis]],"_"),1,3)</f>
        <v>Stock</v>
      </c>
      <c r="O321" s="35" t="str">
        <f>INDEX(_xlfn.TEXTSPLIT(mvtst[[#This Row],[QR Suivis]],"_"),1,4)</f>
        <v>UNS2030-27</v>
      </c>
      <c r="P321" s="35" t="str">
        <f>INDEX(_xlfn.TEXTSPLIT(mvtst[[#This Row],[QR Suivis]],"_"),1,5)</f>
        <v>UNI SURPIQUE</v>
      </c>
      <c r="Q321" s="35" t="str">
        <f>_xlfn.TEXTAFTER(mvtst[[#This Row],[QR Suivis]],"_",5)</f>
        <v>2030</v>
      </c>
      <c r="R321" s="84" t="str">
        <f>IF(
   COUNTIFS($A$2:A321,A321,
             $B$2:B321,B321,
             $C$2:C321,C321,
             $D$2:D321,D321,
             $G$2:G321,G321)&gt;1,
   "Doublon",
   "Correcte"
)</f>
        <v>Correcte</v>
      </c>
    </row>
    <row r="322" spans="1:18" x14ac:dyDescent="0.25">
      <c r="A322" s="104" t="s">
        <v>1558</v>
      </c>
      <c r="B322" s="35" t="s">
        <v>712</v>
      </c>
      <c r="C322" s="36">
        <v>5</v>
      </c>
      <c r="D322" s="36">
        <v>0</v>
      </c>
      <c r="E322" s="35"/>
      <c r="F322" s="35" t="s">
        <v>664</v>
      </c>
      <c r="G322" s="37">
        <v>45924</v>
      </c>
      <c r="H322" s="37" t="str">
        <f>INDEX(_xlfn.TEXTSPLIT(mvtst[[#This Row],[QR Suivis]],"_"),1,1)</f>
        <v>CA250072-4</v>
      </c>
      <c r="I322" s="35" t="str">
        <f>_xlfn.TEXTBEFORE(mvtst[[#This Row],[Num Suivis]],"-",,,1)</f>
        <v>CA250072</v>
      </c>
      <c r="J322" s="36">
        <f>SUMIF(mvtst[QR Suivis],mvtst[[#This Row],[QR Suivis]],mvtst[QTE SORTIS])-SUMIF(mvtst[QR Suivis],mvtst[[#This Row],[QR Suivis]],mvtst[QTE RETOUR])</f>
        <v>0</v>
      </c>
      <c r="K322" s="35" t="str">
        <f t="shared" si="4"/>
        <v>Usine</v>
      </c>
      <c r="L322" s="35" t="str">
        <f>_xlfn.XLOOKUP(mvtst[[#This Row],[Sous Traitant]],coordonnee_st[Identification],coordonnee_st[SERVICE],"Non Trouvé")</f>
        <v>Frange</v>
      </c>
      <c r="M322" s="35" t="str">
        <f>INDEX(_xlfn.TEXTSPLIT(mvtst[[#This Row],[QR Suivis]],"_"),1,2)</f>
        <v>All by Fouta</v>
      </c>
      <c r="N322" s="35" t="str">
        <f>INDEX(_xlfn.TEXTSPLIT(mvtst[[#This Row],[QR Suivis]],"_"),1,3)</f>
        <v>Stock</v>
      </c>
      <c r="O322" s="35" t="str">
        <f>INDEX(_xlfn.TEXTSPLIT(mvtst[[#This Row],[QR Suivis]],"_"),1,4)</f>
        <v>UNS2030-20</v>
      </c>
      <c r="P322" s="35" t="str">
        <f>INDEX(_xlfn.TEXTSPLIT(mvtst[[#This Row],[QR Suivis]],"_"),1,5)</f>
        <v>UNI SURPIQUE</v>
      </c>
      <c r="Q322" s="35" t="str">
        <f>_xlfn.TEXTAFTER(mvtst[[#This Row],[QR Suivis]],"_",5)</f>
        <v>2030</v>
      </c>
      <c r="R322" s="84" t="str">
        <f>IF(
   COUNTIFS($A$2:A322,A322,
             $B$2:B322,B322,
             $C$2:C322,C322,
             $D$2:D322,D322,
             $G$2:G322,G322)&gt;1,
   "Doublon",
   "Correcte"
)</f>
        <v>Correcte</v>
      </c>
    </row>
    <row r="323" spans="1:18" x14ac:dyDescent="0.25">
      <c r="A323" s="104" t="s">
        <v>1559</v>
      </c>
      <c r="B323" s="35" t="s">
        <v>712</v>
      </c>
      <c r="C323" s="36">
        <v>1</v>
      </c>
      <c r="D323" s="36">
        <v>0</v>
      </c>
      <c r="E323" s="35"/>
      <c r="F323" s="35" t="s">
        <v>664</v>
      </c>
      <c r="G323" s="37">
        <v>45924</v>
      </c>
      <c r="H323" s="37" t="str">
        <f>INDEX(_xlfn.TEXTSPLIT(mvtst[[#This Row],[QR Suivis]],"_"),1,1)</f>
        <v>CA250072-5</v>
      </c>
      <c r="I323" s="35" t="str">
        <f>_xlfn.TEXTBEFORE(mvtst[[#This Row],[Num Suivis]],"-",,,1)</f>
        <v>CA250072</v>
      </c>
      <c r="J323" s="36">
        <f>SUMIF(mvtst[QR Suivis],mvtst[[#This Row],[QR Suivis]],mvtst[QTE SORTIS])-SUMIF(mvtst[QR Suivis],mvtst[[#This Row],[QR Suivis]],mvtst[QTE RETOUR])</f>
        <v>0</v>
      </c>
      <c r="K323" s="35" t="str">
        <f t="shared" ref="K323:K386" si="5">"Usine"</f>
        <v>Usine</v>
      </c>
      <c r="L323" s="35" t="str">
        <f>_xlfn.XLOOKUP(mvtst[[#This Row],[Sous Traitant]],coordonnee_st[Identification],coordonnee_st[SERVICE],"Non Trouvé")</f>
        <v>Frange</v>
      </c>
      <c r="M323" s="35" t="str">
        <f>INDEX(_xlfn.TEXTSPLIT(mvtst[[#This Row],[QR Suivis]],"_"),1,2)</f>
        <v>All by Fouta</v>
      </c>
      <c r="N323" s="35" t="str">
        <f>INDEX(_xlfn.TEXTSPLIT(mvtst[[#This Row],[QR Suivis]],"_"),1,3)</f>
        <v>Stock</v>
      </c>
      <c r="O323" s="35" t="str">
        <f>INDEX(_xlfn.TEXTSPLIT(mvtst[[#This Row],[QR Suivis]],"_"),1,4)</f>
        <v>UNS2030-20</v>
      </c>
      <c r="P323" s="35" t="str">
        <f>INDEX(_xlfn.TEXTSPLIT(mvtst[[#This Row],[QR Suivis]],"_"),1,5)</f>
        <v>UNI SURPIQUE</v>
      </c>
      <c r="Q323" s="35" t="str">
        <f>_xlfn.TEXTAFTER(mvtst[[#This Row],[QR Suivis]],"_",5)</f>
        <v>2030</v>
      </c>
      <c r="R323" s="84" t="str">
        <f>IF(
   COUNTIFS($A$2:A323,A323,
             $B$2:B323,B323,
             $C$2:C323,C323,
             $D$2:D323,D323,
             $G$2:G323,G323)&gt;1,
   "Doublon",
   "Correcte"
)</f>
        <v>Correcte</v>
      </c>
    </row>
    <row r="324" spans="1:18" x14ac:dyDescent="0.25">
      <c r="A324" s="104" t="s">
        <v>1560</v>
      </c>
      <c r="B324" s="35" t="s">
        <v>712</v>
      </c>
      <c r="C324" s="36">
        <v>5</v>
      </c>
      <c r="D324" s="36">
        <v>0</v>
      </c>
      <c r="E324" s="35"/>
      <c r="F324" s="35" t="s">
        <v>664</v>
      </c>
      <c r="G324" s="37">
        <v>45924</v>
      </c>
      <c r="H324" s="37" t="str">
        <f>INDEX(_xlfn.TEXTSPLIT(mvtst[[#This Row],[QR Suivis]],"_"),1,1)</f>
        <v>CA250072-3</v>
      </c>
      <c r="I324" s="35" t="str">
        <f>_xlfn.TEXTBEFORE(mvtst[[#This Row],[Num Suivis]],"-",,,1)</f>
        <v>CA250072</v>
      </c>
      <c r="J324" s="36">
        <f>SUMIF(mvtst[QR Suivis],mvtst[[#This Row],[QR Suivis]],mvtst[QTE SORTIS])-SUMIF(mvtst[QR Suivis],mvtst[[#This Row],[QR Suivis]],mvtst[QTE RETOUR])</f>
        <v>0</v>
      </c>
      <c r="K324" s="35" t="str">
        <f t="shared" si="5"/>
        <v>Usine</v>
      </c>
      <c r="L324" s="35" t="str">
        <f>_xlfn.XLOOKUP(mvtst[[#This Row],[Sous Traitant]],coordonnee_st[Identification],coordonnee_st[SERVICE],"Non Trouvé")</f>
        <v>Frange</v>
      </c>
      <c r="M324" s="35" t="str">
        <f>INDEX(_xlfn.TEXTSPLIT(mvtst[[#This Row],[QR Suivis]],"_"),1,2)</f>
        <v>All by Fouta</v>
      </c>
      <c r="N324" s="35" t="str">
        <f>INDEX(_xlfn.TEXTSPLIT(mvtst[[#This Row],[QR Suivis]],"_"),1,3)</f>
        <v>Stock</v>
      </c>
      <c r="O324" s="35" t="str">
        <f>INDEX(_xlfn.TEXTSPLIT(mvtst[[#This Row],[QR Suivis]],"_"),1,4)</f>
        <v>UNS2030-20</v>
      </c>
      <c r="P324" s="35" t="str">
        <f>INDEX(_xlfn.TEXTSPLIT(mvtst[[#This Row],[QR Suivis]],"_"),1,5)</f>
        <v>UNI SURPIQUE</v>
      </c>
      <c r="Q324" s="35" t="str">
        <f>_xlfn.TEXTAFTER(mvtst[[#This Row],[QR Suivis]],"_",5)</f>
        <v>2030</v>
      </c>
      <c r="R324" s="84" t="str">
        <f>IF(
   COUNTIFS($A$2:A324,A324,
             $B$2:B324,B324,
             $C$2:C324,C324,
             $D$2:D324,D324,
             $G$2:G324,G324)&gt;1,
   "Doublon",
   "Correcte"
)</f>
        <v>Correcte</v>
      </c>
    </row>
    <row r="325" spans="1:18" x14ac:dyDescent="0.25">
      <c r="A325" s="104" t="s">
        <v>1561</v>
      </c>
      <c r="B325" s="35" t="s">
        <v>712</v>
      </c>
      <c r="C325" s="36">
        <v>5</v>
      </c>
      <c r="D325" s="36">
        <v>0</v>
      </c>
      <c r="E325" s="35"/>
      <c r="F325" s="35" t="s">
        <v>664</v>
      </c>
      <c r="G325" s="37">
        <v>45924</v>
      </c>
      <c r="H325" s="37" t="str">
        <f>INDEX(_xlfn.TEXTSPLIT(mvtst[[#This Row],[QR Suivis]],"_"),1,1)</f>
        <v>CA250072-2</v>
      </c>
      <c r="I325" s="35" t="str">
        <f>_xlfn.TEXTBEFORE(mvtst[[#This Row],[Num Suivis]],"-",,,1)</f>
        <v>CA250072</v>
      </c>
      <c r="J325" s="36">
        <f>SUMIF(mvtst[QR Suivis],mvtst[[#This Row],[QR Suivis]],mvtst[QTE SORTIS])-SUMIF(mvtst[QR Suivis],mvtst[[#This Row],[QR Suivis]],mvtst[QTE RETOUR])</f>
        <v>0</v>
      </c>
      <c r="K325" s="35" t="str">
        <f t="shared" si="5"/>
        <v>Usine</v>
      </c>
      <c r="L325" s="35" t="str">
        <f>_xlfn.XLOOKUP(mvtst[[#This Row],[Sous Traitant]],coordonnee_st[Identification],coordonnee_st[SERVICE],"Non Trouvé")</f>
        <v>Frange</v>
      </c>
      <c r="M325" s="35" t="str">
        <f>INDEX(_xlfn.TEXTSPLIT(mvtst[[#This Row],[QR Suivis]],"_"),1,2)</f>
        <v>All by Fouta</v>
      </c>
      <c r="N325" s="35" t="str">
        <f>INDEX(_xlfn.TEXTSPLIT(mvtst[[#This Row],[QR Suivis]],"_"),1,3)</f>
        <v>Stock</v>
      </c>
      <c r="O325" s="35" t="str">
        <f>INDEX(_xlfn.TEXTSPLIT(mvtst[[#This Row],[QR Suivis]],"_"),1,4)</f>
        <v>UNS2030-20</v>
      </c>
      <c r="P325" s="35" t="str">
        <f>INDEX(_xlfn.TEXTSPLIT(mvtst[[#This Row],[QR Suivis]],"_"),1,5)</f>
        <v>UNI SURPIQUE</v>
      </c>
      <c r="Q325" s="35" t="str">
        <f>_xlfn.TEXTAFTER(mvtst[[#This Row],[QR Suivis]],"_",5)</f>
        <v>2030</v>
      </c>
      <c r="R325" s="84" t="str">
        <f>IF(
   COUNTIFS($A$2:A325,A325,
             $B$2:B325,B325,
             $C$2:C325,C325,
             $D$2:D325,D325,
             $G$2:G325,G325)&gt;1,
   "Doublon",
   "Correcte"
)</f>
        <v>Correcte</v>
      </c>
    </row>
    <row r="326" spans="1:18" x14ac:dyDescent="0.25">
      <c r="A326" s="104" t="s">
        <v>1562</v>
      </c>
      <c r="B326" s="35" t="s">
        <v>712</v>
      </c>
      <c r="C326" s="36">
        <v>5</v>
      </c>
      <c r="D326" s="36">
        <v>0</v>
      </c>
      <c r="E326" s="35"/>
      <c r="F326" s="35" t="s">
        <v>664</v>
      </c>
      <c r="G326" s="37">
        <v>45924</v>
      </c>
      <c r="H326" s="37" t="str">
        <f>INDEX(_xlfn.TEXTSPLIT(mvtst[[#This Row],[QR Suivis]],"_"),1,1)</f>
        <v>CA250072-1</v>
      </c>
      <c r="I326" s="35" t="str">
        <f>_xlfn.TEXTBEFORE(mvtst[[#This Row],[Num Suivis]],"-",,,1)</f>
        <v>CA250072</v>
      </c>
      <c r="J326" s="36">
        <f>SUMIF(mvtst[QR Suivis],mvtst[[#This Row],[QR Suivis]],mvtst[QTE SORTIS])-SUMIF(mvtst[QR Suivis],mvtst[[#This Row],[QR Suivis]],mvtst[QTE RETOUR])</f>
        <v>0</v>
      </c>
      <c r="K326" s="35" t="str">
        <f t="shared" si="5"/>
        <v>Usine</v>
      </c>
      <c r="L326" s="35" t="str">
        <f>_xlfn.XLOOKUP(mvtst[[#This Row],[Sous Traitant]],coordonnee_st[Identification],coordonnee_st[SERVICE],"Non Trouvé")</f>
        <v>Frange</v>
      </c>
      <c r="M326" s="35" t="str">
        <f>INDEX(_xlfn.TEXTSPLIT(mvtst[[#This Row],[QR Suivis]],"_"),1,2)</f>
        <v>All by Fouta</v>
      </c>
      <c r="N326" s="35" t="str">
        <f>INDEX(_xlfn.TEXTSPLIT(mvtst[[#This Row],[QR Suivis]],"_"),1,3)</f>
        <v>Stock</v>
      </c>
      <c r="O326" s="35" t="str">
        <f>INDEX(_xlfn.TEXTSPLIT(mvtst[[#This Row],[QR Suivis]],"_"),1,4)</f>
        <v>UNS2030-20</v>
      </c>
      <c r="P326" s="35" t="str">
        <f>INDEX(_xlfn.TEXTSPLIT(mvtst[[#This Row],[QR Suivis]],"_"),1,5)</f>
        <v>UNI SURPIQUE</v>
      </c>
      <c r="Q326" s="35" t="str">
        <f>_xlfn.TEXTAFTER(mvtst[[#This Row],[QR Suivis]],"_",5)</f>
        <v>2030</v>
      </c>
      <c r="R326" s="84" t="str">
        <f>IF(
   COUNTIFS($A$2:A326,A326,
             $B$2:B326,B326,
             $C$2:C326,C326,
             $D$2:D326,D326,
             $G$2:G326,G326)&gt;1,
   "Doublon",
   "Correcte"
)</f>
        <v>Correcte</v>
      </c>
    </row>
    <row r="327" spans="1:18" x14ac:dyDescent="0.25">
      <c r="A327" s="104" t="s">
        <v>1563</v>
      </c>
      <c r="B327" s="35" t="s">
        <v>712</v>
      </c>
      <c r="C327" s="36">
        <v>5</v>
      </c>
      <c r="D327" s="36">
        <v>0</v>
      </c>
      <c r="E327" s="35"/>
      <c r="F327" s="35" t="s">
        <v>664</v>
      </c>
      <c r="G327" s="37">
        <v>45924</v>
      </c>
      <c r="H327" s="37" t="str">
        <f>INDEX(_xlfn.TEXTSPLIT(mvtst[[#This Row],[QR Suivis]],"_"),1,1)</f>
        <v>CA250018-3</v>
      </c>
      <c r="I327" s="35" t="str">
        <f>_xlfn.TEXTBEFORE(mvtst[[#This Row],[Num Suivis]],"-",,,1)</f>
        <v>CA250018</v>
      </c>
      <c r="J327" s="36">
        <f>SUMIF(mvtst[QR Suivis],mvtst[[#This Row],[QR Suivis]],mvtst[QTE SORTIS])-SUMIF(mvtst[QR Suivis],mvtst[[#This Row],[QR Suivis]],mvtst[QTE RETOUR])</f>
        <v>0</v>
      </c>
      <c r="K327" s="35" t="str">
        <f t="shared" si="5"/>
        <v>Usine</v>
      </c>
      <c r="L327" s="35" t="str">
        <f>_xlfn.XLOOKUP(mvtst[[#This Row],[Sous Traitant]],coordonnee_st[Identification],coordonnee_st[SERVICE],"Non Trouvé")</f>
        <v>Frange</v>
      </c>
      <c r="M327" s="35" t="str">
        <f>INDEX(_xlfn.TEXTSPLIT(mvtst[[#This Row],[QR Suivis]],"_"),1,2)</f>
        <v>All by Fouta</v>
      </c>
      <c r="N327" s="35" t="str">
        <f>INDEX(_xlfn.TEXTSPLIT(mvtst[[#This Row],[QR Suivis]],"_"),1,3)</f>
        <v>Stock</v>
      </c>
      <c r="O327" s="35" t="str">
        <f>INDEX(_xlfn.TEXTSPLIT(mvtst[[#This Row],[QR Suivis]],"_"),1,4)</f>
        <v>UNS1020-31</v>
      </c>
      <c r="P327" s="35" t="str">
        <f>INDEX(_xlfn.TEXTSPLIT(mvtst[[#This Row],[QR Suivis]],"_"),1,5)</f>
        <v>UNI SURPIQUE</v>
      </c>
      <c r="Q327" s="35" t="str">
        <f>_xlfn.TEXTAFTER(mvtst[[#This Row],[QR Suivis]],"_",5)</f>
        <v>1020</v>
      </c>
      <c r="R327" s="84" t="str">
        <f>IF(
   COUNTIFS($A$2:A327,A327,
             $B$2:B327,B327,
             $C$2:C327,C327,
             $D$2:D327,D327,
             $G$2:G327,G327)&gt;1,
   "Doublon",
   "Correcte"
)</f>
        <v>Correcte</v>
      </c>
    </row>
    <row r="328" spans="1:18" x14ac:dyDescent="0.25">
      <c r="A328" s="104" t="s">
        <v>1564</v>
      </c>
      <c r="B328" s="35" t="s">
        <v>712</v>
      </c>
      <c r="C328" s="36">
        <v>5</v>
      </c>
      <c r="D328" s="36">
        <v>0</v>
      </c>
      <c r="E328" s="35"/>
      <c r="F328" s="35" t="s">
        <v>664</v>
      </c>
      <c r="G328" s="37">
        <v>45924</v>
      </c>
      <c r="H328" s="37" t="str">
        <f>INDEX(_xlfn.TEXTSPLIT(mvtst[[#This Row],[QR Suivis]],"_"),1,1)</f>
        <v>CA250018-1</v>
      </c>
      <c r="I328" s="35" t="str">
        <f>_xlfn.TEXTBEFORE(mvtst[[#This Row],[Num Suivis]],"-",,,1)</f>
        <v>CA250018</v>
      </c>
      <c r="J328" s="36">
        <f>SUMIF(mvtst[QR Suivis],mvtst[[#This Row],[QR Suivis]],mvtst[QTE SORTIS])-SUMIF(mvtst[QR Suivis],mvtst[[#This Row],[QR Suivis]],mvtst[QTE RETOUR])</f>
        <v>0</v>
      </c>
      <c r="K328" s="35" t="str">
        <f t="shared" si="5"/>
        <v>Usine</v>
      </c>
      <c r="L328" s="35" t="str">
        <f>_xlfn.XLOOKUP(mvtst[[#This Row],[Sous Traitant]],coordonnee_st[Identification],coordonnee_st[SERVICE],"Non Trouvé")</f>
        <v>Frange</v>
      </c>
      <c r="M328" s="35" t="str">
        <f>INDEX(_xlfn.TEXTSPLIT(mvtst[[#This Row],[QR Suivis]],"_"),1,2)</f>
        <v>All by Fouta</v>
      </c>
      <c r="N328" s="35" t="str">
        <f>INDEX(_xlfn.TEXTSPLIT(mvtst[[#This Row],[QR Suivis]],"_"),1,3)</f>
        <v>Stock</v>
      </c>
      <c r="O328" s="35" t="str">
        <f>INDEX(_xlfn.TEXTSPLIT(mvtst[[#This Row],[QR Suivis]],"_"),1,4)</f>
        <v>UNS1020-31</v>
      </c>
      <c r="P328" s="35" t="str">
        <f>INDEX(_xlfn.TEXTSPLIT(mvtst[[#This Row],[QR Suivis]],"_"),1,5)</f>
        <v>UNI SURPIQUE</v>
      </c>
      <c r="Q328" s="35" t="str">
        <f>_xlfn.TEXTAFTER(mvtst[[#This Row],[QR Suivis]],"_",5)</f>
        <v>1020</v>
      </c>
      <c r="R328" s="84" t="str">
        <f>IF(
   COUNTIFS($A$2:A328,A328,
             $B$2:B328,B328,
             $C$2:C328,C328,
             $D$2:D328,D328,
             $G$2:G328,G328)&gt;1,
   "Doublon",
   "Correcte"
)</f>
        <v>Correcte</v>
      </c>
    </row>
    <row r="329" spans="1:18" x14ac:dyDescent="0.25">
      <c r="A329" s="104" t="s">
        <v>1565</v>
      </c>
      <c r="B329" s="35" t="s">
        <v>712</v>
      </c>
      <c r="C329" s="36">
        <v>5</v>
      </c>
      <c r="D329" s="36">
        <v>0</v>
      </c>
      <c r="E329" s="35"/>
      <c r="F329" s="35" t="s">
        <v>664</v>
      </c>
      <c r="G329" s="37">
        <v>45924</v>
      </c>
      <c r="H329" s="37" t="str">
        <f>INDEX(_xlfn.TEXTSPLIT(mvtst[[#This Row],[QR Suivis]],"_"),1,1)</f>
        <v>CA250018-2</v>
      </c>
      <c r="I329" s="35" t="str">
        <f>_xlfn.TEXTBEFORE(mvtst[[#This Row],[Num Suivis]],"-",,,1)</f>
        <v>CA250018</v>
      </c>
      <c r="J329" s="36">
        <f>SUMIF(mvtst[QR Suivis],mvtst[[#This Row],[QR Suivis]],mvtst[QTE SORTIS])-SUMIF(mvtst[QR Suivis],mvtst[[#This Row],[QR Suivis]],mvtst[QTE RETOUR])</f>
        <v>0</v>
      </c>
      <c r="K329" s="35" t="str">
        <f t="shared" si="5"/>
        <v>Usine</v>
      </c>
      <c r="L329" s="35" t="str">
        <f>_xlfn.XLOOKUP(mvtst[[#This Row],[Sous Traitant]],coordonnee_st[Identification],coordonnee_st[SERVICE],"Non Trouvé")</f>
        <v>Frange</v>
      </c>
      <c r="M329" s="35" t="str">
        <f>INDEX(_xlfn.TEXTSPLIT(mvtst[[#This Row],[QR Suivis]],"_"),1,2)</f>
        <v>All by Fouta</v>
      </c>
      <c r="N329" s="35" t="str">
        <f>INDEX(_xlfn.TEXTSPLIT(mvtst[[#This Row],[QR Suivis]],"_"),1,3)</f>
        <v>Stock</v>
      </c>
      <c r="O329" s="35" t="str">
        <f>INDEX(_xlfn.TEXTSPLIT(mvtst[[#This Row],[QR Suivis]],"_"),1,4)</f>
        <v>UNS1020-31</v>
      </c>
      <c r="P329" s="35" t="str">
        <f>INDEX(_xlfn.TEXTSPLIT(mvtst[[#This Row],[QR Suivis]],"_"),1,5)</f>
        <v>UNI SURPIQUE</v>
      </c>
      <c r="Q329" s="35" t="str">
        <f>_xlfn.TEXTAFTER(mvtst[[#This Row],[QR Suivis]],"_",5)</f>
        <v>1020</v>
      </c>
      <c r="R329" s="84" t="str">
        <f>IF(
   COUNTIFS($A$2:A329,A329,
             $B$2:B329,B329,
             $C$2:C329,C329,
             $D$2:D329,D329,
             $G$2:G329,G329)&gt;1,
   "Doublon",
   "Correcte"
)</f>
        <v>Correcte</v>
      </c>
    </row>
    <row r="330" spans="1:18" x14ac:dyDescent="0.25">
      <c r="A330" s="104" t="s">
        <v>1566</v>
      </c>
      <c r="B330" s="35" t="s">
        <v>712</v>
      </c>
      <c r="C330" s="36">
        <v>5</v>
      </c>
      <c r="D330" s="36">
        <v>0</v>
      </c>
      <c r="E330" s="35"/>
      <c r="F330" s="35" t="s">
        <v>664</v>
      </c>
      <c r="G330" s="37">
        <v>45924</v>
      </c>
      <c r="H330" s="37" t="str">
        <f>INDEX(_xlfn.TEXTSPLIT(mvtst[[#This Row],[QR Suivis]],"_"),1,1)</f>
        <v>CA250018-9</v>
      </c>
      <c r="I330" s="35" t="str">
        <f>_xlfn.TEXTBEFORE(mvtst[[#This Row],[Num Suivis]],"-",,,1)</f>
        <v>CA250018</v>
      </c>
      <c r="J330" s="36">
        <f>SUMIF(mvtst[QR Suivis],mvtst[[#This Row],[QR Suivis]],mvtst[QTE SORTIS])-SUMIF(mvtst[QR Suivis],mvtst[[#This Row],[QR Suivis]],mvtst[QTE RETOUR])</f>
        <v>0</v>
      </c>
      <c r="K330" s="35" t="str">
        <f t="shared" si="5"/>
        <v>Usine</v>
      </c>
      <c r="L330" s="35" t="str">
        <f>_xlfn.XLOOKUP(mvtst[[#This Row],[Sous Traitant]],coordonnee_st[Identification],coordonnee_st[SERVICE],"Non Trouvé")</f>
        <v>Frange</v>
      </c>
      <c r="M330" s="35" t="str">
        <f>INDEX(_xlfn.TEXTSPLIT(mvtst[[#This Row],[QR Suivis]],"_"),1,2)</f>
        <v>All by Fouta</v>
      </c>
      <c r="N330" s="35" t="str">
        <f>INDEX(_xlfn.TEXTSPLIT(mvtst[[#This Row],[QR Suivis]],"_"),1,3)</f>
        <v>Stock</v>
      </c>
      <c r="O330" s="35" t="str">
        <f>INDEX(_xlfn.TEXTSPLIT(mvtst[[#This Row],[QR Suivis]],"_"),1,4)</f>
        <v>UNS1020-31</v>
      </c>
      <c r="P330" s="35" t="str">
        <f>INDEX(_xlfn.TEXTSPLIT(mvtst[[#This Row],[QR Suivis]],"_"),1,5)</f>
        <v>UNI SURPIQUE</v>
      </c>
      <c r="Q330" s="35" t="str">
        <f>_xlfn.TEXTAFTER(mvtst[[#This Row],[QR Suivis]],"_",5)</f>
        <v>1020</v>
      </c>
      <c r="R330" s="84" t="str">
        <f>IF(
   COUNTIFS($A$2:A330,A330,
             $B$2:B330,B330,
             $C$2:C330,C330,
             $D$2:D330,D330,
             $G$2:G330,G330)&gt;1,
   "Doublon",
   "Correcte"
)</f>
        <v>Correcte</v>
      </c>
    </row>
    <row r="331" spans="1:18" x14ac:dyDescent="0.25">
      <c r="A331" s="104" t="s">
        <v>1567</v>
      </c>
      <c r="B331" s="35" t="s">
        <v>712</v>
      </c>
      <c r="C331" s="36">
        <v>5</v>
      </c>
      <c r="D331" s="36">
        <v>0</v>
      </c>
      <c r="E331" s="35"/>
      <c r="F331" s="35" t="s">
        <v>664</v>
      </c>
      <c r="G331" s="37">
        <v>45924</v>
      </c>
      <c r="H331" s="37" t="str">
        <f>INDEX(_xlfn.TEXTSPLIT(mvtst[[#This Row],[QR Suivis]],"_"),1,1)</f>
        <v>CA250018-6</v>
      </c>
      <c r="I331" s="35" t="str">
        <f>_xlfn.TEXTBEFORE(mvtst[[#This Row],[Num Suivis]],"-",,,1)</f>
        <v>CA250018</v>
      </c>
      <c r="J331" s="36">
        <f>SUMIF(mvtst[QR Suivis],mvtst[[#This Row],[QR Suivis]],mvtst[QTE SORTIS])-SUMIF(mvtst[QR Suivis],mvtst[[#This Row],[QR Suivis]],mvtst[QTE RETOUR])</f>
        <v>0</v>
      </c>
      <c r="K331" s="35" t="str">
        <f t="shared" si="5"/>
        <v>Usine</v>
      </c>
      <c r="L331" s="35" t="str">
        <f>_xlfn.XLOOKUP(mvtst[[#This Row],[Sous Traitant]],coordonnee_st[Identification],coordonnee_st[SERVICE],"Non Trouvé")</f>
        <v>Frange</v>
      </c>
      <c r="M331" s="35" t="str">
        <f>INDEX(_xlfn.TEXTSPLIT(mvtst[[#This Row],[QR Suivis]],"_"),1,2)</f>
        <v>All by Fouta</v>
      </c>
      <c r="N331" s="35" t="str">
        <f>INDEX(_xlfn.TEXTSPLIT(mvtst[[#This Row],[QR Suivis]],"_"),1,3)</f>
        <v>Stock</v>
      </c>
      <c r="O331" s="35" t="str">
        <f>INDEX(_xlfn.TEXTSPLIT(mvtst[[#This Row],[QR Suivis]],"_"),1,4)</f>
        <v>UNS1020-31</v>
      </c>
      <c r="P331" s="35" t="str">
        <f>INDEX(_xlfn.TEXTSPLIT(mvtst[[#This Row],[QR Suivis]],"_"),1,5)</f>
        <v>UNI SURPIQUE</v>
      </c>
      <c r="Q331" s="35" t="str">
        <f>_xlfn.TEXTAFTER(mvtst[[#This Row],[QR Suivis]],"_",5)</f>
        <v>1020</v>
      </c>
      <c r="R331" s="84" t="str">
        <f>IF(
   COUNTIFS($A$2:A331,A331,
             $B$2:B331,B331,
             $C$2:C331,C331,
             $D$2:D331,D331,
             $G$2:G331,G331)&gt;1,
   "Doublon",
   "Correcte"
)</f>
        <v>Correcte</v>
      </c>
    </row>
    <row r="332" spans="1:18" x14ac:dyDescent="0.25">
      <c r="A332" s="104" t="s">
        <v>1568</v>
      </c>
      <c r="B332" s="35" t="s">
        <v>712</v>
      </c>
      <c r="C332" s="36">
        <v>5</v>
      </c>
      <c r="D332" s="36">
        <v>0</v>
      </c>
      <c r="E332" s="35"/>
      <c r="F332" s="35" t="s">
        <v>664</v>
      </c>
      <c r="G332" s="37">
        <v>45924</v>
      </c>
      <c r="H332" s="37" t="str">
        <f>INDEX(_xlfn.TEXTSPLIT(mvtst[[#This Row],[QR Suivis]],"_"),1,1)</f>
        <v>CA250018-11</v>
      </c>
      <c r="I332" s="35" t="str">
        <f>_xlfn.TEXTBEFORE(mvtst[[#This Row],[Num Suivis]],"-",,,1)</f>
        <v>CA250018</v>
      </c>
      <c r="J332" s="36">
        <f>SUMIF(mvtst[QR Suivis],mvtst[[#This Row],[QR Suivis]],mvtst[QTE SORTIS])-SUMIF(mvtst[QR Suivis],mvtst[[#This Row],[QR Suivis]],mvtst[QTE RETOUR])</f>
        <v>0</v>
      </c>
      <c r="K332" s="35" t="str">
        <f t="shared" si="5"/>
        <v>Usine</v>
      </c>
      <c r="L332" s="35" t="str">
        <f>_xlfn.XLOOKUP(mvtst[[#This Row],[Sous Traitant]],coordonnee_st[Identification],coordonnee_st[SERVICE],"Non Trouvé")</f>
        <v>Frange</v>
      </c>
      <c r="M332" s="35" t="str">
        <f>INDEX(_xlfn.TEXTSPLIT(mvtst[[#This Row],[QR Suivis]],"_"),1,2)</f>
        <v>All by Fouta</v>
      </c>
      <c r="N332" s="35" t="str">
        <f>INDEX(_xlfn.TEXTSPLIT(mvtst[[#This Row],[QR Suivis]],"_"),1,3)</f>
        <v>Stock</v>
      </c>
      <c r="O332" s="35" t="str">
        <f>INDEX(_xlfn.TEXTSPLIT(mvtst[[#This Row],[QR Suivis]],"_"),1,4)</f>
        <v>UNS1020-31</v>
      </c>
      <c r="P332" s="35" t="str">
        <f>INDEX(_xlfn.TEXTSPLIT(mvtst[[#This Row],[QR Suivis]],"_"),1,5)</f>
        <v>UNI SURPIQUE</v>
      </c>
      <c r="Q332" s="35" t="str">
        <f>_xlfn.TEXTAFTER(mvtst[[#This Row],[QR Suivis]],"_",5)</f>
        <v>1020</v>
      </c>
      <c r="R332" s="84" t="str">
        <f>IF(
   COUNTIFS($A$2:A332,A332,
             $B$2:B332,B332,
             $C$2:C332,C332,
             $D$2:D332,D332,
             $G$2:G332,G332)&gt;1,
   "Doublon",
   "Correcte"
)</f>
        <v>Correcte</v>
      </c>
    </row>
    <row r="333" spans="1:18" x14ac:dyDescent="0.25">
      <c r="A333" s="104" t="s">
        <v>1569</v>
      </c>
      <c r="B333" s="35" t="s">
        <v>712</v>
      </c>
      <c r="C333" s="36">
        <v>5</v>
      </c>
      <c r="D333" s="36">
        <v>0</v>
      </c>
      <c r="E333" s="35"/>
      <c r="F333" s="35" t="s">
        <v>664</v>
      </c>
      <c r="G333" s="37">
        <v>45924</v>
      </c>
      <c r="H333" s="37" t="str">
        <f>INDEX(_xlfn.TEXTSPLIT(mvtst[[#This Row],[QR Suivis]],"_"),1,1)</f>
        <v>CA250018-5</v>
      </c>
      <c r="I333" s="35" t="str">
        <f>_xlfn.TEXTBEFORE(mvtst[[#This Row],[Num Suivis]],"-",,,1)</f>
        <v>CA250018</v>
      </c>
      <c r="J333" s="36">
        <f>SUMIF(mvtst[QR Suivis],mvtst[[#This Row],[QR Suivis]],mvtst[QTE SORTIS])-SUMIF(mvtst[QR Suivis],mvtst[[#This Row],[QR Suivis]],mvtst[QTE RETOUR])</f>
        <v>0</v>
      </c>
      <c r="K333" s="35" t="str">
        <f t="shared" si="5"/>
        <v>Usine</v>
      </c>
      <c r="L333" s="35" t="str">
        <f>_xlfn.XLOOKUP(mvtst[[#This Row],[Sous Traitant]],coordonnee_st[Identification],coordonnee_st[SERVICE],"Non Trouvé")</f>
        <v>Frange</v>
      </c>
      <c r="M333" s="35" t="str">
        <f>INDEX(_xlfn.TEXTSPLIT(mvtst[[#This Row],[QR Suivis]],"_"),1,2)</f>
        <v>All by Fouta</v>
      </c>
      <c r="N333" s="35" t="str">
        <f>INDEX(_xlfn.TEXTSPLIT(mvtst[[#This Row],[QR Suivis]],"_"),1,3)</f>
        <v>Stock</v>
      </c>
      <c r="O333" s="35" t="str">
        <f>INDEX(_xlfn.TEXTSPLIT(mvtst[[#This Row],[QR Suivis]],"_"),1,4)</f>
        <v>UNS1020-31</v>
      </c>
      <c r="P333" s="35" t="str">
        <f>INDEX(_xlfn.TEXTSPLIT(mvtst[[#This Row],[QR Suivis]],"_"),1,5)</f>
        <v>UNI SURPIQUE</v>
      </c>
      <c r="Q333" s="35" t="str">
        <f>_xlfn.TEXTAFTER(mvtst[[#This Row],[QR Suivis]],"_",5)</f>
        <v>1020</v>
      </c>
      <c r="R333" s="84" t="str">
        <f>IF(
   COUNTIFS($A$2:A333,A333,
             $B$2:B333,B333,
             $C$2:C333,C333,
             $D$2:D333,D333,
             $G$2:G333,G333)&gt;1,
   "Doublon",
   "Correcte"
)</f>
        <v>Correcte</v>
      </c>
    </row>
    <row r="334" spans="1:18" x14ac:dyDescent="0.25">
      <c r="A334" s="104" t="s">
        <v>1570</v>
      </c>
      <c r="B334" s="35" t="s">
        <v>712</v>
      </c>
      <c r="C334" s="36">
        <v>5</v>
      </c>
      <c r="D334" s="36">
        <v>0</v>
      </c>
      <c r="E334" s="35"/>
      <c r="F334" s="35" t="s">
        <v>664</v>
      </c>
      <c r="G334" s="37">
        <v>45924</v>
      </c>
      <c r="H334" s="37" t="str">
        <f>INDEX(_xlfn.TEXTSPLIT(mvtst[[#This Row],[QR Suivis]],"_"),1,1)</f>
        <v>CA250018-7</v>
      </c>
      <c r="I334" s="35" t="str">
        <f>_xlfn.TEXTBEFORE(mvtst[[#This Row],[Num Suivis]],"-",,,1)</f>
        <v>CA250018</v>
      </c>
      <c r="J334" s="36">
        <f>SUMIF(mvtst[QR Suivis],mvtst[[#This Row],[QR Suivis]],mvtst[QTE SORTIS])-SUMIF(mvtst[QR Suivis],mvtst[[#This Row],[QR Suivis]],mvtst[QTE RETOUR])</f>
        <v>0</v>
      </c>
      <c r="K334" s="35" t="str">
        <f t="shared" si="5"/>
        <v>Usine</v>
      </c>
      <c r="L334" s="35" t="str">
        <f>_xlfn.XLOOKUP(mvtst[[#This Row],[Sous Traitant]],coordonnee_st[Identification],coordonnee_st[SERVICE],"Non Trouvé")</f>
        <v>Frange</v>
      </c>
      <c r="M334" s="35" t="str">
        <f>INDEX(_xlfn.TEXTSPLIT(mvtst[[#This Row],[QR Suivis]],"_"),1,2)</f>
        <v>All by Fouta</v>
      </c>
      <c r="N334" s="35" t="str">
        <f>INDEX(_xlfn.TEXTSPLIT(mvtst[[#This Row],[QR Suivis]],"_"),1,3)</f>
        <v>Stock</v>
      </c>
      <c r="O334" s="35" t="str">
        <f>INDEX(_xlfn.TEXTSPLIT(mvtst[[#This Row],[QR Suivis]],"_"),1,4)</f>
        <v>UNS1020-31</v>
      </c>
      <c r="P334" s="35" t="str">
        <f>INDEX(_xlfn.TEXTSPLIT(mvtst[[#This Row],[QR Suivis]],"_"),1,5)</f>
        <v>UNI SURPIQUE</v>
      </c>
      <c r="Q334" s="35" t="str">
        <f>_xlfn.TEXTAFTER(mvtst[[#This Row],[QR Suivis]],"_",5)</f>
        <v>1020</v>
      </c>
      <c r="R334" s="84" t="str">
        <f>IF(
   COUNTIFS($A$2:A334,A334,
             $B$2:B334,B334,
             $C$2:C334,C334,
             $D$2:D334,D334,
             $G$2:G334,G334)&gt;1,
   "Doublon",
   "Correcte"
)</f>
        <v>Correcte</v>
      </c>
    </row>
    <row r="335" spans="1:18" x14ac:dyDescent="0.25">
      <c r="A335" s="104" t="s">
        <v>1571</v>
      </c>
      <c r="B335" s="35" t="s">
        <v>712</v>
      </c>
      <c r="C335" s="36">
        <v>5</v>
      </c>
      <c r="D335" s="36">
        <v>0</v>
      </c>
      <c r="E335" s="35"/>
      <c r="F335" s="35" t="s">
        <v>664</v>
      </c>
      <c r="G335" s="37">
        <v>45924</v>
      </c>
      <c r="H335" s="37" t="str">
        <f>INDEX(_xlfn.TEXTSPLIT(mvtst[[#This Row],[QR Suivis]],"_"),1,1)</f>
        <v>CA250018-12</v>
      </c>
      <c r="I335" s="35" t="str">
        <f>_xlfn.TEXTBEFORE(mvtst[[#This Row],[Num Suivis]],"-",,,1)</f>
        <v>CA250018</v>
      </c>
      <c r="J335" s="36">
        <f>SUMIF(mvtst[QR Suivis],mvtst[[#This Row],[QR Suivis]],mvtst[QTE SORTIS])-SUMIF(mvtst[QR Suivis],mvtst[[#This Row],[QR Suivis]],mvtst[QTE RETOUR])</f>
        <v>0</v>
      </c>
      <c r="K335" s="35" t="str">
        <f t="shared" si="5"/>
        <v>Usine</v>
      </c>
      <c r="L335" s="35" t="str">
        <f>_xlfn.XLOOKUP(mvtst[[#This Row],[Sous Traitant]],coordonnee_st[Identification],coordonnee_st[SERVICE],"Non Trouvé")</f>
        <v>Frange</v>
      </c>
      <c r="M335" s="35" t="str">
        <f>INDEX(_xlfn.TEXTSPLIT(mvtst[[#This Row],[QR Suivis]],"_"),1,2)</f>
        <v>All by Fouta</v>
      </c>
      <c r="N335" s="35" t="str">
        <f>INDEX(_xlfn.TEXTSPLIT(mvtst[[#This Row],[QR Suivis]],"_"),1,3)</f>
        <v>Stock</v>
      </c>
      <c r="O335" s="35" t="str">
        <f>INDEX(_xlfn.TEXTSPLIT(mvtst[[#This Row],[QR Suivis]],"_"),1,4)</f>
        <v>UNS1020-31</v>
      </c>
      <c r="P335" s="35" t="str">
        <f>INDEX(_xlfn.TEXTSPLIT(mvtst[[#This Row],[QR Suivis]],"_"),1,5)</f>
        <v>UNI SURPIQUE</v>
      </c>
      <c r="Q335" s="35" t="str">
        <f>_xlfn.TEXTAFTER(mvtst[[#This Row],[QR Suivis]],"_",5)</f>
        <v>1020</v>
      </c>
      <c r="R335" s="84" t="str">
        <f>IF(
   COUNTIFS($A$2:A335,A335,
             $B$2:B335,B335,
             $C$2:C335,C335,
             $D$2:D335,D335,
             $G$2:G335,G335)&gt;1,
   "Doublon",
   "Correcte"
)</f>
        <v>Correcte</v>
      </c>
    </row>
    <row r="336" spans="1:18" x14ac:dyDescent="0.25">
      <c r="A336" s="104" t="s">
        <v>1572</v>
      </c>
      <c r="B336" s="35" t="s">
        <v>712</v>
      </c>
      <c r="C336" s="36">
        <v>5</v>
      </c>
      <c r="D336" s="36">
        <v>0</v>
      </c>
      <c r="E336" s="35"/>
      <c r="F336" s="35" t="s">
        <v>664</v>
      </c>
      <c r="G336" s="37">
        <v>45924</v>
      </c>
      <c r="H336" s="37" t="str">
        <f>INDEX(_xlfn.TEXTSPLIT(mvtst[[#This Row],[QR Suivis]],"_"),1,1)</f>
        <v>CA250018-4</v>
      </c>
      <c r="I336" s="35" t="str">
        <f>_xlfn.TEXTBEFORE(mvtst[[#This Row],[Num Suivis]],"-",,,1)</f>
        <v>CA250018</v>
      </c>
      <c r="J336" s="36">
        <f>SUMIF(mvtst[QR Suivis],mvtst[[#This Row],[QR Suivis]],mvtst[QTE SORTIS])-SUMIF(mvtst[QR Suivis],mvtst[[#This Row],[QR Suivis]],mvtst[QTE RETOUR])</f>
        <v>0</v>
      </c>
      <c r="K336" s="35" t="str">
        <f t="shared" si="5"/>
        <v>Usine</v>
      </c>
      <c r="L336" s="35" t="str">
        <f>_xlfn.XLOOKUP(mvtst[[#This Row],[Sous Traitant]],coordonnee_st[Identification],coordonnee_st[SERVICE],"Non Trouvé")</f>
        <v>Frange</v>
      </c>
      <c r="M336" s="35" t="str">
        <f>INDEX(_xlfn.TEXTSPLIT(mvtst[[#This Row],[QR Suivis]],"_"),1,2)</f>
        <v>All by Fouta</v>
      </c>
      <c r="N336" s="35" t="str">
        <f>INDEX(_xlfn.TEXTSPLIT(mvtst[[#This Row],[QR Suivis]],"_"),1,3)</f>
        <v>Stock</v>
      </c>
      <c r="O336" s="35" t="str">
        <f>INDEX(_xlfn.TEXTSPLIT(mvtst[[#This Row],[QR Suivis]],"_"),1,4)</f>
        <v>UNS1020-31</v>
      </c>
      <c r="P336" s="35" t="str">
        <f>INDEX(_xlfn.TEXTSPLIT(mvtst[[#This Row],[QR Suivis]],"_"),1,5)</f>
        <v>UNI SURPIQUE</v>
      </c>
      <c r="Q336" s="35" t="str">
        <f>_xlfn.TEXTAFTER(mvtst[[#This Row],[QR Suivis]],"_",5)</f>
        <v>1020</v>
      </c>
      <c r="R336" s="84" t="str">
        <f>IF(
   COUNTIFS($A$2:A336,A336,
             $B$2:B336,B336,
             $C$2:C336,C336,
             $D$2:D336,D336,
             $G$2:G336,G336)&gt;1,
   "Doublon",
   "Correcte"
)</f>
        <v>Correcte</v>
      </c>
    </row>
    <row r="337" spans="1:18" x14ac:dyDescent="0.25">
      <c r="A337" s="104" t="s">
        <v>1573</v>
      </c>
      <c r="B337" s="35" t="s">
        <v>712</v>
      </c>
      <c r="C337" s="36">
        <v>5</v>
      </c>
      <c r="D337" s="36">
        <v>0</v>
      </c>
      <c r="E337" s="35"/>
      <c r="F337" s="35" t="s">
        <v>664</v>
      </c>
      <c r="G337" s="37">
        <v>45924</v>
      </c>
      <c r="H337" s="37" t="str">
        <f>INDEX(_xlfn.TEXTSPLIT(mvtst[[#This Row],[QR Suivis]],"_"),1,1)</f>
        <v>CA250018-10</v>
      </c>
      <c r="I337" s="35" t="str">
        <f>_xlfn.TEXTBEFORE(mvtst[[#This Row],[Num Suivis]],"-",,,1)</f>
        <v>CA250018</v>
      </c>
      <c r="J337" s="36">
        <f>SUMIF(mvtst[QR Suivis],mvtst[[#This Row],[QR Suivis]],mvtst[QTE SORTIS])-SUMIF(mvtst[QR Suivis],mvtst[[#This Row],[QR Suivis]],mvtst[QTE RETOUR])</f>
        <v>0</v>
      </c>
      <c r="K337" s="35" t="str">
        <f t="shared" si="5"/>
        <v>Usine</v>
      </c>
      <c r="L337" s="35" t="str">
        <f>_xlfn.XLOOKUP(mvtst[[#This Row],[Sous Traitant]],coordonnee_st[Identification],coordonnee_st[SERVICE],"Non Trouvé")</f>
        <v>Frange</v>
      </c>
      <c r="M337" s="35" t="str">
        <f>INDEX(_xlfn.TEXTSPLIT(mvtst[[#This Row],[QR Suivis]],"_"),1,2)</f>
        <v>All by Fouta</v>
      </c>
      <c r="N337" s="35" t="str">
        <f>INDEX(_xlfn.TEXTSPLIT(mvtst[[#This Row],[QR Suivis]],"_"),1,3)</f>
        <v>Stock</v>
      </c>
      <c r="O337" s="35" t="str">
        <f>INDEX(_xlfn.TEXTSPLIT(mvtst[[#This Row],[QR Suivis]],"_"),1,4)</f>
        <v>UNS1020-31</v>
      </c>
      <c r="P337" s="35" t="str">
        <f>INDEX(_xlfn.TEXTSPLIT(mvtst[[#This Row],[QR Suivis]],"_"),1,5)</f>
        <v>UNI SURPIQUE</v>
      </c>
      <c r="Q337" s="35" t="str">
        <f>_xlfn.TEXTAFTER(mvtst[[#This Row],[QR Suivis]],"_",5)</f>
        <v>1020</v>
      </c>
      <c r="R337" s="84" t="str">
        <f>IF(
   COUNTIFS($A$2:A337,A337,
             $B$2:B337,B337,
             $C$2:C337,C337,
             $D$2:D337,D337,
             $G$2:G337,G337)&gt;1,
   "Doublon",
   "Correcte"
)</f>
        <v>Correcte</v>
      </c>
    </row>
    <row r="338" spans="1:18" x14ac:dyDescent="0.25">
      <c r="A338" s="104" t="s">
        <v>1574</v>
      </c>
      <c r="B338" s="35" t="s">
        <v>712</v>
      </c>
      <c r="C338" s="36">
        <v>5</v>
      </c>
      <c r="D338" s="36">
        <v>0</v>
      </c>
      <c r="E338" s="35"/>
      <c r="F338" s="35" t="s">
        <v>664</v>
      </c>
      <c r="G338" s="37">
        <v>45924</v>
      </c>
      <c r="H338" s="37" t="str">
        <f>INDEX(_xlfn.TEXTSPLIT(mvtst[[#This Row],[QR Suivis]],"_"),1,1)</f>
        <v>CA250018-8</v>
      </c>
      <c r="I338" s="35" t="str">
        <f>_xlfn.TEXTBEFORE(mvtst[[#This Row],[Num Suivis]],"-",,,1)</f>
        <v>CA250018</v>
      </c>
      <c r="J338" s="36">
        <f>SUMIF(mvtst[QR Suivis],mvtst[[#This Row],[QR Suivis]],mvtst[QTE SORTIS])-SUMIF(mvtst[QR Suivis],mvtst[[#This Row],[QR Suivis]],mvtst[QTE RETOUR])</f>
        <v>0</v>
      </c>
      <c r="K338" s="35" t="str">
        <f t="shared" si="5"/>
        <v>Usine</v>
      </c>
      <c r="L338" s="35" t="str">
        <f>_xlfn.XLOOKUP(mvtst[[#This Row],[Sous Traitant]],coordonnee_st[Identification],coordonnee_st[SERVICE],"Non Trouvé")</f>
        <v>Frange</v>
      </c>
      <c r="M338" s="35" t="str">
        <f>INDEX(_xlfn.TEXTSPLIT(mvtst[[#This Row],[QR Suivis]],"_"),1,2)</f>
        <v>All by Fouta</v>
      </c>
      <c r="N338" s="35" t="str">
        <f>INDEX(_xlfn.TEXTSPLIT(mvtst[[#This Row],[QR Suivis]],"_"),1,3)</f>
        <v>Stock</v>
      </c>
      <c r="O338" s="35" t="str">
        <f>INDEX(_xlfn.TEXTSPLIT(mvtst[[#This Row],[QR Suivis]],"_"),1,4)</f>
        <v>UNS1020-31</v>
      </c>
      <c r="P338" s="35" t="str">
        <f>INDEX(_xlfn.TEXTSPLIT(mvtst[[#This Row],[QR Suivis]],"_"),1,5)</f>
        <v>UNI SURPIQUE</v>
      </c>
      <c r="Q338" s="35" t="str">
        <f>_xlfn.TEXTAFTER(mvtst[[#This Row],[QR Suivis]],"_",5)</f>
        <v>1020</v>
      </c>
      <c r="R338" s="84" t="str">
        <f>IF(
   COUNTIFS($A$2:A338,A338,
             $B$2:B338,B338,
             $C$2:C338,C338,
             $D$2:D338,D338,
             $G$2:G338,G338)&gt;1,
   "Doublon",
   "Correcte"
)</f>
        <v>Correcte</v>
      </c>
    </row>
    <row r="339" spans="1:18" x14ac:dyDescent="0.25">
      <c r="A339" s="104" t="s">
        <v>1575</v>
      </c>
      <c r="B339" s="35" t="s">
        <v>712</v>
      </c>
      <c r="C339" s="36">
        <v>5</v>
      </c>
      <c r="D339" s="36">
        <v>0</v>
      </c>
      <c r="E339" s="35"/>
      <c r="F339" s="35" t="s">
        <v>664</v>
      </c>
      <c r="G339" s="37">
        <v>45924</v>
      </c>
      <c r="H339" s="37" t="str">
        <f>INDEX(_xlfn.TEXTSPLIT(mvtst[[#This Row],[QR Suivis]],"_"),1,1)</f>
        <v>CA250017-5</v>
      </c>
      <c r="I339" s="35" t="str">
        <f>_xlfn.TEXTBEFORE(mvtst[[#This Row],[Num Suivis]],"-",,,1)</f>
        <v>CA250017</v>
      </c>
      <c r="J339" s="36">
        <f>SUMIF(mvtst[QR Suivis],mvtst[[#This Row],[QR Suivis]],mvtst[QTE SORTIS])-SUMIF(mvtst[QR Suivis],mvtst[[#This Row],[QR Suivis]],mvtst[QTE RETOUR])</f>
        <v>0</v>
      </c>
      <c r="K339" s="35" t="str">
        <f t="shared" si="5"/>
        <v>Usine</v>
      </c>
      <c r="L339" s="35" t="str">
        <f>_xlfn.XLOOKUP(mvtst[[#This Row],[Sous Traitant]],coordonnee_st[Identification],coordonnee_st[SERVICE],"Non Trouvé")</f>
        <v>Frange</v>
      </c>
      <c r="M339" s="35" t="str">
        <f>INDEX(_xlfn.TEXTSPLIT(mvtst[[#This Row],[QR Suivis]],"_"),1,2)</f>
        <v>All by Fouta</v>
      </c>
      <c r="N339" s="35" t="str">
        <f>INDEX(_xlfn.TEXTSPLIT(mvtst[[#This Row],[QR Suivis]],"_"),1,3)</f>
        <v>Stock</v>
      </c>
      <c r="O339" s="35" t="str">
        <f>INDEX(_xlfn.TEXTSPLIT(mvtst[[#This Row],[QR Suivis]],"_"),1,4)</f>
        <v>UNS1020-30</v>
      </c>
      <c r="P339" s="35" t="str">
        <f>INDEX(_xlfn.TEXTSPLIT(mvtst[[#This Row],[QR Suivis]],"_"),1,5)</f>
        <v>UNI SURPIQUE</v>
      </c>
      <c r="Q339" s="35" t="str">
        <f>_xlfn.TEXTAFTER(mvtst[[#This Row],[QR Suivis]],"_",5)</f>
        <v>1020</v>
      </c>
      <c r="R339" s="84" t="str">
        <f>IF(
   COUNTIFS($A$2:A339,A339,
             $B$2:B339,B339,
             $C$2:C339,C339,
             $D$2:D339,D339,
             $G$2:G339,G339)&gt;1,
   "Doublon",
   "Correcte"
)</f>
        <v>Correcte</v>
      </c>
    </row>
    <row r="340" spans="1:18" x14ac:dyDescent="0.25">
      <c r="A340" s="104" t="s">
        <v>1576</v>
      </c>
      <c r="B340" s="35" t="s">
        <v>712</v>
      </c>
      <c r="C340" s="36">
        <v>5</v>
      </c>
      <c r="D340" s="36">
        <v>0</v>
      </c>
      <c r="E340" s="35"/>
      <c r="F340" s="35" t="s">
        <v>664</v>
      </c>
      <c r="G340" s="37">
        <v>45924</v>
      </c>
      <c r="H340" s="37" t="str">
        <f>INDEX(_xlfn.TEXTSPLIT(mvtst[[#This Row],[QR Suivis]],"_"),1,1)</f>
        <v>CA250017-2</v>
      </c>
      <c r="I340" s="35" t="str">
        <f>_xlfn.TEXTBEFORE(mvtst[[#This Row],[Num Suivis]],"-",,,1)</f>
        <v>CA250017</v>
      </c>
      <c r="J340" s="36">
        <f>SUMIF(mvtst[QR Suivis],mvtst[[#This Row],[QR Suivis]],mvtst[QTE SORTIS])-SUMIF(mvtst[QR Suivis],mvtst[[#This Row],[QR Suivis]],mvtst[QTE RETOUR])</f>
        <v>0</v>
      </c>
      <c r="K340" s="35" t="str">
        <f t="shared" si="5"/>
        <v>Usine</v>
      </c>
      <c r="L340" s="35" t="str">
        <f>_xlfn.XLOOKUP(mvtst[[#This Row],[Sous Traitant]],coordonnee_st[Identification],coordonnee_st[SERVICE],"Non Trouvé")</f>
        <v>Frange</v>
      </c>
      <c r="M340" s="35" t="str">
        <f>INDEX(_xlfn.TEXTSPLIT(mvtst[[#This Row],[QR Suivis]],"_"),1,2)</f>
        <v>All by Fouta</v>
      </c>
      <c r="N340" s="35" t="str">
        <f>INDEX(_xlfn.TEXTSPLIT(mvtst[[#This Row],[QR Suivis]],"_"),1,3)</f>
        <v>Stock</v>
      </c>
      <c r="O340" s="35" t="str">
        <f>INDEX(_xlfn.TEXTSPLIT(mvtst[[#This Row],[QR Suivis]],"_"),1,4)</f>
        <v>UNS1020-30</v>
      </c>
      <c r="P340" s="35" t="str">
        <f>INDEX(_xlfn.TEXTSPLIT(mvtst[[#This Row],[QR Suivis]],"_"),1,5)</f>
        <v>UNI SURPIQUE</v>
      </c>
      <c r="Q340" s="35" t="str">
        <f>_xlfn.TEXTAFTER(mvtst[[#This Row],[QR Suivis]],"_",5)</f>
        <v>1020</v>
      </c>
      <c r="R340" s="84" t="str">
        <f>IF(
   COUNTIFS($A$2:A340,A340,
             $B$2:B340,B340,
             $C$2:C340,C340,
             $D$2:D340,D340,
             $G$2:G340,G340)&gt;1,
   "Doublon",
   "Correcte"
)</f>
        <v>Correcte</v>
      </c>
    </row>
    <row r="341" spans="1:18" x14ac:dyDescent="0.25">
      <c r="A341" s="104" t="s">
        <v>1577</v>
      </c>
      <c r="B341" s="35" t="s">
        <v>712</v>
      </c>
      <c r="C341" s="36">
        <v>5</v>
      </c>
      <c r="D341" s="36">
        <v>0</v>
      </c>
      <c r="E341" s="35"/>
      <c r="F341" s="35" t="s">
        <v>664</v>
      </c>
      <c r="G341" s="37">
        <v>45924</v>
      </c>
      <c r="H341" s="37" t="str">
        <f>INDEX(_xlfn.TEXTSPLIT(mvtst[[#This Row],[QR Suivis]],"_"),1,1)</f>
        <v>CA250017-8</v>
      </c>
      <c r="I341" s="35" t="str">
        <f>_xlfn.TEXTBEFORE(mvtst[[#This Row],[Num Suivis]],"-",,,1)</f>
        <v>CA250017</v>
      </c>
      <c r="J341" s="36">
        <f>SUMIF(mvtst[QR Suivis],mvtst[[#This Row],[QR Suivis]],mvtst[QTE SORTIS])-SUMIF(mvtst[QR Suivis],mvtst[[#This Row],[QR Suivis]],mvtst[QTE RETOUR])</f>
        <v>0</v>
      </c>
      <c r="K341" s="35" t="str">
        <f t="shared" si="5"/>
        <v>Usine</v>
      </c>
      <c r="L341" s="35" t="str">
        <f>_xlfn.XLOOKUP(mvtst[[#This Row],[Sous Traitant]],coordonnee_st[Identification],coordonnee_st[SERVICE],"Non Trouvé")</f>
        <v>Frange</v>
      </c>
      <c r="M341" s="35" t="str">
        <f>INDEX(_xlfn.TEXTSPLIT(mvtst[[#This Row],[QR Suivis]],"_"),1,2)</f>
        <v>All by Fouta</v>
      </c>
      <c r="N341" s="35" t="str">
        <f>INDEX(_xlfn.TEXTSPLIT(mvtst[[#This Row],[QR Suivis]],"_"),1,3)</f>
        <v>Stock</v>
      </c>
      <c r="O341" s="35" t="str">
        <f>INDEX(_xlfn.TEXTSPLIT(mvtst[[#This Row],[QR Suivis]],"_"),1,4)</f>
        <v>UNS1020-30</v>
      </c>
      <c r="P341" s="35" t="str">
        <f>INDEX(_xlfn.TEXTSPLIT(mvtst[[#This Row],[QR Suivis]],"_"),1,5)</f>
        <v>UNI SURPIQUE</v>
      </c>
      <c r="Q341" s="35" t="str">
        <f>_xlfn.TEXTAFTER(mvtst[[#This Row],[QR Suivis]],"_",5)</f>
        <v>1020</v>
      </c>
      <c r="R341" s="84" t="str">
        <f>IF(
   COUNTIFS($A$2:A341,A341,
             $B$2:B341,B341,
             $C$2:C341,C341,
             $D$2:D341,D341,
             $G$2:G341,G341)&gt;1,
   "Doublon",
   "Correcte"
)</f>
        <v>Correcte</v>
      </c>
    </row>
    <row r="342" spans="1:18" x14ac:dyDescent="0.25">
      <c r="A342" s="104" t="s">
        <v>1578</v>
      </c>
      <c r="B342" s="35" t="s">
        <v>712</v>
      </c>
      <c r="C342" s="36">
        <v>5</v>
      </c>
      <c r="D342" s="36">
        <v>0</v>
      </c>
      <c r="E342" s="35"/>
      <c r="F342" s="35" t="s">
        <v>664</v>
      </c>
      <c r="G342" s="37">
        <v>45924</v>
      </c>
      <c r="H342" s="37" t="str">
        <f>INDEX(_xlfn.TEXTSPLIT(mvtst[[#This Row],[QR Suivis]],"_"),1,1)</f>
        <v>CA250017-4</v>
      </c>
      <c r="I342" s="35" t="str">
        <f>_xlfn.TEXTBEFORE(mvtst[[#This Row],[Num Suivis]],"-",,,1)</f>
        <v>CA250017</v>
      </c>
      <c r="J342" s="36">
        <f>SUMIF(mvtst[QR Suivis],mvtst[[#This Row],[QR Suivis]],mvtst[QTE SORTIS])-SUMIF(mvtst[QR Suivis],mvtst[[#This Row],[QR Suivis]],mvtst[QTE RETOUR])</f>
        <v>0</v>
      </c>
      <c r="K342" s="35" t="str">
        <f t="shared" si="5"/>
        <v>Usine</v>
      </c>
      <c r="L342" s="35" t="str">
        <f>_xlfn.XLOOKUP(mvtst[[#This Row],[Sous Traitant]],coordonnee_st[Identification],coordonnee_st[SERVICE],"Non Trouvé")</f>
        <v>Frange</v>
      </c>
      <c r="M342" s="35" t="str">
        <f>INDEX(_xlfn.TEXTSPLIT(mvtst[[#This Row],[QR Suivis]],"_"),1,2)</f>
        <v>All by Fouta</v>
      </c>
      <c r="N342" s="35" t="str">
        <f>INDEX(_xlfn.TEXTSPLIT(mvtst[[#This Row],[QR Suivis]],"_"),1,3)</f>
        <v>Stock</v>
      </c>
      <c r="O342" s="35" t="str">
        <f>INDEX(_xlfn.TEXTSPLIT(mvtst[[#This Row],[QR Suivis]],"_"),1,4)</f>
        <v>UNS1020-30</v>
      </c>
      <c r="P342" s="35" t="str">
        <f>INDEX(_xlfn.TEXTSPLIT(mvtst[[#This Row],[QR Suivis]],"_"),1,5)</f>
        <v>UNI SURPIQUE</v>
      </c>
      <c r="Q342" s="35" t="str">
        <f>_xlfn.TEXTAFTER(mvtst[[#This Row],[QR Suivis]],"_",5)</f>
        <v>1020</v>
      </c>
      <c r="R342" s="84" t="str">
        <f>IF(
   COUNTIFS($A$2:A342,A342,
             $B$2:B342,B342,
             $C$2:C342,C342,
             $D$2:D342,D342,
             $G$2:G342,G342)&gt;1,
   "Doublon",
   "Correcte"
)</f>
        <v>Correcte</v>
      </c>
    </row>
    <row r="343" spans="1:18" x14ac:dyDescent="0.25">
      <c r="A343" s="104" t="s">
        <v>1579</v>
      </c>
      <c r="B343" s="35" t="s">
        <v>712</v>
      </c>
      <c r="C343" s="36">
        <v>5</v>
      </c>
      <c r="D343" s="36">
        <v>0</v>
      </c>
      <c r="E343" s="35"/>
      <c r="F343" s="35" t="s">
        <v>664</v>
      </c>
      <c r="G343" s="37">
        <v>45924</v>
      </c>
      <c r="H343" s="37" t="str">
        <f>INDEX(_xlfn.TEXTSPLIT(mvtst[[#This Row],[QR Suivis]],"_"),1,1)</f>
        <v>CA250017-3</v>
      </c>
      <c r="I343" s="35" t="str">
        <f>_xlfn.TEXTBEFORE(mvtst[[#This Row],[Num Suivis]],"-",,,1)</f>
        <v>CA250017</v>
      </c>
      <c r="J343" s="36">
        <f>SUMIF(mvtst[QR Suivis],mvtst[[#This Row],[QR Suivis]],mvtst[QTE SORTIS])-SUMIF(mvtst[QR Suivis],mvtst[[#This Row],[QR Suivis]],mvtst[QTE RETOUR])</f>
        <v>0</v>
      </c>
      <c r="K343" s="35" t="str">
        <f t="shared" si="5"/>
        <v>Usine</v>
      </c>
      <c r="L343" s="35" t="str">
        <f>_xlfn.XLOOKUP(mvtst[[#This Row],[Sous Traitant]],coordonnee_st[Identification],coordonnee_st[SERVICE],"Non Trouvé")</f>
        <v>Frange</v>
      </c>
      <c r="M343" s="35" t="str">
        <f>INDEX(_xlfn.TEXTSPLIT(mvtst[[#This Row],[QR Suivis]],"_"),1,2)</f>
        <v>All by Fouta</v>
      </c>
      <c r="N343" s="35" t="str">
        <f>INDEX(_xlfn.TEXTSPLIT(mvtst[[#This Row],[QR Suivis]],"_"),1,3)</f>
        <v>Stock</v>
      </c>
      <c r="O343" s="35" t="str">
        <f>INDEX(_xlfn.TEXTSPLIT(mvtst[[#This Row],[QR Suivis]],"_"),1,4)</f>
        <v>UNS1020-30</v>
      </c>
      <c r="P343" s="35" t="str">
        <f>INDEX(_xlfn.TEXTSPLIT(mvtst[[#This Row],[QR Suivis]],"_"),1,5)</f>
        <v>UNI SURPIQUE</v>
      </c>
      <c r="Q343" s="35" t="str">
        <f>_xlfn.TEXTAFTER(mvtst[[#This Row],[QR Suivis]],"_",5)</f>
        <v>1020</v>
      </c>
      <c r="R343" s="84" t="str">
        <f>IF(
   COUNTIFS($A$2:A343,A343,
             $B$2:B343,B343,
             $C$2:C343,C343,
             $D$2:D343,D343,
             $G$2:G343,G343)&gt;1,
   "Doublon",
   "Correcte"
)</f>
        <v>Correcte</v>
      </c>
    </row>
    <row r="344" spans="1:18" x14ac:dyDescent="0.25">
      <c r="A344" s="104" t="s">
        <v>1580</v>
      </c>
      <c r="B344" s="35" t="s">
        <v>712</v>
      </c>
      <c r="C344" s="36">
        <v>5</v>
      </c>
      <c r="D344" s="36">
        <v>0</v>
      </c>
      <c r="E344" s="35"/>
      <c r="F344" s="35" t="s">
        <v>664</v>
      </c>
      <c r="G344" s="37">
        <v>45924</v>
      </c>
      <c r="H344" s="37" t="str">
        <f>INDEX(_xlfn.TEXTSPLIT(mvtst[[#This Row],[QR Suivis]],"_"),1,1)</f>
        <v>CA250017-7</v>
      </c>
      <c r="I344" s="35" t="str">
        <f>_xlfn.TEXTBEFORE(mvtst[[#This Row],[Num Suivis]],"-",,,1)</f>
        <v>CA250017</v>
      </c>
      <c r="J344" s="36">
        <f>SUMIF(mvtst[QR Suivis],mvtst[[#This Row],[QR Suivis]],mvtst[QTE SORTIS])-SUMIF(mvtst[QR Suivis],mvtst[[#This Row],[QR Suivis]],mvtst[QTE RETOUR])</f>
        <v>0</v>
      </c>
      <c r="K344" s="35" t="str">
        <f t="shared" si="5"/>
        <v>Usine</v>
      </c>
      <c r="L344" s="35" t="str">
        <f>_xlfn.XLOOKUP(mvtst[[#This Row],[Sous Traitant]],coordonnee_st[Identification],coordonnee_st[SERVICE],"Non Trouvé")</f>
        <v>Frange</v>
      </c>
      <c r="M344" s="35" t="str">
        <f>INDEX(_xlfn.TEXTSPLIT(mvtst[[#This Row],[QR Suivis]],"_"),1,2)</f>
        <v>All by Fouta</v>
      </c>
      <c r="N344" s="35" t="str">
        <f>INDEX(_xlfn.TEXTSPLIT(mvtst[[#This Row],[QR Suivis]],"_"),1,3)</f>
        <v>Stock</v>
      </c>
      <c r="O344" s="35" t="str">
        <f>INDEX(_xlfn.TEXTSPLIT(mvtst[[#This Row],[QR Suivis]],"_"),1,4)</f>
        <v>UNS1020-30</v>
      </c>
      <c r="P344" s="35" t="str">
        <f>INDEX(_xlfn.TEXTSPLIT(mvtst[[#This Row],[QR Suivis]],"_"),1,5)</f>
        <v>UNI SURPIQUE</v>
      </c>
      <c r="Q344" s="35" t="str">
        <f>_xlfn.TEXTAFTER(mvtst[[#This Row],[QR Suivis]],"_",5)</f>
        <v>1020</v>
      </c>
      <c r="R344" s="84" t="str">
        <f>IF(
   COUNTIFS($A$2:A344,A344,
             $B$2:B344,B344,
             $C$2:C344,C344,
             $D$2:D344,D344,
             $G$2:G344,G344)&gt;1,
   "Doublon",
   "Correcte"
)</f>
        <v>Correcte</v>
      </c>
    </row>
    <row r="345" spans="1:18" x14ac:dyDescent="0.25">
      <c r="A345" s="104" t="s">
        <v>1581</v>
      </c>
      <c r="B345" s="35" t="s">
        <v>712</v>
      </c>
      <c r="C345" s="36">
        <v>5</v>
      </c>
      <c r="D345" s="36">
        <v>0</v>
      </c>
      <c r="E345" s="35"/>
      <c r="F345" s="35" t="s">
        <v>664</v>
      </c>
      <c r="G345" s="37">
        <v>45924</v>
      </c>
      <c r="H345" s="37" t="str">
        <f>INDEX(_xlfn.TEXTSPLIT(mvtst[[#This Row],[QR Suivis]],"_"),1,1)</f>
        <v>CA250017-1</v>
      </c>
      <c r="I345" s="35" t="str">
        <f>_xlfn.TEXTBEFORE(mvtst[[#This Row],[Num Suivis]],"-",,,1)</f>
        <v>CA250017</v>
      </c>
      <c r="J345" s="36">
        <f>SUMIF(mvtst[QR Suivis],mvtst[[#This Row],[QR Suivis]],mvtst[QTE SORTIS])-SUMIF(mvtst[QR Suivis],mvtst[[#This Row],[QR Suivis]],mvtst[QTE RETOUR])</f>
        <v>0</v>
      </c>
      <c r="K345" s="35" t="str">
        <f t="shared" si="5"/>
        <v>Usine</v>
      </c>
      <c r="L345" s="35" t="str">
        <f>_xlfn.XLOOKUP(mvtst[[#This Row],[Sous Traitant]],coordonnee_st[Identification],coordonnee_st[SERVICE],"Non Trouvé")</f>
        <v>Frange</v>
      </c>
      <c r="M345" s="35" t="str">
        <f>INDEX(_xlfn.TEXTSPLIT(mvtst[[#This Row],[QR Suivis]],"_"),1,2)</f>
        <v>All by Fouta</v>
      </c>
      <c r="N345" s="35" t="str">
        <f>INDEX(_xlfn.TEXTSPLIT(mvtst[[#This Row],[QR Suivis]],"_"),1,3)</f>
        <v>Stock</v>
      </c>
      <c r="O345" s="35" t="str">
        <f>INDEX(_xlfn.TEXTSPLIT(mvtst[[#This Row],[QR Suivis]],"_"),1,4)</f>
        <v>UNS1020-30</v>
      </c>
      <c r="P345" s="35" t="str">
        <f>INDEX(_xlfn.TEXTSPLIT(mvtst[[#This Row],[QR Suivis]],"_"),1,5)</f>
        <v>UNI SURPIQUE</v>
      </c>
      <c r="Q345" s="35" t="str">
        <f>_xlfn.TEXTAFTER(mvtst[[#This Row],[QR Suivis]],"_",5)</f>
        <v>1020</v>
      </c>
      <c r="R345" s="84" t="str">
        <f>IF(
   COUNTIFS($A$2:A345,A345,
             $B$2:B345,B345,
             $C$2:C345,C345,
             $D$2:D345,D345,
             $G$2:G345,G345)&gt;1,
   "Doublon",
   "Correcte"
)</f>
        <v>Correcte</v>
      </c>
    </row>
    <row r="346" spans="1:18" x14ac:dyDescent="0.25">
      <c r="A346" s="104" t="s">
        <v>1582</v>
      </c>
      <c r="B346" s="35" t="s">
        <v>712</v>
      </c>
      <c r="C346" s="36">
        <v>5</v>
      </c>
      <c r="D346" s="36">
        <v>0</v>
      </c>
      <c r="E346" s="35"/>
      <c r="F346" s="35" t="s">
        <v>664</v>
      </c>
      <c r="G346" s="37">
        <v>45924</v>
      </c>
      <c r="H346" s="37" t="str">
        <f>INDEX(_xlfn.TEXTSPLIT(mvtst[[#This Row],[QR Suivis]],"_"),1,1)</f>
        <v>CA250017-12</v>
      </c>
      <c r="I346" s="35" t="str">
        <f>_xlfn.TEXTBEFORE(mvtst[[#This Row],[Num Suivis]],"-",,,1)</f>
        <v>CA250017</v>
      </c>
      <c r="J346" s="36">
        <f>SUMIF(mvtst[QR Suivis],mvtst[[#This Row],[QR Suivis]],mvtst[QTE SORTIS])-SUMIF(mvtst[QR Suivis],mvtst[[#This Row],[QR Suivis]],mvtst[QTE RETOUR])</f>
        <v>0</v>
      </c>
      <c r="K346" s="35" t="str">
        <f t="shared" si="5"/>
        <v>Usine</v>
      </c>
      <c r="L346" s="35" t="str">
        <f>_xlfn.XLOOKUP(mvtst[[#This Row],[Sous Traitant]],coordonnee_st[Identification],coordonnee_st[SERVICE],"Non Trouvé")</f>
        <v>Frange</v>
      </c>
      <c r="M346" s="35" t="str">
        <f>INDEX(_xlfn.TEXTSPLIT(mvtst[[#This Row],[QR Suivis]],"_"),1,2)</f>
        <v>All by Fouta</v>
      </c>
      <c r="N346" s="35" t="str">
        <f>INDEX(_xlfn.TEXTSPLIT(mvtst[[#This Row],[QR Suivis]],"_"),1,3)</f>
        <v>Stock</v>
      </c>
      <c r="O346" s="35" t="str">
        <f>INDEX(_xlfn.TEXTSPLIT(mvtst[[#This Row],[QR Suivis]],"_"),1,4)</f>
        <v>UNS1020-30</v>
      </c>
      <c r="P346" s="35" t="str">
        <f>INDEX(_xlfn.TEXTSPLIT(mvtst[[#This Row],[QR Suivis]],"_"),1,5)</f>
        <v>UNI SURPIQUE</v>
      </c>
      <c r="Q346" s="35" t="str">
        <f>_xlfn.TEXTAFTER(mvtst[[#This Row],[QR Suivis]],"_",5)</f>
        <v>1020</v>
      </c>
      <c r="R346" s="84" t="str">
        <f>IF(
   COUNTIFS($A$2:A346,A346,
             $B$2:B346,B346,
             $C$2:C346,C346,
             $D$2:D346,D346,
             $G$2:G346,G346)&gt;1,
   "Doublon",
   "Correcte"
)</f>
        <v>Correcte</v>
      </c>
    </row>
    <row r="347" spans="1:18" x14ac:dyDescent="0.25">
      <c r="A347" s="104" t="s">
        <v>1583</v>
      </c>
      <c r="B347" s="35" t="s">
        <v>712</v>
      </c>
      <c r="C347" s="36">
        <v>5</v>
      </c>
      <c r="D347" s="36">
        <v>0</v>
      </c>
      <c r="E347" s="35"/>
      <c r="F347" s="35" t="s">
        <v>664</v>
      </c>
      <c r="G347" s="37">
        <v>45924</v>
      </c>
      <c r="H347" s="37" t="str">
        <f>INDEX(_xlfn.TEXTSPLIT(mvtst[[#This Row],[QR Suivis]],"_"),1,1)</f>
        <v>CA250017-11</v>
      </c>
      <c r="I347" s="35" t="str">
        <f>_xlfn.TEXTBEFORE(mvtst[[#This Row],[Num Suivis]],"-",,,1)</f>
        <v>CA250017</v>
      </c>
      <c r="J347" s="36">
        <f>SUMIF(mvtst[QR Suivis],mvtst[[#This Row],[QR Suivis]],mvtst[QTE SORTIS])-SUMIF(mvtst[QR Suivis],mvtst[[#This Row],[QR Suivis]],mvtst[QTE RETOUR])</f>
        <v>0</v>
      </c>
      <c r="K347" s="35" t="str">
        <f t="shared" si="5"/>
        <v>Usine</v>
      </c>
      <c r="L347" s="35" t="str">
        <f>_xlfn.XLOOKUP(mvtst[[#This Row],[Sous Traitant]],coordonnee_st[Identification],coordonnee_st[SERVICE],"Non Trouvé")</f>
        <v>Frange</v>
      </c>
      <c r="M347" s="35" t="str">
        <f>INDEX(_xlfn.TEXTSPLIT(mvtst[[#This Row],[QR Suivis]],"_"),1,2)</f>
        <v>All by Fouta</v>
      </c>
      <c r="N347" s="35" t="str">
        <f>INDEX(_xlfn.TEXTSPLIT(mvtst[[#This Row],[QR Suivis]],"_"),1,3)</f>
        <v>Stock</v>
      </c>
      <c r="O347" s="35" t="str">
        <f>INDEX(_xlfn.TEXTSPLIT(mvtst[[#This Row],[QR Suivis]],"_"),1,4)</f>
        <v>UNS1020-30</v>
      </c>
      <c r="P347" s="35" t="str">
        <f>INDEX(_xlfn.TEXTSPLIT(mvtst[[#This Row],[QR Suivis]],"_"),1,5)</f>
        <v>UNI SURPIQUE</v>
      </c>
      <c r="Q347" s="35" t="str">
        <f>_xlfn.TEXTAFTER(mvtst[[#This Row],[QR Suivis]],"_",5)</f>
        <v>1020</v>
      </c>
      <c r="R347" s="84" t="str">
        <f>IF(
   COUNTIFS($A$2:A347,A347,
             $B$2:B347,B347,
             $C$2:C347,C347,
             $D$2:D347,D347,
             $G$2:G347,G347)&gt;1,
   "Doublon",
   "Correcte"
)</f>
        <v>Correcte</v>
      </c>
    </row>
    <row r="348" spans="1:18" x14ac:dyDescent="0.25">
      <c r="A348" s="104" t="s">
        <v>1584</v>
      </c>
      <c r="B348" s="35" t="s">
        <v>712</v>
      </c>
      <c r="C348" s="36">
        <v>5</v>
      </c>
      <c r="D348" s="36">
        <v>0</v>
      </c>
      <c r="E348" s="35"/>
      <c r="F348" s="35" t="s">
        <v>664</v>
      </c>
      <c r="G348" s="37">
        <v>45924</v>
      </c>
      <c r="H348" s="37" t="str">
        <f>INDEX(_xlfn.TEXTSPLIT(mvtst[[#This Row],[QR Suivis]],"_"),1,1)</f>
        <v>CA250017-6</v>
      </c>
      <c r="I348" s="35" t="str">
        <f>_xlfn.TEXTBEFORE(mvtst[[#This Row],[Num Suivis]],"-",,,1)</f>
        <v>CA250017</v>
      </c>
      <c r="J348" s="36">
        <f>SUMIF(mvtst[QR Suivis],mvtst[[#This Row],[QR Suivis]],mvtst[QTE SORTIS])-SUMIF(mvtst[QR Suivis],mvtst[[#This Row],[QR Suivis]],mvtst[QTE RETOUR])</f>
        <v>0</v>
      </c>
      <c r="K348" s="35" t="str">
        <f t="shared" si="5"/>
        <v>Usine</v>
      </c>
      <c r="L348" s="35" t="str">
        <f>_xlfn.XLOOKUP(mvtst[[#This Row],[Sous Traitant]],coordonnee_st[Identification],coordonnee_st[SERVICE],"Non Trouvé")</f>
        <v>Frange</v>
      </c>
      <c r="M348" s="35" t="str">
        <f>INDEX(_xlfn.TEXTSPLIT(mvtst[[#This Row],[QR Suivis]],"_"),1,2)</f>
        <v>All by Fouta</v>
      </c>
      <c r="N348" s="35" t="str">
        <f>INDEX(_xlfn.TEXTSPLIT(mvtst[[#This Row],[QR Suivis]],"_"),1,3)</f>
        <v>Stock</v>
      </c>
      <c r="O348" s="35" t="str">
        <f>INDEX(_xlfn.TEXTSPLIT(mvtst[[#This Row],[QR Suivis]],"_"),1,4)</f>
        <v>UNS1020-30</v>
      </c>
      <c r="P348" s="35" t="str">
        <f>INDEX(_xlfn.TEXTSPLIT(mvtst[[#This Row],[QR Suivis]],"_"),1,5)</f>
        <v>UNI SURPIQUE</v>
      </c>
      <c r="Q348" s="35" t="str">
        <f>_xlfn.TEXTAFTER(mvtst[[#This Row],[QR Suivis]],"_",5)</f>
        <v>1020</v>
      </c>
      <c r="R348" s="84" t="str">
        <f>IF(
   COUNTIFS($A$2:A348,A348,
             $B$2:B348,B348,
             $C$2:C348,C348,
             $D$2:D348,D348,
             $G$2:G348,G348)&gt;1,
   "Doublon",
   "Correcte"
)</f>
        <v>Correcte</v>
      </c>
    </row>
    <row r="349" spans="1:18" x14ac:dyDescent="0.25">
      <c r="A349" s="104" t="s">
        <v>1585</v>
      </c>
      <c r="B349" s="35" t="s">
        <v>712</v>
      </c>
      <c r="C349" s="36">
        <v>5</v>
      </c>
      <c r="D349" s="36">
        <v>0</v>
      </c>
      <c r="E349" s="35"/>
      <c r="F349" s="35" t="s">
        <v>664</v>
      </c>
      <c r="G349" s="37">
        <v>45924</v>
      </c>
      <c r="H349" s="37" t="str">
        <f>INDEX(_xlfn.TEXTSPLIT(mvtst[[#This Row],[QR Suivis]],"_"),1,1)</f>
        <v>CA250017-9</v>
      </c>
      <c r="I349" s="35" t="str">
        <f>_xlfn.TEXTBEFORE(mvtst[[#This Row],[Num Suivis]],"-",,,1)</f>
        <v>CA250017</v>
      </c>
      <c r="J349" s="36">
        <f>SUMIF(mvtst[QR Suivis],mvtst[[#This Row],[QR Suivis]],mvtst[QTE SORTIS])-SUMIF(mvtst[QR Suivis],mvtst[[#This Row],[QR Suivis]],mvtst[QTE RETOUR])</f>
        <v>0</v>
      </c>
      <c r="K349" s="35" t="str">
        <f t="shared" si="5"/>
        <v>Usine</v>
      </c>
      <c r="L349" s="35" t="str">
        <f>_xlfn.XLOOKUP(mvtst[[#This Row],[Sous Traitant]],coordonnee_st[Identification],coordonnee_st[SERVICE],"Non Trouvé")</f>
        <v>Frange</v>
      </c>
      <c r="M349" s="35" t="str">
        <f>INDEX(_xlfn.TEXTSPLIT(mvtst[[#This Row],[QR Suivis]],"_"),1,2)</f>
        <v>All by Fouta</v>
      </c>
      <c r="N349" s="35" t="str">
        <f>INDEX(_xlfn.TEXTSPLIT(mvtst[[#This Row],[QR Suivis]],"_"),1,3)</f>
        <v>Stock</v>
      </c>
      <c r="O349" s="35" t="str">
        <f>INDEX(_xlfn.TEXTSPLIT(mvtst[[#This Row],[QR Suivis]],"_"),1,4)</f>
        <v>UNS1020-30</v>
      </c>
      <c r="P349" s="35" t="str">
        <f>INDEX(_xlfn.TEXTSPLIT(mvtst[[#This Row],[QR Suivis]],"_"),1,5)</f>
        <v>UNI SURPIQUE</v>
      </c>
      <c r="Q349" s="35" t="str">
        <f>_xlfn.TEXTAFTER(mvtst[[#This Row],[QR Suivis]],"_",5)</f>
        <v>1020</v>
      </c>
      <c r="R349" s="84" t="str">
        <f>IF(
   COUNTIFS($A$2:A349,A349,
             $B$2:B349,B349,
             $C$2:C349,C349,
             $D$2:D349,D349,
             $G$2:G349,G349)&gt;1,
   "Doublon",
   "Correcte"
)</f>
        <v>Correcte</v>
      </c>
    </row>
    <row r="350" spans="1:18" x14ac:dyDescent="0.25">
      <c r="A350" s="104" t="s">
        <v>1586</v>
      </c>
      <c r="B350" s="35" t="s">
        <v>712</v>
      </c>
      <c r="C350" s="36">
        <v>5</v>
      </c>
      <c r="D350" s="36">
        <v>0</v>
      </c>
      <c r="E350" s="35"/>
      <c r="F350" s="35" t="s">
        <v>664</v>
      </c>
      <c r="G350" s="37">
        <v>45924</v>
      </c>
      <c r="H350" s="37" t="str">
        <f>INDEX(_xlfn.TEXTSPLIT(mvtst[[#This Row],[QR Suivis]],"_"),1,1)</f>
        <v>CA250017-10</v>
      </c>
      <c r="I350" s="35" t="str">
        <f>_xlfn.TEXTBEFORE(mvtst[[#This Row],[Num Suivis]],"-",,,1)</f>
        <v>CA250017</v>
      </c>
      <c r="J350" s="36">
        <f>SUMIF(mvtst[QR Suivis],mvtst[[#This Row],[QR Suivis]],mvtst[QTE SORTIS])-SUMIF(mvtst[QR Suivis],mvtst[[#This Row],[QR Suivis]],mvtst[QTE RETOUR])</f>
        <v>0</v>
      </c>
      <c r="K350" s="35" t="str">
        <f t="shared" si="5"/>
        <v>Usine</v>
      </c>
      <c r="L350" s="35" t="str">
        <f>_xlfn.XLOOKUP(mvtst[[#This Row],[Sous Traitant]],coordonnee_st[Identification],coordonnee_st[SERVICE],"Non Trouvé")</f>
        <v>Frange</v>
      </c>
      <c r="M350" s="35" t="str">
        <f>INDEX(_xlfn.TEXTSPLIT(mvtst[[#This Row],[QR Suivis]],"_"),1,2)</f>
        <v>All by Fouta</v>
      </c>
      <c r="N350" s="35" t="str">
        <f>INDEX(_xlfn.TEXTSPLIT(mvtst[[#This Row],[QR Suivis]],"_"),1,3)</f>
        <v>Stock</v>
      </c>
      <c r="O350" s="35" t="str">
        <f>INDEX(_xlfn.TEXTSPLIT(mvtst[[#This Row],[QR Suivis]],"_"),1,4)</f>
        <v>UNS1020-30</v>
      </c>
      <c r="P350" s="35" t="str">
        <f>INDEX(_xlfn.TEXTSPLIT(mvtst[[#This Row],[QR Suivis]],"_"),1,5)</f>
        <v>UNI SURPIQUE</v>
      </c>
      <c r="Q350" s="35" t="str">
        <f>_xlfn.TEXTAFTER(mvtst[[#This Row],[QR Suivis]],"_",5)</f>
        <v>1020</v>
      </c>
      <c r="R350" s="84" t="str">
        <f>IF(
   COUNTIFS($A$2:A350,A350,
             $B$2:B350,B350,
             $C$2:C350,C350,
             $D$2:D350,D350,
             $G$2:G350,G350)&gt;1,
   "Doublon",
   "Correcte"
)</f>
        <v>Correcte</v>
      </c>
    </row>
    <row r="351" spans="1:18" x14ac:dyDescent="0.25">
      <c r="A351" s="104" t="s">
        <v>1587</v>
      </c>
      <c r="B351" s="35" t="s">
        <v>712</v>
      </c>
      <c r="C351" s="36">
        <v>5</v>
      </c>
      <c r="D351" s="36">
        <v>0</v>
      </c>
      <c r="E351" s="35"/>
      <c r="F351" s="35" t="s">
        <v>664</v>
      </c>
      <c r="G351" s="37">
        <v>45924</v>
      </c>
      <c r="H351" s="37" t="str">
        <f>INDEX(_xlfn.TEXTSPLIT(mvtst[[#This Row],[QR Suivis]],"_"),1,1)</f>
        <v>CA250071-2</v>
      </c>
      <c r="I351" s="35" t="str">
        <f>_xlfn.TEXTBEFORE(mvtst[[#This Row],[Num Suivis]],"-",,,1)</f>
        <v>CA250071</v>
      </c>
      <c r="J351" s="36">
        <f>SUMIF(mvtst[QR Suivis],mvtst[[#This Row],[QR Suivis]],mvtst[QTE SORTIS])-SUMIF(mvtst[QR Suivis],mvtst[[#This Row],[QR Suivis]],mvtst[QTE RETOUR])</f>
        <v>0</v>
      </c>
      <c r="K351" s="35" t="str">
        <f t="shared" si="5"/>
        <v>Usine</v>
      </c>
      <c r="L351" s="35" t="str">
        <f>_xlfn.XLOOKUP(mvtst[[#This Row],[Sous Traitant]],coordonnee_st[Identification],coordonnee_st[SERVICE],"Non Trouvé")</f>
        <v>Frange</v>
      </c>
      <c r="M351" s="35" t="str">
        <f>INDEX(_xlfn.TEXTSPLIT(mvtst[[#This Row],[QR Suivis]],"_"),1,2)</f>
        <v>All by Fouta</v>
      </c>
      <c r="N351" s="35" t="str">
        <f>INDEX(_xlfn.TEXTSPLIT(mvtst[[#This Row],[QR Suivis]],"_"),1,3)</f>
        <v>Stock</v>
      </c>
      <c r="O351" s="35" t="str">
        <f>INDEX(_xlfn.TEXTSPLIT(mvtst[[#This Row],[QR Suivis]],"_"),1,4)</f>
        <v>UNS2030-19</v>
      </c>
      <c r="P351" s="35" t="str">
        <f>INDEX(_xlfn.TEXTSPLIT(mvtst[[#This Row],[QR Suivis]],"_"),1,5)</f>
        <v>UNI SURPIQUE</v>
      </c>
      <c r="Q351" s="35" t="str">
        <f>_xlfn.TEXTAFTER(mvtst[[#This Row],[QR Suivis]],"_",5)</f>
        <v>2030</v>
      </c>
      <c r="R351" s="84" t="str">
        <f>IF(
   COUNTIFS($A$2:A351,A351,
             $B$2:B351,B351,
             $C$2:C351,C351,
             $D$2:D351,D351,
             $G$2:G351,G351)&gt;1,
   "Doublon",
   "Correcte"
)</f>
        <v>Correcte</v>
      </c>
    </row>
    <row r="352" spans="1:18" x14ac:dyDescent="0.25">
      <c r="A352" s="104" t="s">
        <v>1588</v>
      </c>
      <c r="B352" s="35" t="s">
        <v>712</v>
      </c>
      <c r="C352" s="36">
        <v>5</v>
      </c>
      <c r="D352" s="36">
        <v>0</v>
      </c>
      <c r="E352" s="35"/>
      <c r="F352" s="35" t="s">
        <v>664</v>
      </c>
      <c r="G352" s="37">
        <v>45924</v>
      </c>
      <c r="H352" s="37" t="str">
        <f>INDEX(_xlfn.TEXTSPLIT(mvtst[[#This Row],[QR Suivis]],"_"),1,1)</f>
        <v>CA250071-1</v>
      </c>
      <c r="I352" s="35" t="str">
        <f>_xlfn.TEXTBEFORE(mvtst[[#This Row],[Num Suivis]],"-",,,1)</f>
        <v>CA250071</v>
      </c>
      <c r="J352" s="36">
        <f>SUMIF(mvtst[QR Suivis],mvtst[[#This Row],[QR Suivis]],mvtst[QTE SORTIS])-SUMIF(mvtst[QR Suivis],mvtst[[#This Row],[QR Suivis]],mvtst[QTE RETOUR])</f>
        <v>0</v>
      </c>
      <c r="K352" s="35" t="str">
        <f t="shared" si="5"/>
        <v>Usine</v>
      </c>
      <c r="L352" s="35" t="str">
        <f>_xlfn.XLOOKUP(mvtst[[#This Row],[Sous Traitant]],coordonnee_st[Identification],coordonnee_st[SERVICE],"Non Trouvé")</f>
        <v>Frange</v>
      </c>
      <c r="M352" s="35" t="str">
        <f>INDEX(_xlfn.TEXTSPLIT(mvtst[[#This Row],[QR Suivis]],"_"),1,2)</f>
        <v>All by Fouta</v>
      </c>
      <c r="N352" s="35" t="str">
        <f>INDEX(_xlfn.TEXTSPLIT(mvtst[[#This Row],[QR Suivis]],"_"),1,3)</f>
        <v>Stock</v>
      </c>
      <c r="O352" s="35" t="str">
        <f>INDEX(_xlfn.TEXTSPLIT(mvtst[[#This Row],[QR Suivis]],"_"),1,4)</f>
        <v>UNS2030-19</v>
      </c>
      <c r="P352" s="35" t="str">
        <f>INDEX(_xlfn.TEXTSPLIT(mvtst[[#This Row],[QR Suivis]],"_"),1,5)</f>
        <v>UNI SURPIQUE</v>
      </c>
      <c r="Q352" s="35" t="str">
        <f>_xlfn.TEXTAFTER(mvtst[[#This Row],[QR Suivis]],"_",5)</f>
        <v>2030</v>
      </c>
      <c r="R352" s="84" t="str">
        <f>IF(
   COUNTIFS($A$2:A352,A352,
             $B$2:B352,B352,
             $C$2:C352,C352,
             $D$2:D352,D352,
             $G$2:G352,G352)&gt;1,
   "Doublon",
   "Correcte"
)</f>
        <v>Correcte</v>
      </c>
    </row>
    <row r="353" spans="1:18" x14ac:dyDescent="0.25">
      <c r="A353" s="104" t="s">
        <v>1589</v>
      </c>
      <c r="B353" s="35" t="s">
        <v>712</v>
      </c>
      <c r="C353" s="36">
        <v>5</v>
      </c>
      <c r="D353" s="36">
        <v>0</v>
      </c>
      <c r="E353" s="35"/>
      <c r="F353" s="35" t="s">
        <v>664</v>
      </c>
      <c r="G353" s="37">
        <v>45924</v>
      </c>
      <c r="H353" s="37" t="str">
        <f>INDEX(_xlfn.TEXTSPLIT(mvtst[[#This Row],[QR Suivis]],"_"),1,1)</f>
        <v>CA250071-3</v>
      </c>
      <c r="I353" s="35" t="str">
        <f>_xlfn.TEXTBEFORE(mvtst[[#This Row],[Num Suivis]],"-",,,1)</f>
        <v>CA250071</v>
      </c>
      <c r="J353" s="36">
        <f>SUMIF(mvtst[QR Suivis],mvtst[[#This Row],[QR Suivis]],mvtst[QTE SORTIS])-SUMIF(mvtst[QR Suivis],mvtst[[#This Row],[QR Suivis]],mvtst[QTE RETOUR])</f>
        <v>0</v>
      </c>
      <c r="K353" s="35" t="str">
        <f t="shared" si="5"/>
        <v>Usine</v>
      </c>
      <c r="L353" s="35" t="str">
        <f>_xlfn.XLOOKUP(mvtst[[#This Row],[Sous Traitant]],coordonnee_st[Identification],coordonnee_st[SERVICE],"Non Trouvé")</f>
        <v>Frange</v>
      </c>
      <c r="M353" s="35" t="str">
        <f>INDEX(_xlfn.TEXTSPLIT(mvtst[[#This Row],[QR Suivis]],"_"),1,2)</f>
        <v>All by Fouta</v>
      </c>
      <c r="N353" s="35" t="str">
        <f>INDEX(_xlfn.TEXTSPLIT(mvtst[[#This Row],[QR Suivis]],"_"),1,3)</f>
        <v>Stock</v>
      </c>
      <c r="O353" s="35" t="str">
        <f>INDEX(_xlfn.TEXTSPLIT(mvtst[[#This Row],[QR Suivis]],"_"),1,4)</f>
        <v>UNS2030-19</v>
      </c>
      <c r="P353" s="35" t="str">
        <f>INDEX(_xlfn.TEXTSPLIT(mvtst[[#This Row],[QR Suivis]],"_"),1,5)</f>
        <v>UNI SURPIQUE</v>
      </c>
      <c r="Q353" s="35" t="str">
        <f>_xlfn.TEXTAFTER(mvtst[[#This Row],[QR Suivis]],"_",5)</f>
        <v>2030</v>
      </c>
      <c r="R353" s="84" t="str">
        <f>IF(
   COUNTIFS($A$2:A353,A353,
             $B$2:B353,B353,
             $C$2:C353,C353,
             $D$2:D353,D353,
             $G$2:G353,G353)&gt;1,
   "Doublon",
   "Correcte"
)</f>
        <v>Correcte</v>
      </c>
    </row>
    <row r="354" spans="1:18" x14ac:dyDescent="0.25">
      <c r="A354" s="104" t="s">
        <v>1590</v>
      </c>
      <c r="B354" s="35" t="s">
        <v>712</v>
      </c>
      <c r="C354" s="36">
        <v>2</v>
      </c>
      <c r="D354" s="36">
        <v>0</v>
      </c>
      <c r="E354" s="35"/>
      <c r="F354" s="35" t="s">
        <v>664</v>
      </c>
      <c r="G354" s="37">
        <v>45924</v>
      </c>
      <c r="H354" s="37" t="str">
        <f>INDEX(_xlfn.TEXTSPLIT(mvtst[[#This Row],[QR Suivis]],"_"),1,1)</f>
        <v>CA250071-5</v>
      </c>
      <c r="I354" s="35" t="str">
        <f>_xlfn.TEXTBEFORE(mvtst[[#This Row],[Num Suivis]],"-",,,1)</f>
        <v>CA250071</v>
      </c>
      <c r="J354" s="36">
        <f>SUMIF(mvtst[QR Suivis],mvtst[[#This Row],[QR Suivis]],mvtst[QTE SORTIS])-SUMIF(mvtst[QR Suivis],mvtst[[#This Row],[QR Suivis]],mvtst[QTE RETOUR])</f>
        <v>0</v>
      </c>
      <c r="K354" s="35" t="str">
        <f t="shared" si="5"/>
        <v>Usine</v>
      </c>
      <c r="L354" s="35" t="str">
        <f>_xlfn.XLOOKUP(mvtst[[#This Row],[Sous Traitant]],coordonnee_st[Identification],coordonnee_st[SERVICE],"Non Trouvé")</f>
        <v>Frange</v>
      </c>
      <c r="M354" s="35" t="str">
        <f>INDEX(_xlfn.TEXTSPLIT(mvtst[[#This Row],[QR Suivis]],"_"),1,2)</f>
        <v>All by Fouta</v>
      </c>
      <c r="N354" s="35" t="str">
        <f>INDEX(_xlfn.TEXTSPLIT(mvtst[[#This Row],[QR Suivis]],"_"),1,3)</f>
        <v>Stock</v>
      </c>
      <c r="O354" s="35" t="str">
        <f>INDEX(_xlfn.TEXTSPLIT(mvtst[[#This Row],[QR Suivis]],"_"),1,4)</f>
        <v>UNS2030-19</v>
      </c>
      <c r="P354" s="35" t="str">
        <f>INDEX(_xlfn.TEXTSPLIT(mvtst[[#This Row],[QR Suivis]],"_"),1,5)</f>
        <v>UNI SURPIQUE</v>
      </c>
      <c r="Q354" s="35" t="str">
        <f>_xlfn.TEXTAFTER(mvtst[[#This Row],[QR Suivis]],"_",5)</f>
        <v>2030</v>
      </c>
      <c r="R354" s="84" t="str">
        <f>IF(
   COUNTIFS($A$2:A354,A354,
             $B$2:B354,B354,
             $C$2:C354,C354,
             $D$2:D354,D354,
             $G$2:G354,G354)&gt;1,
   "Doublon",
   "Correcte"
)</f>
        <v>Correcte</v>
      </c>
    </row>
    <row r="355" spans="1:18" x14ac:dyDescent="0.25">
      <c r="A355" s="104" t="s">
        <v>1591</v>
      </c>
      <c r="B355" s="35" t="s">
        <v>712</v>
      </c>
      <c r="C355" s="36">
        <v>5</v>
      </c>
      <c r="D355" s="36">
        <v>0</v>
      </c>
      <c r="E355" s="35"/>
      <c r="F355" s="35" t="s">
        <v>664</v>
      </c>
      <c r="G355" s="37">
        <v>45924</v>
      </c>
      <c r="H355" s="37" t="str">
        <f>INDEX(_xlfn.TEXTSPLIT(mvtst[[#This Row],[QR Suivis]],"_"),1,1)</f>
        <v>CA250071-4</v>
      </c>
      <c r="I355" s="35" t="str">
        <f>_xlfn.TEXTBEFORE(mvtst[[#This Row],[Num Suivis]],"-",,,1)</f>
        <v>CA250071</v>
      </c>
      <c r="J355" s="36">
        <f>SUMIF(mvtst[QR Suivis],mvtst[[#This Row],[QR Suivis]],mvtst[QTE SORTIS])-SUMIF(mvtst[QR Suivis],mvtst[[#This Row],[QR Suivis]],mvtst[QTE RETOUR])</f>
        <v>0</v>
      </c>
      <c r="K355" s="35" t="str">
        <f t="shared" si="5"/>
        <v>Usine</v>
      </c>
      <c r="L355" s="35" t="str">
        <f>_xlfn.XLOOKUP(mvtst[[#This Row],[Sous Traitant]],coordonnee_st[Identification],coordonnee_st[SERVICE],"Non Trouvé")</f>
        <v>Frange</v>
      </c>
      <c r="M355" s="35" t="str">
        <f>INDEX(_xlfn.TEXTSPLIT(mvtst[[#This Row],[QR Suivis]],"_"),1,2)</f>
        <v>All by Fouta</v>
      </c>
      <c r="N355" s="35" t="str">
        <f>INDEX(_xlfn.TEXTSPLIT(mvtst[[#This Row],[QR Suivis]],"_"),1,3)</f>
        <v>Stock</v>
      </c>
      <c r="O355" s="35" t="str">
        <f>INDEX(_xlfn.TEXTSPLIT(mvtst[[#This Row],[QR Suivis]],"_"),1,4)</f>
        <v>UNS2030-19</v>
      </c>
      <c r="P355" s="35" t="str">
        <f>INDEX(_xlfn.TEXTSPLIT(mvtst[[#This Row],[QR Suivis]],"_"),1,5)</f>
        <v>UNI SURPIQUE</v>
      </c>
      <c r="Q355" s="35" t="str">
        <f>_xlfn.TEXTAFTER(mvtst[[#This Row],[QR Suivis]],"_",5)</f>
        <v>2030</v>
      </c>
      <c r="R355" s="84" t="str">
        <f>IF(
   COUNTIFS($A$2:A355,A355,
             $B$2:B355,B355,
             $C$2:C355,C355,
             $D$2:D355,D355,
             $G$2:G355,G355)&gt;1,
   "Doublon",
   "Correcte"
)</f>
        <v>Correcte</v>
      </c>
    </row>
    <row r="356" spans="1:18" x14ac:dyDescent="0.25">
      <c r="A356" s="104" t="s">
        <v>1592</v>
      </c>
      <c r="B356" s="35" t="s">
        <v>596</v>
      </c>
      <c r="C356" s="36">
        <v>5</v>
      </c>
      <c r="D356" s="36">
        <v>0</v>
      </c>
      <c r="E356" s="35"/>
      <c r="F356" s="35" t="s">
        <v>664</v>
      </c>
      <c r="G356" s="37">
        <v>45925</v>
      </c>
      <c r="H356" s="37" t="str">
        <f>INDEX(_xlfn.TEXTSPLIT(mvtst[[#This Row],[QR Suivis]],"_"),1,1)</f>
        <v>CA250046-1</v>
      </c>
      <c r="I356" s="35" t="str">
        <f>_xlfn.TEXTBEFORE(mvtst[[#This Row],[Num Suivis]],"-",,,1)</f>
        <v>CA250046</v>
      </c>
      <c r="J356" s="36">
        <f>SUMIF(mvtst[QR Suivis],mvtst[[#This Row],[QR Suivis]],mvtst[QTE SORTIS])-SUMIF(mvtst[QR Suivis],mvtst[[#This Row],[QR Suivis]],mvtst[QTE RETOUR])</f>
        <v>0</v>
      </c>
      <c r="K356" s="35" t="str">
        <f t="shared" si="5"/>
        <v>Usine</v>
      </c>
      <c r="L356" s="35" t="str">
        <f>_xlfn.XLOOKUP(mvtst[[#This Row],[Sous Traitant]],coordonnee_st[Identification],coordonnee_st[SERVICE],"Non Trouvé")</f>
        <v>Frange</v>
      </c>
      <c r="M356" s="35" t="str">
        <f>INDEX(_xlfn.TEXTSPLIT(mvtst[[#This Row],[QR Suivis]],"_"),1,2)</f>
        <v>All by Fouta</v>
      </c>
      <c r="N356" s="35" t="str">
        <f>INDEX(_xlfn.TEXTSPLIT(mvtst[[#This Row],[QR Suivis]],"_"),1,3)</f>
        <v>Stock</v>
      </c>
      <c r="O356" s="35" t="str">
        <f>INDEX(_xlfn.TEXTSPLIT(mvtst[[#This Row],[QR Suivis]],"_"),1,4)</f>
        <v>UNS1626-12</v>
      </c>
      <c r="P356" s="35" t="str">
        <f>INDEX(_xlfn.TEXTSPLIT(mvtst[[#This Row],[QR Suivis]],"_"),1,5)</f>
        <v>UNI SURPIQUE</v>
      </c>
      <c r="Q356" s="35" t="str">
        <f>_xlfn.TEXTAFTER(mvtst[[#This Row],[QR Suivis]],"_",5)</f>
        <v>1626</v>
      </c>
      <c r="R356" s="84" t="str">
        <f>IF(
   COUNTIFS($A$2:A356,A356,
             $B$2:B356,B356,
             $C$2:C356,C356,
             $D$2:D356,D356,
             $G$2:G356,G356)&gt;1,
   "Doublon",
   "Correcte"
)</f>
        <v>Correcte</v>
      </c>
    </row>
    <row r="357" spans="1:18" x14ac:dyDescent="0.25">
      <c r="A357" s="104" t="s">
        <v>1593</v>
      </c>
      <c r="B357" s="35" t="s">
        <v>596</v>
      </c>
      <c r="C357" s="36">
        <v>5</v>
      </c>
      <c r="D357" s="36">
        <v>0</v>
      </c>
      <c r="E357" s="35"/>
      <c r="F357" s="35" t="s">
        <v>664</v>
      </c>
      <c r="G357" s="37">
        <v>45925</v>
      </c>
      <c r="H357" s="37" t="str">
        <f>INDEX(_xlfn.TEXTSPLIT(mvtst[[#This Row],[QR Suivis]],"_"),1,1)</f>
        <v>CA250021-1</v>
      </c>
      <c r="I357" s="35" t="str">
        <f>_xlfn.TEXTBEFORE(mvtst[[#This Row],[Num Suivis]],"-",,,1)</f>
        <v>CA250021</v>
      </c>
      <c r="J357" s="36">
        <f>SUMIF(mvtst[QR Suivis],mvtst[[#This Row],[QR Suivis]],mvtst[QTE SORTIS])-SUMIF(mvtst[QR Suivis],mvtst[[#This Row],[QR Suivis]],mvtst[QTE RETOUR])</f>
        <v>0</v>
      </c>
      <c r="K357" s="35" t="str">
        <f t="shared" si="5"/>
        <v>Usine</v>
      </c>
      <c r="L357" s="35" t="str">
        <f>_xlfn.XLOOKUP(mvtst[[#This Row],[Sous Traitant]],coordonnee_st[Identification],coordonnee_st[SERVICE],"Non Trouvé")</f>
        <v>Frange</v>
      </c>
      <c r="M357" s="35" t="str">
        <f>INDEX(_xlfn.TEXTSPLIT(mvtst[[#This Row],[QR Suivis]],"_"),1,2)</f>
        <v>All by Fouta</v>
      </c>
      <c r="N357" s="35" t="str">
        <f>INDEX(_xlfn.TEXTSPLIT(mvtst[[#This Row],[QR Suivis]],"_"),1,3)</f>
        <v>Stock</v>
      </c>
      <c r="O357" s="35" t="str">
        <f>INDEX(_xlfn.TEXTSPLIT(mvtst[[#This Row],[QR Suivis]],"_"),1,4)</f>
        <v>UNS2020-03</v>
      </c>
      <c r="P357" s="35" t="str">
        <f>INDEX(_xlfn.TEXTSPLIT(mvtst[[#This Row],[QR Suivis]],"_"),1,5)</f>
        <v>UNI SURPIQUE</v>
      </c>
      <c r="Q357" s="35" t="str">
        <f>_xlfn.TEXTAFTER(mvtst[[#This Row],[QR Suivis]],"_",5)</f>
        <v>2020</v>
      </c>
      <c r="R357" s="84" t="str">
        <f>IF(
   COUNTIFS($A$2:A357,A357,
             $B$2:B357,B357,
             $C$2:C357,C357,
             $D$2:D357,D357,
             $G$2:G357,G357)&gt;1,
   "Doublon",
   "Correcte"
)</f>
        <v>Correcte</v>
      </c>
    </row>
    <row r="358" spans="1:18" x14ac:dyDescent="0.25">
      <c r="A358" s="104" t="s">
        <v>1310</v>
      </c>
      <c r="B358" s="35" t="s">
        <v>596</v>
      </c>
      <c r="C358" s="36">
        <v>0</v>
      </c>
      <c r="D358" s="36">
        <v>31</v>
      </c>
      <c r="E358" s="35"/>
      <c r="F358" s="35" t="s">
        <v>664</v>
      </c>
      <c r="G358" s="37">
        <v>45925</v>
      </c>
      <c r="H358" s="37" t="str">
        <f>INDEX(_xlfn.TEXTSPLIT(mvtst[[#This Row],[QR Suivis]],"_"),1,1)</f>
        <v>CA250392</v>
      </c>
      <c r="I358" s="35" t="str">
        <f>_xlfn.TEXTBEFORE(mvtst[[#This Row],[Num Suivis]],"-",,,1)</f>
        <v>CA250392</v>
      </c>
      <c r="J358" s="36">
        <f>SUMIF(mvtst[QR Suivis],mvtst[[#This Row],[QR Suivis]],mvtst[QTE SORTIS])-SUMIF(mvtst[QR Suivis],mvtst[[#This Row],[QR Suivis]],mvtst[QTE RETOUR])</f>
        <v>0</v>
      </c>
      <c r="K358" s="35" t="str">
        <f t="shared" si="5"/>
        <v>Usine</v>
      </c>
      <c r="L358" s="35" t="str">
        <f>_xlfn.XLOOKUP(mvtst[[#This Row],[Sous Traitant]],coordonnee_st[Identification],coordonnee_st[SERVICE],"Non Trouvé")</f>
        <v>Frange</v>
      </c>
      <c r="M358" s="35" t="str">
        <f>INDEX(_xlfn.TEXTSPLIT(mvtst[[#This Row],[QR Suivis]],"_"),1,2)</f>
        <v>All by Fouta</v>
      </c>
      <c r="N358" s="35" t="str">
        <f>INDEX(_xlfn.TEXTSPLIT(mvtst[[#This Row],[QR Suivis]],"_"),1,3)</f>
        <v>Stock</v>
      </c>
      <c r="O358" s="35" t="str">
        <f>INDEX(_xlfn.TEXTSPLIT(mvtst[[#This Row],[QR Suivis]],"_"),1,4)</f>
        <v>BE1020-Q26-13-01</v>
      </c>
      <c r="P358" s="35" t="str">
        <f>INDEX(_xlfn.TEXTSPLIT(mvtst[[#This Row],[QR Suivis]],"_"),1,5)</f>
        <v>BERBER</v>
      </c>
      <c r="Q358" s="35" t="str">
        <f>_xlfn.TEXTAFTER(mvtst[[#This Row],[QR Suivis]],"_",5)</f>
        <v>1020</v>
      </c>
      <c r="R358" s="84" t="str">
        <f>IF(
   COUNTIFS($A$2:A358,A358,
             $B$2:B358,B358,
             $C$2:C358,C358,
             $D$2:D358,D358,
             $G$2:G358,G358)&gt;1,
   "Doublon",
   "Correcte"
)</f>
        <v>Correcte</v>
      </c>
    </row>
    <row r="359" spans="1:18" x14ac:dyDescent="0.25">
      <c r="A359" s="104" t="s">
        <v>1326</v>
      </c>
      <c r="B359" s="35" t="s">
        <v>596</v>
      </c>
      <c r="C359" s="36">
        <v>0</v>
      </c>
      <c r="D359" s="36">
        <v>25</v>
      </c>
      <c r="E359" s="35"/>
      <c r="F359" s="35" t="s">
        <v>664</v>
      </c>
      <c r="G359" s="37">
        <v>45925</v>
      </c>
      <c r="H359" s="37" t="str">
        <f>INDEX(_xlfn.TEXTSPLIT(mvtst[[#This Row],[QR Suivis]],"_"),1,1)</f>
        <v>CA250365</v>
      </c>
      <c r="I359" s="35" t="str">
        <f>_xlfn.TEXTBEFORE(mvtst[[#This Row],[Num Suivis]],"-",,,1)</f>
        <v>CA250365</v>
      </c>
      <c r="J359" s="36">
        <f>SUMIF(mvtst[QR Suivis],mvtst[[#This Row],[QR Suivis]],mvtst[QTE SORTIS])-SUMIF(mvtst[QR Suivis],mvtst[[#This Row],[QR Suivis]],mvtst[QTE RETOUR])</f>
        <v>0</v>
      </c>
      <c r="K359" s="35" t="str">
        <f t="shared" si="5"/>
        <v>Usine</v>
      </c>
      <c r="L359" s="35" t="str">
        <f>_xlfn.XLOOKUP(mvtst[[#This Row],[Sous Traitant]],coordonnee_st[Identification],coordonnee_st[SERVICE],"Non Trouvé")</f>
        <v>Frange</v>
      </c>
      <c r="M359" s="35" t="str">
        <f>INDEX(_xlfn.TEXTSPLIT(mvtst[[#This Row],[QR Suivis]],"_"),1,2)</f>
        <v>All by Fouta</v>
      </c>
      <c r="N359" s="35" t="str">
        <f>INDEX(_xlfn.TEXTSPLIT(mvtst[[#This Row],[QR Suivis]],"_"),1,3)</f>
        <v>Stock</v>
      </c>
      <c r="O359" s="35" t="str">
        <f>INDEX(_xlfn.TEXTSPLIT(mvtst[[#This Row],[QR Suivis]],"_"),1,4)</f>
        <v>BIB1020-T20-01-24</v>
      </c>
      <c r="P359" s="35" t="str">
        <f>INDEX(_xlfn.TEXTSPLIT(mvtst[[#This Row],[QR Suivis]],"_"),1,5)</f>
        <v>BIBI</v>
      </c>
      <c r="Q359" s="35" t="str">
        <f>_xlfn.TEXTAFTER(mvtst[[#This Row],[QR Suivis]],"_",5)</f>
        <v>1020</v>
      </c>
      <c r="R359" s="84" t="str">
        <f>IF(
   COUNTIFS($A$2:A359,A359,
             $B$2:B359,B359,
             $C$2:C359,C359,
             $D$2:D359,D359,
             $G$2:G359,G359)&gt;1,
   "Doublon",
   "Correcte"
)</f>
        <v>Correcte</v>
      </c>
    </row>
    <row r="360" spans="1:18" x14ac:dyDescent="0.25">
      <c r="A360" s="104" t="s">
        <v>1328</v>
      </c>
      <c r="B360" s="35" t="s">
        <v>596</v>
      </c>
      <c r="C360" s="36">
        <v>0</v>
      </c>
      <c r="D360" s="36">
        <v>5</v>
      </c>
      <c r="E360" s="35"/>
      <c r="F360" s="35" t="s">
        <v>664</v>
      </c>
      <c r="G360" s="37">
        <v>45925</v>
      </c>
      <c r="H360" s="37" t="str">
        <f>INDEX(_xlfn.TEXTSPLIT(mvtst[[#This Row],[QR Suivis]],"_"),1,1)</f>
        <v>CA250364</v>
      </c>
      <c r="I360" s="35" t="str">
        <f>_xlfn.TEXTBEFORE(mvtst[[#This Row],[Num Suivis]],"-",,,1)</f>
        <v>CA250364</v>
      </c>
      <c r="J360" s="36">
        <f>SUMIF(mvtst[QR Suivis],mvtst[[#This Row],[QR Suivis]],mvtst[QTE SORTIS])-SUMIF(mvtst[QR Suivis],mvtst[[#This Row],[QR Suivis]],mvtst[QTE RETOUR])</f>
        <v>0</v>
      </c>
      <c r="K360" s="35" t="str">
        <f t="shared" si="5"/>
        <v>Usine</v>
      </c>
      <c r="L360" s="35" t="str">
        <f>_xlfn.XLOOKUP(mvtst[[#This Row],[Sous Traitant]],coordonnee_st[Identification],coordonnee_st[SERVICE],"Non Trouvé")</f>
        <v>Frange</v>
      </c>
      <c r="M360" s="35" t="str">
        <f>INDEX(_xlfn.TEXTSPLIT(mvtst[[#This Row],[QR Suivis]],"_"),1,2)</f>
        <v>All by Fouta</v>
      </c>
      <c r="N360" s="35" t="str">
        <f>INDEX(_xlfn.TEXTSPLIT(mvtst[[#This Row],[QR Suivis]],"_"),1,3)</f>
        <v>Stock</v>
      </c>
      <c r="O360" s="35" t="str">
        <f>INDEX(_xlfn.TEXTSPLIT(mvtst[[#This Row],[QR Suivis]],"_"),1,4)</f>
        <v>BIB1020-T26-01-10</v>
      </c>
      <c r="P360" s="35" t="str">
        <f>INDEX(_xlfn.TEXTSPLIT(mvtst[[#This Row],[QR Suivis]],"_"),1,5)</f>
        <v>BIBI</v>
      </c>
      <c r="Q360" s="35" t="str">
        <f>_xlfn.TEXTAFTER(mvtst[[#This Row],[QR Suivis]],"_",5)</f>
        <v>1020</v>
      </c>
      <c r="R360" s="84" t="str">
        <f>IF(
   COUNTIFS($A$2:A360,A360,
             $B$2:B360,B360,
             $C$2:C360,C360,
             $D$2:D360,D360,
             $G$2:G360,G360)&gt;1,
   "Doublon",
   "Correcte"
)</f>
        <v>Correcte</v>
      </c>
    </row>
    <row r="361" spans="1:18" x14ac:dyDescent="0.25">
      <c r="A361" s="104" t="s">
        <v>1299</v>
      </c>
      <c r="B361" s="35" t="s">
        <v>646</v>
      </c>
      <c r="C361" s="36">
        <v>0</v>
      </c>
      <c r="D361" s="36">
        <v>30</v>
      </c>
      <c r="E361" s="35"/>
      <c r="F361" s="35" t="s">
        <v>664</v>
      </c>
      <c r="G361" s="37">
        <v>45925</v>
      </c>
      <c r="H361" s="37" t="str">
        <f>INDEX(_xlfn.TEXTSPLIT(mvtst[[#This Row],[QR Suivis]],"_"),1,1)</f>
        <v>OF246533</v>
      </c>
      <c r="I361" s="35" t="str">
        <f>_xlfn.TEXTBEFORE(mvtst[[#This Row],[Num Suivis]],"-",,,1)</f>
        <v>OF246533</v>
      </c>
      <c r="J361" s="36">
        <f>SUMIF(mvtst[QR Suivis],mvtst[[#This Row],[QR Suivis]],mvtst[QTE SORTIS])-SUMIF(mvtst[QR Suivis],mvtst[[#This Row],[QR Suivis]],mvtst[QTE RETOUR])</f>
        <v>0</v>
      </c>
      <c r="K361" s="35" t="str">
        <f t="shared" si="5"/>
        <v>Usine</v>
      </c>
      <c r="L361" s="35" t="str">
        <f>_xlfn.XLOOKUP(mvtst[[#This Row],[Sous Traitant]],coordonnee_st[Identification],coordonnee_st[SERVICE],"Non Trouvé")</f>
        <v>Frange</v>
      </c>
      <c r="M361" s="35" t="str">
        <f>INDEX(_xlfn.TEXTSPLIT(mvtst[[#This Row],[QR Suivis]],"_"),1,2)</f>
        <v>CL00296</v>
      </c>
      <c r="N361" s="35" t="str">
        <f>INDEX(_xlfn.TEXTSPLIT(mvtst[[#This Row],[QR Suivis]],"_"),1,3)</f>
        <v>CM-FT0108</v>
      </c>
      <c r="O361" s="35" t="str">
        <f>INDEX(_xlfn.TEXTSPLIT(mvtst[[#This Row],[QR Suivis]],"_"),1,4)</f>
        <v>EPMA0919-B15-02</v>
      </c>
      <c r="P361" s="35" t="str">
        <f>INDEX(_xlfn.TEXTSPLIT(mvtst[[#This Row],[QR Suivis]],"_"),1,5)</f>
        <v>MARINIERE</v>
      </c>
      <c r="Q361" s="35" t="str">
        <f>_xlfn.TEXTAFTER(mvtst[[#This Row],[QR Suivis]],"_",5)</f>
        <v>0919</v>
      </c>
      <c r="R361" s="84" t="str">
        <f>IF(
   COUNTIFS($A$2:A361,A361,
             $B$2:B361,B361,
             $C$2:C361,C361,
             $D$2:D361,D361,
             $G$2:G361,G361)&gt;1,
   "Doublon",
   "Correcte"
)</f>
        <v>Correcte</v>
      </c>
    </row>
    <row r="362" spans="1:18" x14ac:dyDescent="0.25">
      <c r="A362" s="104" t="s">
        <v>1302</v>
      </c>
      <c r="B362" s="35" t="s">
        <v>650</v>
      </c>
      <c r="C362" s="36">
        <v>0</v>
      </c>
      <c r="D362" s="36">
        <v>35</v>
      </c>
      <c r="E362" s="35"/>
      <c r="F362" s="35" t="s">
        <v>664</v>
      </c>
      <c r="G362" s="37">
        <v>45925</v>
      </c>
      <c r="H362" s="37" t="str">
        <f>INDEX(_xlfn.TEXTSPLIT(mvtst[[#This Row],[QR Suivis]],"_"),1,1)</f>
        <v>OF246543</v>
      </c>
      <c r="I362" s="35" t="str">
        <f>_xlfn.TEXTBEFORE(mvtst[[#This Row],[Num Suivis]],"-",,,1)</f>
        <v>OF246543</v>
      </c>
      <c r="J362" s="36">
        <f>SUMIF(mvtst[QR Suivis],mvtst[[#This Row],[QR Suivis]],mvtst[QTE SORTIS])-SUMIF(mvtst[QR Suivis],mvtst[[#This Row],[QR Suivis]],mvtst[QTE RETOUR])</f>
        <v>0</v>
      </c>
      <c r="K362" s="35" t="str">
        <f t="shared" si="5"/>
        <v>Usine</v>
      </c>
      <c r="L362" s="35" t="str">
        <f>_xlfn.XLOOKUP(mvtst[[#This Row],[Sous Traitant]],coordonnee_st[Identification],coordonnee_st[SERVICE],"Non Trouvé")</f>
        <v>Frange</v>
      </c>
      <c r="M362" s="35" t="str">
        <f>INDEX(_xlfn.TEXTSPLIT(mvtst[[#This Row],[QR Suivis]],"_"),1,2)</f>
        <v>CL00296</v>
      </c>
      <c r="N362" s="35" t="str">
        <f>INDEX(_xlfn.TEXTSPLIT(mvtst[[#This Row],[QR Suivis]],"_"),1,3)</f>
        <v>CM-FT0108</v>
      </c>
      <c r="O362" s="35" t="str">
        <f>INDEX(_xlfn.TEXTSPLIT(mvtst[[#This Row],[QR Suivis]],"_"),1,4)</f>
        <v>EPMA0919-B15-02</v>
      </c>
      <c r="P362" s="35" t="str">
        <f>INDEX(_xlfn.TEXTSPLIT(mvtst[[#This Row],[QR Suivis]],"_"),1,5)</f>
        <v>MARINIERE</v>
      </c>
      <c r="Q362" s="35" t="str">
        <f>_xlfn.TEXTAFTER(mvtst[[#This Row],[QR Suivis]],"_",5)</f>
        <v>0919</v>
      </c>
      <c r="R362" s="84" t="str">
        <f>IF(
   COUNTIFS($A$2:A362,A362,
             $B$2:B362,B362,
             $C$2:C362,C362,
             $D$2:D362,D362,
             $G$2:G362,G362)&gt;1,
   "Doublon",
   "Correcte"
)</f>
        <v>Correcte</v>
      </c>
    </row>
    <row r="363" spans="1:18" x14ac:dyDescent="0.25">
      <c r="A363" s="104" t="s">
        <v>1299</v>
      </c>
      <c r="B363" s="35" t="s">
        <v>649</v>
      </c>
      <c r="C363" s="36">
        <v>0</v>
      </c>
      <c r="D363" s="36">
        <v>10</v>
      </c>
      <c r="E363" s="35"/>
      <c r="F363" s="35" t="s">
        <v>664</v>
      </c>
      <c r="G363" s="37">
        <v>45925</v>
      </c>
      <c r="H363" s="37" t="str">
        <f>INDEX(_xlfn.TEXTSPLIT(mvtst[[#This Row],[QR Suivis]],"_"),1,1)</f>
        <v>OF246533</v>
      </c>
      <c r="I363" s="35" t="str">
        <f>_xlfn.TEXTBEFORE(mvtst[[#This Row],[Num Suivis]],"-",,,1)</f>
        <v>OF246533</v>
      </c>
      <c r="J363" s="36">
        <f>SUMIF(mvtst[QR Suivis],mvtst[[#This Row],[QR Suivis]],mvtst[QTE SORTIS])-SUMIF(mvtst[QR Suivis],mvtst[[#This Row],[QR Suivis]],mvtst[QTE RETOUR])</f>
        <v>0</v>
      </c>
      <c r="K363" s="35" t="str">
        <f t="shared" si="5"/>
        <v>Usine</v>
      </c>
      <c r="L363" s="35" t="str">
        <f>_xlfn.XLOOKUP(mvtst[[#This Row],[Sous Traitant]],coordonnee_st[Identification],coordonnee_st[SERVICE],"Non Trouvé")</f>
        <v>Frange</v>
      </c>
      <c r="M363" s="35" t="str">
        <f>INDEX(_xlfn.TEXTSPLIT(mvtst[[#This Row],[QR Suivis]],"_"),1,2)</f>
        <v>CL00296</v>
      </c>
      <c r="N363" s="35" t="str">
        <f>INDEX(_xlfn.TEXTSPLIT(mvtst[[#This Row],[QR Suivis]],"_"),1,3)</f>
        <v>CM-FT0108</v>
      </c>
      <c r="O363" s="35" t="str">
        <f>INDEX(_xlfn.TEXTSPLIT(mvtst[[#This Row],[QR Suivis]],"_"),1,4)</f>
        <v>EPMA0919-B15-02</v>
      </c>
      <c r="P363" s="35" t="str">
        <f>INDEX(_xlfn.TEXTSPLIT(mvtst[[#This Row],[QR Suivis]],"_"),1,5)</f>
        <v>MARINIERE</v>
      </c>
      <c r="Q363" s="35" t="str">
        <f>_xlfn.TEXTAFTER(mvtst[[#This Row],[QR Suivis]],"_",5)</f>
        <v>0919</v>
      </c>
      <c r="R363" s="84" t="str">
        <f>IF(
   COUNTIFS($A$2:A363,A363,
             $B$2:B363,B363,
             $C$2:C363,C363,
             $D$2:D363,D363,
             $G$2:G363,G363)&gt;1,
   "Doublon",
   "Correcte"
)</f>
        <v>Correcte</v>
      </c>
    </row>
    <row r="364" spans="1:18" x14ac:dyDescent="0.25">
      <c r="A364" s="104" t="s">
        <v>1393</v>
      </c>
      <c r="B364" s="35" t="s">
        <v>649</v>
      </c>
      <c r="C364" s="36">
        <v>0</v>
      </c>
      <c r="D364" s="36">
        <v>5</v>
      </c>
      <c r="E364" s="35"/>
      <c r="F364" s="35" t="s">
        <v>664</v>
      </c>
      <c r="G364" s="37">
        <v>45925</v>
      </c>
      <c r="H364" s="37" t="str">
        <f>INDEX(_xlfn.TEXTSPLIT(mvtst[[#This Row],[QR Suivis]],"_"),1,1)</f>
        <v>CA250637-1</v>
      </c>
      <c r="I364" s="35" t="str">
        <f>_xlfn.TEXTBEFORE(mvtst[[#This Row],[Num Suivis]],"-",,,1)</f>
        <v>CA250637</v>
      </c>
      <c r="J364" s="36">
        <f>SUMIF(mvtst[QR Suivis],mvtst[[#This Row],[QR Suivis]],mvtst[QTE SORTIS])-SUMIF(mvtst[QR Suivis],mvtst[[#This Row],[QR Suivis]],mvtst[QTE RETOUR])</f>
        <v>0</v>
      </c>
      <c r="K364" s="35" t="str">
        <f t="shared" si="5"/>
        <v>Usine</v>
      </c>
      <c r="L364" s="35" t="str">
        <f>_xlfn.XLOOKUP(mvtst[[#This Row],[Sous Traitant]],coordonnee_st[Identification],coordonnee_st[SERVICE],"Non Trouvé")</f>
        <v>Frange</v>
      </c>
      <c r="M364" s="35" t="str">
        <f>INDEX(_xlfn.TEXTSPLIT(mvtst[[#This Row],[QR Suivis]],"_"),1,2)</f>
        <v>All by Fouta</v>
      </c>
      <c r="N364" s="35" t="str">
        <f>INDEX(_xlfn.TEXTSPLIT(mvtst[[#This Row],[QR Suivis]],"_"),1,3)</f>
        <v>Stock</v>
      </c>
      <c r="O364" s="35" t="str">
        <f>INDEX(_xlfn.TEXTSPLIT(mvtst[[#This Row],[QR Suivis]],"_"),1,4)</f>
        <v>EPMA0919-B26-02</v>
      </c>
      <c r="P364" s="35" t="str">
        <f>INDEX(_xlfn.TEXTSPLIT(mvtst[[#This Row],[QR Suivis]],"_"),1,5)</f>
        <v>MARINIERE</v>
      </c>
      <c r="Q364" s="35" t="str">
        <f>_xlfn.TEXTAFTER(mvtst[[#This Row],[QR Suivis]],"_",5)</f>
        <v>0919</v>
      </c>
      <c r="R364" s="84" t="str">
        <f>IF(
   COUNTIFS($A$2:A364,A364,
             $B$2:B364,B364,
             $C$2:C364,C364,
             $D$2:D364,D364,
             $G$2:G364,G364)&gt;1,
   "Doublon",
   "Correcte"
)</f>
        <v>Correcte</v>
      </c>
    </row>
    <row r="365" spans="1:18" x14ac:dyDescent="0.25">
      <c r="A365" s="104" t="s">
        <v>1394</v>
      </c>
      <c r="B365" s="35" t="s">
        <v>649</v>
      </c>
      <c r="C365" s="36">
        <v>0</v>
      </c>
      <c r="D365" s="36">
        <v>5</v>
      </c>
      <c r="E365" s="35"/>
      <c r="F365" s="35" t="s">
        <v>664</v>
      </c>
      <c r="G365" s="37">
        <v>45925</v>
      </c>
      <c r="H365" s="37" t="str">
        <f>INDEX(_xlfn.TEXTSPLIT(mvtst[[#This Row],[QR Suivis]],"_"),1,1)</f>
        <v>CA250637-2</v>
      </c>
      <c r="I365" s="35" t="str">
        <f>_xlfn.TEXTBEFORE(mvtst[[#This Row],[Num Suivis]],"-",,,1)</f>
        <v>CA250637</v>
      </c>
      <c r="J365" s="36">
        <f>SUMIF(mvtst[QR Suivis],mvtst[[#This Row],[QR Suivis]],mvtst[QTE SORTIS])-SUMIF(mvtst[QR Suivis],mvtst[[#This Row],[QR Suivis]],mvtst[QTE RETOUR])</f>
        <v>0</v>
      </c>
      <c r="K365" s="35" t="str">
        <f t="shared" si="5"/>
        <v>Usine</v>
      </c>
      <c r="L365" s="35" t="str">
        <f>_xlfn.XLOOKUP(mvtst[[#This Row],[Sous Traitant]],coordonnee_st[Identification],coordonnee_st[SERVICE],"Non Trouvé")</f>
        <v>Frange</v>
      </c>
      <c r="M365" s="35" t="str">
        <f>INDEX(_xlfn.TEXTSPLIT(mvtst[[#This Row],[QR Suivis]],"_"),1,2)</f>
        <v>All by Fouta</v>
      </c>
      <c r="N365" s="35" t="str">
        <f>INDEX(_xlfn.TEXTSPLIT(mvtst[[#This Row],[QR Suivis]],"_"),1,3)</f>
        <v>Stock</v>
      </c>
      <c r="O365" s="35" t="str">
        <f>INDEX(_xlfn.TEXTSPLIT(mvtst[[#This Row],[QR Suivis]],"_"),1,4)</f>
        <v>EPMA0919-B26-02</v>
      </c>
      <c r="P365" s="35" t="str">
        <f>INDEX(_xlfn.TEXTSPLIT(mvtst[[#This Row],[QR Suivis]],"_"),1,5)</f>
        <v>MARINIERE</v>
      </c>
      <c r="Q365" s="35" t="str">
        <f>_xlfn.TEXTAFTER(mvtst[[#This Row],[QR Suivis]],"_",5)</f>
        <v>0919</v>
      </c>
      <c r="R365" s="84" t="str">
        <f>IF(
   COUNTIFS($A$2:A365,A365,
             $B$2:B365,B365,
             $C$2:C365,C365,
             $D$2:D365,D365,
             $G$2:G365,G365)&gt;1,
   "Doublon",
   "Correcte"
)</f>
        <v>Correcte</v>
      </c>
    </row>
    <row r="366" spans="1:18" x14ac:dyDescent="0.25">
      <c r="A366" s="104" t="s">
        <v>1311</v>
      </c>
      <c r="B366" s="35" t="s">
        <v>713</v>
      </c>
      <c r="C366" s="36">
        <v>0</v>
      </c>
      <c r="D366" s="36">
        <v>200</v>
      </c>
      <c r="E366" s="35"/>
      <c r="F366" s="35" t="s">
        <v>664</v>
      </c>
      <c r="G366" s="37">
        <v>45925</v>
      </c>
      <c r="H366" s="37" t="str">
        <f>INDEX(_xlfn.TEXTSPLIT(mvtst[[#This Row],[QR Suivis]],"_"),1,1)</f>
        <v>OF250128</v>
      </c>
      <c r="I366" s="35" t="str">
        <f>_xlfn.TEXTBEFORE(mvtst[[#This Row],[Num Suivis]],"-",,,1)</f>
        <v>OF250128</v>
      </c>
      <c r="J366" s="36">
        <f>SUMIF(mvtst[QR Suivis],mvtst[[#This Row],[QR Suivis]],mvtst[QTE SORTIS])-SUMIF(mvtst[QR Suivis],mvtst[[#This Row],[QR Suivis]],mvtst[QTE RETOUR])</f>
        <v>0</v>
      </c>
      <c r="K366" s="35" t="str">
        <f t="shared" si="5"/>
        <v>Usine</v>
      </c>
      <c r="L366" s="35" t="str">
        <f>_xlfn.XLOOKUP(mvtst[[#This Row],[Sous Traitant]],coordonnee_st[Identification],coordonnee_st[SERVICE],"Non Trouvé")</f>
        <v>Couture</v>
      </c>
      <c r="M366" s="35" t="str">
        <f>INDEX(_xlfn.TEXTSPLIT(mvtst[[#This Row],[QR Suivis]],"_"),1,2)</f>
        <v>CL00296</v>
      </c>
      <c r="N366" s="35" t="str">
        <f>INDEX(_xlfn.TEXTSPLIT(mvtst[[#This Row],[QR Suivis]],"_"),1,3)</f>
        <v>CM-FT0129</v>
      </c>
      <c r="O366" s="35" t="str">
        <f>INDEX(_xlfn.TEXTSPLIT(mvtst[[#This Row],[QR Suivis]],"_"),1,4)</f>
        <v>NDL1020-B09-14</v>
      </c>
      <c r="P366" s="35" t="str">
        <f>INDEX(_xlfn.TEXTSPLIT(mvtst[[#This Row],[QR Suivis]],"_"),1,5)</f>
        <v>ND LILI</v>
      </c>
      <c r="Q366" s="35" t="str">
        <f>_xlfn.TEXTAFTER(mvtst[[#This Row],[QR Suivis]],"_",5)</f>
        <v>1020</v>
      </c>
      <c r="R366" s="84" t="str">
        <f>IF(
   COUNTIFS($A$2:A366,A366,
             $B$2:B366,B366,
             $C$2:C366,C366,
             $D$2:D366,D366,
             $G$2:G366,G366)&gt;1,
   "Doublon",
   "Correcte"
)</f>
        <v>Correcte</v>
      </c>
    </row>
    <row r="367" spans="1:18" x14ac:dyDescent="0.25">
      <c r="A367" s="104" t="s">
        <v>1315</v>
      </c>
      <c r="B367" s="35" t="s">
        <v>713</v>
      </c>
      <c r="C367" s="36">
        <v>0</v>
      </c>
      <c r="D367" s="36">
        <v>200</v>
      </c>
      <c r="E367" s="35"/>
      <c r="F367" s="35" t="s">
        <v>664</v>
      </c>
      <c r="G367" s="37">
        <v>45925</v>
      </c>
      <c r="H367" s="37" t="str">
        <f>INDEX(_xlfn.TEXTSPLIT(mvtst[[#This Row],[QR Suivis]],"_"),1,1)</f>
        <v>OF250129</v>
      </c>
      <c r="I367" s="35" t="str">
        <f>_xlfn.TEXTBEFORE(mvtst[[#This Row],[Num Suivis]],"-",,,1)</f>
        <v>OF250129</v>
      </c>
      <c r="J367" s="36">
        <f>SUMIF(mvtst[QR Suivis],mvtst[[#This Row],[QR Suivis]],mvtst[QTE SORTIS])-SUMIF(mvtst[QR Suivis],mvtst[[#This Row],[QR Suivis]],mvtst[QTE RETOUR])</f>
        <v>0</v>
      </c>
      <c r="K367" s="35" t="str">
        <f t="shared" si="5"/>
        <v>Usine</v>
      </c>
      <c r="L367" s="35" t="str">
        <f>_xlfn.XLOOKUP(mvtst[[#This Row],[Sous Traitant]],coordonnee_st[Identification],coordonnee_st[SERVICE],"Non Trouvé")</f>
        <v>Couture</v>
      </c>
      <c r="M367" s="35" t="str">
        <f>INDEX(_xlfn.TEXTSPLIT(mvtst[[#This Row],[QR Suivis]],"_"),1,2)</f>
        <v>CL00296</v>
      </c>
      <c r="N367" s="35" t="str">
        <f>INDEX(_xlfn.TEXTSPLIT(mvtst[[#This Row],[QR Suivis]],"_"),1,3)</f>
        <v>CM-FT0129</v>
      </c>
      <c r="O367" s="35" t="str">
        <f>INDEX(_xlfn.TEXTSPLIT(mvtst[[#This Row],[QR Suivis]],"_"),1,4)</f>
        <v>SACF0507-B09-14</v>
      </c>
      <c r="P367" s="35" t="str">
        <f>INDEX(_xlfn.TEXTSPLIT(mvtst[[#This Row],[QR Suivis]],"_"),1,5)</f>
        <v>SAC FOUTA</v>
      </c>
      <c r="Q367" s="35" t="str">
        <f>_xlfn.TEXTAFTER(mvtst[[#This Row],[QR Suivis]],"_",5)</f>
        <v>0507</v>
      </c>
      <c r="R367" s="84" t="str">
        <f>IF(
   COUNTIFS($A$2:A367,A367,
             $B$2:B367,B367,
             $C$2:C367,C367,
             $D$2:D367,D367,
             $G$2:G367,G367)&gt;1,
   "Doublon",
   "Correcte"
)</f>
        <v>Correcte</v>
      </c>
    </row>
    <row r="368" spans="1:18" x14ac:dyDescent="0.25">
      <c r="A368" s="104" t="s">
        <v>1594</v>
      </c>
      <c r="B368" s="35" t="s">
        <v>595</v>
      </c>
      <c r="C368" s="36">
        <v>2</v>
      </c>
      <c r="D368" s="36">
        <v>0</v>
      </c>
      <c r="E368" s="35"/>
      <c r="F368" s="35" t="s">
        <v>664</v>
      </c>
      <c r="G368" s="37">
        <v>45925</v>
      </c>
      <c r="H368" s="37" t="str">
        <f>INDEX(_xlfn.TEXTSPLIT(mvtst[[#This Row],[QR Suivis]],"_"),1,1)</f>
        <v>OF250134-1</v>
      </c>
      <c r="I368" s="35" t="str">
        <f>_xlfn.TEXTBEFORE(mvtst[[#This Row],[Num Suivis]],"-",,,1)</f>
        <v>OF250134</v>
      </c>
      <c r="J368" s="36">
        <f>SUMIF(mvtst[QR Suivis],mvtst[[#This Row],[QR Suivis]],mvtst[QTE SORTIS])-SUMIF(mvtst[QR Suivis],mvtst[[#This Row],[QR Suivis]],mvtst[QTE RETOUR])</f>
        <v>0</v>
      </c>
      <c r="K368" s="35" t="str">
        <f t="shared" si="5"/>
        <v>Usine</v>
      </c>
      <c r="L368" s="35" t="str">
        <f>_xlfn.XLOOKUP(mvtst[[#This Row],[Sous Traitant]],coordonnee_st[Identification],coordonnee_st[SERVICE],"Non Trouvé")</f>
        <v>Frange</v>
      </c>
      <c r="M368" s="35" t="str">
        <f>INDEX(_xlfn.TEXTSPLIT(mvtst[[#This Row],[QR Suivis]],"_"),1,2)</f>
        <v>CL00162</v>
      </c>
      <c r="N368" s="35" t="str">
        <f>INDEX(_xlfn.TEXTSPLIT(mvtst[[#This Row],[QR Suivis]],"_"),1,3)</f>
        <v>CM-FT0130</v>
      </c>
      <c r="O368" s="35" t="str">
        <f>INDEX(_xlfn.TEXTSPLIT(mvtst[[#This Row],[QR Suivis]],"_"),1,4)</f>
        <v>OLI2426-B18-19</v>
      </c>
      <c r="P368" s="35" t="str">
        <f>INDEX(_xlfn.TEXTSPLIT(mvtst[[#This Row],[QR Suivis]],"_"),1,5)</f>
        <v>OLIVIER</v>
      </c>
      <c r="Q368" s="35" t="str">
        <f>_xlfn.TEXTAFTER(mvtst[[#This Row],[QR Suivis]],"_",5)</f>
        <v>2426</v>
      </c>
      <c r="R368" s="84" t="str">
        <f>IF(
   COUNTIFS($A$2:A368,A368,
             $B$2:B368,B368,
             $C$2:C368,C368,
             $D$2:D368,D368,
             $G$2:G368,G368)&gt;1,
   "Doublon",
   "Correcte"
)</f>
        <v>Correcte</v>
      </c>
    </row>
    <row r="369" spans="1:18" x14ac:dyDescent="0.25">
      <c r="A369" s="104" t="s">
        <v>1595</v>
      </c>
      <c r="B369" s="35" t="s">
        <v>595</v>
      </c>
      <c r="C369" s="36">
        <v>1</v>
      </c>
      <c r="D369" s="36">
        <v>0</v>
      </c>
      <c r="E369" s="35"/>
      <c r="F369" s="35" t="s">
        <v>664</v>
      </c>
      <c r="G369" s="37">
        <v>45925</v>
      </c>
      <c r="H369" s="37" t="str">
        <f>INDEX(_xlfn.TEXTSPLIT(mvtst[[#This Row],[QR Suivis]],"_"),1,1)</f>
        <v>OF250134-2</v>
      </c>
      <c r="I369" s="35" t="str">
        <f>_xlfn.TEXTBEFORE(mvtst[[#This Row],[Num Suivis]],"-",,,1)</f>
        <v>OF250134</v>
      </c>
      <c r="J369" s="36">
        <f>SUMIF(mvtst[QR Suivis],mvtst[[#This Row],[QR Suivis]],mvtst[QTE SORTIS])-SUMIF(mvtst[QR Suivis],mvtst[[#This Row],[QR Suivis]],mvtst[QTE RETOUR])</f>
        <v>0</v>
      </c>
      <c r="K369" s="35" t="str">
        <f t="shared" si="5"/>
        <v>Usine</v>
      </c>
      <c r="L369" s="35" t="str">
        <f>_xlfn.XLOOKUP(mvtst[[#This Row],[Sous Traitant]],coordonnee_st[Identification],coordonnee_st[SERVICE],"Non Trouvé")</f>
        <v>Frange</v>
      </c>
      <c r="M369" s="35" t="str">
        <f>INDEX(_xlfn.TEXTSPLIT(mvtst[[#This Row],[QR Suivis]],"_"),1,2)</f>
        <v>CL00162</v>
      </c>
      <c r="N369" s="35" t="str">
        <f>INDEX(_xlfn.TEXTSPLIT(mvtst[[#This Row],[QR Suivis]],"_"),1,3)</f>
        <v>CM-FT0130</v>
      </c>
      <c r="O369" s="35" t="str">
        <f>INDEX(_xlfn.TEXTSPLIT(mvtst[[#This Row],[QR Suivis]],"_"),1,4)</f>
        <v>OLI2426-B18-19</v>
      </c>
      <c r="P369" s="35" t="str">
        <f>INDEX(_xlfn.TEXTSPLIT(mvtst[[#This Row],[QR Suivis]],"_"),1,5)</f>
        <v>OLIVIER</v>
      </c>
      <c r="Q369" s="35" t="str">
        <f>_xlfn.TEXTAFTER(mvtst[[#This Row],[QR Suivis]],"_",5)</f>
        <v>2426</v>
      </c>
      <c r="R369" s="84" t="str">
        <f>IF(
   COUNTIFS($A$2:A369,A369,
             $B$2:B369,B369,
             $C$2:C369,C369,
             $D$2:D369,D369,
             $G$2:G369,G369)&gt;1,
   "Doublon",
   "Correcte"
)</f>
        <v>Correcte</v>
      </c>
    </row>
    <row r="370" spans="1:18" x14ac:dyDescent="0.25">
      <c r="A370" s="104" t="s">
        <v>1596</v>
      </c>
      <c r="B370" s="35" t="s">
        <v>595</v>
      </c>
      <c r="C370" s="36">
        <v>2</v>
      </c>
      <c r="D370" s="36">
        <v>0</v>
      </c>
      <c r="E370" s="35"/>
      <c r="F370" s="35" t="s">
        <v>664</v>
      </c>
      <c r="G370" s="37">
        <v>45925</v>
      </c>
      <c r="H370" s="37" t="str">
        <f>INDEX(_xlfn.TEXTSPLIT(mvtst[[#This Row],[QR Suivis]],"_"),1,1)</f>
        <v>OF250134-3</v>
      </c>
      <c r="I370" s="35" t="str">
        <f>_xlfn.TEXTBEFORE(mvtst[[#This Row],[Num Suivis]],"-",,,1)</f>
        <v>OF250134</v>
      </c>
      <c r="J370" s="36">
        <f>SUMIF(mvtst[QR Suivis],mvtst[[#This Row],[QR Suivis]],mvtst[QTE SORTIS])-SUMIF(mvtst[QR Suivis],mvtst[[#This Row],[QR Suivis]],mvtst[QTE RETOUR])</f>
        <v>0</v>
      </c>
      <c r="K370" s="35" t="str">
        <f t="shared" si="5"/>
        <v>Usine</v>
      </c>
      <c r="L370" s="35" t="str">
        <f>_xlfn.XLOOKUP(mvtst[[#This Row],[Sous Traitant]],coordonnee_st[Identification],coordonnee_st[SERVICE],"Non Trouvé")</f>
        <v>Frange</v>
      </c>
      <c r="M370" s="35" t="str">
        <f>INDEX(_xlfn.TEXTSPLIT(mvtst[[#This Row],[QR Suivis]],"_"),1,2)</f>
        <v>CL00162</v>
      </c>
      <c r="N370" s="35" t="str">
        <f>INDEX(_xlfn.TEXTSPLIT(mvtst[[#This Row],[QR Suivis]],"_"),1,3)</f>
        <v>CM-FT0130</v>
      </c>
      <c r="O370" s="35" t="str">
        <f>INDEX(_xlfn.TEXTSPLIT(mvtst[[#This Row],[QR Suivis]],"_"),1,4)</f>
        <v>OLI2426-B18-19</v>
      </c>
      <c r="P370" s="35" t="str">
        <f>INDEX(_xlfn.TEXTSPLIT(mvtst[[#This Row],[QR Suivis]],"_"),1,5)</f>
        <v>OLIVIER</v>
      </c>
      <c r="Q370" s="35" t="str">
        <f>_xlfn.TEXTAFTER(mvtst[[#This Row],[QR Suivis]],"_",5)</f>
        <v>2426</v>
      </c>
      <c r="R370" s="84" t="str">
        <f>IF(
   COUNTIFS($A$2:A370,A370,
             $B$2:B370,B370,
             $C$2:C370,C370,
             $D$2:D370,D370,
             $G$2:G370,G370)&gt;1,
   "Doublon",
   "Correcte"
)</f>
        <v>Correcte</v>
      </c>
    </row>
    <row r="371" spans="1:18" x14ac:dyDescent="0.25">
      <c r="A371" s="104" t="s">
        <v>1395</v>
      </c>
      <c r="B371" s="35" t="s">
        <v>649</v>
      </c>
      <c r="C371" s="36">
        <v>0</v>
      </c>
      <c r="D371" s="36">
        <v>5</v>
      </c>
      <c r="E371" s="35"/>
      <c r="F371" s="35" t="s">
        <v>664</v>
      </c>
      <c r="G371" s="37">
        <v>45925</v>
      </c>
      <c r="H371" s="37" t="str">
        <f>INDEX(_xlfn.TEXTSPLIT(mvtst[[#This Row],[QR Suivis]],"_"),1,1)</f>
        <v>CA250637-15</v>
      </c>
      <c r="I371" s="35" t="str">
        <f>_xlfn.TEXTBEFORE(mvtst[[#This Row],[Num Suivis]],"-",,,1)</f>
        <v>CA250637</v>
      </c>
      <c r="J371" s="36">
        <f>SUMIF(mvtst[QR Suivis],mvtst[[#This Row],[QR Suivis]],mvtst[QTE SORTIS])-SUMIF(mvtst[QR Suivis],mvtst[[#This Row],[QR Suivis]],mvtst[QTE RETOUR])</f>
        <v>0</v>
      </c>
      <c r="K371" s="35" t="str">
        <f t="shared" si="5"/>
        <v>Usine</v>
      </c>
      <c r="L371" s="35" t="str">
        <f>_xlfn.XLOOKUP(mvtst[[#This Row],[Sous Traitant]],coordonnee_st[Identification],coordonnee_st[SERVICE],"Non Trouvé")</f>
        <v>Frange</v>
      </c>
      <c r="M371" s="35" t="str">
        <f>INDEX(_xlfn.TEXTSPLIT(mvtst[[#This Row],[QR Suivis]],"_"),1,2)</f>
        <v>All by Fouta</v>
      </c>
      <c r="N371" s="35" t="str">
        <f>INDEX(_xlfn.TEXTSPLIT(mvtst[[#This Row],[QR Suivis]],"_"),1,3)</f>
        <v>Stock</v>
      </c>
      <c r="O371" s="35" t="str">
        <f>INDEX(_xlfn.TEXTSPLIT(mvtst[[#This Row],[QR Suivis]],"_"),1,4)</f>
        <v>EPMA0919-B26-02</v>
      </c>
      <c r="P371" s="35" t="str">
        <f>INDEX(_xlfn.TEXTSPLIT(mvtst[[#This Row],[QR Suivis]],"_"),1,5)</f>
        <v>MARINIERE</v>
      </c>
      <c r="Q371" s="35" t="str">
        <f>_xlfn.TEXTAFTER(mvtst[[#This Row],[QR Suivis]],"_",5)</f>
        <v>0919</v>
      </c>
      <c r="R371" s="84" t="str">
        <f>IF(
   COUNTIFS($A$2:A371,A371,
             $B$2:B371,B371,
             $C$2:C371,C371,
             $D$2:D371,D371,
             $G$2:G371,G371)&gt;1,
   "Doublon",
   "Correcte"
)</f>
        <v>Correcte</v>
      </c>
    </row>
    <row r="372" spans="1:18" x14ac:dyDescent="0.25">
      <c r="A372" s="104" t="s">
        <v>1338</v>
      </c>
      <c r="B372" s="35" t="s">
        <v>596</v>
      </c>
      <c r="C372" s="36">
        <v>0</v>
      </c>
      <c r="D372" s="36">
        <v>5</v>
      </c>
      <c r="E372" s="35"/>
      <c r="F372" s="35" t="s">
        <v>664</v>
      </c>
      <c r="G372" s="37">
        <v>45925</v>
      </c>
      <c r="H372" s="37" t="str">
        <f>INDEX(_xlfn.TEXTSPLIT(mvtst[[#This Row],[QR Suivis]],"_"),1,1)</f>
        <v>CA250474-2</v>
      </c>
      <c r="I372" s="35" t="str">
        <f>_xlfn.TEXTBEFORE(mvtst[[#This Row],[Num Suivis]],"-",,,1)</f>
        <v>CA250474</v>
      </c>
      <c r="J372" s="36">
        <f>SUMIF(mvtst[QR Suivis],mvtst[[#This Row],[QR Suivis]],mvtst[QTE SORTIS])-SUMIF(mvtst[QR Suivis],mvtst[[#This Row],[QR Suivis]],mvtst[QTE RETOUR])</f>
        <v>0</v>
      </c>
      <c r="K372" s="35" t="str">
        <f t="shared" si="5"/>
        <v>Usine</v>
      </c>
      <c r="L372" s="35" t="str">
        <f>_xlfn.XLOOKUP(mvtst[[#This Row],[Sous Traitant]],coordonnee_st[Identification],coordonnee_st[SERVICE],"Non Trouvé")</f>
        <v>Frange</v>
      </c>
      <c r="M372" s="35" t="str">
        <f>INDEX(_xlfn.TEXTSPLIT(mvtst[[#This Row],[QR Suivis]],"_"),1,2)</f>
        <v>All by Fouta</v>
      </c>
      <c r="N372" s="35" t="str">
        <f>INDEX(_xlfn.TEXTSPLIT(mvtst[[#This Row],[QR Suivis]],"_"),1,3)</f>
        <v>Stock</v>
      </c>
      <c r="O372" s="35" t="str">
        <f>INDEX(_xlfn.TEXTSPLIT(mvtst[[#This Row],[QR Suivis]],"_"),1,4)</f>
        <v>FAF1020-B06-08</v>
      </c>
      <c r="P372" s="35" t="str">
        <f>INDEX(_xlfn.TEXTSPLIT(mvtst[[#This Row],[QR Suivis]],"_"),1,5)</f>
        <v>FIL A FIL</v>
      </c>
      <c r="Q372" s="35" t="str">
        <f>_xlfn.TEXTAFTER(mvtst[[#This Row],[QR Suivis]],"_",5)</f>
        <v>1020</v>
      </c>
      <c r="R372" s="84" t="str">
        <f>IF(
   COUNTIFS($A$2:A372,A372,
             $B$2:B372,B372,
             $C$2:C372,C372,
             $D$2:D372,D372,
             $G$2:G372,G372)&gt;1,
   "Doublon",
   "Correcte"
)</f>
        <v>Correcte</v>
      </c>
    </row>
    <row r="373" spans="1:18" x14ac:dyDescent="0.25">
      <c r="A373" s="104" t="s">
        <v>1339</v>
      </c>
      <c r="B373" s="35" t="s">
        <v>596</v>
      </c>
      <c r="C373" s="36">
        <v>0</v>
      </c>
      <c r="D373" s="36">
        <v>5</v>
      </c>
      <c r="E373" s="35"/>
      <c r="F373" s="35" t="s">
        <v>664</v>
      </c>
      <c r="G373" s="37">
        <v>45925</v>
      </c>
      <c r="H373" s="37" t="str">
        <f>INDEX(_xlfn.TEXTSPLIT(mvtst[[#This Row],[QR Suivis]],"_"),1,1)</f>
        <v>CA250474-4</v>
      </c>
      <c r="I373" s="35" t="str">
        <f>_xlfn.TEXTBEFORE(mvtst[[#This Row],[Num Suivis]],"-",,,1)</f>
        <v>CA250474</v>
      </c>
      <c r="J373" s="36">
        <f>SUMIF(mvtst[QR Suivis],mvtst[[#This Row],[QR Suivis]],mvtst[QTE SORTIS])-SUMIF(mvtst[QR Suivis],mvtst[[#This Row],[QR Suivis]],mvtst[QTE RETOUR])</f>
        <v>0</v>
      </c>
      <c r="K373" s="35" t="str">
        <f t="shared" si="5"/>
        <v>Usine</v>
      </c>
      <c r="L373" s="35" t="str">
        <f>_xlfn.XLOOKUP(mvtst[[#This Row],[Sous Traitant]],coordonnee_st[Identification],coordonnee_st[SERVICE],"Non Trouvé")</f>
        <v>Frange</v>
      </c>
      <c r="M373" s="35" t="str">
        <f>INDEX(_xlfn.TEXTSPLIT(mvtst[[#This Row],[QR Suivis]],"_"),1,2)</f>
        <v>All by Fouta</v>
      </c>
      <c r="N373" s="35" t="str">
        <f>INDEX(_xlfn.TEXTSPLIT(mvtst[[#This Row],[QR Suivis]],"_"),1,3)</f>
        <v>Stock</v>
      </c>
      <c r="O373" s="35" t="str">
        <f>INDEX(_xlfn.TEXTSPLIT(mvtst[[#This Row],[QR Suivis]],"_"),1,4)</f>
        <v>FAF1020-B06-08</v>
      </c>
      <c r="P373" s="35" t="str">
        <f>INDEX(_xlfn.TEXTSPLIT(mvtst[[#This Row],[QR Suivis]],"_"),1,5)</f>
        <v>FIL A FIL</v>
      </c>
      <c r="Q373" s="35" t="str">
        <f>_xlfn.TEXTAFTER(mvtst[[#This Row],[QR Suivis]],"_",5)</f>
        <v>1020</v>
      </c>
      <c r="R373" s="84" t="str">
        <f>IF(
   COUNTIFS($A$2:A373,A373,
             $B$2:B373,B373,
             $C$2:C373,C373,
             $D$2:D373,D373,
             $G$2:G373,G373)&gt;1,
   "Doublon",
   "Correcte"
)</f>
        <v>Correcte</v>
      </c>
    </row>
    <row r="374" spans="1:18" x14ac:dyDescent="0.25">
      <c r="A374" s="104" t="s">
        <v>1340</v>
      </c>
      <c r="B374" s="35" t="s">
        <v>596</v>
      </c>
      <c r="C374" s="36">
        <v>0</v>
      </c>
      <c r="D374" s="36">
        <v>5</v>
      </c>
      <c r="E374" s="35"/>
      <c r="F374" s="35" t="s">
        <v>664</v>
      </c>
      <c r="G374" s="37">
        <v>45925</v>
      </c>
      <c r="H374" s="37" t="str">
        <f>INDEX(_xlfn.TEXTSPLIT(mvtst[[#This Row],[QR Suivis]],"_"),1,1)</f>
        <v>CA250474-5</v>
      </c>
      <c r="I374" s="35" t="str">
        <f>_xlfn.TEXTBEFORE(mvtst[[#This Row],[Num Suivis]],"-",,,1)</f>
        <v>CA250474</v>
      </c>
      <c r="J374" s="36">
        <f>SUMIF(mvtst[QR Suivis],mvtst[[#This Row],[QR Suivis]],mvtst[QTE SORTIS])-SUMIF(mvtst[QR Suivis],mvtst[[#This Row],[QR Suivis]],mvtst[QTE RETOUR])</f>
        <v>0</v>
      </c>
      <c r="K374" s="35" t="str">
        <f t="shared" si="5"/>
        <v>Usine</v>
      </c>
      <c r="L374" s="35" t="str">
        <f>_xlfn.XLOOKUP(mvtst[[#This Row],[Sous Traitant]],coordonnee_st[Identification],coordonnee_st[SERVICE],"Non Trouvé")</f>
        <v>Frange</v>
      </c>
      <c r="M374" s="35" t="str">
        <f>INDEX(_xlfn.TEXTSPLIT(mvtst[[#This Row],[QR Suivis]],"_"),1,2)</f>
        <v>All by Fouta</v>
      </c>
      <c r="N374" s="35" t="str">
        <f>INDEX(_xlfn.TEXTSPLIT(mvtst[[#This Row],[QR Suivis]],"_"),1,3)</f>
        <v>Stock</v>
      </c>
      <c r="O374" s="35" t="str">
        <f>INDEX(_xlfn.TEXTSPLIT(mvtst[[#This Row],[QR Suivis]],"_"),1,4)</f>
        <v>FAF1020-B06-08</v>
      </c>
      <c r="P374" s="35" t="str">
        <f>INDEX(_xlfn.TEXTSPLIT(mvtst[[#This Row],[QR Suivis]],"_"),1,5)</f>
        <v>FIL A FIL</v>
      </c>
      <c r="Q374" s="35" t="str">
        <f>_xlfn.TEXTAFTER(mvtst[[#This Row],[QR Suivis]],"_",5)</f>
        <v>1020</v>
      </c>
      <c r="R374" s="84" t="str">
        <f>IF(
   COUNTIFS($A$2:A374,A374,
             $B$2:B374,B374,
             $C$2:C374,C374,
             $D$2:D374,D374,
             $G$2:G374,G374)&gt;1,
   "Doublon",
   "Correcte"
)</f>
        <v>Correcte</v>
      </c>
    </row>
    <row r="375" spans="1:18" x14ac:dyDescent="0.25">
      <c r="A375" s="104" t="s">
        <v>1341</v>
      </c>
      <c r="B375" s="35" t="s">
        <v>596</v>
      </c>
      <c r="C375" s="36">
        <v>0</v>
      </c>
      <c r="D375" s="36">
        <v>5</v>
      </c>
      <c r="E375" s="35"/>
      <c r="F375" s="35" t="s">
        <v>664</v>
      </c>
      <c r="G375" s="37">
        <v>45925</v>
      </c>
      <c r="H375" s="37" t="str">
        <f>INDEX(_xlfn.TEXTSPLIT(mvtst[[#This Row],[QR Suivis]],"_"),1,1)</f>
        <v>CA250474-6</v>
      </c>
      <c r="I375" s="35" t="str">
        <f>_xlfn.TEXTBEFORE(mvtst[[#This Row],[Num Suivis]],"-",,,1)</f>
        <v>CA250474</v>
      </c>
      <c r="J375" s="36">
        <f>SUMIF(mvtst[QR Suivis],mvtst[[#This Row],[QR Suivis]],mvtst[QTE SORTIS])-SUMIF(mvtst[QR Suivis],mvtst[[#This Row],[QR Suivis]],mvtst[QTE RETOUR])</f>
        <v>0</v>
      </c>
      <c r="K375" s="35" t="str">
        <f t="shared" si="5"/>
        <v>Usine</v>
      </c>
      <c r="L375" s="35" t="str">
        <f>_xlfn.XLOOKUP(mvtst[[#This Row],[Sous Traitant]],coordonnee_st[Identification],coordonnee_st[SERVICE],"Non Trouvé")</f>
        <v>Frange</v>
      </c>
      <c r="M375" s="35" t="str">
        <f>INDEX(_xlfn.TEXTSPLIT(mvtst[[#This Row],[QR Suivis]],"_"),1,2)</f>
        <v>All by Fouta</v>
      </c>
      <c r="N375" s="35" t="str">
        <f>INDEX(_xlfn.TEXTSPLIT(mvtst[[#This Row],[QR Suivis]],"_"),1,3)</f>
        <v>Stock</v>
      </c>
      <c r="O375" s="35" t="str">
        <f>INDEX(_xlfn.TEXTSPLIT(mvtst[[#This Row],[QR Suivis]],"_"),1,4)</f>
        <v>FAF1020-B06-08</v>
      </c>
      <c r="P375" s="35" t="str">
        <f>INDEX(_xlfn.TEXTSPLIT(mvtst[[#This Row],[QR Suivis]],"_"),1,5)</f>
        <v>FIL A FIL</v>
      </c>
      <c r="Q375" s="35" t="str">
        <f>_xlfn.TEXTAFTER(mvtst[[#This Row],[QR Suivis]],"_",5)</f>
        <v>1020</v>
      </c>
      <c r="R375" s="84" t="str">
        <f>IF(
   COUNTIFS($A$2:A375,A375,
             $B$2:B375,B375,
             $C$2:C375,C375,
             $D$2:D375,D375,
             $G$2:G375,G375)&gt;1,
   "Doublon",
   "Correcte"
)</f>
        <v>Correcte</v>
      </c>
    </row>
    <row r="376" spans="1:18" x14ac:dyDescent="0.25">
      <c r="A376" s="104" t="s">
        <v>1342</v>
      </c>
      <c r="B376" s="35" t="s">
        <v>596</v>
      </c>
      <c r="C376" s="36">
        <v>0</v>
      </c>
      <c r="D376" s="36">
        <v>2</v>
      </c>
      <c r="E376" s="35"/>
      <c r="F376" s="35" t="s">
        <v>664</v>
      </c>
      <c r="G376" s="37">
        <v>45925</v>
      </c>
      <c r="H376" s="37" t="str">
        <f>INDEX(_xlfn.TEXTSPLIT(mvtst[[#This Row],[QR Suivis]],"_"),1,1)</f>
        <v>CA250474-13</v>
      </c>
      <c r="I376" s="35" t="str">
        <f>_xlfn.TEXTBEFORE(mvtst[[#This Row],[Num Suivis]],"-",,,1)</f>
        <v>CA250474</v>
      </c>
      <c r="J376" s="36">
        <f>SUMIF(mvtst[QR Suivis],mvtst[[#This Row],[QR Suivis]],mvtst[QTE SORTIS])-SUMIF(mvtst[QR Suivis],mvtst[[#This Row],[QR Suivis]],mvtst[QTE RETOUR])</f>
        <v>0</v>
      </c>
      <c r="K376" s="35" t="str">
        <f t="shared" si="5"/>
        <v>Usine</v>
      </c>
      <c r="L376" s="35" t="str">
        <f>_xlfn.XLOOKUP(mvtst[[#This Row],[Sous Traitant]],coordonnee_st[Identification],coordonnee_st[SERVICE],"Non Trouvé")</f>
        <v>Frange</v>
      </c>
      <c r="M376" s="35" t="str">
        <f>INDEX(_xlfn.TEXTSPLIT(mvtst[[#This Row],[QR Suivis]],"_"),1,2)</f>
        <v>All by Fouta</v>
      </c>
      <c r="N376" s="35" t="str">
        <f>INDEX(_xlfn.TEXTSPLIT(mvtst[[#This Row],[QR Suivis]],"_"),1,3)</f>
        <v>Stock</v>
      </c>
      <c r="O376" s="35" t="str">
        <f>INDEX(_xlfn.TEXTSPLIT(mvtst[[#This Row],[QR Suivis]],"_"),1,4)</f>
        <v>FAF1020-B06-08</v>
      </c>
      <c r="P376" s="35" t="str">
        <f>INDEX(_xlfn.TEXTSPLIT(mvtst[[#This Row],[QR Suivis]],"_"),1,5)</f>
        <v>FIL A FIL</v>
      </c>
      <c r="Q376" s="35" t="str">
        <f>_xlfn.TEXTAFTER(mvtst[[#This Row],[QR Suivis]],"_",5)</f>
        <v>1020</v>
      </c>
      <c r="R376" s="84" t="str">
        <f>IF(
   COUNTIFS($A$2:A376,A376,
             $B$2:B376,B376,
             $C$2:C376,C376,
             $D$2:D376,D376,
             $G$2:G376,G376)&gt;1,
   "Doublon",
   "Correcte"
)</f>
        <v>Correcte</v>
      </c>
    </row>
    <row r="377" spans="1:18" x14ac:dyDescent="0.25">
      <c r="A377" s="104" t="s">
        <v>1597</v>
      </c>
      <c r="B377" s="35" t="s">
        <v>595</v>
      </c>
      <c r="C377" s="36">
        <v>5</v>
      </c>
      <c r="D377" s="36">
        <v>0</v>
      </c>
      <c r="E377" s="35"/>
      <c r="F377" s="35" t="s">
        <v>664</v>
      </c>
      <c r="G377" s="37">
        <v>45925</v>
      </c>
      <c r="H377" s="37" t="str">
        <f>INDEX(_xlfn.TEXTSPLIT(mvtst[[#This Row],[QR Suivis]],"_"),1,1)</f>
        <v>OF246547-3</v>
      </c>
      <c r="I377" s="35" t="str">
        <f>_xlfn.TEXTBEFORE(mvtst[[#This Row],[Num Suivis]],"-",,,1)</f>
        <v>OF246547</v>
      </c>
      <c r="J377" s="36">
        <f>SUMIF(mvtst[QR Suivis],mvtst[[#This Row],[QR Suivis]],mvtst[QTE SORTIS])-SUMIF(mvtst[QR Suivis],mvtst[[#This Row],[QR Suivis]],mvtst[QTE RETOUR])</f>
        <v>0</v>
      </c>
      <c r="K377" s="35" t="str">
        <f t="shared" si="5"/>
        <v>Usine</v>
      </c>
      <c r="L377" s="35" t="str">
        <f>_xlfn.XLOOKUP(mvtst[[#This Row],[Sous Traitant]],coordonnee_st[Identification],coordonnee_st[SERVICE],"Non Trouvé")</f>
        <v>Frange</v>
      </c>
      <c r="M377" s="35" t="str">
        <f>INDEX(_xlfn.TEXTSPLIT(mvtst[[#This Row],[QR Suivis]],"_"),1,2)</f>
        <v>CL00296</v>
      </c>
      <c r="N377" s="35" t="str">
        <f>INDEX(_xlfn.TEXTSPLIT(mvtst[[#This Row],[QR Suivis]],"_"),1,3)</f>
        <v>CM-FT0108</v>
      </c>
      <c r="O377" s="35" t="str">
        <f>INDEX(_xlfn.TEXTSPLIT(mvtst[[#This Row],[QR Suivis]],"_"),1,4)</f>
        <v>EPMA0919-B11-02</v>
      </c>
      <c r="P377" s="35" t="str">
        <f>INDEX(_xlfn.TEXTSPLIT(mvtst[[#This Row],[QR Suivis]],"_"),1,5)</f>
        <v>MARINIERE</v>
      </c>
      <c r="Q377" s="35" t="str">
        <f>_xlfn.TEXTAFTER(mvtst[[#This Row],[QR Suivis]],"_",5)</f>
        <v>0919</v>
      </c>
      <c r="R377" s="84" t="str">
        <f>IF(
   COUNTIFS($A$2:A377,A377,
             $B$2:B377,B377,
             $C$2:C377,C377,
             $D$2:D377,D377,
             $G$2:G377,G377)&gt;1,
   "Doublon",
   "Correcte"
)</f>
        <v>Correcte</v>
      </c>
    </row>
    <row r="378" spans="1:18" x14ac:dyDescent="0.25">
      <c r="A378" s="104" t="s">
        <v>1598</v>
      </c>
      <c r="B378" s="35" t="s">
        <v>595</v>
      </c>
      <c r="C378" s="36">
        <v>5</v>
      </c>
      <c r="D378" s="36">
        <v>0</v>
      </c>
      <c r="E378" s="35"/>
      <c r="F378" s="35" t="s">
        <v>664</v>
      </c>
      <c r="G378" s="37">
        <v>45925</v>
      </c>
      <c r="H378" s="37" t="str">
        <f>INDEX(_xlfn.TEXTSPLIT(mvtst[[#This Row],[QR Suivis]],"_"),1,1)</f>
        <v>OF246547-5</v>
      </c>
      <c r="I378" s="35" t="str">
        <f>_xlfn.TEXTBEFORE(mvtst[[#This Row],[Num Suivis]],"-",,,1)</f>
        <v>OF246547</v>
      </c>
      <c r="J378" s="36">
        <f>SUMIF(mvtst[QR Suivis],mvtst[[#This Row],[QR Suivis]],mvtst[QTE SORTIS])-SUMIF(mvtst[QR Suivis],mvtst[[#This Row],[QR Suivis]],mvtst[QTE RETOUR])</f>
        <v>0</v>
      </c>
      <c r="K378" s="35" t="str">
        <f t="shared" si="5"/>
        <v>Usine</v>
      </c>
      <c r="L378" s="35" t="str">
        <f>_xlfn.XLOOKUP(mvtst[[#This Row],[Sous Traitant]],coordonnee_st[Identification],coordonnee_st[SERVICE],"Non Trouvé")</f>
        <v>Frange</v>
      </c>
      <c r="M378" s="35" t="str">
        <f>INDEX(_xlfn.TEXTSPLIT(mvtst[[#This Row],[QR Suivis]],"_"),1,2)</f>
        <v>CL00296</v>
      </c>
      <c r="N378" s="35" t="str">
        <f>INDEX(_xlfn.TEXTSPLIT(mvtst[[#This Row],[QR Suivis]],"_"),1,3)</f>
        <v>CM-FT0108</v>
      </c>
      <c r="O378" s="35" t="str">
        <f>INDEX(_xlfn.TEXTSPLIT(mvtst[[#This Row],[QR Suivis]],"_"),1,4)</f>
        <v>EPMA0919-B11-02</v>
      </c>
      <c r="P378" s="35" t="str">
        <f>INDEX(_xlfn.TEXTSPLIT(mvtst[[#This Row],[QR Suivis]],"_"),1,5)</f>
        <v>MARINIERE</v>
      </c>
      <c r="Q378" s="35" t="str">
        <f>_xlfn.TEXTAFTER(mvtst[[#This Row],[QR Suivis]],"_",5)</f>
        <v>0919</v>
      </c>
      <c r="R378" s="84" t="str">
        <f>IF(
   COUNTIFS($A$2:A378,A378,
             $B$2:B378,B378,
             $C$2:C378,C378,
             $D$2:D378,D378,
             $G$2:G378,G378)&gt;1,
   "Doublon",
   "Correcte"
)</f>
        <v>Correcte</v>
      </c>
    </row>
    <row r="379" spans="1:18" x14ac:dyDescent="0.25">
      <c r="A379" s="104" t="s">
        <v>1599</v>
      </c>
      <c r="B379" s="35" t="s">
        <v>595</v>
      </c>
      <c r="C379" s="36">
        <v>5</v>
      </c>
      <c r="D379" s="36">
        <v>0</v>
      </c>
      <c r="E379" s="35"/>
      <c r="F379" s="35" t="s">
        <v>664</v>
      </c>
      <c r="G379" s="37">
        <v>45925</v>
      </c>
      <c r="H379" s="37" t="str">
        <f>INDEX(_xlfn.TEXTSPLIT(mvtst[[#This Row],[QR Suivis]],"_"),1,1)</f>
        <v>OF246547-9</v>
      </c>
      <c r="I379" s="35" t="str">
        <f>_xlfn.TEXTBEFORE(mvtst[[#This Row],[Num Suivis]],"-",,,1)</f>
        <v>OF246547</v>
      </c>
      <c r="J379" s="36">
        <f>SUMIF(mvtst[QR Suivis],mvtst[[#This Row],[QR Suivis]],mvtst[QTE SORTIS])-SUMIF(mvtst[QR Suivis],mvtst[[#This Row],[QR Suivis]],mvtst[QTE RETOUR])</f>
        <v>0</v>
      </c>
      <c r="K379" s="35" t="str">
        <f t="shared" si="5"/>
        <v>Usine</v>
      </c>
      <c r="L379" s="35" t="str">
        <f>_xlfn.XLOOKUP(mvtst[[#This Row],[Sous Traitant]],coordonnee_st[Identification],coordonnee_st[SERVICE],"Non Trouvé")</f>
        <v>Frange</v>
      </c>
      <c r="M379" s="35" t="str">
        <f>INDEX(_xlfn.TEXTSPLIT(mvtst[[#This Row],[QR Suivis]],"_"),1,2)</f>
        <v>CL00296</v>
      </c>
      <c r="N379" s="35" t="str">
        <f>INDEX(_xlfn.TEXTSPLIT(mvtst[[#This Row],[QR Suivis]],"_"),1,3)</f>
        <v>CM-FT0108</v>
      </c>
      <c r="O379" s="35" t="str">
        <f>INDEX(_xlfn.TEXTSPLIT(mvtst[[#This Row],[QR Suivis]],"_"),1,4)</f>
        <v>EPMA0919-B11-02</v>
      </c>
      <c r="P379" s="35" t="str">
        <f>INDEX(_xlfn.TEXTSPLIT(mvtst[[#This Row],[QR Suivis]],"_"),1,5)</f>
        <v>MARINIERE</v>
      </c>
      <c r="Q379" s="35" t="str">
        <f>_xlfn.TEXTAFTER(mvtst[[#This Row],[QR Suivis]],"_",5)</f>
        <v>0919</v>
      </c>
      <c r="R379" s="84" t="str">
        <f>IF(
   COUNTIFS($A$2:A379,A379,
             $B$2:B379,B379,
             $C$2:C379,C379,
             $D$2:D379,D379,
             $G$2:G379,G379)&gt;1,
   "Doublon",
   "Correcte"
)</f>
        <v>Correcte</v>
      </c>
    </row>
    <row r="380" spans="1:18" x14ac:dyDescent="0.25">
      <c r="A380" s="104" t="s">
        <v>1600</v>
      </c>
      <c r="B380" s="35" t="s">
        <v>646</v>
      </c>
      <c r="C380" s="36">
        <v>5</v>
      </c>
      <c r="D380" s="36">
        <v>0</v>
      </c>
      <c r="E380" s="35"/>
      <c r="F380" s="35" t="s">
        <v>664</v>
      </c>
      <c r="G380" s="37">
        <v>45925</v>
      </c>
      <c r="H380" s="37" t="str">
        <f>INDEX(_xlfn.TEXTSPLIT(mvtst[[#This Row],[QR Suivis]],"_"),1,1)</f>
        <v>OF246547-10</v>
      </c>
      <c r="I380" s="35" t="str">
        <f>_xlfn.TEXTBEFORE(mvtst[[#This Row],[Num Suivis]],"-",,,1)</f>
        <v>OF246547</v>
      </c>
      <c r="J380" s="36">
        <f>SUMIF(mvtst[QR Suivis],mvtst[[#This Row],[QR Suivis]],mvtst[QTE SORTIS])-SUMIF(mvtst[QR Suivis],mvtst[[#This Row],[QR Suivis]],mvtst[QTE RETOUR])</f>
        <v>0</v>
      </c>
      <c r="K380" s="35" t="str">
        <f t="shared" si="5"/>
        <v>Usine</v>
      </c>
      <c r="L380" s="35" t="str">
        <f>_xlfn.XLOOKUP(mvtst[[#This Row],[Sous Traitant]],coordonnee_st[Identification],coordonnee_st[SERVICE],"Non Trouvé")</f>
        <v>Frange</v>
      </c>
      <c r="M380" s="35" t="str">
        <f>INDEX(_xlfn.TEXTSPLIT(mvtst[[#This Row],[QR Suivis]],"_"),1,2)</f>
        <v>CL00296</v>
      </c>
      <c r="N380" s="35" t="str">
        <f>INDEX(_xlfn.TEXTSPLIT(mvtst[[#This Row],[QR Suivis]],"_"),1,3)</f>
        <v>CM-FT0108</v>
      </c>
      <c r="O380" s="35" t="str">
        <f>INDEX(_xlfn.TEXTSPLIT(mvtst[[#This Row],[QR Suivis]],"_"),1,4)</f>
        <v>EPMA0919-B11-02</v>
      </c>
      <c r="P380" s="35" t="str">
        <f>INDEX(_xlfn.TEXTSPLIT(mvtst[[#This Row],[QR Suivis]],"_"),1,5)</f>
        <v>MARINIERE</v>
      </c>
      <c r="Q380" s="35" t="str">
        <f>_xlfn.TEXTAFTER(mvtst[[#This Row],[QR Suivis]],"_",5)</f>
        <v>0919</v>
      </c>
      <c r="R380" s="84" t="str">
        <f>IF(
   COUNTIFS($A$2:A380,A380,
             $B$2:B380,B380,
             $C$2:C380,C380,
             $D$2:D380,D380,
             $G$2:G380,G380)&gt;1,
   "Doublon",
   "Correcte"
)</f>
        <v>Correcte</v>
      </c>
    </row>
    <row r="381" spans="1:18" x14ac:dyDescent="0.25">
      <c r="A381" s="104" t="s">
        <v>1601</v>
      </c>
      <c r="B381" s="35" t="s">
        <v>646</v>
      </c>
      <c r="C381" s="36">
        <v>3</v>
      </c>
      <c r="D381" s="36">
        <v>0</v>
      </c>
      <c r="E381" s="35"/>
      <c r="F381" s="35" t="s">
        <v>664</v>
      </c>
      <c r="G381" s="37">
        <v>45925</v>
      </c>
      <c r="H381" s="37" t="str">
        <f>INDEX(_xlfn.TEXTSPLIT(mvtst[[#This Row],[QR Suivis]],"_"),1,1)</f>
        <v>OF246547-2</v>
      </c>
      <c r="I381" s="35" t="str">
        <f>_xlfn.TEXTBEFORE(mvtst[[#This Row],[Num Suivis]],"-",,,1)</f>
        <v>OF246547</v>
      </c>
      <c r="J381" s="36">
        <f>SUMIF(mvtst[QR Suivis],mvtst[[#This Row],[QR Suivis]],mvtst[QTE SORTIS])-SUMIF(mvtst[QR Suivis],mvtst[[#This Row],[QR Suivis]],mvtst[QTE RETOUR])</f>
        <v>0</v>
      </c>
      <c r="K381" s="35" t="str">
        <f t="shared" si="5"/>
        <v>Usine</v>
      </c>
      <c r="L381" s="35" t="str">
        <f>_xlfn.XLOOKUP(mvtst[[#This Row],[Sous Traitant]],coordonnee_st[Identification],coordonnee_st[SERVICE],"Non Trouvé")</f>
        <v>Frange</v>
      </c>
      <c r="M381" s="35" t="str">
        <f>INDEX(_xlfn.TEXTSPLIT(mvtst[[#This Row],[QR Suivis]],"_"),1,2)</f>
        <v>CL00296</v>
      </c>
      <c r="N381" s="35" t="str">
        <f>INDEX(_xlfn.TEXTSPLIT(mvtst[[#This Row],[QR Suivis]],"_"),1,3)</f>
        <v>CM-FT0108</v>
      </c>
      <c r="O381" s="35" t="str">
        <f>INDEX(_xlfn.TEXTSPLIT(mvtst[[#This Row],[QR Suivis]],"_"),1,4)</f>
        <v>EPMA0919-B11-02</v>
      </c>
      <c r="P381" s="35" t="str">
        <f>INDEX(_xlfn.TEXTSPLIT(mvtst[[#This Row],[QR Suivis]],"_"),1,5)</f>
        <v>MARINIERE</v>
      </c>
      <c r="Q381" s="35" t="str">
        <f>_xlfn.TEXTAFTER(mvtst[[#This Row],[QR Suivis]],"_",5)</f>
        <v>0919</v>
      </c>
      <c r="R381" s="84" t="str">
        <f>IF(
   COUNTIFS($A$2:A381,A381,
             $B$2:B381,B381,
             $C$2:C381,C381,
             $D$2:D381,D381,
             $G$2:G381,G381)&gt;1,
   "Doublon",
   "Correcte"
)</f>
        <v>Correcte</v>
      </c>
    </row>
    <row r="382" spans="1:18" x14ac:dyDescent="0.25">
      <c r="A382" s="104" t="s">
        <v>1602</v>
      </c>
      <c r="B382" s="35" t="s">
        <v>646</v>
      </c>
      <c r="C382" s="36">
        <v>5</v>
      </c>
      <c r="D382" s="36">
        <v>0</v>
      </c>
      <c r="E382" s="35"/>
      <c r="F382" s="35" t="s">
        <v>664</v>
      </c>
      <c r="G382" s="37">
        <v>45925</v>
      </c>
      <c r="H382" s="37" t="str">
        <f>INDEX(_xlfn.TEXTSPLIT(mvtst[[#This Row],[QR Suivis]],"_"),1,1)</f>
        <v>OF246547-14</v>
      </c>
      <c r="I382" s="35" t="str">
        <f>_xlfn.TEXTBEFORE(mvtst[[#This Row],[Num Suivis]],"-",,,1)</f>
        <v>OF246547</v>
      </c>
      <c r="J382" s="36">
        <f>SUMIF(mvtst[QR Suivis],mvtst[[#This Row],[QR Suivis]],mvtst[QTE SORTIS])-SUMIF(mvtst[QR Suivis],mvtst[[#This Row],[QR Suivis]],mvtst[QTE RETOUR])</f>
        <v>0</v>
      </c>
      <c r="K382" s="35" t="str">
        <f t="shared" si="5"/>
        <v>Usine</v>
      </c>
      <c r="L382" s="35" t="str">
        <f>_xlfn.XLOOKUP(mvtst[[#This Row],[Sous Traitant]],coordonnee_st[Identification],coordonnee_st[SERVICE],"Non Trouvé")</f>
        <v>Frange</v>
      </c>
      <c r="M382" s="35" t="str">
        <f>INDEX(_xlfn.TEXTSPLIT(mvtst[[#This Row],[QR Suivis]],"_"),1,2)</f>
        <v>CL00296</v>
      </c>
      <c r="N382" s="35" t="str">
        <f>INDEX(_xlfn.TEXTSPLIT(mvtst[[#This Row],[QR Suivis]],"_"),1,3)</f>
        <v>CM-FT0108</v>
      </c>
      <c r="O382" s="35" t="str">
        <f>INDEX(_xlfn.TEXTSPLIT(mvtst[[#This Row],[QR Suivis]],"_"),1,4)</f>
        <v>EPMA0919-B11-02</v>
      </c>
      <c r="P382" s="35" t="str">
        <f>INDEX(_xlfn.TEXTSPLIT(mvtst[[#This Row],[QR Suivis]],"_"),1,5)</f>
        <v>MARINIERE</v>
      </c>
      <c r="Q382" s="35" t="str">
        <f>_xlfn.TEXTAFTER(mvtst[[#This Row],[QR Suivis]],"_",5)</f>
        <v>0919</v>
      </c>
      <c r="R382" s="84" t="str">
        <f>IF(
   COUNTIFS($A$2:A382,A382,
             $B$2:B382,B382,
             $C$2:C382,C382,
             $D$2:D382,D382,
             $G$2:G382,G382)&gt;1,
   "Doublon",
   "Correcte"
)</f>
        <v>Correcte</v>
      </c>
    </row>
    <row r="383" spans="1:18" x14ac:dyDescent="0.25">
      <c r="A383" s="104" t="s">
        <v>1603</v>
      </c>
      <c r="B383" s="35" t="s">
        <v>646</v>
      </c>
      <c r="C383" s="36">
        <v>5</v>
      </c>
      <c r="D383" s="36">
        <v>0</v>
      </c>
      <c r="E383" s="35"/>
      <c r="F383" s="35" t="s">
        <v>664</v>
      </c>
      <c r="G383" s="37">
        <v>45925</v>
      </c>
      <c r="H383" s="37" t="str">
        <f>INDEX(_xlfn.TEXTSPLIT(mvtst[[#This Row],[QR Suivis]],"_"),1,1)</f>
        <v>OF246547-4</v>
      </c>
      <c r="I383" s="35" t="str">
        <f>_xlfn.TEXTBEFORE(mvtst[[#This Row],[Num Suivis]],"-",,,1)</f>
        <v>OF246547</v>
      </c>
      <c r="J383" s="36">
        <f>SUMIF(mvtst[QR Suivis],mvtst[[#This Row],[QR Suivis]],mvtst[QTE SORTIS])-SUMIF(mvtst[QR Suivis],mvtst[[#This Row],[QR Suivis]],mvtst[QTE RETOUR])</f>
        <v>0</v>
      </c>
      <c r="K383" s="35" t="str">
        <f t="shared" si="5"/>
        <v>Usine</v>
      </c>
      <c r="L383" s="35" t="str">
        <f>_xlfn.XLOOKUP(mvtst[[#This Row],[Sous Traitant]],coordonnee_st[Identification],coordonnee_st[SERVICE],"Non Trouvé")</f>
        <v>Frange</v>
      </c>
      <c r="M383" s="35" t="str">
        <f>INDEX(_xlfn.TEXTSPLIT(mvtst[[#This Row],[QR Suivis]],"_"),1,2)</f>
        <v>CL00296</v>
      </c>
      <c r="N383" s="35" t="str">
        <f>INDEX(_xlfn.TEXTSPLIT(mvtst[[#This Row],[QR Suivis]],"_"),1,3)</f>
        <v>CM-FT0108</v>
      </c>
      <c r="O383" s="35" t="str">
        <f>INDEX(_xlfn.TEXTSPLIT(mvtst[[#This Row],[QR Suivis]],"_"),1,4)</f>
        <v>EPMA0919-B11-02</v>
      </c>
      <c r="P383" s="35" t="str">
        <f>INDEX(_xlfn.TEXTSPLIT(mvtst[[#This Row],[QR Suivis]],"_"),1,5)</f>
        <v>MARINIERE</v>
      </c>
      <c r="Q383" s="35" t="str">
        <f>_xlfn.TEXTAFTER(mvtst[[#This Row],[QR Suivis]],"_",5)</f>
        <v>0919</v>
      </c>
      <c r="R383" s="84" t="str">
        <f>IF(
   COUNTIFS($A$2:A383,A383,
             $B$2:B383,B383,
             $C$2:C383,C383,
             $D$2:D383,D383,
             $G$2:G383,G383)&gt;1,
   "Doublon",
   "Correcte"
)</f>
        <v>Correcte</v>
      </c>
    </row>
    <row r="384" spans="1:18" x14ac:dyDescent="0.25">
      <c r="A384" s="104" t="s">
        <v>1604</v>
      </c>
      <c r="B384" s="35" t="s">
        <v>646</v>
      </c>
      <c r="C384" s="36">
        <v>5</v>
      </c>
      <c r="D384" s="36">
        <v>0</v>
      </c>
      <c r="E384" s="35"/>
      <c r="F384" s="35" t="s">
        <v>664</v>
      </c>
      <c r="G384" s="37">
        <v>45925</v>
      </c>
      <c r="H384" s="37" t="str">
        <f>INDEX(_xlfn.TEXTSPLIT(mvtst[[#This Row],[QR Suivis]],"_"),1,1)</f>
        <v>OF246547-11</v>
      </c>
      <c r="I384" s="35" t="str">
        <f>_xlfn.TEXTBEFORE(mvtst[[#This Row],[Num Suivis]],"-",,,1)</f>
        <v>OF246547</v>
      </c>
      <c r="J384" s="36">
        <f>SUMIF(mvtst[QR Suivis],mvtst[[#This Row],[QR Suivis]],mvtst[QTE SORTIS])-SUMIF(mvtst[QR Suivis],mvtst[[#This Row],[QR Suivis]],mvtst[QTE RETOUR])</f>
        <v>0</v>
      </c>
      <c r="K384" s="35" t="str">
        <f t="shared" si="5"/>
        <v>Usine</v>
      </c>
      <c r="L384" s="35" t="str">
        <f>_xlfn.XLOOKUP(mvtst[[#This Row],[Sous Traitant]],coordonnee_st[Identification],coordonnee_st[SERVICE],"Non Trouvé")</f>
        <v>Frange</v>
      </c>
      <c r="M384" s="35" t="str">
        <f>INDEX(_xlfn.TEXTSPLIT(mvtst[[#This Row],[QR Suivis]],"_"),1,2)</f>
        <v>CL00296</v>
      </c>
      <c r="N384" s="35" t="str">
        <f>INDEX(_xlfn.TEXTSPLIT(mvtst[[#This Row],[QR Suivis]],"_"),1,3)</f>
        <v>CM-FT0108</v>
      </c>
      <c r="O384" s="35" t="str">
        <f>INDEX(_xlfn.TEXTSPLIT(mvtst[[#This Row],[QR Suivis]],"_"),1,4)</f>
        <v>EPMA0919-B11-02</v>
      </c>
      <c r="P384" s="35" t="str">
        <f>INDEX(_xlfn.TEXTSPLIT(mvtst[[#This Row],[QR Suivis]],"_"),1,5)</f>
        <v>MARINIERE</v>
      </c>
      <c r="Q384" s="35" t="str">
        <f>_xlfn.TEXTAFTER(mvtst[[#This Row],[QR Suivis]],"_",5)</f>
        <v>0919</v>
      </c>
      <c r="R384" s="84" t="str">
        <f>IF(
   COUNTIFS($A$2:A384,A384,
             $B$2:B384,B384,
             $C$2:C384,C384,
             $D$2:D384,D384,
             $G$2:G384,G384)&gt;1,
   "Doublon",
   "Correcte"
)</f>
        <v>Correcte</v>
      </c>
    </row>
    <row r="385" spans="1:18" x14ac:dyDescent="0.25">
      <c r="A385" s="104" t="s">
        <v>1605</v>
      </c>
      <c r="B385" s="35" t="s">
        <v>646</v>
      </c>
      <c r="C385" s="36">
        <v>5</v>
      </c>
      <c r="D385" s="36">
        <v>0</v>
      </c>
      <c r="E385" s="35"/>
      <c r="F385" s="35" t="s">
        <v>664</v>
      </c>
      <c r="G385" s="37">
        <v>45925</v>
      </c>
      <c r="H385" s="37" t="str">
        <f>INDEX(_xlfn.TEXTSPLIT(mvtst[[#This Row],[QR Suivis]],"_"),1,1)</f>
        <v>OF246547-7</v>
      </c>
      <c r="I385" s="35" t="str">
        <f>_xlfn.TEXTBEFORE(mvtst[[#This Row],[Num Suivis]],"-",,,1)</f>
        <v>OF246547</v>
      </c>
      <c r="J385" s="36">
        <f>SUMIF(mvtst[QR Suivis],mvtst[[#This Row],[QR Suivis]],mvtst[QTE SORTIS])-SUMIF(mvtst[QR Suivis],mvtst[[#This Row],[QR Suivis]],mvtst[QTE RETOUR])</f>
        <v>0</v>
      </c>
      <c r="K385" s="35" t="str">
        <f t="shared" si="5"/>
        <v>Usine</v>
      </c>
      <c r="L385" s="35" t="str">
        <f>_xlfn.XLOOKUP(mvtst[[#This Row],[Sous Traitant]],coordonnee_st[Identification],coordonnee_st[SERVICE],"Non Trouvé")</f>
        <v>Frange</v>
      </c>
      <c r="M385" s="35" t="str">
        <f>INDEX(_xlfn.TEXTSPLIT(mvtst[[#This Row],[QR Suivis]],"_"),1,2)</f>
        <v>CL00296</v>
      </c>
      <c r="N385" s="35" t="str">
        <f>INDEX(_xlfn.TEXTSPLIT(mvtst[[#This Row],[QR Suivis]],"_"),1,3)</f>
        <v>CM-FT0108</v>
      </c>
      <c r="O385" s="35" t="str">
        <f>INDEX(_xlfn.TEXTSPLIT(mvtst[[#This Row],[QR Suivis]],"_"),1,4)</f>
        <v>EPMA0919-B11-02</v>
      </c>
      <c r="P385" s="35" t="str">
        <f>INDEX(_xlfn.TEXTSPLIT(mvtst[[#This Row],[QR Suivis]],"_"),1,5)</f>
        <v>MARINIERE</v>
      </c>
      <c r="Q385" s="35" t="str">
        <f>_xlfn.TEXTAFTER(mvtst[[#This Row],[QR Suivis]],"_",5)</f>
        <v>0919</v>
      </c>
      <c r="R385" s="84" t="str">
        <f>IF(
   COUNTIFS($A$2:A385,A385,
             $B$2:B385,B385,
             $C$2:C385,C385,
             $D$2:D385,D385,
             $G$2:G385,G385)&gt;1,
   "Doublon",
   "Correcte"
)</f>
        <v>Correcte</v>
      </c>
    </row>
    <row r="386" spans="1:18" x14ac:dyDescent="0.25">
      <c r="A386" s="104" t="s">
        <v>1606</v>
      </c>
      <c r="B386" s="35" t="s">
        <v>646</v>
      </c>
      <c r="C386" s="36">
        <v>5</v>
      </c>
      <c r="D386" s="36">
        <v>0</v>
      </c>
      <c r="E386" s="35"/>
      <c r="F386" s="35" t="s">
        <v>664</v>
      </c>
      <c r="G386" s="37">
        <v>45925</v>
      </c>
      <c r="H386" s="37" t="str">
        <f>INDEX(_xlfn.TEXTSPLIT(mvtst[[#This Row],[QR Suivis]],"_"),1,1)</f>
        <v>OF246547-15</v>
      </c>
      <c r="I386" s="35" t="str">
        <f>_xlfn.TEXTBEFORE(mvtst[[#This Row],[Num Suivis]],"-",,,1)</f>
        <v>OF246547</v>
      </c>
      <c r="J386" s="36">
        <f>SUMIF(mvtst[QR Suivis],mvtst[[#This Row],[QR Suivis]],mvtst[QTE SORTIS])-SUMIF(mvtst[QR Suivis],mvtst[[#This Row],[QR Suivis]],mvtst[QTE RETOUR])</f>
        <v>0</v>
      </c>
      <c r="K386" s="35" t="str">
        <f t="shared" si="5"/>
        <v>Usine</v>
      </c>
      <c r="L386" s="35" t="str">
        <f>_xlfn.XLOOKUP(mvtst[[#This Row],[Sous Traitant]],coordonnee_st[Identification],coordonnee_st[SERVICE],"Non Trouvé")</f>
        <v>Frange</v>
      </c>
      <c r="M386" s="35" t="str">
        <f>INDEX(_xlfn.TEXTSPLIT(mvtst[[#This Row],[QR Suivis]],"_"),1,2)</f>
        <v>CL00296</v>
      </c>
      <c r="N386" s="35" t="str">
        <f>INDEX(_xlfn.TEXTSPLIT(mvtst[[#This Row],[QR Suivis]],"_"),1,3)</f>
        <v>CM-FT0108</v>
      </c>
      <c r="O386" s="35" t="str">
        <f>INDEX(_xlfn.TEXTSPLIT(mvtst[[#This Row],[QR Suivis]],"_"),1,4)</f>
        <v>EPMA0919-B11-02</v>
      </c>
      <c r="P386" s="35" t="str">
        <f>INDEX(_xlfn.TEXTSPLIT(mvtst[[#This Row],[QR Suivis]],"_"),1,5)</f>
        <v>MARINIERE</v>
      </c>
      <c r="Q386" s="35" t="str">
        <f>_xlfn.TEXTAFTER(mvtst[[#This Row],[QR Suivis]],"_",5)</f>
        <v>0919</v>
      </c>
      <c r="R386" s="84" t="str">
        <f>IF(
   COUNTIFS($A$2:A386,A386,
             $B$2:B386,B386,
             $C$2:C386,C386,
             $D$2:D386,D386,
             $G$2:G386,G386)&gt;1,
   "Doublon",
   "Correcte"
)</f>
        <v>Correcte</v>
      </c>
    </row>
    <row r="387" spans="1:18" x14ac:dyDescent="0.25">
      <c r="A387" s="104" t="s">
        <v>1607</v>
      </c>
      <c r="B387" s="35" t="s">
        <v>646</v>
      </c>
      <c r="C387" s="36">
        <v>5</v>
      </c>
      <c r="D387" s="36">
        <v>0</v>
      </c>
      <c r="E387" s="35"/>
      <c r="F387" s="35" t="s">
        <v>664</v>
      </c>
      <c r="G387" s="37">
        <v>45925</v>
      </c>
      <c r="H387" s="37" t="str">
        <f>INDEX(_xlfn.TEXTSPLIT(mvtst[[#This Row],[QR Suivis]],"_"),1,1)</f>
        <v>OF246547-6</v>
      </c>
      <c r="I387" s="35" t="str">
        <f>_xlfn.TEXTBEFORE(mvtst[[#This Row],[Num Suivis]],"-",,,1)</f>
        <v>OF246547</v>
      </c>
      <c r="J387" s="36">
        <f>SUMIF(mvtst[QR Suivis],mvtst[[#This Row],[QR Suivis]],mvtst[QTE SORTIS])-SUMIF(mvtst[QR Suivis],mvtst[[#This Row],[QR Suivis]],mvtst[QTE RETOUR])</f>
        <v>0</v>
      </c>
      <c r="K387" s="35" t="str">
        <f t="shared" ref="K387:K450" si="6">"Usine"</f>
        <v>Usine</v>
      </c>
      <c r="L387" s="35" t="str">
        <f>_xlfn.XLOOKUP(mvtst[[#This Row],[Sous Traitant]],coordonnee_st[Identification],coordonnee_st[SERVICE],"Non Trouvé")</f>
        <v>Frange</v>
      </c>
      <c r="M387" s="35" t="str">
        <f>INDEX(_xlfn.TEXTSPLIT(mvtst[[#This Row],[QR Suivis]],"_"),1,2)</f>
        <v>CL00296</v>
      </c>
      <c r="N387" s="35" t="str">
        <f>INDEX(_xlfn.TEXTSPLIT(mvtst[[#This Row],[QR Suivis]],"_"),1,3)</f>
        <v>CM-FT0108</v>
      </c>
      <c r="O387" s="35" t="str">
        <f>INDEX(_xlfn.TEXTSPLIT(mvtst[[#This Row],[QR Suivis]],"_"),1,4)</f>
        <v>EPMA0919-B11-02</v>
      </c>
      <c r="P387" s="35" t="str">
        <f>INDEX(_xlfn.TEXTSPLIT(mvtst[[#This Row],[QR Suivis]],"_"),1,5)</f>
        <v>MARINIERE</v>
      </c>
      <c r="Q387" s="35" t="str">
        <f>_xlfn.TEXTAFTER(mvtst[[#This Row],[QR Suivis]],"_",5)</f>
        <v>0919</v>
      </c>
      <c r="R387" s="84" t="str">
        <f>IF(
   COUNTIFS($A$2:A387,A387,
             $B$2:B387,B387,
             $C$2:C387,C387,
             $D$2:D387,D387,
             $G$2:G387,G387)&gt;1,
   "Doublon",
   "Correcte"
)</f>
        <v>Correcte</v>
      </c>
    </row>
    <row r="388" spans="1:18" x14ac:dyDescent="0.25">
      <c r="A388" s="104" t="s">
        <v>1608</v>
      </c>
      <c r="B388" s="35" t="s">
        <v>646</v>
      </c>
      <c r="C388" s="36">
        <v>5</v>
      </c>
      <c r="D388" s="36">
        <v>0</v>
      </c>
      <c r="E388" s="35"/>
      <c r="F388" s="35" t="s">
        <v>664</v>
      </c>
      <c r="G388" s="37">
        <v>45925</v>
      </c>
      <c r="H388" s="37" t="str">
        <f>INDEX(_xlfn.TEXTSPLIT(mvtst[[#This Row],[QR Suivis]],"_"),1,1)</f>
        <v>OF246547-12</v>
      </c>
      <c r="I388" s="35" t="str">
        <f>_xlfn.TEXTBEFORE(mvtst[[#This Row],[Num Suivis]],"-",,,1)</f>
        <v>OF246547</v>
      </c>
      <c r="J388" s="36">
        <f>SUMIF(mvtst[QR Suivis],mvtst[[#This Row],[QR Suivis]],mvtst[QTE SORTIS])-SUMIF(mvtst[QR Suivis],mvtst[[#This Row],[QR Suivis]],mvtst[QTE RETOUR])</f>
        <v>0</v>
      </c>
      <c r="K388" s="35" t="str">
        <f t="shared" si="6"/>
        <v>Usine</v>
      </c>
      <c r="L388" s="35" t="str">
        <f>_xlfn.XLOOKUP(mvtst[[#This Row],[Sous Traitant]],coordonnee_st[Identification],coordonnee_st[SERVICE],"Non Trouvé")</f>
        <v>Frange</v>
      </c>
      <c r="M388" s="35" t="str">
        <f>INDEX(_xlfn.TEXTSPLIT(mvtst[[#This Row],[QR Suivis]],"_"),1,2)</f>
        <v>CL00296</v>
      </c>
      <c r="N388" s="35" t="str">
        <f>INDEX(_xlfn.TEXTSPLIT(mvtst[[#This Row],[QR Suivis]],"_"),1,3)</f>
        <v>CM-FT0108</v>
      </c>
      <c r="O388" s="35" t="str">
        <f>INDEX(_xlfn.TEXTSPLIT(mvtst[[#This Row],[QR Suivis]],"_"),1,4)</f>
        <v>EPMA0919-B11-02</v>
      </c>
      <c r="P388" s="35" t="str">
        <f>INDEX(_xlfn.TEXTSPLIT(mvtst[[#This Row],[QR Suivis]],"_"),1,5)</f>
        <v>MARINIERE</v>
      </c>
      <c r="Q388" s="35" t="str">
        <f>_xlfn.TEXTAFTER(mvtst[[#This Row],[QR Suivis]],"_",5)</f>
        <v>0919</v>
      </c>
      <c r="R388" s="84" t="str">
        <f>IF(
   COUNTIFS($A$2:A388,A388,
             $B$2:B388,B388,
             $C$2:C388,C388,
             $D$2:D388,D388,
             $G$2:G388,G388)&gt;1,
   "Doublon",
   "Correcte"
)</f>
        <v>Correcte</v>
      </c>
    </row>
    <row r="389" spans="1:18" x14ac:dyDescent="0.25">
      <c r="A389" s="104" t="s">
        <v>1609</v>
      </c>
      <c r="B389" s="35" t="s">
        <v>646</v>
      </c>
      <c r="C389" s="36">
        <v>5</v>
      </c>
      <c r="D389" s="36">
        <v>0</v>
      </c>
      <c r="E389" s="35"/>
      <c r="F389" s="35" t="s">
        <v>664</v>
      </c>
      <c r="G389" s="37">
        <v>45925</v>
      </c>
      <c r="H389" s="37" t="str">
        <f>INDEX(_xlfn.TEXTSPLIT(mvtst[[#This Row],[QR Suivis]],"_"),1,1)</f>
        <v>OF246547-8</v>
      </c>
      <c r="I389" s="35" t="str">
        <f>_xlfn.TEXTBEFORE(mvtst[[#This Row],[Num Suivis]],"-",,,1)</f>
        <v>OF246547</v>
      </c>
      <c r="J389" s="36">
        <f>SUMIF(mvtst[QR Suivis],mvtst[[#This Row],[QR Suivis]],mvtst[QTE SORTIS])-SUMIF(mvtst[QR Suivis],mvtst[[#This Row],[QR Suivis]],mvtst[QTE RETOUR])</f>
        <v>0</v>
      </c>
      <c r="K389" s="35" t="str">
        <f t="shared" si="6"/>
        <v>Usine</v>
      </c>
      <c r="L389" s="35" t="str">
        <f>_xlfn.XLOOKUP(mvtst[[#This Row],[Sous Traitant]],coordonnee_st[Identification],coordonnee_st[SERVICE],"Non Trouvé")</f>
        <v>Frange</v>
      </c>
      <c r="M389" s="35" t="str">
        <f>INDEX(_xlfn.TEXTSPLIT(mvtst[[#This Row],[QR Suivis]],"_"),1,2)</f>
        <v>CL00296</v>
      </c>
      <c r="N389" s="35" t="str">
        <f>INDEX(_xlfn.TEXTSPLIT(mvtst[[#This Row],[QR Suivis]],"_"),1,3)</f>
        <v>CM-FT0108</v>
      </c>
      <c r="O389" s="35" t="str">
        <f>INDEX(_xlfn.TEXTSPLIT(mvtst[[#This Row],[QR Suivis]],"_"),1,4)</f>
        <v>EPMA0919-B11-02</v>
      </c>
      <c r="P389" s="35" t="str">
        <f>INDEX(_xlfn.TEXTSPLIT(mvtst[[#This Row],[QR Suivis]],"_"),1,5)</f>
        <v>MARINIERE</v>
      </c>
      <c r="Q389" s="35" t="str">
        <f>_xlfn.TEXTAFTER(mvtst[[#This Row],[QR Suivis]],"_",5)</f>
        <v>0919</v>
      </c>
      <c r="R389" s="84" t="str">
        <f>IF(
   COUNTIFS($A$2:A389,A389,
             $B$2:B389,B389,
             $C$2:C389,C389,
             $D$2:D389,D389,
             $G$2:G389,G389)&gt;1,
   "Doublon",
   "Correcte"
)</f>
        <v>Correcte</v>
      </c>
    </row>
    <row r="390" spans="1:18" x14ac:dyDescent="0.25">
      <c r="A390" s="104" t="s">
        <v>1610</v>
      </c>
      <c r="B390" s="35" t="s">
        <v>646</v>
      </c>
      <c r="C390" s="36">
        <v>5</v>
      </c>
      <c r="D390" s="36">
        <v>0</v>
      </c>
      <c r="E390" s="35"/>
      <c r="F390" s="35" t="s">
        <v>664</v>
      </c>
      <c r="G390" s="37">
        <v>45925</v>
      </c>
      <c r="H390" s="37" t="str">
        <f>INDEX(_xlfn.TEXTSPLIT(mvtst[[#This Row],[QR Suivis]],"_"),1,1)</f>
        <v>OF246547-13</v>
      </c>
      <c r="I390" s="35" t="str">
        <f>_xlfn.TEXTBEFORE(mvtst[[#This Row],[Num Suivis]],"-",,,1)</f>
        <v>OF246547</v>
      </c>
      <c r="J390" s="36">
        <f>SUMIF(mvtst[QR Suivis],mvtst[[#This Row],[QR Suivis]],mvtst[QTE SORTIS])-SUMIF(mvtst[QR Suivis],mvtst[[#This Row],[QR Suivis]],mvtst[QTE RETOUR])</f>
        <v>0</v>
      </c>
      <c r="K390" s="35" t="str">
        <f t="shared" si="6"/>
        <v>Usine</v>
      </c>
      <c r="L390" s="35" t="str">
        <f>_xlfn.XLOOKUP(mvtst[[#This Row],[Sous Traitant]],coordonnee_st[Identification],coordonnee_st[SERVICE],"Non Trouvé")</f>
        <v>Frange</v>
      </c>
      <c r="M390" s="35" t="str">
        <f>INDEX(_xlfn.TEXTSPLIT(mvtst[[#This Row],[QR Suivis]],"_"),1,2)</f>
        <v>CL00296</v>
      </c>
      <c r="N390" s="35" t="str">
        <f>INDEX(_xlfn.TEXTSPLIT(mvtst[[#This Row],[QR Suivis]],"_"),1,3)</f>
        <v>CM-FT0108</v>
      </c>
      <c r="O390" s="35" t="str">
        <f>INDEX(_xlfn.TEXTSPLIT(mvtst[[#This Row],[QR Suivis]],"_"),1,4)</f>
        <v>EPMA0919-B11-02</v>
      </c>
      <c r="P390" s="35" t="str">
        <f>INDEX(_xlfn.TEXTSPLIT(mvtst[[#This Row],[QR Suivis]],"_"),1,5)</f>
        <v>MARINIERE</v>
      </c>
      <c r="Q390" s="35" t="str">
        <f>_xlfn.TEXTAFTER(mvtst[[#This Row],[QR Suivis]],"_",5)</f>
        <v>0919</v>
      </c>
      <c r="R390" s="84" t="str">
        <f>IF(
   COUNTIFS($A$2:A390,A390,
             $B$2:B390,B390,
             $C$2:C390,C390,
             $D$2:D390,D390,
             $G$2:G390,G390)&gt;1,
   "Doublon",
   "Correcte"
)</f>
        <v>Correcte</v>
      </c>
    </row>
    <row r="391" spans="1:18" x14ac:dyDescent="0.25">
      <c r="A391" s="104" t="s">
        <v>1611</v>
      </c>
      <c r="B391" s="35" t="s">
        <v>596</v>
      </c>
      <c r="C391" s="36">
        <v>5</v>
      </c>
      <c r="D391" s="36">
        <v>0</v>
      </c>
      <c r="E391" s="35"/>
      <c r="F391" s="35" t="s">
        <v>664</v>
      </c>
      <c r="G391" s="37">
        <v>45925</v>
      </c>
      <c r="H391" s="37" t="str">
        <f>INDEX(_xlfn.TEXTSPLIT(mvtst[[#This Row],[QR Suivis]],"_"),1,1)</f>
        <v>CA250044-6</v>
      </c>
      <c r="I391" s="35" t="str">
        <f>_xlfn.TEXTBEFORE(mvtst[[#This Row],[Num Suivis]],"-",,,1)</f>
        <v>CA250044</v>
      </c>
      <c r="J391" s="36">
        <f>SUMIF(mvtst[QR Suivis],mvtst[[#This Row],[QR Suivis]],mvtst[QTE SORTIS])-SUMIF(mvtst[QR Suivis],mvtst[[#This Row],[QR Suivis]],mvtst[QTE RETOUR])</f>
        <v>0</v>
      </c>
      <c r="K391" s="35" t="str">
        <f t="shared" si="6"/>
        <v>Usine</v>
      </c>
      <c r="L391" s="35" t="str">
        <f>_xlfn.XLOOKUP(mvtst[[#This Row],[Sous Traitant]],coordonnee_st[Identification],coordonnee_st[SERVICE],"Non Trouvé")</f>
        <v>Frange</v>
      </c>
      <c r="M391" s="35" t="str">
        <f>INDEX(_xlfn.TEXTSPLIT(mvtst[[#This Row],[QR Suivis]],"_"),1,2)</f>
        <v>All by Fouta</v>
      </c>
      <c r="N391" s="35" t="str">
        <f>INDEX(_xlfn.TEXTSPLIT(mvtst[[#This Row],[QR Suivis]],"_"),1,3)</f>
        <v>Stock</v>
      </c>
      <c r="O391" s="35" t="str">
        <f>INDEX(_xlfn.TEXTSPLIT(mvtst[[#This Row],[QR Suivis]],"_"),1,4)</f>
        <v>UNS1626-09</v>
      </c>
      <c r="P391" s="35" t="str">
        <f>INDEX(_xlfn.TEXTSPLIT(mvtst[[#This Row],[QR Suivis]],"_"),1,5)</f>
        <v>UNI SURPIQUE</v>
      </c>
      <c r="Q391" s="35" t="str">
        <f>_xlfn.TEXTAFTER(mvtst[[#This Row],[QR Suivis]],"_",5)</f>
        <v>1626</v>
      </c>
      <c r="R391" s="84" t="str">
        <f>IF(
   COUNTIFS($A$2:A391,A391,
             $B$2:B391,B391,
             $C$2:C391,C391,
             $D$2:D391,D391,
             $G$2:G391,G391)&gt;1,
   "Doublon",
   "Correcte"
)</f>
        <v>Correcte</v>
      </c>
    </row>
    <row r="392" spans="1:18" x14ac:dyDescent="0.25">
      <c r="A392" s="104" t="s">
        <v>1612</v>
      </c>
      <c r="B392" s="35" t="s">
        <v>596</v>
      </c>
      <c r="C392" s="36">
        <v>5</v>
      </c>
      <c r="D392" s="36">
        <v>0</v>
      </c>
      <c r="E392" s="35"/>
      <c r="F392" s="35" t="s">
        <v>664</v>
      </c>
      <c r="G392" s="37">
        <v>45925</v>
      </c>
      <c r="H392" s="37" t="str">
        <f>INDEX(_xlfn.TEXTSPLIT(mvtst[[#This Row],[QR Suivis]],"_"),1,1)</f>
        <v>CA250044-1</v>
      </c>
      <c r="I392" s="35" t="str">
        <f>_xlfn.TEXTBEFORE(mvtst[[#This Row],[Num Suivis]],"-",,,1)</f>
        <v>CA250044</v>
      </c>
      <c r="J392" s="36">
        <f>SUMIF(mvtst[QR Suivis],mvtst[[#This Row],[QR Suivis]],mvtst[QTE SORTIS])-SUMIF(mvtst[QR Suivis],mvtst[[#This Row],[QR Suivis]],mvtst[QTE RETOUR])</f>
        <v>0</v>
      </c>
      <c r="K392" s="35" t="str">
        <f t="shared" si="6"/>
        <v>Usine</v>
      </c>
      <c r="L392" s="35" t="str">
        <f>_xlfn.XLOOKUP(mvtst[[#This Row],[Sous Traitant]],coordonnee_st[Identification],coordonnee_st[SERVICE],"Non Trouvé")</f>
        <v>Frange</v>
      </c>
      <c r="M392" s="35" t="str">
        <f>INDEX(_xlfn.TEXTSPLIT(mvtst[[#This Row],[QR Suivis]],"_"),1,2)</f>
        <v>All by Fouta</v>
      </c>
      <c r="N392" s="35" t="str">
        <f>INDEX(_xlfn.TEXTSPLIT(mvtst[[#This Row],[QR Suivis]],"_"),1,3)</f>
        <v>Stock</v>
      </c>
      <c r="O392" s="35" t="str">
        <f>INDEX(_xlfn.TEXTSPLIT(mvtst[[#This Row],[QR Suivis]],"_"),1,4)</f>
        <v>UNS1626-09</v>
      </c>
      <c r="P392" s="35" t="str">
        <f>INDEX(_xlfn.TEXTSPLIT(mvtst[[#This Row],[QR Suivis]],"_"),1,5)</f>
        <v>UNI SURPIQUE</v>
      </c>
      <c r="Q392" s="35" t="str">
        <f>_xlfn.TEXTAFTER(mvtst[[#This Row],[QR Suivis]],"_",5)</f>
        <v>1626</v>
      </c>
      <c r="R392" s="84" t="str">
        <f>IF(
   COUNTIFS($A$2:A392,A392,
             $B$2:B392,B392,
             $C$2:C392,C392,
             $D$2:D392,D392,
             $G$2:G392,G392)&gt;1,
   "Doublon",
   "Correcte"
)</f>
        <v>Correcte</v>
      </c>
    </row>
    <row r="393" spans="1:18" x14ac:dyDescent="0.25">
      <c r="A393" s="104" t="s">
        <v>1613</v>
      </c>
      <c r="B393" s="35" t="s">
        <v>596</v>
      </c>
      <c r="C393" s="36">
        <v>5</v>
      </c>
      <c r="D393" s="36">
        <v>0</v>
      </c>
      <c r="E393" s="35"/>
      <c r="F393" s="35" t="s">
        <v>664</v>
      </c>
      <c r="G393" s="37">
        <v>45925</v>
      </c>
      <c r="H393" s="37" t="str">
        <f>INDEX(_xlfn.TEXTSPLIT(mvtst[[#This Row],[QR Suivis]],"_"),1,1)</f>
        <v>CA250044-4</v>
      </c>
      <c r="I393" s="35" t="str">
        <f>_xlfn.TEXTBEFORE(mvtst[[#This Row],[Num Suivis]],"-",,,1)</f>
        <v>CA250044</v>
      </c>
      <c r="J393" s="36">
        <f>SUMIF(mvtst[QR Suivis],mvtst[[#This Row],[QR Suivis]],mvtst[QTE SORTIS])-SUMIF(mvtst[QR Suivis],mvtst[[#This Row],[QR Suivis]],mvtst[QTE RETOUR])</f>
        <v>0</v>
      </c>
      <c r="K393" s="35" t="str">
        <f t="shared" si="6"/>
        <v>Usine</v>
      </c>
      <c r="L393" s="35" t="str">
        <f>_xlfn.XLOOKUP(mvtst[[#This Row],[Sous Traitant]],coordonnee_st[Identification],coordonnee_st[SERVICE],"Non Trouvé")</f>
        <v>Frange</v>
      </c>
      <c r="M393" s="35" t="str">
        <f>INDEX(_xlfn.TEXTSPLIT(mvtst[[#This Row],[QR Suivis]],"_"),1,2)</f>
        <v>All by Fouta</v>
      </c>
      <c r="N393" s="35" t="str">
        <f>INDEX(_xlfn.TEXTSPLIT(mvtst[[#This Row],[QR Suivis]],"_"),1,3)</f>
        <v>Stock</v>
      </c>
      <c r="O393" s="35" t="str">
        <f>INDEX(_xlfn.TEXTSPLIT(mvtst[[#This Row],[QR Suivis]],"_"),1,4)</f>
        <v>UNS1626-09</v>
      </c>
      <c r="P393" s="35" t="str">
        <f>INDEX(_xlfn.TEXTSPLIT(mvtst[[#This Row],[QR Suivis]],"_"),1,5)</f>
        <v>UNI SURPIQUE</v>
      </c>
      <c r="Q393" s="35" t="str">
        <f>_xlfn.TEXTAFTER(mvtst[[#This Row],[QR Suivis]],"_",5)</f>
        <v>1626</v>
      </c>
      <c r="R393" s="84" t="str">
        <f>IF(
   COUNTIFS($A$2:A393,A393,
             $B$2:B393,B393,
             $C$2:C393,C393,
             $D$2:D393,D393,
             $G$2:G393,G393)&gt;1,
   "Doublon",
   "Correcte"
)</f>
        <v>Correcte</v>
      </c>
    </row>
    <row r="394" spans="1:18" x14ac:dyDescent="0.25">
      <c r="A394" s="104" t="s">
        <v>1614</v>
      </c>
      <c r="B394" s="35" t="s">
        <v>596</v>
      </c>
      <c r="C394" s="36">
        <v>5</v>
      </c>
      <c r="D394" s="36">
        <v>0</v>
      </c>
      <c r="E394" s="35"/>
      <c r="F394" s="35" t="s">
        <v>664</v>
      </c>
      <c r="G394" s="37">
        <v>45925</v>
      </c>
      <c r="H394" s="37" t="str">
        <f>INDEX(_xlfn.TEXTSPLIT(mvtst[[#This Row],[QR Suivis]],"_"),1,1)</f>
        <v>CA250044-2</v>
      </c>
      <c r="I394" s="35" t="str">
        <f>_xlfn.TEXTBEFORE(mvtst[[#This Row],[Num Suivis]],"-",,,1)</f>
        <v>CA250044</v>
      </c>
      <c r="J394" s="36">
        <f>SUMIF(mvtst[QR Suivis],mvtst[[#This Row],[QR Suivis]],mvtst[QTE SORTIS])-SUMIF(mvtst[QR Suivis],mvtst[[#This Row],[QR Suivis]],mvtst[QTE RETOUR])</f>
        <v>0</v>
      </c>
      <c r="K394" s="35" t="str">
        <f t="shared" si="6"/>
        <v>Usine</v>
      </c>
      <c r="L394" s="35" t="str">
        <f>_xlfn.XLOOKUP(mvtst[[#This Row],[Sous Traitant]],coordonnee_st[Identification],coordonnee_st[SERVICE],"Non Trouvé")</f>
        <v>Frange</v>
      </c>
      <c r="M394" s="35" t="str">
        <f>INDEX(_xlfn.TEXTSPLIT(mvtst[[#This Row],[QR Suivis]],"_"),1,2)</f>
        <v>All by Fouta</v>
      </c>
      <c r="N394" s="35" t="str">
        <f>INDEX(_xlfn.TEXTSPLIT(mvtst[[#This Row],[QR Suivis]],"_"),1,3)</f>
        <v>Stock</v>
      </c>
      <c r="O394" s="35" t="str">
        <f>INDEX(_xlfn.TEXTSPLIT(mvtst[[#This Row],[QR Suivis]],"_"),1,4)</f>
        <v>UNS1626-09</v>
      </c>
      <c r="P394" s="35" t="str">
        <f>INDEX(_xlfn.TEXTSPLIT(mvtst[[#This Row],[QR Suivis]],"_"),1,5)</f>
        <v>UNI SURPIQUE</v>
      </c>
      <c r="Q394" s="35" t="str">
        <f>_xlfn.TEXTAFTER(mvtst[[#This Row],[QR Suivis]],"_",5)</f>
        <v>1626</v>
      </c>
      <c r="R394" s="84" t="str">
        <f>IF(
   COUNTIFS($A$2:A394,A394,
             $B$2:B394,B394,
             $C$2:C394,C394,
             $D$2:D394,D394,
             $G$2:G394,G394)&gt;1,
   "Doublon",
   "Correcte"
)</f>
        <v>Correcte</v>
      </c>
    </row>
    <row r="395" spans="1:18" x14ac:dyDescent="0.25">
      <c r="A395" s="104" t="s">
        <v>1615</v>
      </c>
      <c r="B395" s="35" t="s">
        <v>596</v>
      </c>
      <c r="C395" s="36">
        <v>4</v>
      </c>
      <c r="D395" s="36">
        <v>0</v>
      </c>
      <c r="E395" s="35"/>
      <c r="F395" s="35" t="s">
        <v>664</v>
      </c>
      <c r="G395" s="37">
        <v>45925</v>
      </c>
      <c r="H395" s="37" t="str">
        <f>INDEX(_xlfn.TEXTSPLIT(mvtst[[#This Row],[QR Suivis]],"_"),1,1)</f>
        <v>CA250044-5</v>
      </c>
      <c r="I395" s="35" t="str">
        <f>_xlfn.TEXTBEFORE(mvtst[[#This Row],[Num Suivis]],"-",,,1)</f>
        <v>CA250044</v>
      </c>
      <c r="J395" s="36">
        <f>SUMIF(mvtst[QR Suivis],mvtst[[#This Row],[QR Suivis]],mvtst[QTE SORTIS])-SUMIF(mvtst[QR Suivis],mvtst[[#This Row],[QR Suivis]],mvtst[QTE RETOUR])</f>
        <v>0</v>
      </c>
      <c r="K395" s="35" t="str">
        <f t="shared" si="6"/>
        <v>Usine</v>
      </c>
      <c r="L395" s="35" t="str">
        <f>_xlfn.XLOOKUP(mvtst[[#This Row],[Sous Traitant]],coordonnee_st[Identification],coordonnee_st[SERVICE],"Non Trouvé")</f>
        <v>Frange</v>
      </c>
      <c r="M395" s="35" t="str">
        <f>INDEX(_xlfn.TEXTSPLIT(mvtst[[#This Row],[QR Suivis]],"_"),1,2)</f>
        <v>All by Fouta</v>
      </c>
      <c r="N395" s="35" t="str">
        <f>INDEX(_xlfn.TEXTSPLIT(mvtst[[#This Row],[QR Suivis]],"_"),1,3)</f>
        <v>Stock</v>
      </c>
      <c r="O395" s="35" t="str">
        <f>INDEX(_xlfn.TEXTSPLIT(mvtst[[#This Row],[QR Suivis]],"_"),1,4)</f>
        <v>UNS1626-09</v>
      </c>
      <c r="P395" s="35" t="str">
        <f>INDEX(_xlfn.TEXTSPLIT(mvtst[[#This Row],[QR Suivis]],"_"),1,5)</f>
        <v>UNI SURPIQUE</v>
      </c>
      <c r="Q395" s="35" t="str">
        <f>_xlfn.TEXTAFTER(mvtst[[#This Row],[QR Suivis]],"_",5)</f>
        <v>1626</v>
      </c>
      <c r="R395" s="84" t="str">
        <f>IF(
   COUNTIFS($A$2:A395,A395,
             $B$2:B395,B395,
             $C$2:C395,C395,
             $D$2:D395,D395,
             $G$2:G395,G395)&gt;1,
   "Doublon",
   "Correcte"
)</f>
        <v>Correcte</v>
      </c>
    </row>
    <row r="396" spans="1:18" x14ac:dyDescent="0.25">
      <c r="A396" s="104" t="s">
        <v>1616</v>
      </c>
      <c r="B396" s="35" t="s">
        <v>596</v>
      </c>
      <c r="C396" s="36">
        <v>5</v>
      </c>
      <c r="D396" s="36">
        <v>0</v>
      </c>
      <c r="E396" s="35"/>
      <c r="F396" s="35" t="s">
        <v>664</v>
      </c>
      <c r="G396" s="37">
        <v>45925</v>
      </c>
      <c r="H396" s="37" t="str">
        <f>INDEX(_xlfn.TEXTSPLIT(mvtst[[#This Row],[QR Suivis]],"_"),1,1)</f>
        <v>CA250044-3</v>
      </c>
      <c r="I396" s="35" t="str">
        <f>_xlfn.TEXTBEFORE(mvtst[[#This Row],[Num Suivis]],"-",,,1)</f>
        <v>CA250044</v>
      </c>
      <c r="J396" s="36">
        <f>SUMIF(mvtst[QR Suivis],mvtst[[#This Row],[QR Suivis]],mvtst[QTE SORTIS])-SUMIF(mvtst[QR Suivis],mvtst[[#This Row],[QR Suivis]],mvtst[QTE RETOUR])</f>
        <v>0</v>
      </c>
      <c r="K396" s="35" t="str">
        <f t="shared" si="6"/>
        <v>Usine</v>
      </c>
      <c r="L396" s="35" t="str">
        <f>_xlfn.XLOOKUP(mvtst[[#This Row],[Sous Traitant]],coordonnee_st[Identification],coordonnee_st[SERVICE],"Non Trouvé")</f>
        <v>Frange</v>
      </c>
      <c r="M396" s="35" t="str">
        <f>INDEX(_xlfn.TEXTSPLIT(mvtst[[#This Row],[QR Suivis]],"_"),1,2)</f>
        <v>All by Fouta</v>
      </c>
      <c r="N396" s="35" t="str">
        <f>INDEX(_xlfn.TEXTSPLIT(mvtst[[#This Row],[QR Suivis]],"_"),1,3)</f>
        <v>Stock</v>
      </c>
      <c r="O396" s="35" t="str">
        <f>INDEX(_xlfn.TEXTSPLIT(mvtst[[#This Row],[QR Suivis]],"_"),1,4)</f>
        <v>UNS1626-09</v>
      </c>
      <c r="P396" s="35" t="str">
        <f>INDEX(_xlfn.TEXTSPLIT(mvtst[[#This Row],[QR Suivis]],"_"),1,5)</f>
        <v>UNI SURPIQUE</v>
      </c>
      <c r="Q396" s="35" t="str">
        <f>_xlfn.TEXTAFTER(mvtst[[#This Row],[QR Suivis]],"_",5)</f>
        <v>1626</v>
      </c>
      <c r="R396" s="84" t="str">
        <f>IF(
   COUNTIFS($A$2:A396,A396,
             $B$2:B396,B396,
             $C$2:C396,C396,
             $D$2:D396,D396,
             $G$2:G396,G396)&gt;1,
   "Doublon",
   "Correcte"
)</f>
        <v>Correcte</v>
      </c>
    </row>
    <row r="397" spans="1:18" x14ac:dyDescent="0.25">
      <c r="A397" s="104" t="s">
        <v>1617</v>
      </c>
      <c r="B397" s="35" t="s">
        <v>596</v>
      </c>
      <c r="C397" s="36">
        <v>1</v>
      </c>
      <c r="D397" s="36">
        <v>0</v>
      </c>
      <c r="E397" s="35"/>
      <c r="F397" s="35" t="s">
        <v>664</v>
      </c>
      <c r="G397" s="37">
        <v>45925</v>
      </c>
      <c r="H397" s="37" t="str">
        <f>INDEX(_xlfn.TEXTSPLIT(mvtst[[#This Row],[QR Suivis]],"_"),1,1)</f>
        <v>CA250044-7</v>
      </c>
      <c r="I397" s="35" t="str">
        <f>_xlfn.TEXTBEFORE(mvtst[[#This Row],[Num Suivis]],"-",,,1)</f>
        <v>CA250044</v>
      </c>
      <c r="J397" s="36">
        <f>SUMIF(mvtst[QR Suivis],mvtst[[#This Row],[QR Suivis]],mvtst[QTE SORTIS])-SUMIF(mvtst[QR Suivis],mvtst[[#This Row],[QR Suivis]],mvtst[QTE RETOUR])</f>
        <v>0</v>
      </c>
      <c r="K397" s="35" t="str">
        <f t="shared" si="6"/>
        <v>Usine</v>
      </c>
      <c r="L397" s="35" t="str">
        <f>_xlfn.XLOOKUP(mvtst[[#This Row],[Sous Traitant]],coordonnee_st[Identification],coordonnee_st[SERVICE],"Non Trouvé")</f>
        <v>Frange</v>
      </c>
      <c r="M397" s="35" t="str">
        <f>INDEX(_xlfn.TEXTSPLIT(mvtst[[#This Row],[QR Suivis]],"_"),1,2)</f>
        <v>All by Fouta</v>
      </c>
      <c r="N397" s="35" t="str">
        <f>INDEX(_xlfn.TEXTSPLIT(mvtst[[#This Row],[QR Suivis]],"_"),1,3)</f>
        <v>Stock</v>
      </c>
      <c r="O397" s="35" t="str">
        <f>INDEX(_xlfn.TEXTSPLIT(mvtst[[#This Row],[QR Suivis]],"_"),1,4)</f>
        <v>UNS1626-09</v>
      </c>
      <c r="P397" s="35" t="str">
        <f>INDEX(_xlfn.TEXTSPLIT(mvtst[[#This Row],[QR Suivis]],"_"),1,5)</f>
        <v>UNI SURPIQUE</v>
      </c>
      <c r="Q397" s="35" t="str">
        <f>_xlfn.TEXTAFTER(mvtst[[#This Row],[QR Suivis]],"_",5)</f>
        <v>1626</v>
      </c>
      <c r="R397" s="84" t="str">
        <f>IF(
   COUNTIFS($A$2:A397,A397,
             $B$2:B397,B397,
             $C$2:C397,C397,
             $D$2:D397,D397,
             $G$2:G397,G397)&gt;1,
   "Doublon",
   "Correcte"
)</f>
        <v>Correcte</v>
      </c>
    </row>
    <row r="398" spans="1:18" x14ac:dyDescent="0.25">
      <c r="A398" s="104" t="s">
        <v>1349</v>
      </c>
      <c r="B398" s="35" t="s">
        <v>596</v>
      </c>
      <c r="C398" s="36">
        <v>0</v>
      </c>
      <c r="D398" s="36">
        <v>5</v>
      </c>
      <c r="E398" s="35"/>
      <c r="F398" s="35" t="s">
        <v>664</v>
      </c>
      <c r="G398" s="37">
        <v>45925</v>
      </c>
      <c r="H398" s="37" t="str">
        <f>INDEX(_xlfn.TEXTSPLIT(mvtst[[#This Row],[QR Suivis]],"_"),1,1)</f>
        <v>CA250469-7</v>
      </c>
      <c r="I398" s="35" t="str">
        <f>_xlfn.TEXTBEFORE(mvtst[[#This Row],[Num Suivis]],"-",,,1)</f>
        <v>CA250469</v>
      </c>
      <c r="J398" s="36">
        <f>SUMIF(mvtst[QR Suivis],mvtst[[#This Row],[QR Suivis]],mvtst[QTE SORTIS])-SUMIF(mvtst[QR Suivis],mvtst[[#This Row],[QR Suivis]],mvtst[QTE RETOUR])</f>
        <v>0</v>
      </c>
      <c r="K398" s="35" t="str">
        <f t="shared" si="6"/>
        <v>Usine</v>
      </c>
      <c r="L398" s="35" t="str">
        <f>_xlfn.XLOOKUP(mvtst[[#This Row],[Sous Traitant]],coordonnee_st[Identification],coordonnee_st[SERVICE],"Non Trouvé")</f>
        <v>Frange</v>
      </c>
      <c r="M398" s="35" t="str">
        <f>INDEX(_xlfn.TEXTSPLIT(mvtst[[#This Row],[QR Suivis]],"_"),1,2)</f>
        <v>All by Fouta</v>
      </c>
      <c r="N398" s="35" t="str">
        <f>INDEX(_xlfn.TEXTSPLIT(mvtst[[#This Row],[QR Suivis]],"_"),1,3)</f>
        <v>Stock</v>
      </c>
      <c r="O398" s="35" t="str">
        <f>INDEX(_xlfn.TEXTSPLIT(mvtst[[#This Row],[QR Suivis]],"_"),1,4)</f>
        <v>FAF1020-B04-02</v>
      </c>
      <c r="P398" s="35" t="str">
        <f>INDEX(_xlfn.TEXTSPLIT(mvtst[[#This Row],[QR Suivis]],"_"),1,5)</f>
        <v>FIL A FIL</v>
      </c>
      <c r="Q398" s="35" t="str">
        <f>_xlfn.TEXTAFTER(mvtst[[#This Row],[QR Suivis]],"_",5)</f>
        <v>1020</v>
      </c>
      <c r="R398" s="84" t="str">
        <f>IF(
   COUNTIFS($A$2:A398,A398,
             $B$2:B398,B398,
             $C$2:C398,C398,
             $D$2:D398,D398,
             $G$2:G398,G398)&gt;1,
   "Doublon",
   "Correcte"
)</f>
        <v>Correcte</v>
      </c>
    </row>
    <row r="399" spans="1:18" x14ac:dyDescent="0.25">
      <c r="A399" s="104" t="s">
        <v>1350</v>
      </c>
      <c r="B399" s="35" t="s">
        <v>596</v>
      </c>
      <c r="C399" s="36">
        <v>0</v>
      </c>
      <c r="D399" s="36">
        <v>5</v>
      </c>
      <c r="E399" s="35"/>
      <c r="F399" s="35" t="s">
        <v>664</v>
      </c>
      <c r="G399" s="37">
        <v>45925</v>
      </c>
      <c r="H399" s="37" t="str">
        <f>INDEX(_xlfn.TEXTSPLIT(mvtst[[#This Row],[QR Suivis]],"_"),1,1)</f>
        <v>CA250469-8</v>
      </c>
      <c r="I399" s="35" t="str">
        <f>_xlfn.TEXTBEFORE(mvtst[[#This Row],[Num Suivis]],"-",,,1)</f>
        <v>CA250469</v>
      </c>
      <c r="J399" s="36">
        <f>SUMIF(mvtst[QR Suivis],mvtst[[#This Row],[QR Suivis]],mvtst[QTE SORTIS])-SUMIF(mvtst[QR Suivis],mvtst[[#This Row],[QR Suivis]],mvtst[QTE RETOUR])</f>
        <v>0</v>
      </c>
      <c r="K399" s="35" t="str">
        <f t="shared" si="6"/>
        <v>Usine</v>
      </c>
      <c r="L399" s="35" t="str">
        <f>_xlfn.XLOOKUP(mvtst[[#This Row],[Sous Traitant]],coordonnee_st[Identification],coordonnee_st[SERVICE],"Non Trouvé")</f>
        <v>Frange</v>
      </c>
      <c r="M399" s="35" t="str">
        <f>INDEX(_xlfn.TEXTSPLIT(mvtst[[#This Row],[QR Suivis]],"_"),1,2)</f>
        <v>All by Fouta</v>
      </c>
      <c r="N399" s="35" t="str">
        <f>INDEX(_xlfn.TEXTSPLIT(mvtst[[#This Row],[QR Suivis]],"_"),1,3)</f>
        <v>Stock</v>
      </c>
      <c r="O399" s="35" t="str">
        <f>INDEX(_xlfn.TEXTSPLIT(mvtst[[#This Row],[QR Suivis]],"_"),1,4)</f>
        <v>FAF1020-B04-02</v>
      </c>
      <c r="P399" s="35" t="str">
        <f>INDEX(_xlfn.TEXTSPLIT(mvtst[[#This Row],[QR Suivis]],"_"),1,5)</f>
        <v>FIL A FIL</v>
      </c>
      <c r="Q399" s="35" t="str">
        <f>_xlfn.TEXTAFTER(mvtst[[#This Row],[QR Suivis]],"_",5)</f>
        <v>1020</v>
      </c>
      <c r="R399" s="84" t="str">
        <f>IF(
   COUNTIFS($A$2:A399,A399,
             $B$2:B399,B399,
             $C$2:C399,C399,
             $D$2:D399,D399,
             $G$2:G399,G399)&gt;1,
   "Doublon",
   "Correcte"
)</f>
        <v>Correcte</v>
      </c>
    </row>
    <row r="400" spans="1:18" x14ac:dyDescent="0.25">
      <c r="A400" s="104" t="s">
        <v>1351</v>
      </c>
      <c r="B400" s="35" t="s">
        <v>596</v>
      </c>
      <c r="C400" s="36">
        <v>0</v>
      </c>
      <c r="D400" s="36">
        <v>5</v>
      </c>
      <c r="E400" s="35"/>
      <c r="F400" s="35" t="s">
        <v>664</v>
      </c>
      <c r="G400" s="37">
        <v>45925</v>
      </c>
      <c r="H400" s="37" t="str">
        <f>INDEX(_xlfn.TEXTSPLIT(mvtst[[#This Row],[QR Suivis]],"_"),1,1)</f>
        <v>CA250469-9</v>
      </c>
      <c r="I400" s="35" t="str">
        <f>_xlfn.TEXTBEFORE(mvtst[[#This Row],[Num Suivis]],"-",,,1)</f>
        <v>CA250469</v>
      </c>
      <c r="J400" s="36">
        <f>SUMIF(mvtst[QR Suivis],mvtst[[#This Row],[QR Suivis]],mvtst[QTE SORTIS])-SUMIF(mvtst[QR Suivis],mvtst[[#This Row],[QR Suivis]],mvtst[QTE RETOUR])</f>
        <v>0</v>
      </c>
      <c r="K400" s="35" t="str">
        <f t="shared" si="6"/>
        <v>Usine</v>
      </c>
      <c r="L400" s="35" t="str">
        <f>_xlfn.XLOOKUP(mvtst[[#This Row],[Sous Traitant]],coordonnee_st[Identification],coordonnee_st[SERVICE],"Non Trouvé")</f>
        <v>Frange</v>
      </c>
      <c r="M400" s="35" t="str">
        <f>INDEX(_xlfn.TEXTSPLIT(mvtst[[#This Row],[QR Suivis]],"_"),1,2)</f>
        <v>All by Fouta</v>
      </c>
      <c r="N400" s="35" t="str">
        <f>INDEX(_xlfn.TEXTSPLIT(mvtst[[#This Row],[QR Suivis]],"_"),1,3)</f>
        <v>Stock</v>
      </c>
      <c r="O400" s="35" t="str">
        <f>INDEX(_xlfn.TEXTSPLIT(mvtst[[#This Row],[QR Suivis]],"_"),1,4)</f>
        <v>FAF1020-B04-02</v>
      </c>
      <c r="P400" s="35" t="str">
        <f>INDEX(_xlfn.TEXTSPLIT(mvtst[[#This Row],[QR Suivis]],"_"),1,5)</f>
        <v>FIL A FIL</v>
      </c>
      <c r="Q400" s="35" t="str">
        <f>_xlfn.TEXTAFTER(mvtst[[#This Row],[QR Suivis]],"_",5)</f>
        <v>1020</v>
      </c>
      <c r="R400" s="84" t="str">
        <f>IF(
   COUNTIFS($A$2:A400,A400,
             $B$2:B400,B400,
             $C$2:C400,C400,
             $D$2:D400,D400,
             $G$2:G400,G400)&gt;1,
   "Doublon",
   "Correcte"
)</f>
        <v>Correcte</v>
      </c>
    </row>
    <row r="401" spans="1:18" x14ac:dyDescent="0.25">
      <c r="A401" s="104" t="s">
        <v>1352</v>
      </c>
      <c r="B401" s="35" t="s">
        <v>596</v>
      </c>
      <c r="C401" s="36">
        <v>0</v>
      </c>
      <c r="D401" s="36">
        <v>5</v>
      </c>
      <c r="E401" s="35"/>
      <c r="F401" s="35" t="s">
        <v>664</v>
      </c>
      <c r="G401" s="37">
        <v>45925</v>
      </c>
      <c r="H401" s="37" t="str">
        <f>INDEX(_xlfn.TEXTSPLIT(mvtst[[#This Row],[QR Suivis]],"_"),1,1)</f>
        <v>CA250469-10</v>
      </c>
      <c r="I401" s="35" t="str">
        <f>_xlfn.TEXTBEFORE(mvtst[[#This Row],[Num Suivis]],"-",,,1)</f>
        <v>CA250469</v>
      </c>
      <c r="J401" s="36">
        <f>SUMIF(mvtst[QR Suivis],mvtst[[#This Row],[QR Suivis]],mvtst[QTE SORTIS])-SUMIF(mvtst[QR Suivis],mvtst[[#This Row],[QR Suivis]],mvtst[QTE RETOUR])</f>
        <v>0</v>
      </c>
      <c r="K401" s="35" t="str">
        <f t="shared" si="6"/>
        <v>Usine</v>
      </c>
      <c r="L401" s="35" t="str">
        <f>_xlfn.XLOOKUP(mvtst[[#This Row],[Sous Traitant]],coordonnee_st[Identification],coordonnee_st[SERVICE],"Non Trouvé")</f>
        <v>Frange</v>
      </c>
      <c r="M401" s="35" t="str">
        <f>INDEX(_xlfn.TEXTSPLIT(mvtst[[#This Row],[QR Suivis]],"_"),1,2)</f>
        <v>All by Fouta</v>
      </c>
      <c r="N401" s="35" t="str">
        <f>INDEX(_xlfn.TEXTSPLIT(mvtst[[#This Row],[QR Suivis]],"_"),1,3)</f>
        <v>Stock</v>
      </c>
      <c r="O401" s="35" t="str">
        <f>INDEX(_xlfn.TEXTSPLIT(mvtst[[#This Row],[QR Suivis]],"_"),1,4)</f>
        <v>FAF1020-B04-02</v>
      </c>
      <c r="P401" s="35" t="str">
        <f>INDEX(_xlfn.TEXTSPLIT(mvtst[[#This Row],[QR Suivis]],"_"),1,5)</f>
        <v>FIL A FIL</v>
      </c>
      <c r="Q401" s="35" t="str">
        <f>_xlfn.TEXTAFTER(mvtst[[#This Row],[QR Suivis]],"_",5)</f>
        <v>1020</v>
      </c>
      <c r="R401" s="84" t="str">
        <f>IF(
   COUNTIFS($A$2:A401,A401,
             $B$2:B401,B401,
             $C$2:C401,C401,
             $D$2:D401,D401,
             $G$2:G401,G401)&gt;1,
   "Doublon",
   "Correcte"
)</f>
        <v>Correcte</v>
      </c>
    </row>
    <row r="402" spans="1:18" x14ac:dyDescent="0.25">
      <c r="A402" s="104" t="s">
        <v>1353</v>
      </c>
      <c r="B402" s="35" t="s">
        <v>596</v>
      </c>
      <c r="C402" s="36">
        <v>0</v>
      </c>
      <c r="D402" s="36">
        <v>5</v>
      </c>
      <c r="E402" s="35"/>
      <c r="F402" s="35" t="s">
        <v>664</v>
      </c>
      <c r="G402" s="37">
        <v>45925</v>
      </c>
      <c r="H402" s="37" t="str">
        <f>INDEX(_xlfn.TEXTSPLIT(mvtst[[#This Row],[QR Suivis]],"_"),1,1)</f>
        <v>CA250469-11</v>
      </c>
      <c r="I402" s="35" t="str">
        <f>_xlfn.TEXTBEFORE(mvtst[[#This Row],[Num Suivis]],"-",,,1)</f>
        <v>CA250469</v>
      </c>
      <c r="J402" s="36">
        <f>SUMIF(mvtst[QR Suivis],mvtst[[#This Row],[QR Suivis]],mvtst[QTE SORTIS])-SUMIF(mvtst[QR Suivis],mvtst[[#This Row],[QR Suivis]],mvtst[QTE RETOUR])</f>
        <v>0</v>
      </c>
      <c r="K402" s="35" t="str">
        <f t="shared" si="6"/>
        <v>Usine</v>
      </c>
      <c r="L402" s="35" t="str">
        <f>_xlfn.XLOOKUP(mvtst[[#This Row],[Sous Traitant]],coordonnee_st[Identification],coordonnee_st[SERVICE],"Non Trouvé")</f>
        <v>Frange</v>
      </c>
      <c r="M402" s="35" t="str">
        <f>INDEX(_xlfn.TEXTSPLIT(mvtst[[#This Row],[QR Suivis]],"_"),1,2)</f>
        <v>All by Fouta</v>
      </c>
      <c r="N402" s="35" t="str">
        <f>INDEX(_xlfn.TEXTSPLIT(mvtst[[#This Row],[QR Suivis]],"_"),1,3)</f>
        <v>Stock</v>
      </c>
      <c r="O402" s="35" t="str">
        <f>INDEX(_xlfn.TEXTSPLIT(mvtst[[#This Row],[QR Suivis]],"_"),1,4)</f>
        <v>FAF1020-B04-02</v>
      </c>
      <c r="P402" s="35" t="str">
        <f>INDEX(_xlfn.TEXTSPLIT(mvtst[[#This Row],[QR Suivis]],"_"),1,5)</f>
        <v>FIL A FIL</v>
      </c>
      <c r="Q402" s="35" t="str">
        <f>_xlfn.TEXTAFTER(mvtst[[#This Row],[QR Suivis]],"_",5)</f>
        <v>1020</v>
      </c>
      <c r="R402" s="84" t="str">
        <f>IF(
   COUNTIFS($A$2:A402,A402,
             $B$2:B402,B402,
             $C$2:C402,C402,
             $D$2:D402,D402,
             $G$2:G402,G402)&gt;1,
   "Doublon",
   "Correcte"
)</f>
        <v>Correcte</v>
      </c>
    </row>
    <row r="403" spans="1:18" x14ac:dyDescent="0.25">
      <c r="A403" s="104" t="s">
        <v>1354</v>
      </c>
      <c r="B403" s="35" t="s">
        <v>596</v>
      </c>
      <c r="C403" s="36">
        <v>0</v>
      </c>
      <c r="D403" s="36">
        <v>5</v>
      </c>
      <c r="E403" s="35"/>
      <c r="F403" s="35" t="s">
        <v>664</v>
      </c>
      <c r="G403" s="37">
        <v>45925</v>
      </c>
      <c r="H403" s="37" t="str">
        <f>INDEX(_xlfn.TEXTSPLIT(mvtst[[#This Row],[QR Suivis]],"_"),1,1)</f>
        <v>CA250469-12</v>
      </c>
      <c r="I403" s="35" t="str">
        <f>_xlfn.TEXTBEFORE(mvtst[[#This Row],[Num Suivis]],"-",,,1)</f>
        <v>CA250469</v>
      </c>
      <c r="J403" s="36">
        <f>SUMIF(mvtst[QR Suivis],mvtst[[#This Row],[QR Suivis]],mvtst[QTE SORTIS])-SUMIF(mvtst[QR Suivis],mvtst[[#This Row],[QR Suivis]],mvtst[QTE RETOUR])</f>
        <v>0</v>
      </c>
      <c r="K403" s="35" t="str">
        <f t="shared" si="6"/>
        <v>Usine</v>
      </c>
      <c r="L403" s="35" t="str">
        <f>_xlfn.XLOOKUP(mvtst[[#This Row],[Sous Traitant]],coordonnee_st[Identification],coordonnee_st[SERVICE],"Non Trouvé")</f>
        <v>Frange</v>
      </c>
      <c r="M403" s="35" t="str">
        <f>INDEX(_xlfn.TEXTSPLIT(mvtst[[#This Row],[QR Suivis]],"_"),1,2)</f>
        <v>All by Fouta</v>
      </c>
      <c r="N403" s="35" t="str">
        <f>INDEX(_xlfn.TEXTSPLIT(mvtst[[#This Row],[QR Suivis]],"_"),1,3)</f>
        <v>Stock</v>
      </c>
      <c r="O403" s="35" t="str">
        <f>INDEX(_xlfn.TEXTSPLIT(mvtst[[#This Row],[QR Suivis]],"_"),1,4)</f>
        <v>FAF1020-B04-02</v>
      </c>
      <c r="P403" s="35" t="str">
        <f>INDEX(_xlfn.TEXTSPLIT(mvtst[[#This Row],[QR Suivis]],"_"),1,5)</f>
        <v>FIL A FIL</v>
      </c>
      <c r="Q403" s="35" t="str">
        <f>_xlfn.TEXTAFTER(mvtst[[#This Row],[QR Suivis]],"_",5)</f>
        <v>1020</v>
      </c>
      <c r="R403" s="84" t="str">
        <f>IF(
   COUNTIFS($A$2:A403,A403,
             $B$2:B403,B403,
             $C$2:C403,C403,
             $D$2:D403,D403,
             $G$2:G403,G403)&gt;1,
   "Doublon",
   "Correcte"
)</f>
        <v>Correcte</v>
      </c>
    </row>
    <row r="404" spans="1:18" x14ac:dyDescent="0.25">
      <c r="A404" s="104" t="s">
        <v>1618</v>
      </c>
      <c r="B404" s="35" t="s">
        <v>596</v>
      </c>
      <c r="C404" s="36">
        <v>5</v>
      </c>
      <c r="D404" s="36">
        <v>0</v>
      </c>
      <c r="E404" s="35"/>
      <c r="F404" s="35" t="s">
        <v>664</v>
      </c>
      <c r="G404" s="37">
        <v>45925</v>
      </c>
      <c r="H404" s="37" t="str">
        <f>INDEX(_xlfn.TEXTSPLIT(mvtst[[#This Row],[QR Suivis]],"_"),1,1)</f>
        <v>CA250032-2</v>
      </c>
      <c r="I404" s="35" t="str">
        <f>_xlfn.TEXTBEFORE(mvtst[[#This Row],[Num Suivis]],"-",,,1)</f>
        <v>CA250032</v>
      </c>
      <c r="J404" s="36">
        <f>SUMIF(mvtst[QR Suivis],mvtst[[#This Row],[QR Suivis]],mvtst[QTE SORTIS])-SUMIF(mvtst[QR Suivis],mvtst[[#This Row],[QR Suivis]],mvtst[QTE RETOUR])</f>
        <v>0</v>
      </c>
      <c r="K404" s="35" t="str">
        <f t="shared" si="6"/>
        <v>Usine</v>
      </c>
      <c r="L404" s="35" t="str">
        <f>_xlfn.XLOOKUP(mvtst[[#This Row],[Sous Traitant]],coordonnee_st[Identification],coordonnee_st[SERVICE],"Non Trouvé")</f>
        <v>Frange</v>
      </c>
      <c r="M404" s="35" t="str">
        <f>INDEX(_xlfn.TEXTSPLIT(mvtst[[#This Row],[QR Suivis]],"_"),1,2)</f>
        <v>All by Fouta</v>
      </c>
      <c r="N404" s="35" t="str">
        <f>INDEX(_xlfn.TEXTSPLIT(mvtst[[#This Row],[QR Suivis]],"_"),1,3)</f>
        <v>Stock</v>
      </c>
      <c r="O404" s="35" t="str">
        <f>INDEX(_xlfn.TEXTSPLIT(mvtst[[#This Row],[QR Suivis]],"_"),1,4)</f>
        <v>UNS2020-20</v>
      </c>
      <c r="P404" s="35" t="str">
        <f>INDEX(_xlfn.TEXTSPLIT(mvtst[[#This Row],[QR Suivis]],"_"),1,5)</f>
        <v>UNI SURPIQUE</v>
      </c>
      <c r="Q404" s="35" t="str">
        <f>_xlfn.TEXTAFTER(mvtst[[#This Row],[QR Suivis]],"_",5)</f>
        <v>2020</v>
      </c>
      <c r="R404" s="84" t="str">
        <f>IF(
   COUNTIFS($A$2:A404,A404,
             $B$2:B404,B404,
             $C$2:C404,C404,
             $D$2:D404,D404,
             $G$2:G404,G404)&gt;1,
   "Doublon",
   "Correcte"
)</f>
        <v>Correcte</v>
      </c>
    </row>
    <row r="405" spans="1:18" x14ac:dyDescent="0.25">
      <c r="A405" s="104" t="s">
        <v>1619</v>
      </c>
      <c r="B405" s="35" t="s">
        <v>596</v>
      </c>
      <c r="C405" s="36">
        <v>5</v>
      </c>
      <c r="D405" s="36">
        <v>0</v>
      </c>
      <c r="E405" s="35"/>
      <c r="F405" s="35" t="s">
        <v>664</v>
      </c>
      <c r="G405" s="37">
        <v>45925</v>
      </c>
      <c r="H405" s="37" t="str">
        <f>INDEX(_xlfn.TEXTSPLIT(mvtst[[#This Row],[QR Suivis]],"_"),1,1)</f>
        <v>CA250032-3</v>
      </c>
      <c r="I405" s="35" t="str">
        <f>_xlfn.TEXTBEFORE(mvtst[[#This Row],[Num Suivis]],"-",,,1)</f>
        <v>CA250032</v>
      </c>
      <c r="J405" s="36">
        <f>SUMIF(mvtst[QR Suivis],mvtst[[#This Row],[QR Suivis]],mvtst[QTE SORTIS])-SUMIF(mvtst[QR Suivis],mvtst[[#This Row],[QR Suivis]],mvtst[QTE RETOUR])</f>
        <v>0</v>
      </c>
      <c r="K405" s="35" t="str">
        <f t="shared" si="6"/>
        <v>Usine</v>
      </c>
      <c r="L405" s="35" t="str">
        <f>_xlfn.XLOOKUP(mvtst[[#This Row],[Sous Traitant]],coordonnee_st[Identification],coordonnee_st[SERVICE],"Non Trouvé")</f>
        <v>Frange</v>
      </c>
      <c r="M405" s="35" t="str">
        <f>INDEX(_xlfn.TEXTSPLIT(mvtst[[#This Row],[QR Suivis]],"_"),1,2)</f>
        <v>All by Fouta</v>
      </c>
      <c r="N405" s="35" t="str">
        <f>INDEX(_xlfn.TEXTSPLIT(mvtst[[#This Row],[QR Suivis]],"_"),1,3)</f>
        <v>Stock</v>
      </c>
      <c r="O405" s="35" t="str">
        <f>INDEX(_xlfn.TEXTSPLIT(mvtst[[#This Row],[QR Suivis]],"_"),1,4)</f>
        <v>UNS2020-20</v>
      </c>
      <c r="P405" s="35" t="str">
        <f>INDEX(_xlfn.TEXTSPLIT(mvtst[[#This Row],[QR Suivis]],"_"),1,5)</f>
        <v>UNI SURPIQUE</v>
      </c>
      <c r="Q405" s="35" t="str">
        <f>_xlfn.TEXTAFTER(mvtst[[#This Row],[QR Suivis]],"_",5)</f>
        <v>2020</v>
      </c>
      <c r="R405" s="84" t="str">
        <f>IF(
   COUNTIFS($A$2:A405,A405,
             $B$2:B405,B405,
             $C$2:C405,C405,
             $D$2:D405,D405,
             $G$2:G405,G405)&gt;1,
   "Doublon",
   "Correcte"
)</f>
        <v>Correcte</v>
      </c>
    </row>
    <row r="406" spans="1:18" x14ac:dyDescent="0.25">
      <c r="A406" s="104" t="s">
        <v>1620</v>
      </c>
      <c r="B406" s="35" t="s">
        <v>596</v>
      </c>
      <c r="C406" s="36">
        <v>5</v>
      </c>
      <c r="D406" s="36">
        <v>0</v>
      </c>
      <c r="E406" s="35"/>
      <c r="F406" s="35" t="s">
        <v>664</v>
      </c>
      <c r="G406" s="37">
        <v>45925</v>
      </c>
      <c r="H406" s="37" t="str">
        <f>INDEX(_xlfn.TEXTSPLIT(mvtst[[#This Row],[QR Suivis]],"_"),1,1)</f>
        <v>CA250032-4</v>
      </c>
      <c r="I406" s="35" t="str">
        <f>_xlfn.TEXTBEFORE(mvtst[[#This Row],[Num Suivis]],"-",,,1)</f>
        <v>CA250032</v>
      </c>
      <c r="J406" s="36">
        <f>SUMIF(mvtst[QR Suivis],mvtst[[#This Row],[QR Suivis]],mvtst[QTE SORTIS])-SUMIF(mvtst[QR Suivis],mvtst[[#This Row],[QR Suivis]],mvtst[QTE RETOUR])</f>
        <v>0</v>
      </c>
      <c r="K406" s="35" t="str">
        <f t="shared" si="6"/>
        <v>Usine</v>
      </c>
      <c r="L406" s="35" t="str">
        <f>_xlfn.XLOOKUP(mvtst[[#This Row],[Sous Traitant]],coordonnee_st[Identification],coordonnee_st[SERVICE],"Non Trouvé")</f>
        <v>Frange</v>
      </c>
      <c r="M406" s="35" t="str">
        <f>INDEX(_xlfn.TEXTSPLIT(mvtst[[#This Row],[QR Suivis]],"_"),1,2)</f>
        <v>All by Fouta</v>
      </c>
      <c r="N406" s="35" t="str">
        <f>INDEX(_xlfn.TEXTSPLIT(mvtst[[#This Row],[QR Suivis]],"_"),1,3)</f>
        <v>Stock</v>
      </c>
      <c r="O406" s="35" t="str">
        <f>INDEX(_xlfn.TEXTSPLIT(mvtst[[#This Row],[QR Suivis]],"_"),1,4)</f>
        <v>UNS2020-20</v>
      </c>
      <c r="P406" s="35" t="str">
        <f>INDEX(_xlfn.TEXTSPLIT(mvtst[[#This Row],[QR Suivis]],"_"),1,5)</f>
        <v>UNI SURPIQUE</v>
      </c>
      <c r="Q406" s="35" t="str">
        <f>_xlfn.TEXTAFTER(mvtst[[#This Row],[QR Suivis]],"_",5)</f>
        <v>2020</v>
      </c>
      <c r="R406" s="84" t="str">
        <f>IF(
   COUNTIFS($A$2:A406,A406,
             $B$2:B406,B406,
             $C$2:C406,C406,
             $D$2:D406,D406,
             $G$2:G406,G406)&gt;1,
   "Doublon",
   "Correcte"
)</f>
        <v>Correcte</v>
      </c>
    </row>
    <row r="407" spans="1:18" x14ac:dyDescent="0.25">
      <c r="A407" s="104" t="s">
        <v>1621</v>
      </c>
      <c r="B407" s="35" t="s">
        <v>596</v>
      </c>
      <c r="C407" s="36">
        <v>5</v>
      </c>
      <c r="D407" s="36">
        <v>0</v>
      </c>
      <c r="E407" s="35"/>
      <c r="F407" s="35" t="s">
        <v>664</v>
      </c>
      <c r="G407" s="37">
        <v>45925</v>
      </c>
      <c r="H407" s="37" t="str">
        <f>INDEX(_xlfn.TEXTSPLIT(mvtst[[#This Row],[QR Suivis]],"_"),1,1)</f>
        <v>CA250032-1</v>
      </c>
      <c r="I407" s="35" t="str">
        <f>_xlfn.TEXTBEFORE(mvtst[[#This Row],[Num Suivis]],"-",,,1)</f>
        <v>CA250032</v>
      </c>
      <c r="J407" s="36">
        <f>SUMIF(mvtst[QR Suivis],mvtst[[#This Row],[QR Suivis]],mvtst[QTE SORTIS])-SUMIF(mvtst[QR Suivis],mvtst[[#This Row],[QR Suivis]],mvtst[QTE RETOUR])</f>
        <v>0</v>
      </c>
      <c r="K407" s="35" t="str">
        <f t="shared" si="6"/>
        <v>Usine</v>
      </c>
      <c r="L407" s="35" t="str">
        <f>_xlfn.XLOOKUP(mvtst[[#This Row],[Sous Traitant]],coordonnee_st[Identification],coordonnee_st[SERVICE],"Non Trouvé")</f>
        <v>Frange</v>
      </c>
      <c r="M407" s="35" t="str">
        <f>INDEX(_xlfn.TEXTSPLIT(mvtst[[#This Row],[QR Suivis]],"_"),1,2)</f>
        <v>All by Fouta</v>
      </c>
      <c r="N407" s="35" t="str">
        <f>INDEX(_xlfn.TEXTSPLIT(mvtst[[#This Row],[QR Suivis]],"_"),1,3)</f>
        <v>Stock</v>
      </c>
      <c r="O407" s="35" t="str">
        <f>INDEX(_xlfn.TEXTSPLIT(mvtst[[#This Row],[QR Suivis]],"_"),1,4)</f>
        <v>UNS2020-20</v>
      </c>
      <c r="P407" s="35" t="str">
        <f>INDEX(_xlfn.TEXTSPLIT(mvtst[[#This Row],[QR Suivis]],"_"),1,5)</f>
        <v>UNI SURPIQUE</v>
      </c>
      <c r="Q407" s="35" t="str">
        <f>_xlfn.TEXTAFTER(mvtst[[#This Row],[QR Suivis]],"_",5)</f>
        <v>2020</v>
      </c>
      <c r="R407" s="84" t="str">
        <f>IF(
   COUNTIFS($A$2:A407,A407,
             $B$2:B407,B407,
             $C$2:C407,C407,
             $D$2:D407,D407,
             $G$2:G407,G407)&gt;1,
   "Doublon",
   "Correcte"
)</f>
        <v>Correcte</v>
      </c>
    </row>
    <row r="408" spans="1:18" x14ac:dyDescent="0.25">
      <c r="A408" s="104" t="s">
        <v>1622</v>
      </c>
      <c r="B408" s="35" t="s">
        <v>596</v>
      </c>
      <c r="C408" s="36">
        <v>5</v>
      </c>
      <c r="D408" s="36">
        <v>0</v>
      </c>
      <c r="E408" s="35"/>
      <c r="F408" s="35" t="s">
        <v>664</v>
      </c>
      <c r="G408" s="37">
        <v>45925</v>
      </c>
      <c r="H408" s="37" t="str">
        <f>INDEX(_xlfn.TEXTSPLIT(mvtst[[#This Row],[QR Suivis]],"_"),1,1)</f>
        <v>CA250043-5</v>
      </c>
      <c r="I408" s="35" t="str">
        <f>_xlfn.TEXTBEFORE(mvtst[[#This Row],[Num Suivis]],"-",,,1)</f>
        <v>CA250043</v>
      </c>
      <c r="J408" s="36">
        <f>SUMIF(mvtst[QR Suivis],mvtst[[#This Row],[QR Suivis]],mvtst[QTE SORTIS])-SUMIF(mvtst[QR Suivis],mvtst[[#This Row],[QR Suivis]],mvtst[QTE RETOUR])</f>
        <v>0</v>
      </c>
      <c r="K408" s="35" t="str">
        <f t="shared" si="6"/>
        <v>Usine</v>
      </c>
      <c r="L408" s="35" t="str">
        <f>_xlfn.XLOOKUP(mvtst[[#This Row],[Sous Traitant]],coordonnee_st[Identification],coordonnee_st[SERVICE],"Non Trouvé")</f>
        <v>Frange</v>
      </c>
      <c r="M408" s="35" t="str">
        <f>INDEX(_xlfn.TEXTSPLIT(mvtst[[#This Row],[QR Suivis]],"_"),1,2)</f>
        <v>All by Fouta</v>
      </c>
      <c r="N408" s="35" t="str">
        <f>INDEX(_xlfn.TEXTSPLIT(mvtst[[#This Row],[QR Suivis]],"_"),1,3)</f>
        <v>Stock</v>
      </c>
      <c r="O408" s="35" t="str">
        <f>INDEX(_xlfn.TEXTSPLIT(mvtst[[#This Row],[QR Suivis]],"_"),1,4)</f>
        <v>UNS1626-06</v>
      </c>
      <c r="P408" s="35" t="str">
        <f>INDEX(_xlfn.TEXTSPLIT(mvtst[[#This Row],[QR Suivis]],"_"),1,5)</f>
        <v>UNI SURPIQUE</v>
      </c>
      <c r="Q408" s="35" t="str">
        <f>_xlfn.TEXTAFTER(mvtst[[#This Row],[QR Suivis]],"_",5)</f>
        <v>1626</v>
      </c>
      <c r="R408" s="84" t="str">
        <f>IF(
   COUNTIFS($A$2:A408,A408,
             $B$2:B408,B408,
             $C$2:C408,C408,
             $D$2:D408,D408,
             $G$2:G408,G408)&gt;1,
   "Doublon",
   "Correcte"
)</f>
        <v>Correcte</v>
      </c>
    </row>
    <row r="409" spans="1:18" x14ac:dyDescent="0.25">
      <c r="A409" s="104" t="s">
        <v>1623</v>
      </c>
      <c r="B409" s="35" t="s">
        <v>596</v>
      </c>
      <c r="C409" s="36">
        <v>5</v>
      </c>
      <c r="D409" s="36">
        <v>0</v>
      </c>
      <c r="E409" s="35"/>
      <c r="F409" s="35" t="s">
        <v>664</v>
      </c>
      <c r="G409" s="37">
        <v>45925</v>
      </c>
      <c r="H409" s="37" t="str">
        <f>INDEX(_xlfn.TEXTSPLIT(mvtst[[#This Row],[QR Suivis]],"_"),1,1)</f>
        <v>CA250043-6</v>
      </c>
      <c r="I409" s="35" t="str">
        <f>_xlfn.TEXTBEFORE(mvtst[[#This Row],[Num Suivis]],"-",,,1)</f>
        <v>CA250043</v>
      </c>
      <c r="J409" s="36">
        <f>SUMIF(mvtst[QR Suivis],mvtst[[#This Row],[QR Suivis]],mvtst[QTE SORTIS])-SUMIF(mvtst[QR Suivis],mvtst[[#This Row],[QR Suivis]],mvtst[QTE RETOUR])</f>
        <v>0</v>
      </c>
      <c r="K409" s="35" t="str">
        <f t="shared" si="6"/>
        <v>Usine</v>
      </c>
      <c r="L409" s="35" t="str">
        <f>_xlfn.XLOOKUP(mvtst[[#This Row],[Sous Traitant]],coordonnee_st[Identification],coordonnee_st[SERVICE],"Non Trouvé")</f>
        <v>Frange</v>
      </c>
      <c r="M409" s="35" t="str">
        <f>INDEX(_xlfn.TEXTSPLIT(mvtst[[#This Row],[QR Suivis]],"_"),1,2)</f>
        <v>All by Fouta</v>
      </c>
      <c r="N409" s="35" t="str">
        <f>INDEX(_xlfn.TEXTSPLIT(mvtst[[#This Row],[QR Suivis]],"_"),1,3)</f>
        <v>Stock</v>
      </c>
      <c r="O409" s="35" t="str">
        <f>INDEX(_xlfn.TEXTSPLIT(mvtst[[#This Row],[QR Suivis]],"_"),1,4)</f>
        <v>UNS1626-06</v>
      </c>
      <c r="P409" s="35" t="str">
        <f>INDEX(_xlfn.TEXTSPLIT(mvtst[[#This Row],[QR Suivis]],"_"),1,5)</f>
        <v>UNI SURPIQUE</v>
      </c>
      <c r="Q409" s="35" t="str">
        <f>_xlfn.TEXTAFTER(mvtst[[#This Row],[QR Suivis]],"_",5)</f>
        <v>1626</v>
      </c>
      <c r="R409" s="84" t="str">
        <f>IF(
   COUNTIFS($A$2:A409,A409,
             $B$2:B409,B409,
             $C$2:C409,C409,
             $D$2:D409,D409,
             $G$2:G409,G409)&gt;1,
   "Doublon",
   "Correcte"
)</f>
        <v>Correcte</v>
      </c>
    </row>
    <row r="410" spans="1:18" x14ac:dyDescent="0.25">
      <c r="A410" s="104" t="s">
        <v>1624</v>
      </c>
      <c r="B410" s="35" t="s">
        <v>596</v>
      </c>
      <c r="C410" s="36">
        <v>5</v>
      </c>
      <c r="D410" s="36">
        <v>0</v>
      </c>
      <c r="E410" s="35"/>
      <c r="F410" s="35" t="s">
        <v>664</v>
      </c>
      <c r="G410" s="37">
        <v>45925</v>
      </c>
      <c r="H410" s="37" t="str">
        <f>INDEX(_xlfn.TEXTSPLIT(mvtst[[#This Row],[QR Suivis]],"_"),1,1)</f>
        <v>CA250043-1</v>
      </c>
      <c r="I410" s="35" t="str">
        <f>_xlfn.TEXTBEFORE(mvtst[[#This Row],[Num Suivis]],"-",,,1)</f>
        <v>CA250043</v>
      </c>
      <c r="J410" s="36">
        <f>SUMIF(mvtst[QR Suivis],mvtst[[#This Row],[QR Suivis]],mvtst[QTE SORTIS])-SUMIF(mvtst[QR Suivis],mvtst[[#This Row],[QR Suivis]],mvtst[QTE RETOUR])</f>
        <v>0</v>
      </c>
      <c r="K410" s="35" t="str">
        <f t="shared" si="6"/>
        <v>Usine</v>
      </c>
      <c r="L410" s="35" t="str">
        <f>_xlfn.XLOOKUP(mvtst[[#This Row],[Sous Traitant]],coordonnee_st[Identification],coordonnee_st[SERVICE],"Non Trouvé")</f>
        <v>Frange</v>
      </c>
      <c r="M410" s="35" t="str">
        <f>INDEX(_xlfn.TEXTSPLIT(mvtst[[#This Row],[QR Suivis]],"_"),1,2)</f>
        <v>All by Fouta</v>
      </c>
      <c r="N410" s="35" t="str">
        <f>INDEX(_xlfn.TEXTSPLIT(mvtst[[#This Row],[QR Suivis]],"_"),1,3)</f>
        <v>Stock</v>
      </c>
      <c r="O410" s="35" t="str">
        <f>INDEX(_xlfn.TEXTSPLIT(mvtst[[#This Row],[QR Suivis]],"_"),1,4)</f>
        <v>UNS1626-06</v>
      </c>
      <c r="P410" s="35" t="str">
        <f>INDEX(_xlfn.TEXTSPLIT(mvtst[[#This Row],[QR Suivis]],"_"),1,5)</f>
        <v>UNI SURPIQUE</v>
      </c>
      <c r="Q410" s="35" t="str">
        <f>_xlfn.TEXTAFTER(mvtst[[#This Row],[QR Suivis]],"_",5)</f>
        <v>1626</v>
      </c>
      <c r="R410" s="84" t="str">
        <f>IF(
   COUNTIFS($A$2:A410,A410,
             $B$2:B410,B410,
             $C$2:C410,C410,
             $D$2:D410,D410,
             $G$2:G410,G410)&gt;1,
   "Doublon",
   "Correcte"
)</f>
        <v>Correcte</v>
      </c>
    </row>
    <row r="411" spans="1:18" x14ac:dyDescent="0.25">
      <c r="A411" s="104" t="s">
        <v>1625</v>
      </c>
      <c r="B411" s="35" t="s">
        <v>596</v>
      </c>
      <c r="C411" s="36">
        <v>1</v>
      </c>
      <c r="D411" s="36">
        <v>0</v>
      </c>
      <c r="E411" s="35"/>
      <c r="F411" s="35" t="s">
        <v>664</v>
      </c>
      <c r="G411" s="37">
        <v>45925</v>
      </c>
      <c r="H411" s="37" t="str">
        <f>INDEX(_xlfn.TEXTSPLIT(mvtst[[#This Row],[QR Suivis]],"_"),1,1)</f>
        <v>CA250043-7</v>
      </c>
      <c r="I411" s="35" t="str">
        <f>_xlfn.TEXTBEFORE(mvtst[[#This Row],[Num Suivis]],"-",,,1)</f>
        <v>CA250043</v>
      </c>
      <c r="J411" s="36">
        <f>SUMIF(mvtst[QR Suivis],mvtst[[#This Row],[QR Suivis]],mvtst[QTE SORTIS])-SUMIF(mvtst[QR Suivis],mvtst[[#This Row],[QR Suivis]],mvtst[QTE RETOUR])</f>
        <v>0</v>
      </c>
      <c r="K411" s="35" t="str">
        <f t="shared" si="6"/>
        <v>Usine</v>
      </c>
      <c r="L411" s="35" t="str">
        <f>_xlfn.XLOOKUP(mvtst[[#This Row],[Sous Traitant]],coordonnee_st[Identification],coordonnee_st[SERVICE],"Non Trouvé")</f>
        <v>Frange</v>
      </c>
      <c r="M411" s="35" t="str">
        <f>INDEX(_xlfn.TEXTSPLIT(mvtst[[#This Row],[QR Suivis]],"_"),1,2)</f>
        <v>All by Fouta</v>
      </c>
      <c r="N411" s="35" t="str">
        <f>INDEX(_xlfn.TEXTSPLIT(mvtst[[#This Row],[QR Suivis]],"_"),1,3)</f>
        <v>Stock</v>
      </c>
      <c r="O411" s="35" t="str">
        <f>INDEX(_xlfn.TEXTSPLIT(mvtst[[#This Row],[QR Suivis]],"_"),1,4)</f>
        <v>UNS1626-06</v>
      </c>
      <c r="P411" s="35" t="str">
        <f>INDEX(_xlfn.TEXTSPLIT(mvtst[[#This Row],[QR Suivis]],"_"),1,5)</f>
        <v>UNI SURPIQUE</v>
      </c>
      <c r="Q411" s="35" t="str">
        <f>_xlfn.TEXTAFTER(mvtst[[#This Row],[QR Suivis]],"_",5)</f>
        <v>1626</v>
      </c>
      <c r="R411" s="84" t="str">
        <f>IF(
   COUNTIFS($A$2:A411,A411,
             $B$2:B411,B411,
             $C$2:C411,C411,
             $D$2:D411,D411,
             $G$2:G411,G411)&gt;1,
   "Doublon",
   "Correcte"
)</f>
        <v>Correcte</v>
      </c>
    </row>
    <row r="412" spans="1:18" x14ac:dyDescent="0.25">
      <c r="A412" s="104" t="s">
        <v>1626</v>
      </c>
      <c r="B412" s="35" t="s">
        <v>596</v>
      </c>
      <c r="C412" s="36">
        <v>5</v>
      </c>
      <c r="D412" s="36">
        <v>0</v>
      </c>
      <c r="E412" s="35"/>
      <c r="F412" s="35" t="s">
        <v>664</v>
      </c>
      <c r="G412" s="37">
        <v>45925</v>
      </c>
      <c r="H412" s="37" t="str">
        <f>INDEX(_xlfn.TEXTSPLIT(mvtst[[#This Row],[QR Suivis]],"_"),1,1)</f>
        <v>CA250043-3</v>
      </c>
      <c r="I412" s="35" t="str">
        <f>_xlfn.TEXTBEFORE(mvtst[[#This Row],[Num Suivis]],"-",,,1)</f>
        <v>CA250043</v>
      </c>
      <c r="J412" s="36">
        <f>SUMIF(mvtst[QR Suivis],mvtst[[#This Row],[QR Suivis]],mvtst[QTE SORTIS])-SUMIF(mvtst[QR Suivis],mvtst[[#This Row],[QR Suivis]],mvtst[QTE RETOUR])</f>
        <v>0</v>
      </c>
      <c r="K412" s="35" t="str">
        <f t="shared" si="6"/>
        <v>Usine</v>
      </c>
      <c r="L412" s="35" t="str">
        <f>_xlfn.XLOOKUP(mvtst[[#This Row],[Sous Traitant]],coordonnee_st[Identification],coordonnee_st[SERVICE],"Non Trouvé")</f>
        <v>Frange</v>
      </c>
      <c r="M412" s="35" t="str">
        <f>INDEX(_xlfn.TEXTSPLIT(mvtst[[#This Row],[QR Suivis]],"_"),1,2)</f>
        <v>All by Fouta</v>
      </c>
      <c r="N412" s="35" t="str">
        <f>INDEX(_xlfn.TEXTSPLIT(mvtst[[#This Row],[QR Suivis]],"_"),1,3)</f>
        <v>Stock</v>
      </c>
      <c r="O412" s="35" t="str">
        <f>INDEX(_xlfn.TEXTSPLIT(mvtst[[#This Row],[QR Suivis]],"_"),1,4)</f>
        <v>UNS1626-06</v>
      </c>
      <c r="P412" s="35" t="str">
        <f>INDEX(_xlfn.TEXTSPLIT(mvtst[[#This Row],[QR Suivis]],"_"),1,5)</f>
        <v>UNI SURPIQUE</v>
      </c>
      <c r="Q412" s="35" t="str">
        <f>_xlfn.TEXTAFTER(mvtst[[#This Row],[QR Suivis]],"_",5)</f>
        <v>1626</v>
      </c>
      <c r="R412" s="84" t="str">
        <f>IF(
   COUNTIFS($A$2:A412,A412,
             $B$2:B412,B412,
             $C$2:C412,C412,
             $D$2:D412,D412,
             $G$2:G412,G412)&gt;1,
   "Doublon",
   "Correcte"
)</f>
        <v>Correcte</v>
      </c>
    </row>
    <row r="413" spans="1:18" x14ac:dyDescent="0.25">
      <c r="A413" s="104" t="s">
        <v>1627</v>
      </c>
      <c r="B413" s="35" t="s">
        <v>596</v>
      </c>
      <c r="C413" s="36">
        <v>5</v>
      </c>
      <c r="D413" s="36">
        <v>0</v>
      </c>
      <c r="E413" s="35"/>
      <c r="F413" s="35" t="s">
        <v>664</v>
      </c>
      <c r="G413" s="37">
        <v>45925</v>
      </c>
      <c r="H413" s="37" t="str">
        <f>INDEX(_xlfn.TEXTSPLIT(mvtst[[#This Row],[QR Suivis]],"_"),1,1)</f>
        <v>CA250043-2</v>
      </c>
      <c r="I413" s="35" t="str">
        <f>_xlfn.TEXTBEFORE(mvtst[[#This Row],[Num Suivis]],"-",,,1)</f>
        <v>CA250043</v>
      </c>
      <c r="J413" s="36">
        <f>SUMIF(mvtst[QR Suivis],mvtst[[#This Row],[QR Suivis]],mvtst[QTE SORTIS])-SUMIF(mvtst[QR Suivis],mvtst[[#This Row],[QR Suivis]],mvtst[QTE RETOUR])</f>
        <v>0</v>
      </c>
      <c r="K413" s="35" t="str">
        <f t="shared" si="6"/>
        <v>Usine</v>
      </c>
      <c r="L413" s="35" t="str">
        <f>_xlfn.XLOOKUP(mvtst[[#This Row],[Sous Traitant]],coordonnee_st[Identification],coordonnee_st[SERVICE],"Non Trouvé")</f>
        <v>Frange</v>
      </c>
      <c r="M413" s="35" t="str">
        <f>INDEX(_xlfn.TEXTSPLIT(mvtst[[#This Row],[QR Suivis]],"_"),1,2)</f>
        <v>All by Fouta</v>
      </c>
      <c r="N413" s="35" t="str">
        <f>INDEX(_xlfn.TEXTSPLIT(mvtst[[#This Row],[QR Suivis]],"_"),1,3)</f>
        <v>Stock</v>
      </c>
      <c r="O413" s="35" t="str">
        <f>INDEX(_xlfn.TEXTSPLIT(mvtst[[#This Row],[QR Suivis]],"_"),1,4)</f>
        <v>UNS1626-06</v>
      </c>
      <c r="P413" s="35" t="str">
        <f>INDEX(_xlfn.TEXTSPLIT(mvtst[[#This Row],[QR Suivis]],"_"),1,5)</f>
        <v>UNI SURPIQUE</v>
      </c>
      <c r="Q413" s="35" t="str">
        <f>_xlfn.TEXTAFTER(mvtst[[#This Row],[QR Suivis]],"_",5)</f>
        <v>1626</v>
      </c>
      <c r="R413" s="84" t="str">
        <f>IF(
   COUNTIFS($A$2:A413,A413,
             $B$2:B413,B413,
             $C$2:C413,C413,
             $D$2:D413,D413,
             $G$2:G413,G413)&gt;1,
   "Doublon",
   "Correcte"
)</f>
        <v>Correcte</v>
      </c>
    </row>
    <row r="414" spans="1:18" x14ac:dyDescent="0.25">
      <c r="A414" s="104" t="s">
        <v>1628</v>
      </c>
      <c r="B414" s="35" t="s">
        <v>596</v>
      </c>
      <c r="C414" s="36">
        <v>5</v>
      </c>
      <c r="D414" s="36">
        <v>0</v>
      </c>
      <c r="E414" s="35"/>
      <c r="F414" s="35" t="s">
        <v>664</v>
      </c>
      <c r="G414" s="37">
        <v>45925</v>
      </c>
      <c r="H414" s="37" t="str">
        <f>INDEX(_xlfn.TEXTSPLIT(mvtst[[#This Row],[QR Suivis]],"_"),1,1)</f>
        <v>CA250033-6</v>
      </c>
      <c r="I414" s="35" t="str">
        <f>_xlfn.TEXTBEFORE(mvtst[[#This Row],[Num Suivis]],"-",,,1)</f>
        <v>CA250033</v>
      </c>
      <c r="J414" s="36">
        <f>SUMIF(mvtst[QR Suivis],mvtst[[#This Row],[QR Suivis]],mvtst[QTE SORTIS])-SUMIF(mvtst[QR Suivis],mvtst[[#This Row],[QR Suivis]],mvtst[QTE RETOUR])</f>
        <v>0</v>
      </c>
      <c r="K414" s="35" t="str">
        <f t="shared" si="6"/>
        <v>Usine</v>
      </c>
      <c r="L414" s="35" t="str">
        <f>_xlfn.XLOOKUP(mvtst[[#This Row],[Sous Traitant]],coordonnee_st[Identification],coordonnee_st[SERVICE],"Non Trouvé")</f>
        <v>Frange</v>
      </c>
      <c r="M414" s="35" t="str">
        <f>INDEX(_xlfn.TEXTSPLIT(mvtst[[#This Row],[QR Suivis]],"_"),1,2)</f>
        <v>All by Fouta</v>
      </c>
      <c r="N414" s="35" t="str">
        <f>INDEX(_xlfn.TEXTSPLIT(mvtst[[#This Row],[QR Suivis]],"_"),1,3)</f>
        <v>Stock</v>
      </c>
      <c r="O414" s="35" t="str">
        <f>INDEX(_xlfn.TEXTSPLIT(mvtst[[#This Row],[QR Suivis]],"_"),1,4)</f>
        <v>UNS2020-23</v>
      </c>
      <c r="P414" s="35" t="str">
        <f>INDEX(_xlfn.TEXTSPLIT(mvtst[[#This Row],[QR Suivis]],"_"),1,5)</f>
        <v>UNI SURPIQUE</v>
      </c>
      <c r="Q414" s="35" t="str">
        <f>_xlfn.TEXTAFTER(mvtst[[#This Row],[QR Suivis]],"_",5)</f>
        <v>2020</v>
      </c>
      <c r="R414" s="84" t="str">
        <f>IF(
   COUNTIFS($A$2:A414,A414,
             $B$2:B414,B414,
             $C$2:C414,C414,
             $D$2:D414,D414,
             $G$2:G414,G414)&gt;1,
   "Doublon",
   "Correcte"
)</f>
        <v>Correcte</v>
      </c>
    </row>
    <row r="415" spans="1:18" x14ac:dyDescent="0.25">
      <c r="A415" s="104" t="s">
        <v>1629</v>
      </c>
      <c r="B415" s="35" t="s">
        <v>596</v>
      </c>
      <c r="C415" s="36">
        <v>5</v>
      </c>
      <c r="D415" s="36">
        <v>0</v>
      </c>
      <c r="E415" s="35"/>
      <c r="F415" s="35" t="s">
        <v>664</v>
      </c>
      <c r="G415" s="37">
        <v>45925</v>
      </c>
      <c r="H415" s="37" t="str">
        <f>INDEX(_xlfn.TEXTSPLIT(mvtst[[#This Row],[QR Suivis]],"_"),1,1)</f>
        <v>CA250033-4</v>
      </c>
      <c r="I415" s="35" t="str">
        <f>_xlfn.TEXTBEFORE(mvtst[[#This Row],[Num Suivis]],"-",,,1)</f>
        <v>CA250033</v>
      </c>
      <c r="J415" s="36">
        <f>SUMIF(mvtst[QR Suivis],mvtst[[#This Row],[QR Suivis]],mvtst[QTE SORTIS])-SUMIF(mvtst[QR Suivis],mvtst[[#This Row],[QR Suivis]],mvtst[QTE RETOUR])</f>
        <v>0</v>
      </c>
      <c r="K415" s="35" t="str">
        <f t="shared" si="6"/>
        <v>Usine</v>
      </c>
      <c r="L415" s="35" t="str">
        <f>_xlfn.XLOOKUP(mvtst[[#This Row],[Sous Traitant]],coordonnee_st[Identification],coordonnee_st[SERVICE],"Non Trouvé")</f>
        <v>Frange</v>
      </c>
      <c r="M415" s="35" t="str">
        <f>INDEX(_xlfn.TEXTSPLIT(mvtst[[#This Row],[QR Suivis]],"_"),1,2)</f>
        <v>All by Fouta</v>
      </c>
      <c r="N415" s="35" t="str">
        <f>INDEX(_xlfn.TEXTSPLIT(mvtst[[#This Row],[QR Suivis]],"_"),1,3)</f>
        <v>Stock</v>
      </c>
      <c r="O415" s="35" t="str">
        <f>INDEX(_xlfn.TEXTSPLIT(mvtst[[#This Row],[QR Suivis]],"_"),1,4)</f>
        <v>UNS2020-23</v>
      </c>
      <c r="P415" s="35" t="str">
        <f>INDEX(_xlfn.TEXTSPLIT(mvtst[[#This Row],[QR Suivis]],"_"),1,5)</f>
        <v>UNI SURPIQUE</v>
      </c>
      <c r="Q415" s="35" t="str">
        <f>_xlfn.TEXTAFTER(mvtst[[#This Row],[QR Suivis]],"_",5)</f>
        <v>2020</v>
      </c>
      <c r="R415" s="84" t="str">
        <f>IF(
   COUNTIFS($A$2:A415,A415,
             $B$2:B415,B415,
             $C$2:C415,C415,
             $D$2:D415,D415,
             $G$2:G415,G415)&gt;1,
   "Doublon",
   "Correcte"
)</f>
        <v>Correcte</v>
      </c>
    </row>
    <row r="416" spans="1:18" x14ac:dyDescent="0.25">
      <c r="A416" s="104" t="s">
        <v>1630</v>
      </c>
      <c r="B416" s="35" t="s">
        <v>596</v>
      </c>
      <c r="C416" s="36">
        <v>5</v>
      </c>
      <c r="D416" s="36">
        <v>0</v>
      </c>
      <c r="E416" s="35"/>
      <c r="F416" s="35" t="s">
        <v>664</v>
      </c>
      <c r="G416" s="37">
        <v>45925</v>
      </c>
      <c r="H416" s="37" t="str">
        <f>INDEX(_xlfn.TEXTSPLIT(mvtst[[#This Row],[QR Suivis]],"_"),1,1)</f>
        <v>CA250033-5</v>
      </c>
      <c r="I416" s="35" t="str">
        <f>_xlfn.TEXTBEFORE(mvtst[[#This Row],[Num Suivis]],"-",,,1)</f>
        <v>CA250033</v>
      </c>
      <c r="J416" s="36">
        <f>SUMIF(mvtst[QR Suivis],mvtst[[#This Row],[QR Suivis]],mvtst[QTE SORTIS])-SUMIF(mvtst[QR Suivis],mvtst[[#This Row],[QR Suivis]],mvtst[QTE RETOUR])</f>
        <v>0</v>
      </c>
      <c r="K416" s="35" t="str">
        <f t="shared" si="6"/>
        <v>Usine</v>
      </c>
      <c r="L416" s="35" t="str">
        <f>_xlfn.XLOOKUP(mvtst[[#This Row],[Sous Traitant]],coordonnee_st[Identification],coordonnee_st[SERVICE],"Non Trouvé")</f>
        <v>Frange</v>
      </c>
      <c r="M416" s="35" t="str">
        <f>INDEX(_xlfn.TEXTSPLIT(mvtst[[#This Row],[QR Suivis]],"_"),1,2)</f>
        <v>All by Fouta</v>
      </c>
      <c r="N416" s="35" t="str">
        <f>INDEX(_xlfn.TEXTSPLIT(mvtst[[#This Row],[QR Suivis]],"_"),1,3)</f>
        <v>Stock</v>
      </c>
      <c r="O416" s="35" t="str">
        <f>INDEX(_xlfn.TEXTSPLIT(mvtst[[#This Row],[QR Suivis]],"_"),1,4)</f>
        <v>UNS2020-23</v>
      </c>
      <c r="P416" s="35" t="str">
        <f>INDEX(_xlfn.TEXTSPLIT(mvtst[[#This Row],[QR Suivis]],"_"),1,5)</f>
        <v>UNI SURPIQUE</v>
      </c>
      <c r="Q416" s="35" t="str">
        <f>_xlfn.TEXTAFTER(mvtst[[#This Row],[QR Suivis]],"_",5)</f>
        <v>2020</v>
      </c>
      <c r="R416" s="84" t="str">
        <f>IF(
   COUNTIFS($A$2:A416,A416,
             $B$2:B416,B416,
             $C$2:C416,C416,
             $D$2:D416,D416,
             $G$2:G416,G416)&gt;1,
   "Doublon",
   "Correcte"
)</f>
        <v>Correcte</v>
      </c>
    </row>
    <row r="417" spans="1:18" x14ac:dyDescent="0.25">
      <c r="A417" s="104" t="s">
        <v>1631</v>
      </c>
      <c r="B417" s="35" t="s">
        <v>596</v>
      </c>
      <c r="C417" s="36">
        <v>5</v>
      </c>
      <c r="D417" s="36">
        <v>0</v>
      </c>
      <c r="E417" s="35"/>
      <c r="F417" s="35" t="s">
        <v>664</v>
      </c>
      <c r="G417" s="37">
        <v>45925</v>
      </c>
      <c r="H417" s="37" t="str">
        <f>INDEX(_xlfn.TEXTSPLIT(mvtst[[#This Row],[QR Suivis]],"_"),1,1)</f>
        <v>CA250033-3</v>
      </c>
      <c r="I417" s="35" t="str">
        <f>_xlfn.TEXTBEFORE(mvtst[[#This Row],[Num Suivis]],"-",,,1)</f>
        <v>CA250033</v>
      </c>
      <c r="J417" s="36">
        <f>SUMIF(mvtst[QR Suivis],mvtst[[#This Row],[QR Suivis]],mvtst[QTE SORTIS])-SUMIF(mvtst[QR Suivis],mvtst[[#This Row],[QR Suivis]],mvtst[QTE RETOUR])</f>
        <v>0</v>
      </c>
      <c r="K417" s="35" t="str">
        <f t="shared" si="6"/>
        <v>Usine</v>
      </c>
      <c r="L417" s="35" t="str">
        <f>_xlfn.XLOOKUP(mvtst[[#This Row],[Sous Traitant]],coordonnee_st[Identification],coordonnee_st[SERVICE],"Non Trouvé")</f>
        <v>Frange</v>
      </c>
      <c r="M417" s="35" t="str">
        <f>INDEX(_xlfn.TEXTSPLIT(mvtst[[#This Row],[QR Suivis]],"_"),1,2)</f>
        <v>All by Fouta</v>
      </c>
      <c r="N417" s="35" t="str">
        <f>INDEX(_xlfn.TEXTSPLIT(mvtst[[#This Row],[QR Suivis]],"_"),1,3)</f>
        <v>Stock</v>
      </c>
      <c r="O417" s="35" t="str">
        <f>INDEX(_xlfn.TEXTSPLIT(mvtst[[#This Row],[QR Suivis]],"_"),1,4)</f>
        <v>UNS2020-23</v>
      </c>
      <c r="P417" s="35" t="str">
        <f>INDEX(_xlfn.TEXTSPLIT(mvtst[[#This Row],[QR Suivis]],"_"),1,5)</f>
        <v>UNI SURPIQUE</v>
      </c>
      <c r="Q417" s="35" t="str">
        <f>_xlfn.TEXTAFTER(mvtst[[#This Row],[QR Suivis]],"_",5)</f>
        <v>2020</v>
      </c>
      <c r="R417" s="84" t="str">
        <f>IF(
   COUNTIFS($A$2:A417,A417,
             $B$2:B417,B417,
             $C$2:C417,C417,
             $D$2:D417,D417,
             $G$2:G417,G417)&gt;1,
   "Doublon",
   "Correcte"
)</f>
        <v>Correcte</v>
      </c>
    </row>
    <row r="418" spans="1:18" x14ac:dyDescent="0.25">
      <c r="A418" s="104" t="s">
        <v>1632</v>
      </c>
      <c r="B418" s="35" t="s">
        <v>596</v>
      </c>
      <c r="C418" s="36">
        <v>5</v>
      </c>
      <c r="D418" s="36">
        <v>0</v>
      </c>
      <c r="E418" s="35"/>
      <c r="F418" s="35" t="s">
        <v>664</v>
      </c>
      <c r="G418" s="37">
        <v>45925</v>
      </c>
      <c r="H418" s="37" t="str">
        <f>INDEX(_xlfn.TEXTSPLIT(mvtst[[#This Row],[QR Suivis]],"_"),1,1)</f>
        <v>CA250033-1</v>
      </c>
      <c r="I418" s="35" t="str">
        <f>_xlfn.TEXTBEFORE(mvtst[[#This Row],[Num Suivis]],"-",,,1)</f>
        <v>CA250033</v>
      </c>
      <c r="J418" s="36">
        <f>SUMIF(mvtst[QR Suivis],mvtst[[#This Row],[QR Suivis]],mvtst[QTE SORTIS])-SUMIF(mvtst[QR Suivis],mvtst[[#This Row],[QR Suivis]],mvtst[QTE RETOUR])</f>
        <v>0</v>
      </c>
      <c r="K418" s="35" t="str">
        <f t="shared" si="6"/>
        <v>Usine</v>
      </c>
      <c r="L418" s="35" t="str">
        <f>_xlfn.XLOOKUP(mvtst[[#This Row],[Sous Traitant]],coordonnee_st[Identification],coordonnee_st[SERVICE],"Non Trouvé")</f>
        <v>Frange</v>
      </c>
      <c r="M418" s="35" t="str">
        <f>INDEX(_xlfn.TEXTSPLIT(mvtst[[#This Row],[QR Suivis]],"_"),1,2)</f>
        <v>All by Fouta</v>
      </c>
      <c r="N418" s="35" t="str">
        <f>INDEX(_xlfn.TEXTSPLIT(mvtst[[#This Row],[QR Suivis]],"_"),1,3)</f>
        <v>Stock</v>
      </c>
      <c r="O418" s="35" t="str">
        <f>INDEX(_xlfn.TEXTSPLIT(mvtst[[#This Row],[QR Suivis]],"_"),1,4)</f>
        <v>UNS2020-23</v>
      </c>
      <c r="P418" s="35" t="str">
        <f>INDEX(_xlfn.TEXTSPLIT(mvtst[[#This Row],[QR Suivis]],"_"),1,5)</f>
        <v>UNI SURPIQUE</v>
      </c>
      <c r="Q418" s="35" t="str">
        <f>_xlfn.TEXTAFTER(mvtst[[#This Row],[QR Suivis]],"_",5)</f>
        <v>2020</v>
      </c>
      <c r="R418" s="84" t="str">
        <f>IF(
   COUNTIFS($A$2:A418,A418,
             $B$2:B418,B418,
             $C$2:C418,C418,
             $D$2:D418,D418,
             $G$2:G418,G418)&gt;1,
   "Doublon",
   "Correcte"
)</f>
        <v>Correcte</v>
      </c>
    </row>
    <row r="419" spans="1:18" x14ac:dyDescent="0.25">
      <c r="A419" s="104" t="s">
        <v>1633</v>
      </c>
      <c r="B419" s="35" t="s">
        <v>596</v>
      </c>
      <c r="C419" s="36">
        <v>1</v>
      </c>
      <c r="D419" s="36">
        <v>0</v>
      </c>
      <c r="E419" s="35"/>
      <c r="F419" s="35" t="s">
        <v>664</v>
      </c>
      <c r="G419" s="37">
        <v>45925</v>
      </c>
      <c r="H419" s="37" t="str">
        <f>INDEX(_xlfn.TEXTSPLIT(mvtst[[#This Row],[QR Suivis]],"_"),1,1)</f>
        <v>CA250033-7</v>
      </c>
      <c r="I419" s="35" t="str">
        <f>_xlfn.TEXTBEFORE(mvtst[[#This Row],[Num Suivis]],"-",,,1)</f>
        <v>CA250033</v>
      </c>
      <c r="J419" s="36">
        <f>SUMIF(mvtst[QR Suivis],mvtst[[#This Row],[QR Suivis]],mvtst[QTE SORTIS])-SUMIF(mvtst[QR Suivis],mvtst[[#This Row],[QR Suivis]],mvtst[QTE RETOUR])</f>
        <v>0</v>
      </c>
      <c r="K419" s="35" t="str">
        <f t="shared" si="6"/>
        <v>Usine</v>
      </c>
      <c r="L419" s="35" t="str">
        <f>_xlfn.XLOOKUP(mvtst[[#This Row],[Sous Traitant]],coordonnee_st[Identification],coordonnee_st[SERVICE],"Non Trouvé")</f>
        <v>Frange</v>
      </c>
      <c r="M419" s="35" t="str">
        <f>INDEX(_xlfn.TEXTSPLIT(mvtst[[#This Row],[QR Suivis]],"_"),1,2)</f>
        <v>All by Fouta</v>
      </c>
      <c r="N419" s="35" t="str">
        <f>INDEX(_xlfn.TEXTSPLIT(mvtst[[#This Row],[QR Suivis]],"_"),1,3)</f>
        <v>Stock</v>
      </c>
      <c r="O419" s="35" t="str">
        <f>INDEX(_xlfn.TEXTSPLIT(mvtst[[#This Row],[QR Suivis]],"_"),1,4)</f>
        <v>UNS2020-23</v>
      </c>
      <c r="P419" s="35" t="str">
        <f>INDEX(_xlfn.TEXTSPLIT(mvtst[[#This Row],[QR Suivis]],"_"),1,5)</f>
        <v>UNI SURPIQUE</v>
      </c>
      <c r="Q419" s="35" t="str">
        <f>_xlfn.TEXTAFTER(mvtst[[#This Row],[QR Suivis]],"_",5)</f>
        <v>2020</v>
      </c>
      <c r="R419" s="84" t="str">
        <f>IF(
   COUNTIFS($A$2:A419,A419,
             $B$2:B419,B419,
             $C$2:C419,C419,
             $D$2:D419,D419,
             $G$2:G419,G419)&gt;1,
   "Doublon",
   "Correcte"
)</f>
        <v>Correcte</v>
      </c>
    </row>
    <row r="420" spans="1:18" x14ac:dyDescent="0.25">
      <c r="A420" s="104" t="s">
        <v>1634</v>
      </c>
      <c r="B420" s="35" t="s">
        <v>596</v>
      </c>
      <c r="C420" s="36">
        <v>5</v>
      </c>
      <c r="D420" s="36">
        <v>0</v>
      </c>
      <c r="E420" s="35"/>
      <c r="F420" s="35" t="s">
        <v>664</v>
      </c>
      <c r="G420" s="37">
        <v>45925</v>
      </c>
      <c r="H420" s="37" t="str">
        <f>INDEX(_xlfn.TEXTSPLIT(mvtst[[#This Row],[QR Suivis]],"_"),1,1)</f>
        <v>CA250033-2</v>
      </c>
      <c r="I420" s="35" t="str">
        <f>_xlfn.TEXTBEFORE(mvtst[[#This Row],[Num Suivis]],"-",,,1)</f>
        <v>CA250033</v>
      </c>
      <c r="J420" s="36">
        <f>SUMIF(mvtst[QR Suivis],mvtst[[#This Row],[QR Suivis]],mvtst[QTE SORTIS])-SUMIF(mvtst[QR Suivis],mvtst[[#This Row],[QR Suivis]],mvtst[QTE RETOUR])</f>
        <v>0</v>
      </c>
      <c r="K420" s="35" t="str">
        <f t="shared" si="6"/>
        <v>Usine</v>
      </c>
      <c r="L420" s="35" t="str">
        <f>_xlfn.XLOOKUP(mvtst[[#This Row],[Sous Traitant]],coordonnee_st[Identification],coordonnee_st[SERVICE],"Non Trouvé")</f>
        <v>Frange</v>
      </c>
      <c r="M420" s="35" t="str">
        <f>INDEX(_xlfn.TEXTSPLIT(mvtst[[#This Row],[QR Suivis]],"_"),1,2)</f>
        <v>All by Fouta</v>
      </c>
      <c r="N420" s="35" t="str">
        <f>INDEX(_xlfn.TEXTSPLIT(mvtst[[#This Row],[QR Suivis]],"_"),1,3)</f>
        <v>Stock</v>
      </c>
      <c r="O420" s="35" t="str">
        <f>INDEX(_xlfn.TEXTSPLIT(mvtst[[#This Row],[QR Suivis]],"_"),1,4)</f>
        <v>UNS2020-23</v>
      </c>
      <c r="P420" s="35" t="str">
        <f>INDEX(_xlfn.TEXTSPLIT(mvtst[[#This Row],[QR Suivis]],"_"),1,5)</f>
        <v>UNI SURPIQUE</v>
      </c>
      <c r="Q420" s="35" t="str">
        <f>_xlfn.TEXTAFTER(mvtst[[#This Row],[QR Suivis]],"_",5)</f>
        <v>2020</v>
      </c>
      <c r="R420" s="84" t="str">
        <f>IF(
   COUNTIFS($A$2:A420,A420,
             $B$2:B420,B420,
             $C$2:C420,C420,
             $D$2:D420,D420,
             $G$2:G420,G420)&gt;1,
   "Doublon",
   "Correcte"
)</f>
        <v>Correcte</v>
      </c>
    </row>
    <row r="421" spans="1:18" x14ac:dyDescent="0.25">
      <c r="A421" s="104" t="s">
        <v>1362</v>
      </c>
      <c r="B421" s="35" t="s">
        <v>596</v>
      </c>
      <c r="C421" s="36">
        <v>0</v>
      </c>
      <c r="D421" s="36">
        <v>5</v>
      </c>
      <c r="E421" s="35"/>
      <c r="F421" s="35" t="s">
        <v>664</v>
      </c>
      <c r="G421" s="37">
        <v>45925</v>
      </c>
      <c r="H421" s="37" t="str">
        <f>INDEX(_xlfn.TEXTSPLIT(mvtst[[#This Row],[QR Suivis]],"_"),1,1)</f>
        <v>CA250391-11</v>
      </c>
      <c r="I421" s="35" t="str">
        <f>_xlfn.TEXTBEFORE(mvtst[[#This Row],[Num Suivis]],"-",,,1)</f>
        <v>CA250391</v>
      </c>
      <c r="J421" s="36">
        <f>SUMIF(mvtst[QR Suivis],mvtst[[#This Row],[QR Suivis]],mvtst[QTE SORTIS])-SUMIF(mvtst[QR Suivis],mvtst[[#This Row],[QR Suivis]],mvtst[QTE RETOUR])</f>
        <v>0</v>
      </c>
      <c r="K421" s="35" t="str">
        <f t="shared" si="6"/>
        <v>Usine</v>
      </c>
      <c r="L421" s="35" t="str">
        <f>_xlfn.XLOOKUP(mvtst[[#This Row],[Sous Traitant]],coordonnee_st[Identification],coordonnee_st[SERVICE],"Non Trouvé")</f>
        <v>Frange</v>
      </c>
      <c r="M421" s="35" t="str">
        <f>INDEX(_xlfn.TEXTSPLIT(mvtst[[#This Row],[QR Suivis]],"_"),1,2)</f>
        <v>All by Fouta</v>
      </c>
      <c r="N421" s="35" t="str">
        <f>INDEX(_xlfn.TEXTSPLIT(mvtst[[#This Row],[QR Suivis]],"_"),1,3)</f>
        <v>Stock</v>
      </c>
      <c r="O421" s="35" t="str">
        <f>INDEX(_xlfn.TEXTSPLIT(mvtst[[#This Row],[QR Suivis]],"_"),1,4)</f>
        <v>BE1020-Q04-24-20</v>
      </c>
      <c r="P421" s="35" t="str">
        <f>INDEX(_xlfn.TEXTSPLIT(mvtst[[#This Row],[QR Suivis]],"_"),1,5)</f>
        <v>BERBER</v>
      </c>
      <c r="Q421" s="35" t="str">
        <f>_xlfn.TEXTAFTER(mvtst[[#This Row],[QR Suivis]],"_",5)</f>
        <v>1020</v>
      </c>
      <c r="R421" s="84" t="str">
        <f>IF(
   COUNTIFS($A$2:A421,A421,
             $B$2:B421,B421,
             $C$2:C421,C421,
             $D$2:D421,D421,
             $G$2:G421,G421)&gt;1,
   "Doublon",
   "Correcte"
)</f>
        <v>Correcte</v>
      </c>
    </row>
    <row r="422" spans="1:18" x14ac:dyDescent="0.25">
      <c r="A422" s="104" t="s">
        <v>1363</v>
      </c>
      <c r="B422" s="35" t="s">
        <v>596</v>
      </c>
      <c r="C422" s="36">
        <v>0</v>
      </c>
      <c r="D422" s="36">
        <v>5</v>
      </c>
      <c r="E422" s="35"/>
      <c r="F422" s="35" t="s">
        <v>664</v>
      </c>
      <c r="G422" s="37">
        <v>45925</v>
      </c>
      <c r="H422" s="37" t="str">
        <f>INDEX(_xlfn.TEXTSPLIT(mvtst[[#This Row],[QR Suivis]],"_"),1,1)</f>
        <v>CA250391-12</v>
      </c>
      <c r="I422" s="35" t="str">
        <f>_xlfn.TEXTBEFORE(mvtst[[#This Row],[Num Suivis]],"-",,,1)</f>
        <v>CA250391</v>
      </c>
      <c r="J422" s="36">
        <f>SUMIF(mvtst[QR Suivis],mvtst[[#This Row],[QR Suivis]],mvtst[QTE SORTIS])-SUMIF(mvtst[QR Suivis],mvtst[[#This Row],[QR Suivis]],mvtst[QTE RETOUR])</f>
        <v>0</v>
      </c>
      <c r="K422" s="35" t="str">
        <f t="shared" si="6"/>
        <v>Usine</v>
      </c>
      <c r="L422" s="35" t="str">
        <f>_xlfn.XLOOKUP(mvtst[[#This Row],[Sous Traitant]],coordonnee_st[Identification],coordonnee_st[SERVICE],"Non Trouvé")</f>
        <v>Frange</v>
      </c>
      <c r="M422" s="35" t="str">
        <f>INDEX(_xlfn.TEXTSPLIT(mvtst[[#This Row],[QR Suivis]],"_"),1,2)</f>
        <v>All by Fouta</v>
      </c>
      <c r="N422" s="35" t="str">
        <f>INDEX(_xlfn.TEXTSPLIT(mvtst[[#This Row],[QR Suivis]],"_"),1,3)</f>
        <v>Stock</v>
      </c>
      <c r="O422" s="35" t="str">
        <f>INDEX(_xlfn.TEXTSPLIT(mvtst[[#This Row],[QR Suivis]],"_"),1,4)</f>
        <v>BE1020-Q04-24-20</v>
      </c>
      <c r="P422" s="35" t="str">
        <f>INDEX(_xlfn.TEXTSPLIT(mvtst[[#This Row],[QR Suivis]],"_"),1,5)</f>
        <v>BERBER</v>
      </c>
      <c r="Q422" s="35" t="str">
        <f>_xlfn.TEXTAFTER(mvtst[[#This Row],[QR Suivis]],"_",5)</f>
        <v>1020</v>
      </c>
      <c r="R422" s="84" t="str">
        <f>IF(
   COUNTIFS($A$2:A422,A422,
             $B$2:B422,B422,
             $C$2:C422,C422,
             $D$2:D422,D422,
             $G$2:G422,G422)&gt;1,
   "Doublon",
   "Correcte"
)</f>
        <v>Correcte</v>
      </c>
    </row>
    <row r="423" spans="1:18" x14ac:dyDescent="0.25">
      <c r="A423" s="104" t="s">
        <v>1635</v>
      </c>
      <c r="B423" s="35" t="s">
        <v>596</v>
      </c>
      <c r="C423" s="36">
        <v>5</v>
      </c>
      <c r="D423" s="36">
        <v>0</v>
      </c>
      <c r="E423" s="35"/>
      <c r="F423" s="35" t="s">
        <v>664</v>
      </c>
      <c r="G423" s="37">
        <v>45925</v>
      </c>
      <c r="H423" s="37" t="str">
        <f>INDEX(_xlfn.TEXTSPLIT(mvtst[[#This Row],[QR Suivis]],"_"),1,1)</f>
        <v>CA250023-1</v>
      </c>
      <c r="I423" s="35" t="str">
        <f>_xlfn.TEXTBEFORE(mvtst[[#This Row],[Num Suivis]],"-",,,1)</f>
        <v>CA250023</v>
      </c>
      <c r="J423" s="36">
        <f>SUMIF(mvtst[QR Suivis],mvtst[[#This Row],[QR Suivis]],mvtst[QTE SORTIS])-SUMIF(mvtst[QR Suivis],mvtst[[#This Row],[QR Suivis]],mvtst[QTE RETOUR])</f>
        <v>0</v>
      </c>
      <c r="K423" s="35" t="str">
        <f t="shared" si="6"/>
        <v>Usine</v>
      </c>
      <c r="L423" s="35" t="str">
        <f>_xlfn.XLOOKUP(mvtst[[#This Row],[Sous Traitant]],coordonnee_st[Identification],coordonnee_st[SERVICE],"Non Trouvé")</f>
        <v>Frange</v>
      </c>
      <c r="M423" s="35" t="str">
        <f>INDEX(_xlfn.TEXTSPLIT(mvtst[[#This Row],[QR Suivis]],"_"),1,2)</f>
        <v>All by Fouta</v>
      </c>
      <c r="N423" s="35" t="str">
        <f>INDEX(_xlfn.TEXTSPLIT(mvtst[[#This Row],[QR Suivis]],"_"),1,3)</f>
        <v>Stock</v>
      </c>
      <c r="O423" s="35" t="str">
        <f>INDEX(_xlfn.TEXTSPLIT(mvtst[[#This Row],[QR Suivis]],"_"),1,4)</f>
        <v>UNS2020-06</v>
      </c>
      <c r="P423" s="35" t="str">
        <f>INDEX(_xlfn.TEXTSPLIT(mvtst[[#This Row],[QR Suivis]],"_"),1,5)</f>
        <v>UNI SURPIQUE</v>
      </c>
      <c r="Q423" s="35" t="str">
        <f>_xlfn.TEXTAFTER(mvtst[[#This Row],[QR Suivis]],"_",5)</f>
        <v>2020</v>
      </c>
      <c r="R423" s="84" t="str">
        <f>IF(
   COUNTIFS($A$2:A423,A423,
             $B$2:B423,B423,
             $C$2:C423,C423,
             $D$2:D423,D423,
             $G$2:G423,G423)&gt;1,
   "Doublon",
   "Correcte"
)</f>
        <v>Correcte</v>
      </c>
    </row>
    <row r="424" spans="1:18" x14ac:dyDescent="0.25">
      <c r="A424" s="104" t="s">
        <v>1636</v>
      </c>
      <c r="B424" s="35" t="s">
        <v>596</v>
      </c>
      <c r="C424" s="36">
        <v>5</v>
      </c>
      <c r="D424" s="36">
        <v>0</v>
      </c>
      <c r="E424" s="35"/>
      <c r="F424" s="35" t="s">
        <v>664</v>
      </c>
      <c r="G424" s="37">
        <v>45925</v>
      </c>
      <c r="H424" s="37" t="str">
        <f>INDEX(_xlfn.TEXTSPLIT(mvtst[[#This Row],[QR Suivis]],"_"),1,1)</f>
        <v>CA250023-5</v>
      </c>
      <c r="I424" s="35" t="str">
        <f>_xlfn.TEXTBEFORE(mvtst[[#This Row],[Num Suivis]],"-",,,1)</f>
        <v>CA250023</v>
      </c>
      <c r="J424" s="36">
        <f>SUMIF(mvtst[QR Suivis],mvtst[[#This Row],[QR Suivis]],mvtst[QTE SORTIS])-SUMIF(mvtst[QR Suivis],mvtst[[#This Row],[QR Suivis]],mvtst[QTE RETOUR])</f>
        <v>0</v>
      </c>
      <c r="K424" s="35" t="str">
        <f t="shared" si="6"/>
        <v>Usine</v>
      </c>
      <c r="L424" s="35" t="str">
        <f>_xlfn.XLOOKUP(mvtst[[#This Row],[Sous Traitant]],coordonnee_st[Identification],coordonnee_st[SERVICE],"Non Trouvé")</f>
        <v>Frange</v>
      </c>
      <c r="M424" s="35" t="str">
        <f>INDEX(_xlfn.TEXTSPLIT(mvtst[[#This Row],[QR Suivis]],"_"),1,2)</f>
        <v>All by Fouta</v>
      </c>
      <c r="N424" s="35" t="str">
        <f>INDEX(_xlfn.TEXTSPLIT(mvtst[[#This Row],[QR Suivis]],"_"),1,3)</f>
        <v>Stock</v>
      </c>
      <c r="O424" s="35" t="str">
        <f>INDEX(_xlfn.TEXTSPLIT(mvtst[[#This Row],[QR Suivis]],"_"),1,4)</f>
        <v>UNS2020-06</v>
      </c>
      <c r="P424" s="35" t="str">
        <f>INDEX(_xlfn.TEXTSPLIT(mvtst[[#This Row],[QR Suivis]],"_"),1,5)</f>
        <v>UNI SURPIQUE</v>
      </c>
      <c r="Q424" s="35" t="str">
        <f>_xlfn.TEXTAFTER(mvtst[[#This Row],[QR Suivis]],"_",5)</f>
        <v>2020</v>
      </c>
      <c r="R424" s="84" t="str">
        <f>IF(
   COUNTIFS($A$2:A424,A424,
             $B$2:B424,B424,
             $C$2:C424,C424,
             $D$2:D424,D424,
             $G$2:G424,G424)&gt;1,
   "Doublon",
   "Correcte"
)</f>
        <v>Correcte</v>
      </c>
    </row>
    <row r="425" spans="1:18" x14ac:dyDescent="0.25">
      <c r="A425" s="104" t="s">
        <v>1637</v>
      </c>
      <c r="B425" s="35" t="s">
        <v>596</v>
      </c>
      <c r="C425" s="36">
        <v>5</v>
      </c>
      <c r="D425" s="36">
        <v>0</v>
      </c>
      <c r="E425" s="35"/>
      <c r="F425" s="35" t="s">
        <v>664</v>
      </c>
      <c r="G425" s="37">
        <v>45925</v>
      </c>
      <c r="H425" s="37" t="str">
        <f>INDEX(_xlfn.TEXTSPLIT(mvtst[[#This Row],[QR Suivis]],"_"),1,1)</f>
        <v>CA250023-3</v>
      </c>
      <c r="I425" s="35" t="str">
        <f>_xlfn.TEXTBEFORE(mvtst[[#This Row],[Num Suivis]],"-",,,1)</f>
        <v>CA250023</v>
      </c>
      <c r="J425" s="36">
        <f>SUMIF(mvtst[QR Suivis],mvtst[[#This Row],[QR Suivis]],mvtst[QTE SORTIS])-SUMIF(mvtst[QR Suivis],mvtst[[#This Row],[QR Suivis]],mvtst[QTE RETOUR])</f>
        <v>0</v>
      </c>
      <c r="K425" s="35" t="str">
        <f t="shared" si="6"/>
        <v>Usine</v>
      </c>
      <c r="L425" s="35" t="str">
        <f>_xlfn.XLOOKUP(mvtst[[#This Row],[Sous Traitant]],coordonnee_st[Identification],coordonnee_st[SERVICE],"Non Trouvé")</f>
        <v>Frange</v>
      </c>
      <c r="M425" s="35" t="str">
        <f>INDEX(_xlfn.TEXTSPLIT(mvtst[[#This Row],[QR Suivis]],"_"),1,2)</f>
        <v>All by Fouta</v>
      </c>
      <c r="N425" s="35" t="str">
        <f>INDEX(_xlfn.TEXTSPLIT(mvtst[[#This Row],[QR Suivis]],"_"),1,3)</f>
        <v>Stock</v>
      </c>
      <c r="O425" s="35" t="str">
        <f>INDEX(_xlfn.TEXTSPLIT(mvtst[[#This Row],[QR Suivis]],"_"),1,4)</f>
        <v>UNS2020-06</v>
      </c>
      <c r="P425" s="35" t="str">
        <f>INDEX(_xlfn.TEXTSPLIT(mvtst[[#This Row],[QR Suivis]],"_"),1,5)</f>
        <v>UNI SURPIQUE</v>
      </c>
      <c r="Q425" s="35" t="str">
        <f>_xlfn.TEXTAFTER(mvtst[[#This Row],[QR Suivis]],"_",5)</f>
        <v>2020</v>
      </c>
      <c r="R425" s="84" t="str">
        <f>IF(
   COUNTIFS($A$2:A425,A425,
             $B$2:B425,B425,
             $C$2:C425,C425,
             $D$2:D425,D425,
             $G$2:G425,G425)&gt;1,
   "Doublon",
   "Correcte"
)</f>
        <v>Correcte</v>
      </c>
    </row>
    <row r="426" spans="1:18" x14ac:dyDescent="0.25">
      <c r="A426" s="104" t="s">
        <v>1638</v>
      </c>
      <c r="B426" s="35" t="s">
        <v>596</v>
      </c>
      <c r="C426" s="36">
        <v>5</v>
      </c>
      <c r="D426" s="36">
        <v>0</v>
      </c>
      <c r="E426" s="35"/>
      <c r="F426" s="35" t="s">
        <v>664</v>
      </c>
      <c r="G426" s="37">
        <v>45925</v>
      </c>
      <c r="H426" s="37" t="str">
        <f>INDEX(_xlfn.TEXTSPLIT(mvtst[[#This Row],[QR Suivis]],"_"),1,1)</f>
        <v>CA250023-2</v>
      </c>
      <c r="I426" s="35" t="str">
        <f>_xlfn.TEXTBEFORE(mvtst[[#This Row],[Num Suivis]],"-",,,1)</f>
        <v>CA250023</v>
      </c>
      <c r="J426" s="36">
        <f>SUMIF(mvtst[QR Suivis],mvtst[[#This Row],[QR Suivis]],mvtst[QTE SORTIS])-SUMIF(mvtst[QR Suivis],mvtst[[#This Row],[QR Suivis]],mvtst[QTE RETOUR])</f>
        <v>0</v>
      </c>
      <c r="K426" s="35" t="str">
        <f t="shared" si="6"/>
        <v>Usine</v>
      </c>
      <c r="L426" s="35" t="str">
        <f>_xlfn.XLOOKUP(mvtst[[#This Row],[Sous Traitant]],coordonnee_st[Identification],coordonnee_st[SERVICE],"Non Trouvé")</f>
        <v>Frange</v>
      </c>
      <c r="M426" s="35" t="str">
        <f>INDEX(_xlfn.TEXTSPLIT(mvtst[[#This Row],[QR Suivis]],"_"),1,2)</f>
        <v>All by Fouta</v>
      </c>
      <c r="N426" s="35" t="str">
        <f>INDEX(_xlfn.TEXTSPLIT(mvtst[[#This Row],[QR Suivis]],"_"),1,3)</f>
        <v>Stock</v>
      </c>
      <c r="O426" s="35" t="str">
        <f>INDEX(_xlfn.TEXTSPLIT(mvtst[[#This Row],[QR Suivis]],"_"),1,4)</f>
        <v>UNS2020-06</v>
      </c>
      <c r="P426" s="35" t="str">
        <f>INDEX(_xlfn.TEXTSPLIT(mvtst[[#This Row],[QR Suivis]],"_"),1,5)</f>
        <v>UNI SURPIQUE</v>
      </c>
      <c r="Q426" s="35" t="str">
        <f>_xlfn.TEXTAFTER(mvtst[[#This Row],[QR Suivis]],"_",5)</f>
        <v>2020</v>
      </c>
      <c r="R426" s="84" t="str">
        <f>IF(
   COUNTIFS($A$2:A426,A426,
             $B$2:B426,B426,
             $C$2:C426,C426,
             $D$2:D426,D426,
             $G$2:G426,G426)&gt;1,
   "Doublon",
   "Correcte"
)</f>
        <v>Correcte</v>
      </c>
    </row>
    <row r="427" spans="1:18" x14ac:dyDescent="0.25">
      <c r="A427" s="104" t="s">
        <v>1372</v>
      </c>
      <c r="B427" s="35" t="s">
        <v>596</v>
      </c>
      <c r="C427" s="36">
        <v>0</v>
      </c>
      <c r="D427" s="36">
        <v>5</v>
      </c>
      <c r="E427" s="35"/>
      <c r="F427" s="35" t="s">
        <v>664</v>
      </c>
      <c r="G427" s="37">
        <v>45925</v>
      </c>
      <c r="H427" s="37" t="str">
        <f>INDEX(_xlfn.TEXTSPLIT(mvtst[[#This Row],[QR Suivis]],"_"),1,1)</f>
        <v>CA250473-1</v>
      </c>
      <c r="I427" s="35" t="str">
        <f>_xlfn.TEXTBEFORE(mvtst[[#This Row],[Num Suivis]],"-",,,1)</f>
        <v>CA250473</v>
      </c>
      <c r="J427" s="36">
        <f>SUMIF(mvtst[QR Suivis],mvtst[[#This Row],[QR Suivis]],mvtst[QTE SORTIS])-SUMIF(mvtst[QR Suivis],mvtst[[#This Row],[QR Suivis]],mvtst[QTE RETOUR])</f>
        <v>0</v>
      </c>
      <c r="K427" s="35" t="str">
        <f t="shared" si="6"/>
        <v>Usine</v>
      </c>
      <c r="L427" s="35" t="str">
        <f>_xlfn.XLOOKUP(mvtst[[#This Row],[Sous Traitant]],coordonnee_st[Identification],coordonnee_st[SERVICE],"Non Trouvé")</f>
        <v>Frange</v>
      </c>
      <c r="M427" s="35" t="str">
        <f>INDEX(_xlfn.TEXTSPLIT(mvtst[[#This Row],[QR Suivis]],"_"),1,2)</f>
        <v>All by Fouta</v>
      </c>
      <c r="N427" s="35" t="str">
        <f>INDEX(_xlfn.TEXTSPLIT(mvtst[[#This Row],[QR Suivis]],"_"),1,3)</f>
        <v>Stock</v>
      </c>
      <c r="O427" s="35" t="str">
        <f>INDEX(_xlfn.TEXTSPLIT(mvtst[[#This Row],[QR Suivis]],"_"),1,4)</f>
        <v>FAF1020-B18-19</v>
      </c>
      <c r="P427" s="35" t="str">
        <f>INDEX(_xlfn.TEXTSPLIT(mvtst[[#This Row],[QR Suivis]],"_"),1,5)</f>
        <v>FIL A FIL</v>
      </c>
      <c r="Q427" s="35" t="str">
        <f>_xlfn.TEXTAFTER(mvtst[[#This Row],[QR Suivis]],"_",5)</f>
        <v>1020</v>
      </c>
      <c r="R427" s="84" t="str">
        <f>IF(
   COUNTIFS($A$2:A427,A427,
             $B$2:B427,B427,
             $C$2:C427,C427,
             $D$2:D427,D427,
             $G$2:G427,G427)&gt;1,
   "Doublon",
   "Correcte"
)</f>
        <v>Correcte</v>
      </c>
    </row>
    <row r="428" spans="1:18" x14ac:dyDescent="0.25">
      <c r="A428" s="104" t="s">
        <v>1373</v>
      </c>
      <c r="B428" s="35" t="s">
        <v>596</v>
      </c>
      <c r="C428" s="36">
        <v>0</v>
      </c>
      <c r="D428" s="36">
        <v>5</v>
      </c>
      <c r="E428" s="35"/>
      <c r="F428" s="35" t="s">
        <v>664</v>
      </c>
      <c r="G428" s="37">
        <v>45925</v>
      </c>
      <c r="H428" s="37" t="str">
        <f>INDEX(_xlfn.TEXTSPLIT(mvtst[[#This Row],[QR Suivis]],"_"),1,1)</f>
        <v>CA250473-6</v>
      </c>
      <c r="I428" s="35" t="str">
        <f>_xlfn.TEXTBEFORE(mvtst[[#This Row],[Num Suivis]],"-",,,1)</f>
        <v>CA250473</v>
      </c>
      <c r="J428" s="36">
        <f>SUMIF(mvtst[QR Suivis],mvtst[[#This Row],[QR Suivis]],mvtst[QTE SORTIS])-SUMIF(mvtst[QR Suivis],mvtst[[#This Row],[QR Suivis]],mvtst[QTE RETOUR])</f>
        <v>0</v>
      </c>
      <c r="K428" s="35" t="str">
        <f t="shared" si="6"/>
        <v>Usine</v>
      </c>
      <c r="L428" s="35" t="str">
        <f>_xlfn.XLOOKUP(mvtst[[#This Row],[Sous Traitant]],coordonnee_st[Identification],coordonnee_st[SERVICE],"Non Trouvé")</f>
        <v>Frange</v>
      </c>
      <c r="M428" s="35" t="str">
        <f>INDEX(_xlfn.TEXTSPLIT(mvtst[[#This Row],[QR Suivis]],"_"),1,2)</f>
        <v>All by Fouta</v>
      </c>
      <c r="N428" s="35" t="str">
        <f>INDEX(_xlfn.TEXTSPLIT(mvtst[[#This Row],[QR Suivis]],"_"),1,3)</f>
        <v>Stock</v>
      </c>
      <c r="O428" s="35" t="str">
        <f>INDEX(_xlfn.TEXTSPLIT(mvtst[[#This Row],[QR Suivis]],"_"),1,4)</f>
        <v>FAF1020-B18-19</v>
      </c>
      <c r="P428" s="35" t="str">
        <f>INDEX(_xlfn.TEXTSPLIT(mvtst[[#This Row],[QR Suivis]],"_"),1,5)</f>
        <v>FIL A FIL</v>
      </c>
      <c r="Q428" s="35" t="str">
        <f>_xlfn.TEXTAFTER(mvtst[[#This Row],[QR Suivis]],"_",5)</f>
        <v>1020</v>
      </c>
      <c r="R428" s="84" t="str">
        <f>IF(
   COUNTIFS($A$2:A428,A428,
             $B$2:B428,B428,
             $C$2:C428,C428,
             $D$2:D428,D428,
             $G$2:G428,G428)&gt;1,
   "Doublon",
   "Correcte"
)</f>
        <v>Correcte</v>
      </c>
    </row>
    <row r="429" spans="1:18" x14ac:dyDescent="0.25">
      <c r="A429" s="104" t="s">
        <v>1374</v>
      </c>
      <c r="B429" s="35" t="s">
        <v>596</v>
      </c>
      <c r="C429" s="36">
        <v>0</v>
      </c>
      <c r="D429" s="36">
        <v>5</v>
      </c>
      <c r="E429" s="35"/>
      <c r="F429" s="35" t="s">
        <v>664</v>
      </c>
      <c r="G429" s="37">
        <v>45925</v>
      </c>
      <c r="H429" s="37" t="str">
        <f>INDEX(_xlfn.TEXTSPLIT(mvtst[[#This Row],[QR Suivis]],"_"),1,1)</f>
        <v>CA250473-7</v>
      </c>
      <c r="I429" s="35" t="str">
        <f>_xlfn.TEXTBEFORE(mvtst[[#This Row],[Num Suivis]],"-",,,1)</f>
        <v>CA250473</v>
      </c>
      <c r="J429" s="36">
        <f>SUMIF(mvtst[QR Suivis],mvtst[[#This Row],[QR Suivis]],mvtst[QTE SORTIS])-SUMIF(mvtst[QR Suivis],mvtst[[#This Row],[QR Suivis]],mvtst[QTE RETOUR])</f>
        <v>0</v>
      </c>
      <c r="K429" s="35" t="str">
        <f t="shared" si="6"/>
        <v>Usine</v>
      </c>
      <c r="L429" s="35" t="str">
        <f>_xlfn.XLOOKUP(mvtst[[#This Row],[Sous Traitant]],coordonnee_st[Identification],coordonnee_st[SERVICE],"Non Trouvé")</f>
        <v>Frange</v>
      </c>
      <c r="M429" s="35" t="str">
        <f>INDEX(_xlfn.TEXTSPLIT(mvtst[[#This Row],[QR Suivis]],"_"),1,2)</f>
        <v>All by Fouta</v>
      </c>
      <c r="N429" s="35" t="str">
        <f>INDEX(_xlfn.TEXTSPLIT(mvtst[[#This Row],[QR Suivis]],"_"),1,3)</f>
        <v>Stock</v>
      </c>
      <c r="O429" s="35" t="str">
        <f>INDEX(_xlfn.TEXTSPLIT(mvtst[[#This Row],[QR Suivis]],"_"),1,4)</f>
        <v>FAF1020-B18-19</v>
      </c>
      <c r="P429" s="35" t="str">
        <f>INDEX(_xlfn.TEXTSPLIT(mvtst[[#This Row],[QR Suivis]],"_"),1,5)</f>
        <v>FIL A FIL</v>
      </c>
      <c r="Q429" s="35" t="str">
        <f>_xlfn.TEXTAFTER(mvtst[[#This Row],[QR Suivis]],"_",5)</f>
        <v>1020</v>
      </c>
      <c r="R429" s="84" t="str">
        <f>IF(
   COUNTIFS($A$2:A429,A429,
             $B$2:B429,B429,
             $C$2:C429,C429,
             $D$2:D429,D429,
             $G$2:G429,G429)&gt;1,
   "Doublon",
   "Correcte"
)</f>
        <v>Correcte</v>
      </c>
    </row>
    <row r="430" spans="1:18" x14ac:dyDescent="0.25">
      <c r="A430" s="104" t="s">
        <v>1375</v>
      </c>
      <c r="B430" s="35" t="s">
        <v>596</v>
      </c>
      <c r="C430" s="36">
        <v>0</v>
      </c>
      <c r="D430" s="36">
        <v>5</v>
      </c>
      <c r="E430" s="35"/>
      <c r="F430" s="35" t="s">
        <v>664</v>
      </c>
      <c r="G430" s="37">
        <v>45925</v>
      </c>
      <c r="H430" s="37" t="str">
        <f>INDEX(_xlfn.TEXTSPLIT(mvtst[[#This Row],[QR Suivis]],"_"),1,1)</f>
        <v>CA250473-10</v>
      </c>
      <c r="I430" s="35" t="str">
        <f>_xlfn.TEXTBEFORE(mvtst[[#This Row],[Num Suivis]],"-",,,1)</f>
        <v>CA250473</v>
      </c>
      <c r="J430" s="36">
        <f>SUMIF(mvtst[QR Suivis],mvtst[[#This Row],[QR Suivis]],mvtst[QTE SORTIS])-SUMIF(mvtst[QR Suivis],mvtst[[#This Row],[QR Suivis]],mvtst[QTE RETOUR])</f>
        <v>0</v>
      </c>
      <c r="K430" s="35" t="str">
        <f t="shared" si="6"/>
        <v>Usine</v>
      </c>
      <c r="L430" s="35" t="str">
        <f>_xlfn.XLOOKUP(mvtst[[#This Row],[Sous Traitant]],coordonnee_st[Identification],coordonnee_st[SERVICE],"Non Trouvé")</f>
        <v>Frange</v>
      </c>
      <c r="M430" s="35" t="str">
        <f>INDEX(_xlfn.TEXTSPLIT(mvtst[[#This Row],[QR Suivis]],"_"),1,2)</f>
        <v>All by Fouta</v>
      </c>
      <c r="N430" s="35" t="str">
        <f>INDEX(_xlfn.TEXTSPLIT(mvtst[[#This Row],[QR Suivis]],"_"),1,3)</f>
        <v>Stock</v>
      </c>
      <c r="O430" s="35" t="str">
        <f>INDEX(_xlfn.TEXTSPLIT(mvtst[[#This Row],[QR Suivis]],"_"),1,4)</f>
        <v>FAF1020-B18-19</v>
      </c>
      <c r="P430" s="35" t="str">
        <f>INDEX(_xlfn.TEXTSPLIT(mvtst[[#This Row],[QR Suivis]],"_"),1,5)</f>
        <v>FIL A FIL</v>
      </c>
      <c r="Q430" s="35" t="str">
        <f>_xlfn.TEXTAFTER(mvtst[[#This Row],[QR Suivis]],"_",5)</f>
        <v>1020</v>
      </c>
      <c r="R430" s="84" t="str">
        <f>IF(
   COUNTIFS($A$2:A430,A430,
             $B$2:B430,B430,
             $C$2:C430,C430,
             $D$2:D430,D430,
             $G$2:G430,G430)&gt;1,
   "Doublon",
   "Correcte"
)</f>
        <v>Correcte</v>
      </c>
    </row>
    <row r="431" spans="1:18" x14ac:dyDescent="0.25">
      <c r="A431" s="104" t="s">
        <v>1376</v>
      </c>
      <c r="B431" s="35" t="s">
        <v>596</v>
      </c>
      <c r="C431" s="36">
        <v>0</v>
      </c>
      <c r="D431" s="36">
        <v>5</v>
      </c>
      <c r="E431" s="35"/>
      <c r="F431" s="35" t="s">
        <v>664</v>
      </c>
      <c r="G431" s="37">
        <v>45925</v>
      </c>
      <c r="H431" s="37" t="str">
        <f>INDEX(_xlfn.TEXTSPLIT(mvtst[[#This Row],[QR Suivis]],"_"),1,1)</f>
        <v>CA250473-11</v>
      </c>
      <c r="I431" s="35" t="str">
        <f>_xlfn.TEXTBEFORE(mvtst[[#This Row],[Num Suivis]],"-",,,1)</f>
        <v>CA250473</v>
      </c>
      <c r="J431" s="36">
        <f>SUMIF(mvtst[QR Suivis],mvtst[[#This Row],[QR Suivis]],mvtst[QTE SORTIS])-SUMIF(mvtst[QR Suivis],mvtst[[#This Row],[QR Suivis]],mvtst[QTE RETOUR])</f>
        <v>0</v>
      </c>
      <c r="K431" s="35" t="str">
        <f t="shared" si="6"/>
        <v>Usine</v>
      </c>
      <c r="L431" s="35" t="str">
        <f>_xlfn.XLOOKUP(mvtst[[#This Row],[Sous Traitant]],coordonnee_st[Identification],coordonnee_st[SERVICE],"Non Trouvé")</f>
        <v>Frange</v>
      </c>
      <c r="M431" s="35" t="str">
        <f>INDEX(_xlfn.TEXTSPLIT(mvtst[[#This Row],[QR Suivis]],"_"),1,2)</f>
        <v>All by Fouta</v>
      </c>
      <c r="N431" s="35" t="str">
        <f>INDEX(_xlfn.TEXTSPLIT(mvtst[[#This Row],[QR Suivis]],"_"),1,3)</f>
        <v>Stock</v>
      </c>
      <c r="O431" s="35" t="str">
        <f>INDEX(_xlfn.TEXTSPLIT(mvtst[[#This Row],[QR Suivis]],"_"),1,4)</f>
        <v>FAF1020-B18-19</v>
      </c>
      <c r="P431" s="35" t="str">
        <f>INDEX(_xlfn.TEXTSPLIT(mvtst[[#This Row],[QR Suivis]],"_"),1,5)</f>
        <v>FIL A FIL</v>
      </c>
      <c r="Q431" s="35" t="str">
        <f>_xlfn.TEXTAFTER(mvtst[[#This Row],[QR Suivis]],"_",5)</f>
        <v>1020</v>
      </c>
      <c r="R431" s="84" t="str">
        <f>IF(
   COUNTIFS($A$2:A431,A431,
             $B$2:B431,B431,
             $C$2:C431,C431,
             $D$2:D431,D431,
             $G$2:G431,G431)&gt;1,
   "Doublon",
   "Correcte"
)</f>
        <v>Correcte</v>
      </c>
    </row>
    <row r="432" spans="1:18" x14ac:dyDescent="0.25">
      <c r="A432" s="104" t="s">
        <v>1377</v>
      </c>
      <c r="B432" s="35" t="s">
        <v>596</v>
      </c>
      <c r="C432" s="36">
        <v>0</v>
      </c>
      <c r="D432" s="36">
        <v>1</v>
      </c>
      <c r="E432" s="35"/>
      <c r="F432" s="35" t="s">
        <v>664</v>
      </c>
      <c r="G432" s="37">
        <v>45925</v>
      </c>
      <c r="H432" s="37" t="str">
        <f>INDEX(_xlfn.TEXTSPLIT(mvtst[[#This Row],[QR Suivis]],"_"),1,1)</f>
        <v>CA250473-13</v>
      </c>
      <c r="I432" s="35" t="str">
        <f>_xlfn.TEXTBEFORE(mvtst[[#This Row],[Num Suivis]],"-",,,1)</f>
        <v>CA250473</v>
      </c>
      <c r="J432" s="36">
        <f>SUMIF(mvtst[QR Suivis],mvtst[[#This Row],[QR Suivis]],mvtst[QTE SORTIS])-SUMIF(mvtst[QR Suivis],mvtst[[#This Row],[QR Suivis]],mvtst[QTE RETOUR])</f>
        <v>0</v>
      </c>
      <c r="K432" s="35" t="str">
        <f t="shared" si="6"/>
        <v>Usine</v>
      </c>
      <c r="L432" s="35" t="str">
        <f>_xlfn.XLOOKUP(mvtst[[#This Row],[Sous Traitant]],coordonnee_st[Identification],coordonnee_st[SERVICE],"Non Trouvé")</f>
        <v>Frange</v>
      </c>
      <c r="M432" s="35" t="str">
        <f>INDEX(_xlfn.TEXTSPLIT(mvtst[[#This Row],[QR Suivis]],"_"),1,2)</f>
        <v>All by Fouta</v>
      </c>
      <c r="N432" s="35" t="str">
        <f>INDEX(_xlfn.TEXTSPLIT(mvtst[[#This Row],[QR Suivis]],"_"),1,3)</f>
        <v>Stock</v>
      </c>
      <c r="O432" s="35" t="str">
        <f>INDEX(_xlfn.TEXTSPLIT(mvtst[[#This Row],[QR Suivis]],"_"),1,4)</f>
        <v>FAF1020-B18-19</v>
      </c>
      <c r="P432" s="35" t="str">
        <f>INDEX(_xlfn.TEXTSPLIT(mvtst[[#This Row],[QR Suivis]],"_"),1,5)</f>
        <v>FIL A FIL</v>
      </c>
      <c r="Q432" s="35" t="str">
        <f>_xlfn.TEXTAFTER(mvtst[[#This Row],[QR Suivis]],"_",5)</f>
        <v>1020</v>
      </c>
      <c r="R432" s="84" t="str">
        <f>IF(
   COUNTIFS($A$2:A432,A432,
             $B$2:B432,B432,
             $C$2:C432,C432,
             $D$2:D432,D432,
             $G$2:G432,G432)&gt;1,
   "Doublon",
   "Correcte"
)</f>
        <v>Correcte</v>
      </c>
    </row>
    <row r="433" spans="1:18" x14ac:dyDescent="0.25">
      <c r="A433" s="104" t="s">
        <v>1639</v>
      </c>
      <c r="B433" s="35" t="s">
        <v>596</v>
      </c>
      <c r="C433" s="36">
        <v>5</v>
      </c>
      <c r="D433" s="36">
        <v>0</v>
      </c>
      <c r="E433" s="35"/>
      <c r="F433" s="35" t="s">
        <v>664</v>
      </c>
      <c r="G433" s="37">
        <v>45925</v>
      </c>
      <c r="H433" s="37" t="str">
        <f>INDEX(_xlfn.TEXTSPLIT(mvtst[[#This Row],[QR Suivis]],"_"),1,1)</f>
        <v>CA250031-4</v>
      </c>
      <c r="I433" s="35" t="str">
        <f>_xlfn.TEXTBEFORE(mvtst[[#This Row],[Num Suivis]],"-",,,1)</f>
        <v>CA250031</v>
      </c>
      <c r="J433" s="36">
        <f>SUMIF(mvtst[QR Suivis],mvtst[[#This Row],[QR Suivis]],mvtst[QTE SORTIS])-SUMIF(mvtst[QR Suivis],mvtst[[#This Row],[QR Suivis]],mvtst[QTE RETOUR])</f>
        <v>0</v>
      </c>
      <c r="K433" s="35" t="str">
        <f t="shared" si="6"/>
        <v>Usine</v>
      </c>
      <c r="L433" s="35" t="str">
        <f>_xlfn.XLOOKUP(mvtst[[#This Row],[Sous Traitant]],coordonnee_st[Identification],coordonnee_st[SERVICE],"Non Trouvé")</f>
        <v>Frange</v>
      </c>
      <c r="M433" s="35" t="str">
        <f>INDEX(_xlfn.TEXTSPLIT(mvtst[[#This Row],[QR Suivis]],"_"),1,2)</f>
        <v>All by Fouta</v>
      </c>
      <c r="N433" s="35" t="str">
        <f>INDEX(_xlfn.TEXTSPLIT(mvtst[[#This Row],[QR Suivis]],"_"),1,3)</f>
        <v>Stock</v>
      </c>
      <c r="O433" s="35" t="str">
        <f>INDEX(_xlfn.TEXTSPLIT(mvtst[[#This Row],[QR Suivis]],"_"),1,4)</f>
        <v>UNS2020-19</v>
      </c>
      <c r="P433" s="35" t="str">
        <f>INDEX(_xlfn.TEXTSPLIT(mvtst[[#This Row],[QR Suivis]],"_"),1,5)</f>
        <v>UNI SURPIQUE</v>
      </c>
      <c r="Q433" s="35" t="str">
        <f>_xlfn.TEXTAFTER(mvtst[[#This Row],[QR Suivis]],"_",5)</f>
        <v>2020</v>
      </c>
      <c r="R433" s="84" t="str">
        <f>IF(
   COUNTIFS($A$2:A433,A433,
             $B$2:B433,B433,
             $C$2:C433,C433,
             $D$2:D433,D433,
             $G$2:G433,G433)&gt;1,
   "Doublon",
   "Correcte"
)</f>
        <v>Correcte</v>
      </c>
    </row>
    <row r="434" spans="1:18" x14ac:dyDescent="0.25">
      <c r="A434" s="104" t="s">
        <v>1640</v>
      </c>
      <c r="B434" s="35" t="s">
        <v>596</v>
      </c>
      <c r="C434" s="36">
        <v>5</v>
      </c>
      <c r="D434" s="36">
        <v>0</v>
      </c>
      <c r="E434" s="35"/>
      <c r="F434" s="35" t="s">
        <v>664</v>
      </c>
      <c r="G434" s="37">
        <v>45925</v>
      </c>
      <c r="H434" s="37" t="str">
        <f>INDEX(_xlfn.TEXTSPLIT(mvtst[[#This Row],[QR Suivis]],"_"),1,1)</f>
        <v>CA250031-1</v>
      </c>
      <c r="I434" s="35" t="str">
        <f>_xlfn.TEXTBEFORE(mvtst[[#This Row],[Num Suivis]],"-",,,1)</f>
        <v>CA250031</v>
      </c>
      <c r="J434" s="36">
        <f>SUMIF(mvtst[QR Suivis],mvtst[[#This Row],[QR Suivis]],mvtst[QTE SORTIS])-SUMIF(mvtst[QR Suivis],mvtst[[#This Row],[QR Suivis]],mvtst[QTE RETOUR])</f>
        <v>0</v>
      </c>
      <c r="K434" s="35" t="str">
        <f t="shared" si="6"/>
        <v>Usine</v>
      </c>
      <c r="L434" s="35" t="str">
        <f>_xlfn.XLOOKUP(mvtst[[#This Row],[Sous Traitant]],coordonnee_st[Identification],coordonnee_st[SERVICE],"Non Trouvé")</f>
        <v>Frange</v>
      </c>
      <c r="M434" s="35" t="str">
        <f>INDEX(_xlfn.TEXTSPLIT(mvtst[[#This Row],[QR Suivis]],"_"),1,2)</f>
        <v>All by Fouta</v>
      </c>
      <c r="N434" s="35" t="str">
        <f>INDEX(_xlfn.TEXTSPLIT(mvtst[[#This Row],[QR Suivis]],"_"),1,3)</f>
        <v>Stock</v>
      </c>
      <c r="O434" s="35" t="str">
        <f>INDEX(_xlfn.TEXTSPLIT(mvtst[[#This Row],[QR Suivis]],"_"),1,4)</f>
        <v>UNS2020-19</v>
      </c>
      <c r="P434" s="35" t="str">
        <f>INDEX(_xlfn.TEXTSPLIT(mvtst[[#This Row],[QR Suivis]],"_"),1,5)</f>
        <v>UNI SURPIQUE</v>
      </c>
      <c r="Q434" s="35" t="str">
        <f>_xlfn.TEXTAFTER(mvtst[[#This Row],[QR Suivis]],"_",5)</f>
        <v>2020</v>
      </c>
      <c r="R434" s="84" t="str">
        <f>IF(
   COUNTIFS($A$2:A434,A434,
             $B$2:B434,B434,
             $C$2:C434,C434,
             $D$2:D434,D434,
             $G$2:G434,G434)&gt;1,
   "Doublon",
   "Correcte"
)</f>
        <v>Correcte</v>
      </c>
    </row>
    <row r="435" spans="1:18" x14ac:dyDescent="0.25">
      <c r="A435" s="104" t="s">
        <v>1641</v>
      </c>
      <c r="B435" s="35" t="s">
        <v>596</v>
      </c>
      <c r="C435" s="36">
        <v>5</v>
      </c>
      <c r="D435" s="36">
        <v>0</v>
      </c>
      <c r="E435" s="35"/>
      <c r="F435" s="35" t="s">
        <v>664</v>
      </c>
      <c r="G435" s="37">
        <v>45925</v>
      </c>
      <c r="H435" s="37" t="str">
        <f>INDEX(_xlfn.TEXTSPLIT(mvtst[[#This Row],[QR Suivis]],"_"),1,1)</f>
        <v>CA250031-6</v>
      </c>
      <c r="I435" s="35" t="str">
        <f>_xlfn.TEXTBEFORE(mvtst[[#This Row],[Num Suivis]],"-",,,1)</f>
        <v>CA250031</v>
      </c>
      <c r="J435" s="36">
        <f>SUMIF(mvtst[QR Suivis],mvtst[[#This Row],[QR Suivis]],mvtst[QTE SORTIS])-SUMIF(mvtst[QR Suivis],mvtst[[#This Row],[QR Suivis]],mvtst[QTE RETOUR])</f>
        <v>0</v>
      </c>
      <c r="K435" s="35" t="str">
        <f t="shared" si="6"/>
        <v>Usine</v>
      </c>
      <c r="L435" s="35" t="str">
        <f>_xlfn.XLOOKUP(mvtst[[#This Row],[Sous Traitant]],coordonnee_st[Identification],coordonnee_st[SERVICE],"Non Trouvé")</f>
        <v>Frange</v>
      </c>
      <c r="M435" s="35" t="str">
        <f>INDEX(_xlfn.TEXTSPLIT(mvtst[[#This Row],[QR Suivis]],"_"),1,2)</f>
        <v>All by Fouta</v>
      </c>
      <c r="N435" s="35" t="str">
        <f>INDEX(_xlfn.TEXTSPLIT(mvtst[[#This Row],[QR Suivis]],"_"),1,3)</f>
        <v>Stock</v>
      </c>
      <c r="O435" s="35" t="str">
        <f>INDEX(_xlfn.TEXTSPLIT(mvtst[[#This Row],[QR Suivis]],"_"),1,4)</f>
        <v>UNS2020-19</v>
      </c>
      <c r="P435" s="35" t="str">
        <f>INDEX(_xlfn.TEXTSPLIT(mvtst[[#This Row],[QR Suivis]],"_"),1,5)</f>
        <v>UNI SURPIQUE</v>
      </c>
      <c r="Q435" s="35" t="str">
        <f>_xlfn.TEXTAFTER(mvtst[[#This Row],[QR Suivis]],"_",5)</f>
        <v>2020</v>
      </c>
      <c r="R435" s="84" t="str">
        <f>IF(
   COUNTIFS($A$2:A435,A435,
             $B$2:B435,B435,
             $C$2:C435,C435,
             $D$2:D435,D435,
             $G$2:G435,G435)&gt;1,
   "Doublon",
   "Correcte"
)</f>
        <v>Correcte</v>
      </c>
    </row>
    <row r="436" spans="1:18" x14ac:dyDescent="0.25">
      <c r="A436" s="104" t="s">
        <v>1642</v>
      </c>
      <c r="B436" s="35" t="s">
        <v>596</v>
      </c>
      <c r="C436" s="36">
        <v>5</v>
      </c>
      <c r="D436" s="36">
        <v>0</v>
      </c>
      <c r="E436" s="35"/>
      <c r="F436" s="35" t="s">
        <v>664</v>
      </c>
      <c r="G436" s="37">
        <v>45925</v>
      </c>
      <c r="H436" s="37" t="str">
        <f>INDEX(_xlfn.TEXTSPLIT(mvtst[[#This Row],[QR Suivis]],"_"),1,1)</f>
        <v>CA250031-3</v>
      </c>
      <c r="I436" s="35" t="str">
        <f>_xlfn.TEXTBEFORE(mvtst[[#This Row],[Num Suivis]],"-",,,1)</f>
        <v>CA250031</v>
      </c>
      <c r="J436" s="36">
        <f>SUMIF(mvtst[QR Suivis],mvtst[[#This Row],[QR Suivis]],mvtst[QTE SORTIS])-SUMIF(mvtst[QR Suivis],mvtst[[#This Row],[QR Suivis]],mvtst[QTE RETOUR])</f>
        <v>0</v>
      </c>
      <c r="K436" s="35" t="str">
        <f t="shared" si="6"/>
        <v>Usine</v>
      </c>
      <c r="L436" s="35" t="str">
        <f>_xlfn.XLOOKUP(mvtst[[#This Row],[Sous Traitant]],coordonnee_st[Identification],coordonnee_st[SERVICE],"Non Trouvé")</f>
        <v>Frange</v>
      </c>
      <c r="M436" s="35" t="str">
        <f>INDEX(_xlfn.TEXTSPLIT(mvtst[[#This Row],[QR Suivis]],"_"),1,2)</f>
        <v>All by Fouta</v>
      </c>
      <c r="N436" s="35" t="str">
        <f>INDEX(_xlfn.TEXTSPLIT(mvtst[[#This Row],[QR Suivis]],"_"),1,3)</f>
        <v>Stock</v>
      </c>
      <c r="O436" s="35" t="str">
        <f>INDEX(_xlfn.TEXTSPLIT(mvtst[[#This Row],[QR Suivis]],"_"),1,4)</f>
        <v>UNS2020-19</v>
      </c>
      <c r="P436" s="35" t="str">
        <f>INDEX(_xlfn.TEXTSPLIT(mvtst[[#This Row],[QR Suivis]],"_"),1,5)</f>
        <v>UNI SURPIQUE</v>
      </c>
      <c r="Q436" s="35" t="str">
        <f>_xlfn.TEXTAFTER(mvtst[[#This Row],[QR Suivis]],"_",5)</f>
        <v>2020</v>
      </c>
      <c r="R436" s="84" t="str">
        <f>IF(
   COUNTIFS($A$2:A436,A436,
             $B$2:B436,B436,
             $C$2:C436,C436,
             $D$2:D436,D436,
             $G$2:G436,G436)&gt;1,
   "Doublon",
   "Correcte"
)</f>
        <v>Correcte</v>
      </c>
    </row>
    <row r="437" spans="1:18" x14ac:dyDescent="0.25">
      <c r="A437" s="104" t="s">
        <v>1643</v>
      </c>
      <c r="B437" s="35" t="s">
        <v>596</v>
      </c>
      <c r="C437" s="36">
        <v>5</v>
      </c>
      <c r="D437" s="36">
        <v>0</v>
      </c>
      <c r="E437" s="35"/>
      <c r="F437" s="35" t="s">
        <v>664</v>
      </c>
      <c r="G437" s="37">
        <v>45925</v>
      </c>
      <c r="H437" s="37" t="str">
        <f>INDEX(_xlfn.TEXTSPLIT(mvtst[[#This Row],[QR Suivis]],"_"),1,1)</f>
        <v>CA250031-5</v>
      </c>
      <c r="I437" s="35" t="str">
        <f>_xlfn.TEXTBEFORE(mvtst[[#This Row],[Num Suivis]],"-",,,1)</f>
        <v>CA250031</v>
      </c>
      <c r="J437" s="36">
        <f>SUMIF(mvtst[QR Suivis],mvtst[[#This Row],[QR Suivis]],mvtst[QTE SORTIS])-SUMIF(mvtst[QR Suivis],mvtst[[#This Row],[QR Suivis]],mvtst[QTE RETOUR])</f>
        <v>0</v>
      </c>
      <c r="K437" s="35" t="str">
        <f t="shared" si="6"/>
        <v>Usine</v>
      </c>
      <c r="L437" s="35" t="str">
        <f>_xlfn.XLOOKUP(mvtst[[#This Row],[Sous Traitant]],coordonnee_st[Identification],coordonnee_st[SERVICE],"Non Trouvé")</f>
        <v>Frange</v>
      </c>
      <c r="M437" s="35" t="str">
        <f>INDEX(_xlfn.TEXTSPLIT(mvtst[[#This Row],[QR Suivis]],"_"),1,2)</f>
        <v>All by Fouta</v>
      </c>
      <c r="N437" s="35" t="str">
        <f>INDEX(_xlfn.TEXTSPLIT(mvtst[[#This Row],[QR Suivis]],"_"),1,3)</f>
        <v>Stock</v>
      </c>
      <c r="O437" s="35" t="str">
        <f>INDEX(_xlfn.TEXTSPLIT(mvtst[[#This Row],[QR Suivis]],"_"),1,4)</f>
        <v>UNS2020-19</v>
      </c>
      <c r="P437" s="35" t="str">
        <f>INDEX(_xlfn.TEXTSPLIT(mvtst[[#This Row],[QR Suivis]],"_"),1,5)</f>
        <v>UNI SURPIQUE</v>
      </c>
      <c r="Q437" s="35" t="str">
        <f>_xlfn.TEXTAFTER(mvtst[[#This Row],[QR Suivis]],"_",5)</f>
        <v>2020</v>
      </c>
      <c r="R437" s="84" t="str">
        <f>IF(
   COUNTIFS($A$2:A437,A437,
             $B$2:B437,B437,
             $C$2:C437,C437,
             $D$2:D437,D437,
             $G$2:G437,G437)&gt;1,
   "Doublon",
   "Correcte"
)</f>
        <v>Correcte</v>
      </c>
    </row>
    <row r="438" spans="1:18" x14ac:dyDescent="0.25">
      <c r="A438" s="104" t="s">
        <v>1644</v>
      </c>
      <c r="B438" s="35" t="s">
        <v>596</v>
      </c>
      <c r="C438" s="36">
        <v>5</v>
      </c>
      <c r="D438" s="36">
        <v>0</v>
      </c>
      <c r="E438" s="35"/>
      <c r="F438" s="35" t="s">
        <v>664</v>
      </c>
      <c r="G438" s="37">
        <v>45925</v>
      </c>
      <c r="H438" s="37" t="str">
        <f>INDEX(_xlfn.TEXTSPLIT(mvtst[[#This Row],[QR Suivis]],"_"),1,1)</f>
        <v>CA250031-2</v>
      </c>
      <c r="I438" s="35" t="str">
        <f>_xlfn.TEXTBEFORE(mvtst[[#This Row],[Num Suivis]],"-",,,1)</f>
        <v>CA250031</v>
      </c>
      <c r="J438" s="36">
        <f>SUMIF(mvtst[QR Suivis],mvtst[[#This Row],[QR Suivis]],mvtst[QTE SORTIS])-SUMIF(mvtst[QR Suivis],mvtst[[#This Row],[QR Suivis]],mvtst[QTE RETOUR])</f>
        <v>0</v>
      </c>
      <c r="K438" s="35" t="str">
        <f t="shared" si="6"/>
        <v>Usine</v>
      </c>
      <c r="L438" s="35" t="str">
        <f>_xlfn.XLOOKUP(mvtst[[#This Row],[Sous Traitant]],coordonnee_st[Identification],coordonnee_st[SERVICE],"Non Trouvé")</f>
        <v>Frange</v>
      </c>
      <c r="M438" s="35" t="str">
        <f>INDEX(_xlfn.TEXTSPLIT(mvtst[[#This Row],[QR Suivis]],"_"),1,2)</f>
        <v>All by Fouta</v>
      </c>
      <c r="N438" s="35" t="str">
        <f>INDEX(_xlfn.TEXTSPLIT(mvtst[[#This Row],[QR Suivis]],"_"),1,3)</f>
        <v>Stock</v>
      </c>
      <c r="O438" s="35" t="str">
        <f>INDEX(_xlfn.TEXTSPLIT(mvtst[[#This Row],[QR Suivis]],"_"),1,4)</f>
        <v>UNS2020-19</v>
      </c>
      <c r="P438" s="35" t="str">
        <f>INDEX(_xlfn.TEXTSPLIT(mvtst[[#This Row],[QR Suivis]],"_"),1,5)</f>
        <v>UNI SURPIQUE</v>
      </c>
      <c r="Q438" s="35" t="str">
        <f>_xlfn.TEXTAFTER(mvtst[[#This Row],[QR Suivis]],"_",5)</f>
        <v>2020</v>
      </c>
      <c r="R438" s="84" t="str">
        <f>IF(
   COUNTIFS($A$2:A438,A438,
             $B$2:B438,B438,
             $C$2:C438,C438,
             $D$2:D438,D438,
             $G$2:G438,G438)&gt;1,
   "Doublon",
   "Correcte"
)</f>
        <v>Correcte</v>
      </c>
    </row>
    <row r="439" spans="1:18" x14ac:dyDescent="0.25">
      <c r="A439" s="104" t="s">
        <v>1645</v>
      </c>
      <c r="B439" s="35" t="s">
        <v>596</v>
      </c>
      <c r="C439" s="36">
        <v>5</v>
      </c>
      <c r="D439" s="36">
        <v>0</v>
      </c>
      <c r="E439" s="35"/>
      <c r="F439" s="35" t="s">
        <v>664</v>
      </c>
      <c r="G439" s="37">
        <v>45925</v>
      </c>
      <c r="H439" s="37" t="str">
        <f>INDEX(_xlfn.TEXTSPLIT(mvtst[[#This Row],[QR Suivis]],"_"),1,1)</f>
        <v>CA250045-2</v>
      </c>
      <c r="I439" s="35" t="str">
        <f>_xlfn.TEXTBEFORE(mvtst[[#This Row],[Num Suivis]],"-",,,1)</f>
        <v>CA250045</v>
      </c>
      <c r="J439" s="36">
        <f>SUMIF(mvtst[QR Suivis],mvtst[[#This Row],[QR Suivis]],mvtst[QTE SORTIS])-SUMIF(mvtst[QR Suivis],mvtst[[#This Row],[QR Suivis]],mvtst[QTE RETOUR])</f>
        <v>0</v>
      </c>
      <c r="K439" s="35" t="str">
        <f t="shared" si="6"/>
        <v>Usine</v>
      </c>
      <c r="L439" s="35" t="str">
        <f>_xlfn.XLOOKUP(mvtst[[#This Row],[Sous Traitant]],coordonnee_st[Identification],coordonnee_st[SERVICE],"Non Trouvé")</f>
        <v>Frange</v>
      </c>
      <c r="M439" s="35" t="str">
        <f>INDEX(_xlfn.TEXTSPLIT(mvtst[[#This Row],[QR Suivis]],"_"),1,2)</f>
        <v>All by Fouta</v>
      </c>
      <c r="N439" s="35" t="str">
        <f>INDEX(_xlfn.TEXTSPLIT(mvtst[[#This Row],[QR Suivis]],"_"),1,3)</f>
        <v>Stock</v>
      </c>
      <c r="O439" s="35" t="str">
        <f>INDEX(_xlfn.TEXTSPLIT(mvtst[[#This Row],[QR Suivis]],"_"),1,4)</f>
        <v>UNS1626-10</v>
      </c>
      <c r="P439" s="35" t="str">
        <f>INDEX(_xlfn.TEXTSPLIT(mvtst[[#This Row],[QR Suivis]],"_"),1,5)</f>
        <v>UNI SURPIQUE</v>
      </c>
      <c r="Q439" s="35" t="str">
        <f>_xlfn.TEXTAFTER(mvtst[[#This Row],[QR Suivis]],"_",5)</f>
        <v>1626</v>
      </c>
      <c r="R439" s="84" t="str">
        <f>IF(
   COUNTIFS($A$2:A439,A439,
             $B$2:B439,B439,
             $C$2:C439,C439,
             $D$2:D439,D439,
             $G$2:G439,G439)&gt;1,
   "Doublon",
   "Correcte"
)</f>
        <v>Correcte</v>
      </c>
    </row>
    <row r="440" spans="1:18" x14ac:dyDescent="0.25">
      <c r="A440" s="104" t="s">
        <v>1646</v>
      </c>
      <c r="B440" s="35" t="s">
        <v>596</v>
      </c>
      <c r="C440" s="36">
        <v>5</v>
      </c>
      <c r="D440" s="36">
        <v>0</v>
      </c>
      <c r="E440" s="35"/>
      <c r="F440" s="35" t="s">
        <v>664</v>
      </c>
      <c r="G440" s="37">
        <v>45925</v>
      </c>
      <c r="H440" s="37" t="str">
        <f>INDEX(_xlfn.TEXTSPLIT(mvtst[[#This Row],[QR Suivis]],"_"),1,1)</f>
        <v>CA250045-4</v>
      </c>
      <c r="I440" s="35" t="str">
        <f>_xlfn.TEXTBEFORE(mvtst[[#This Row],[Num Suivis]],"-",,,1)</f>
        <v>CA250045</v>
      </c>
      <c r="J440" s="36">
        <f>SUMIF(mvtst[QR Suivis],mvtst[[#This Row],[QR Suivis]],mvtst[QTE SORTIS])-SUMIF(mvtst[QR Suivis],mvtst[[#This Row],[QR Suivis]],mvtst[QTE RETOUR])</f>
        <v>0</v>
      </c>
      <c r="K440" s="35" t="str">
        <f t="shared" si="6"/>
        <v>Usine</v>
      </c>
      <c r="L440" s="35" t="str">
        <f>_xlfn.XLOOKUP(mvtst[[#This Row],[Sous Traitant]],coordonnee_st[Identification],coordonnee_st[SERVICE],"Non Trouvé")</f>
        <v>Frange</v>
      </c>
      <c r="M440" s="35" t="str">
        <f>INDEX(_xlfn.TEXTSPLIT(mvtst[[#This Row],[QR Suivis]],"_"),1,2)</f>
        <v>All by Fouta</v>
      </c>
      <c r="N440" s="35" t="str">
        <f>INDEX(_xlfn.TEXTSPLIT(mvtst[[#This Row],[QR Suivis]],"_"),1,3)</f>
        <v>Stock</v>
      </c>
      <c r="O440" s="35" t="str">
        <f>INDEX(_xlfn.TEXTSPLIT(mvtst[[#This Row],[QR Suivis]],"_"),1,4)</f>
        <v>UNS1626-10</v>
      </c>
      <c r="P440" s="35" t="str">
        <f>INDEX(_xlfn.TEXTSPLIT(mvtst[[#This Row],[QR Suivis]],"_"),1,5)</f>
        <v>UNI SURPIQUE</v>
      </c>
      <c r="Q440" s="35" t="str">
        <f>_xlfn.TEXTAFTER(mvtst[[#This Row],[QR Suivis]],"_",5)</f>
        <v>1626</v>
      </c>
      <c r="R440" s="84" t="str">
        <f>IF(
   COUNTIFS($A$2:A440,A440,
             $B$2:B440,B440,
             $C$2:C440,C440,
             $D$2:D440,D440,
             $G$2:G440,G440)&gt;1,
   "Doublon",
   "Correcte"
)</f>
        <v>Correcte</v>
      </c>
    </row>
    <row r="441" spans="1:18" x14ac:dyDescent="0.25">
      <c r="A441" s="104" t="s">
        <v>1647</v>
      </c>
      <c r="B441" s="35" t="s">
        <v>596</v>
      </c>
      <c r="C441" s="36">
        <v>5</v>
      </c>
      <c r="D441" s="36">
        <v>0</v>
      </c>
      <c r="E441" s="35"/>
      <c r="F441" s="35" t="s">
        <v>664</v>
      </c>
      <c r="G441" s="37">
        <v>45925</v>
      </c>
      <c r="H441" s="37" t="str">
        <f>INDEX(_xlfn.TEXTSPLIT(mvtst[[#This Row],[QR Suivis]],"_"),1,1)</f>
        <v>CA250045-3</v>
      </c>
      <c r="I441" s="35" t="str">
        <f>_xlfn.TEXTBEFORE(mvtst[[#This Row],[Num Suivis]],"-",,,1)</f>
        <v>CA250045</v>
      </c>
      <c r="J441" s="36">
        <f>SUMIF(mvtst[QR Suivis],mvtst[[#This Row],[QR Suivis]],mvtst[QTE SORTIS])-SUMIF(mvtst[QR Suivis],mvtst[[#This Row],[QR Suivis]],mvtst[QTE RETOUR])</f>
        <v>0</v>
      </c>
      <c r="K441" s="35" t="str">
        <f t="shared" si="6"/>
        <v>Usine</v>
      </c>
      <c r="L441" s="35" t="str">
        <f>_xlfn.XLOOKUP(mvtst[[#This Row],[Sous Traitant]],coordonnee_st[Identification],coordonnee_st[SERVICE],"Non Trouvé")</f>
        <v>Frange</v>
      </c>
      <c r="M441" s="35" t="str">
        <f>INDEX(_xlfn.TEXTSPLIT(mvtst[[#This Row],[QR Suivis]],"_"),1,2)</f>
        <v>All by Fouta</v>
      </c>
      <c r="N441" s="35" t="str">
        <f>INDEX(_xlfn.TEXTSPLIT(mvtst[[#This Row],[QR Suivis]],"_"),1,3)</f>
        <v>Stock</v>
      </c>
      <c r="O441" s="35" t="str">
        <f>INDEX(_xlfn.TEXTSPLIT(mvtst[[#This Row],[QR Suivis]],"_"),1,4)</f>
        <v>UNS1626-10</v>
      </c>
      <c r="P441" s="35" t="str">
        <f>INDEX(_xlfn.TEXTSPLIT(mvtst[[#This Row],[QR Suivis]],"_"),1,5)</f>
        <v>UNI SURPIQUE</v>
      </c>
      <c r="Q441" s="35" t="str">
        <f>_xlfn.TEXTAFTER(mvtst[[#This Row],[QR Suivis]],"_",5)</f>
        <v>1626</v>
      </c>
      <c r="R441" s="84" t="str">
        <f>IF(
   COUNTIFS($A$2:A441,A441,
             $B$2:B441,B441,
             $C$2:C441,C441,
             $D$2:D441,D441,
             $G$2:G441,G441)&gt;1,
   "Doublon",
   "Correcte"
)</f>
        <v>Correcte</v>
      </c>
    </row>
    <row r="442" spans="1:18" x14ac:dyDescent="0.25">
      <c r="A442" s="104" t="s">
        <v>1648</v>
      </c>
      <c r="B442" s="35" t="s">
        <v>596</v>
      </c>
      <c r="C442" s="36">
        <v>5</v>
      </c>
      <c r="D442" s="36">
        <v>0</v>
      </c>
      <c r="E442" s="35"/>
      <c r="F442" s="35" t="s">
        <v>664</v>
      </c>
      <c r="G442" s="37">
        <v>45925</v>
      </c>
      <c r="H442" s="37" t="str">
        <f>INDEX(_xlfn.TEXTSPLIT(mvtst[[#This Row],[QR Suivis]],"_"),1,1)</f>
        <v>CA250045-6</v>
      </c>
      <c r="I442" s="35" t="str">
        <f>_xlfn.TEXTBEFORE(mvtst[[#This Row],[Num Suivis]],"-",,,1)</f>
        <v>CA250045</v>
      </c>
      <c r="J442" s="36">
        <f>SUMIF(mvtst[QR Suivis],mvtst[[#This Row],[QR Suivis]],mvtst[QTE SORTIS])-SUMIF(mvtst[QR Suivis],mvtst[[#This Row],[QR Suivis]],mvtst[QTE RETOUR])</f>
        <v>0</v>
      </c>
      <c r="K442" s="35" t="str">
        <f t="shared" si="6"/>
        <v>Usine</v>
      </c>
      <c r="L442" s="35" t="str">
        <f>_xlfn.XLOOKUP(mvtst[[#This Row],[Sous Traitant]],coordonnee_st[Identification],coordonnee_st[SERVICE],"Non Trouvé")</f>
        <v>Frange</v>
      </c>
      <c r="M442" s="35" t="str">
        <f>INDEX(_xlfn.TEXTSPLIT(mvtst[[#This Row],[QR Suivis]],"_"),1,2)</f>
        <v>All by Fouta</v>
      </c>
      <c r="N442" s="35" t="str">
        <f>INDEX(_xlfn.TEXTSPLIT(mvtst[[#This Row],[QR Suivis]],"_"),1,3)</f>
        <v>Stock</v>
      </c>
      <c r="O442" s="35" t="str">
        <f>INDEX(_xlfn.TEXTSPLIT(mvtst[[#This Row],[QR Suivis]],"_"),1,4)</f>
        <v>UNS1626-10</v>
      </c>
      <c r="P442" s="35" t="str">
        <f>INDEX(_xlfn.TEXTSPLIT(mvtst[[#This Row],[QR Suivis]],"_"),1,5)</f>
        <v>UNI SURPIQUE</v>
      </c>
      <c r="Q442" s="35" t="str">
        <f>_xlfn.TEXTAFTER(mvtst[[#This Row],[QR Suivis]],"_",5)</f>
        <v>1626</v>
      </c>
      <c r="R442" s="84" t="str">
        <f>IF(
   COUNTIFS($A$2:A442,A442,
             $B$2:B442,B442,
             $C$2:C442,C442,
             $D$2:D442,D442,
             $G$2:G442,G442)&gt;1,
   "Doublon",
   "Correcte"
)</f>
        <v>Correcte</v>
      </c>
    </row>
    <row r="443" spans="1:18" x14ac:dyDescent="0.25">
      <c r="A443" s="104" t="s">
        <v>1649</v>
      </c>
      <c r="B443" s="35" t="s">
        <v>596</v>
      </c>
      <c r="C443" s="36">
        <v>5</v>
      </c>
      <c r="D443" s="36">
        <v>0</v>
      </c>
      <c r="E443" s="35"/>
      <c r="F443" s="35" t="s">
        <v>664</v>
      </c>
      <c r="G443" s="37">
        <v>45925</v>
      </c>
      <c r="H443" s="37" t="str">
        <f>INDEX(_xlfn.TEXTSPLIT(mvtst[[#This Row],[QR Suivis]],"_"),1,1)</f>
        <v>CA250045-5</v>
      </c>
      <c r="I443" s="35" t="str">
        <f>_xlfn.TEXTBEFORE(mvtst[[#This Row],[Num Suivis]],"-",,,1)</f>
        <v>CA250045</v>
      </c>
      <c r="J443" s="36">
        <f>SUMIF(mvtst[QR Suivis],mvtst[[#This Row],[QR Suivis]],mvtst[QTE SORTIS])-SUMIF(mvtst[QR Suivis],mvtst[[#This Row],[QR Suivis]],mvtst[QTE RETOUR])</f>
        <v>0</v>
      </c>
      <c r="K443" s="35" t="str">
        <f t="shared" si="6"/>
        <v>Usine</v>
      </c>
      <c r="L443" s="35" t="str">
        <f>_xlfn.XLOOKUP(mvtst[[#This Row],[Sous Traitant]],coordonnee_st[Identification],coordonnee_st[SERVICE],"Non Trouvé")</f>
        <v>Frange</v>
      </c>
      <c r="M443" s="35" t="str">
        <f>INDEX(_xlfn.TEXTSPLIT(mvtst[[#This Row],[QR Suivis]],"_"),1,2)</f>
        <v>All by Fouta</v>
      </c>
      <c r="N443" s="35" t="str">
        <f>INDEX(_xlfn.TEXTSPLIT(mvtst[[#This Row],[QR Suivis]],"_"),1,3)</f>
        <v>Stock</v>
      </c>
      <c r="O443" s="35" t="str">
        <f>INDEX(_xlfn.TEXTSPLIT(mvtst[[#This Row],[QR Suivis]],"_"),1,4)</f>
        <v>UNS1626-10</v>
      </c>
      <c r="P443" s="35" t="str">
        <f>INDEX(_xlfn.TEXTSPLIT(mvtst[[#This Row],[QR Suivis]],"_"),1,5)</f>
        <v>UNI SURPIQUE</v>
      </c>
      <c r="Q443" s="35" t="str">
        <f>_xlfn.TEXTAFTER(mvtst[[#This Row],[QR Suivis]],"_",5)</f>
        <v>1626</v>
      </c>
      <c r="R443" s="84" t="str">
        <f>IF(
   COUNTIFS($A$2:A443,A443,
             $B$2:B443,B443,
             $C$2:C443,C443,
             $D$2:D443,D443,
             $G$2:G443,G443)&gt;1,
   "Doublon",
   "Correcte"
)</f>
        <v>Correcte</v>
      </c>
    </row>
    <row r="444" spans="1:18" x14ac:dyDescent="0.25">
      <c r="A444" s="104" t="s">
        <v>1650</v>
      </c>
      <c r="B444" s="35" t="s">
        <v>596</v>
      </c>
      <c r="C444" s="36">
        <v>5</v>
      </c>
      <c r="D444" s="36">
        <v>0</v>
      </c>
      <c r="E444" s="35"/>
      <c r="F444" s="35" t="s">
        <v>664</v>
      </c>
      <c r="G444" s="37">
        <v>45925</v>
      </c>
      <c r="H444" s="37" t="str">
        <f>INDEX(_xlfn.TEXTSPLIT(mvtst[[#This Row],[QR Suivis]],"_"),1,1)</f>
        <v>CA250046-2</v>
      </c>
      <c r="I444" s="35" t="str">
        <f>_xlfn.TEXTBEFORE(mvtst[[#This Row],[Num Suivis]],"-",,,1)</f>
        <v>CA250046</v>
      </c>
      <c r="J444" s="36">
        <f>SUMIF(mvtst[QR Suivis],mvtst[[#This Row],[QR Suivis]],mvtst[QTE SORTIS])-SUMIF(mvtst[QR Suivis],mvtst[[#This Row],[QR Suivis]],mvtst[QTE RETOUR])</f>
        <v>0</v>
      </c>
      <c r="K444" s="35" t="str">
        <f t="shared" si="6"/>
        <v>Usine</v>
      </c>
      <c r="L444" s="35" t="str">
        <f>_xlfn.XLOOKUP(mvtst[[#This Row],[Sous Traitant]],coordonnee_st[Identification],coordonnee_st[SERVICE],"Non Trouvé")</f>
        <v>Frange</v>
      </c>
      <c r="M444" s="35" t="str">
        <f>INDEX(_xlfn.TEXTSPLIT(mvtst[[#This Row],[QR Suivis]],"_"),1,2)</f>
        <v>All by Fouta</v>
      </c>
      <c r="N444" s="35" t="str">
        <f>INDEX(_xlfn.TEXTSPLIT(mvtst[[#This Row],[QR Suivis]],"_"),1,3)</f>
        <v>Stock</v>
      </c>
      <c r="O444" s="35" t="str">
        <f>INDEX(_xlfn.TEXTSPLIT(mvtst[[#This Row],[QR Suivis]],"_"),1,4)</f>
        <v>UNS1626-12</v>
      </c>
      <c r="P444" s="35" t="str">
        <f>INDEX(_xlfn.TEXTSPLIT(mvtst[[#This Row],[QR Suivis]],"_"),1,5)</f>
        <v>UNI SURPIQUE</v>
      </c>
      <c r="Q444" s="35" t="str">
        <f>_xlfn.TEXTAFTER(mvtst[[#This Row],[QR Suivis]],"_",5)</f>
        <v>1626</v>
      </c>
      <c r="R444" s="84" t="str">
        <f>IF(
   COUNTIFS($A$2:A444,A444,
             $B$2:B444,B444,
             $C$2:C444,C444,
             $D$2:D444,D444,
             $G$2:G444,G444)&gt;1,
   "Doublon",
   "Correcte"
)</f>
        <v>Correcte</v>
      </c>
    </row>
    <row r="445" spans="1:18" x14ac:dyDescent="0.25">
      <c r="A445" s="104" t="s">
        <v>1651</v>
      </c>
      <c r="B445" s="35" t="s">
        <v>596</v>
      </c>
      <c r="C445" s="36">
        <v>5</v>
      </c>
      <c r="D445" s="36">
        <v>0</v>
      </c>
      <c r="E445" s="35"/>
      <c r="F445" s="35" t="s">
        <v>664</v>
      </c>
      <c r="G445" s="37">
        <v>45925</v>
      </c>
      <c r="H445" s="37" t="str">
        <f>INDEX(_xlfn.TEXTSPLIT(mvtst[[#This Row],[QR Suivis]],"_"),1,1)</f>
        <v>CA250046-3</v>
      </c>
      <c r="I445" s="35" t="str">
        <f>_xlfn.TEXTBEFORE(mvtst[[#This Row],[Num Suivis]],"-",,,1)</f>
        <v>CA250046</v>
      </c>
      <c r="J445" s="36">
        <f>SUMIF(mvtst[QR Suivis],mvtst[[#This Row],[QR Suivis]],mvtst[QTE SORTIS])-SUMIF(mvtst[QR Suivis],mvtst[[#This Row],[QR Suivis]],mvtst[QTE RETOUR])</f>
        <v>0</v>
      </c>
      <c r="K445" s="35" t="str">
        <f t="shared" si="6"/>
        <v>Usine</v>
      </c>
      <c r="L445" s="35" t="str">
        <f>_xlfn.XLOOKUP(mvtst[[#This Row],[Sous Traitant]],coordonnee_st[Identification],coordonnee_st[SERVICE],"Non Trouvé")</f>
        <v>Frange</v>
      </c>
      <c r="M445" s="35" t="str">
        <f>INDEX(_xlfn.TEXTSPLIT(mvtst[[#This Row],[QR Suivis]],"_"),1,2)</f>
        <v>All by Fouta</v>
      </c>
      <c r="N445" s="35" t="str">
        <f>INDEX(_xlfn.TEXTSPLIT(mvtst[[#This Row],[QR Suivis]],"_"),1,3)</f>
        <v>Stock</v>
      </c>
      <c r="O445" s="35" t="str">
        <f>INDEX(_xlfn.TEXTSPLIT(mvtst[[#This Row],[QR Suivis]],"_"),1,4)</f>
        <v>UNS1626-12</v>
      </c>
      <c r="P445" s="35" t="str">
        <f>INDEX(_xlfn.TEXTSPLIT(mvtst[[#This Row],[QR Suivis]],"_"),1,5)</f>
        <v>UNI SURPIQUE</v>
      </c>
      <c r="Q445" s="35" t="str">
        <f>_xlfn.TEXTAFTER(mvtst[[#This Row],[QR Suivis]],"_",5)</f>
        <v>1626</v>
      </c>
      <c r="R445" s="84" t="str">
        <f>IF(
   COUNTIFS($A$2:A445,A445,
             $B$2:B445,B445,
             $C$2:C445,C445,
             $D$2:D445,D445,
             $G$2:G445,G445)&gt;1,
   "Doublon",
   "Correcte"
)</f>
        <v>Correcte</v>
      </c>
    </row>
    <row r="446" spans="1:18" x14ac:dyDescent="0.25">
      <c r="A446" s="104" t="s">
        <v>1652</v>
      </c>
      <c r="B446" s="35" t="s">
        <v>596</v>
      </c>
      <c r="C446" s="36">
        <v>5</v>
      </c>
      <c r="D446" s="36">
        <v>0</v>
      </c>
      <c r="E446" s="35"/>
      <c r="F446" s="35" t="s">
        <v>664</v>
      </c>
      <c r="G446" s="37">
        <v>45925</v>
      </c>
      <c r="H446" s="37" t="str">
        <f>INDEX(_xlfn.TEXTSPLIT(mvtst[[#This Row],[QR Suivis]],"_"),1,1)</f>
        <v>CA250046-4</v>
      </c>
      <c r="I446" s="35" t="str">
        <f>_xlfn.TEXTBEFORE(mvtst[[#This Row],[Num Suivis]],"-",,,1)</f>
        <v>CA250046</v>
      </c>
      <c r="J446" s="36">
        <f>SUMIF(mvtst[QR Suivis],mvtst[[#This Row],[QR Suivis]],mvtst[QTE SORTIS])-SUMIF(mvtst[QR Suivis],mvtst[[#This Row],[QR Suivis]],mvtst[QTE RETOUR])</f>
        <v>0</v>
      </c>
      <c r="K446" s="35" t="str">
        <f t="shared" si="6"/>
        <v>Usine</v>
      </c>
      <c r="L446" s="35" t="str">
        <f>_xlfn.XLOOKUP(mvtst[[#This Row],[Sous Traitant]],coordonnee_st[Identification],coordonnee_st[SERVICE],"Non Trouvé")</f>
        <v>Frange</v>
      </c>
      <c r="M446" s="35" t="str">
        <f>INDEX(_xlfn.TEXTSPLIT(mvtst[[#This Row],[QR Suivis]],"_"),1,2)</f>
        <v>All by Fouta</v>
      </c>
      <c r="N446" s="35" t="str">
        <f>INDEX(_xlfn.TEXTSPLIT(mvtst[[#This Row],[QR Suivis]],"_"),1,3)</f>
        <v>Stock</v>
      </c>
      <c r="O446" s="35" t="str">
        <f>INDEX(_xlfn.TEXTSPLIT(mvtst[[#This Row],[QR Suivis]],"_"),1,4)</f>
        <v>UNS1626-12</v>
      </c>
      <c r="P446" s="35" t="str">
        <f>INDEX(_xlfn.TEXTSPLIT(mvtst[[#This Row],[QR Suivis]],"_"),1,5)</f>
        <v>UNI SURPIQUE</v>
      </c>
      <c r="Q446" s="35" t="str">
        <f>_xlfn.TEXTAFTER(mvtst[[#This Row],[QR Suivis]],"_",5)</f>
        <v>1626</v>
      </c>
      <c r="R446" s="84" t="str">
        <f>IF(
   COUNTIFS($A$2:A446,A446,
             $B$2:B446,B446,
             $C$2:C446,C446,
             $D$2:D446,D446,
             $G$2:G446,G446)&gt;1,
   "Doublon",
   "Correcte"
)</f>
        <v>Correcte</v>
      </c>
    </row>
    <row r="447" spans="1:18" x14ac:dyDescent="0.25">
      <c r="A447" s="104" t="s">
        <v>1653</v>
      </c>
      <c r="B447" s="35" t="s">
        <v>596</v>
      </c>
      <c r="C447" s="36">
        <v>5</v>
      </c>
      <c r="D447" s="36">
        <v>0</v>
      </c>
      <c r="E447" s="35"/>
      <c r="F447" s="35" t="s">
        <v>664</v>
      </c>
      <c r="G447" s="37">
        <v>45925</v>
      </c>
      <c r="H447" s="37" t="str">
        <f>INDEX(_xlfn.TEXTSPLIT(mvtst[[#This Row],[QR Suivis]],"_"),1,1)</f>
        <v>CA250046-5</v>
      </c>
      <c r="I447" s="35" t="str">
        <f>_xlfn.TEXTBEFORE(mvtst[[#This Row],[Num Suivis]],"-",,,1)</f>
        <v>CA250046</v>
      </c>
      <c r="J447" s="36">
        <f>SUMIF(mvtst[QR Suivis],mvtst[[#This Row],[QR Suivis]],mvtst[QTE SORTIS])-SUMIF(mvtst[QR Suivis],mvtst[[#This Row],[QR Suivis]],mvtst[QTE RETOUR])</f>
        <v>0</v>
      </c>
      <c r="K447" s="35" t="str">
        <f t="shared" si="6"/>
        <v>Usine</v>
      </c>
      <c r="L447" s="35" t="str">
        <f>_xlfn.XLOOKUP(mvtst[[#This Row],[Sous Traitant]],coordonnee_st[Identification],coordonnee_st[SERVICE],"Non Trouvé")</f>
        <v>Frange</v>
      </c>
      <c r="M447" s="35" t="str">
        <f>INDEX(_xlfn.TEXTSPLIT(mvtst[[#This Row],[QR Suivis]],"_"),1,2)</f>
        <v>All by Fouta</v>
      </c>
      <c r="N447" s="35" t="str">
        <f>INDEX(_xlfn.TEXTSPLIT(mvtst[[#This Row],[QR Suivis]],"_"),1,3)</f>
        <v>Stock</v>
      </c>
      <c r="O447" s="35" t="str">
        <f>INDEX(_xlfn.TEXTSPLIT(mvtst[[#This Row],[QR Suivis]],"_"),1,4)</f>
        <v>UNS1626-12</v>
      </c>
      <c r="P447" s="35" t="str">
        <f>INDEX(_xlfn.TEXTSPLIT(mvtst[[#This Row],[QR Suivis]],"_"),1,5)</f>
        <v>UNI SURPIQUE</v>
      </c>
      <c r="Q447" s="35" t="str">
        <f>_xlfn.TEXTAFTER(mvtst[[#This Row],[QR Suivis]],"_",5)</f>
        <v>1626</v>
      </c>
      <c r="R447" s="84" t="str">
        <f>IF(
   COUNTIFS($A$2:A447,A447,
             $B$2:B447,B447,
             $C$2:C447,C447,
             $D$2:D447,D447,
             $G$2:G447,G447)&gt;1,
   "Doublon",
   "Correcte"
)</f>
        <v>Correcte</v>
      </c>
    </row>
    <row r="448" spans="1:18" x14ac:dyDescent="0.25">
      <c r="A448" s="104" t="s">
        <v>1654</v>
      </c>
      <c r="B448" s="35" t="s">
        <v>596</v>
      </c>
      <c r="C448" s="36">
        <v>5</v>
      </c>
      <c r="D448" s="36">
        <v>0</v>
      </c>
      <c r="E448" s="35"/>
      <c r="F448" s="35" t="s">
        <v>664</v>
      </c>
      <c r="G448" s="37">
        <v>45925</v>
      </c>
      <c r="H448" s="37" t="str">
        <f>INDEX(_xlfn.TEXTSPLIT(mvtst[[#This Row],[QR Suivis]],"_"),1,1)</f>
        <v>CA250046-6</v>
      </c>
      <c r="I448" s="35" t="str">
        <f>_xlfn.TEXTBEFORE(mvtst[[#This Row],[Num Suivis]],"-",,,1)</f>
        <v>CA250046</v>
      </c>
      <c r="J448" s="36">
        <f>SUMIF(mvtst[QR Suivis],mvtst[[#This Row],[QR Suivis]],mvtst[QTE SORTIS])-SUMIF(mvtst[QR Suivis],mvtst[[#This Row],[QR Suivis]],mvtst[QTE RETOUR])</f>
        <v>0</v>
      </c>
      <c r="K448" s="35" t="str">
        <f t="shared" si="6"/>
        <v>Usine</v>
      </c>
      <c r="L448" s="35" t="str">
        <f>_xlfn.XLOOKUP(mvtst[[#This Row],[Sous Traitant]],coordonnee_st[Identification],coordonnee_st[SERVICE],"Non Trouvé")</f>
        <v>Frange</v>
      </c>
      <c r="M448" s="35" t="str">
        <f>INDEX(_xlfn.TEXTSPLIT(mvtst[[#This Row],[QR Suivis]],"_"),1,2)</f>
        <v>All by Fouta</v>
      </c>
      <c r="N448" s="35" t="str">
        <f>INDEX(_xlfn.TEXTSPLIT(mvtst[[#This Row],[QR Suivis]],"_"),1,3)</f>
        <v>Stock</v>
      </c>
      <c r="O448" s="35" t="str">
        <f>INDEX(_xlfn.TEXTSPLIT(mvtst[[#This Row],[QR Suivis]],"_"),1,4)</f>
        <v>UNS1626-12</v>
      </c>
      <c r="P448" s="35" t="str">
        <f>INDEX(_xlfn.TEXTSPLIT(mvtst[[#This Row],[QR Suivis]],"_"),1,5)</f>
        <v>UNI SURPIQUE</v>
      </c>
      <c r="Q448" s="35" t="str">
        <f>_xlfn.TEXTAFTER(mvtst[[#This Row],[QR Suivis]],"_",5)</f>
        <v>1626</v>
      </c>
      <c r="R448" s="84" t="str">
        <f>IF(
   COUNTIFS($A$2:A448,A448,
             $B$2:B448,B448,
             $C$2:C448,C448,
             $D$2:D448,D448,
             $G$2:G448,G448)&gt;1,
   "Doublon",
   "Correcte"
)</f>
        <v>Correcte</v>
      </c>
    </row>
    <row r="449" spans="1:18" x14ac:dyDescent="0.25">
      <c r="A449" s="104" t="s">
        <v>1655</v>
      </c>
      <c r="B449" s="35" t="s">
        <v>596</v>
      </c>
      <c r="C449" s="36">
        <v>5</v>
      </c>
      <c r="D449" s="36">
        <v>0</v>
      </c>
      <c r="E449" s="35"/>
      <c r="F449" s="35" t="s">
        <v>664</v>
      </c>
      <c r="G449" s="37">
        <v>45925</v>
      </c>
      <c r="H449" s="37" t="str">
        <f>INDEX(_xlfn.TEXTSPLIT(mvtst[[#This Row],[QR Suivis]],"_"),1,1)</f>
        <v>CA250048-2</v>
      </c>
      <c r="I449" s="35" t="str">
        <f>_xlfn.TEXTBEFORE(mvtst[[#This Row],[Num Suivis]],"-",,,1)</f>
        <v>CA250048</v>
      </c>
      <c r="J449" s="36">
        <f>SUMIF(mvtst[QR Suivis],mvtst[[#This Row],[QR Suivis]],mvtst[QTE SORTIS])-SUMIF(mvtst[QR Suivis],mvtst[[#This Row],[QR Suivis]],mvtst[QTE RETOUR])</f>
        <v>0</v>
      </c>
      <c r="K449" s="35" t="str">
        <f t="shared" si="6"/>
        <v>Usine</v>
      </c>
      <c r="L449" s="35" t="str">
        <f>_xlfn.XLOOKUP(mvtst[[#This Row],[Sous Traitant]],coordonnee_st[Identification],coordonnee_st[SERVICE],"Non Trouvé")</f>
        <v>Frange</v>
      </c>
      <c r="M449" s="35" t="str">
        <f>INDEX(_xlfn.TEXTSPLIT(mvtst[[#This Row],[QR Suivis]],"_"),1,2)</f>
        <v>All by Fouta</v>
      </c>
      <c r="N449" s="35" t="str">
        <f>INDEX(_xlfn.TEXTSPLIT(mvtst[[#This Row],[QR Suivis]],"_"),1,3)</f>
        <v>Stock</v>
      </c>
      <c r="O449" s="35" t="str">
        <f>INDEX(_xlfn.TEXTSPLIT(mvtst[[#This Row],[QR Suivis]],"_"),1,4)</f>
        <v>UNS1626-15</v>
      </c>
      <c r="P449" s="35" t="str">
        <f>INDEX(_xlfn.TEXTSPLIT(mvtst[[#This Row],[QR Suivis]],"_"),1,5)</f>
        <v>UNI SURPIQUE</v>
      </c>
      <c r="Q449" s="35" t="str">
        <f>_xlfn.TEXTAFTER(mvtst[[#This Row],[QR Suivis]],"_",5)</f>
        <v>1626</v>
      </c>
      <c r="R449" s="84" t="str">
        <f>IF(
   COUNTIFS($A$2:A449,A449,
             $B$2:B449,B449,
             $C$2:C449,C449,
             $D$2:D449,D449,
             $G$2:G449,G449)&gt;1,
   "Doublon",
   "Correcte"
)</f>
        <v>Correcte</v>
      </c>
    </row>
    <row r="450" spans="1:18" x14ac:dyDescent="0.25">
      <c r="A450" s="104" t="s">
        <v>1656</v>
      </c>
      <c r="B450" s="35" t="s">
        <v>596</v>
      </c>
      <c r="C450" s="36">
        <v>5</v>
      </c>
      <c r="D450" s="36">
        <v>0</v>
      </c>
      <c r="E450" s="35"/>
      <c r="F450" s="35" t="s">
        <v>664</v>
      </c>
      <c r="G450" s="37">
        <v>45925</v>
      </c>
      <c r="H450" s="37" t="str">
        <f>INDEX(_xlfn.TEXTSPLIT(mvtst[[#This Row],[QR Suivis]],"_"),1,1)</f>
        <v>CA250048-1</v>
      </c>
      <c r="I450" s="35" t="str">
        <f>_xlfn.TEXTBEFORE(mvtst[[#This Row],[Num Suivis]],"-",,,1)</f>
        <v>CA250048</v>
      </c>
      <c r="J450" s="36">
        <f>SUMIF(mvtst[QR Suivis],mvtst[[#This Row],[QR Suivis]],mvtst[QTE SORTIS])-SUMIF(mvtst[QR Suivis],mvtst[[#This Row],[QR Suivis]],mvtst[QTE RETOUR])</f>
        <v>0</v>
      </c>
      <c r="K450" s="35" t="str">
        <f t="shared" si="6"/>
        <v>Usine</v>
      </c>
      <c r="L450" s="35" t="str">
        <f>_xlfn.XLOOKUP(mvtst[[#This Row],[Sous Traitant]],coordonnee_st[Identification],coordonnee_st[SERVICE],"Non Trouvé")</f>
        <v>Frange</v>
      </c>
      <c r="M450" s="35" t="str">
        <f>INDEX(_xlfn.TEXTSPLIT(mvtst[[#This Row],[QR Suivis]],"_"),1,2)</f>
        <v>All by Fouta</v>
      </c>
      <c r="N450" s="35" t="str">
        <f>INDEX(_xlfn.TEXTSPLIT(mvtst[[#This Row],[QR Suivis]],"_"),1,3)</f>
        <v>Stock</v>
      </c>
      <c r="O450" s="35" t="str">
        <f>INDEX(_xlfn.TEXTSPLIT(mvtst[[#This Row],[QR Suivis]],"_"),1,4)</f>
        <v>UNS1626-15</v>
      </c>
      <c r="P450" s="35" t="str">
        <f>INDEX(_xlfn.TEXTSPLIT(mvtst[[#This Row],[QR Suivis]],"_"),1,5)</f>
        <v>UNI SURPIQUE</v>
      </c>
      <c r="Q450" s="35" t="str">
        <f>_xlfn.TEXTAFTER(mvtst[[#This Row],[QR Suivis]],"_",5)</f>
        <v>1626</v>
      </c>
      <c r="R450" s="84" t="str">
        <f>IF(
   COUNTIFS($A$2:A450,A450,
             $B$2:B450,B450,
             $C$2:C450,C450,
             $D$2:D450,D450,
             $G$2:G450,G450)&gt;1,
   "Doublon",
   "Correcte"
)</f>
        <v>Correcte</v>
      </c>
    </row>
    <row r="451" spans="1:18" x14ac:dyDescent="0.25">
      <c r="A451" s="104" t="s">
        <v>1657</v>
      </c>
      <c r="B451" s="35" t="s">
        <v>596</v>
      </c>
      <c r="C451" s="36">
        <v>5</v>
      </c>
      <c r="D451" s="36">
        <v>0</v>
      </c>
      <c r="E451" s="35"/>
      <c r="F451" s="35" t="s">
        <v>664</v>
      </c>
      <c r="G451" s="37">
        <v>45925</v>
      </c>
      <c r="H451" s="37" t="str">
        <f>INDEX(_xlfn.TEXTSPLIT(mvtst[[#This Row],[QR Suivis]],"_"),1,1)</f>
        <v>CA250048-5</v>
      </c>
      <c r="I451" s="35" t="str">
        <f>_xlfn.TEXTBEFORE(mvtst[[#This Row],[Num Suivis]],"-",,,1)</f>
        <v>CA250048</v>
      </c>
      <c r="J451" s="36">
        <f>SUMIF(mvtst[QR Suivis],mvtst[[#This Row],[QR Suivis]],mvtst[QTE SORTIS])-SUMIF(mvtst[QR Suivis],mvtst[[#This Row],[QR Suivis]],mvtst[QTE RETOUR])</f>
        <v>0</v>
      </c>
      <c r="K451" s="35" t="str">
        <f t="shared" ref="K451:K514" si="7">"Usine"</f>
        <v>Usine</v>
      </c>
      <c r="L451" s="35" t="str">
        <f>_xlfn.XLOOKUP(mvtst[[#This Row],[Sous Traitant]],coordonnee_st[Identification],coordonnee_st[SERVICE],"Non Trouvé")</f>
        <v>Frange</v>
      </c>
      <c r="M451" s="35" t="str">
        <f>INDEX(_xlfn.TEXTSPLIT(mvtst[[#This Row],[QR Suivis]],"_"),1,2)</f>
        <v>All by Fouta</v>
      </c>
      <c r="N451" s="35" t="str">
        <f>INDEX(_xlfn.TEXTSPLIT(mvtst[[#This Row],[QR Suivis]],"_"),1,3)</f>
        <v>Stock</v>
      </c>
      <c r="O451" s="35" t="str">
        <f>INDEX(_xlfn.TEXTSPLIT(mvtst[[#This Row],[QR Suivis]],"_"),1,4)</f>
        <v>UNS1626-15</v>
      </c>
      <c r="P451" s="35" t="str">
        <f>INDEX(_xlfn.TEXTSPLIT(mvtst[[#This Row],[QR Suivis]],"_"),1,5)</f>
        <v>UNI SURPIQUE</v>
      </c>
      <c r="Q451" s="35" t="str">
        <f>_xlfn.TEXTAFTER(mvtst[[#This Row],[QR Suivis]],"_",5)</f>
        <v>1626</v>
      </c>
      <c r="R451" s="84" t="str">
        <f>IF(
   COUNTIFS($A$2:A451,A451,
             $B$2:B451,B451,
             $C$2:C451,C451,
             $D$2:D451,D451,
             $G$2:G451,G451)&gt;1,
   "Doublon",
   "Correcte"
)</f>
        <v>Correcte</v>
      </c>
    </row>
    <row r="452" spans="1:18" x14ac:dyDescent="0.25">
      <c r="A452" s="104" t="s">
        <v>1658</v>
      </c>
      <c r="B452" s="35" t="s">
        <v>596</v>
      </c>
      <c r="C452" s="36">
        <v>5</v>
      </c>
      <c r="D452" s="36">
        <v>0</v>
      </c>
      <c r="E452" s="35"/>
      <c r="F452" s="35" t="s">
        <v>664</v>
      </c>
      <c r="G452" s="37">
        <v>45925</v>
      </c>
      <c r="H452" s="37" t="str">
        <f>INDEX(_xlfn.TEXTSPLIT(mvtst[[#This Row],[QR Suivis]],"_"),1,1)</f>
        <v>CA250048-3</v>
      </c>
      <c r="I452" s="35" t="str">
        <f>_xlfn.TEXTBEFORE(mvtst[[#This Row],[Num Suivis]],"-",,,1)</f>
        <v>CA250048</v>
      </c>
      <c r="J452" s="36">
        <f>SUMIF(mvtst[QR Suivis],mvtst[[#This Row],[QR Suivis]],mvtst[QTE SORTIS])-SUMIF(mvtst[QR Suivis],mvtst[[#This Row],[QR Suivis]],mvtst[QTE RETOUR])</f>
        <v>0</v>
      </c>
      <c r="K452" s="35" t="str">
        <f t="shared" si="7"/>
        <v>Usine</v>
      </c>
      <c r="L452" s="35" t="str">
        <f>_xlfn.XLOOKUP(mvtst[[#This Row],[Sous Traitant]],coordonnee_st[Identification],coordonnee_st[SERVICE],"Non Trouvé")</f>
        <v>Frange</v>
      </c>
      <c r="M452" s="35" t="str">
        <f>INDEX(_xlfn.TEXTSPLIT(mvtst[[#This Row],[QR Suivis]],"_"),1,2)</f>
        <v>All by Fouta</v>
      </c>
      <c r="N452" s="35" t="str">
        <f>INDEX(_xlfn.TEXTSPLIT(mvtst[[#This Row],[QR Suivis]],"_"),1,3)</f>
        <v>Stock</v>
      </c>
      <c r="O452" s="35" t="str">
        <f>INDEX(_xlfn.TEXTSPLIT(mvtst[[#This Row],[QR Suivis]],"_"),1,4)</f>
        <v>UNS1626-15</v>
      </c>
      <c r="P452" s="35" t="str">
        <f>INDEX(_xlfn.TEXTSPLIT(mvtst[[#This Row],[QR Suivis]],"_"),1,5)</f>
        <v>UNI SURPIQUE</v>
      </c>
      <c r="Q452" s="35" t="str">
        <f>_xlfn.TEXTAFTER(mvtst[[#This Row],[QR Suivis]],"_",5)</f>
        <v>1626</v>
      </c>
      <c r="R452" s="84" t="str">
        <f>IF(
   COUNTIFS($A$2:A452,A452,
             $B$2:B452,B452,
             $C$2:C452,C452,
             $D$2:D452,D452,
             $G$2:G452,G452)&gt;1,
   "Doublon",
   "Correcte"
)</f>
        <v>Correcte</v>
      </c>
    </row>
    <row r="453" spans="1:18" x14ac:dyDescent="0.25">
      <c r="A453" s="104" t="s">
        <v>1659</v>
      </c>
      <c r="B453" s="35" t="s">
        <v>595</v>
      </c>
      <c r="C453" s="36">
        <v>5</v>
      </c>
      <c r="D453" s="36">
        <v>0</v>
      </c>
      <c r="E453" s="35"/>
      <c r="F453" s="35" t="s">
        <v>664</v>
      </c>
      <c r="G453" s="37">
        <v>45925</v>
      </c>
      <c r="H453" s="37" t="str">
        <f>INDEX(_xlfn.TEXTSPLIT(mvtst[[#This Row],[QR Suivis]],"_"),1,1)</f>
        <v>OF246537-12</v>
      </c>
      <c r="I453" s="35" t="str">
        <f>_xlfn.TEXTBEFORE(mvtst[[#This Row],[Num Suivis]],"-",,,1)</f>
        <v>OF246537</v>
      </c>
      <c r="J453" s="36">
        <f>SUMIF(mvtst[QR Suivis],mvtst[[#This Row],[QR Suivis]],mvtst[QTE SORTIS])-SUMIF(mvtst[QR Suivis],mvtst[[#This Row],[QR Suivis]],mvtst[QTE RETOUR])</f>
        <v>0</v>
      </c>
      <c r="K453" s="35" t="str">
        <f t="shared" si="7"/>
        <v>Usine</v>
      </c>
      <c r="L453" s="35" t="str">
        <f>_xlfn.XLOOKUP(mvtst[[#This Row],[Sous Traitant]],coordonnee_st[Identification],coordonnee_st[SERVICE],"Non Trouvé")</f>
        <v>Frange</v>
      </c>
      <c r="M453" s="35" t="str">
        <f>INDEX(_xlfn.TEXTSPLIT(mvtst[[#This Row],[QR Suivis]],"_"),1,2)</f>
        <v>CL00296</v>
      </c>
      <c r="N453" s="35" t="str">
        <f>INDEX(_xlfn.TEXTSPLIT(mvtst[[#This Row],[QR Suivis]],"_"),1,3)</f>
        <v>CM-FT0108</v>
      </c>
      <c r="O453" s="35" t="str">
        <f>INDEX(_xlfn.TEXTSPLIT(mvtst[[#This Row],[QR Suivis]],"_"),1,4)</f>
        <v>EPMA0919-B26-02</v>
      </c>
      <c r="P453" s="35" t="str">
        <f>INDEX(_xlfn.TEXTSPLIT(mvtst[[#This Row],[QR Suivis]],"_"),1,5)</f>
        <v>MARINIERE</v>
      </c>
      <c r="Q453" s="35" t="str">
        <f>_xlfn.TEXTAFTER(mvtst[[#This Row],[QR Suivis]],"_",5)</f>
        <v>0919</v>
      </c>
      <c r="R453" s="84" t="str">
        <f>IF(
   COUNTIFS($A$2:A453,A453,
             $B$2:B453,B453,
             $C$2:C453,C453,
             $D$2:D453,D453,
             $G$2:G453,G453)&gt;1,
   "Doublon",
   "Correcte"
)</f>
        <v>Correcte</v>
      </c>
    </row>
    <row r="454" spans="1:18" x14ac:dyDescent="0.25">
      <c r="A454" s="104" t="s">
        <v>1660</v>
      </c>
      <c r="B454" s="35" t="s">
        <v>595</v>
      </c>
      <c r="C454" s="36">
        <v>5</v>
      </c>
      <c r="D454" s="36">
        <v>0</v>
      </c>
      <c r="E454" s="35"/>
      <c r="F454" s="35" t="s">
        <v>664</v>
      </c>
      <c r="G454" s="37">
        <v>45925</v>
      </c>
      <c r="H454" s="37" t="str">
        <f>INDEX(_xlfn.TEXTSPLIT(mvtst[[#This Row],[QR Suivis]],"_"),1,1)</f>
        <v>OF246537-11</v>
      </c>
      <c r="I454" s="35" t="str">
        <f>_xlfn.TEXTBEFORE(mvtst[[#This Row],[Num Suivis]],"-",,,1)</f>
        <v>OF246537</v>
      </c>
      <c r="J454" s="36">
        <f>SUMIF(mvtst[QR Suivis],mvtst[[#This Row],[QR Suivis]],mvtst[QTE SORTIS])-SUMIF(mvtst[QR Suivis],mvtst[[#This Row],[QR Suivis]],mvtst[QTE RETOUR])</f>
        <v>0</v>
      </c>
      <c r="K454" s="35" t="str">
        <f t="shared" si="7"/>
        <v>Usine</v>
      </c>
      <c r="L454" s="35" t="str">
        <f>_xlfn.XLOOKUP(mvtst[[#This Row],[Sous Traitant]],coordonnee_st[Identification],coordonnee_st[SERVICE],"Non Trouvé")</f>
        <v>Frange</v>
      </c>
      <c r="M454" s="35" t="str">
        <f>INDEX(_xlfn.TEXTSPLIT(mvtst[[#This Row],[QR Suivis]],"_"),1,2)</f>
        <v>CL00296</v>
      </c>
      <c r="N454" s="35" t="str">
        <f>INDEX(_xlfn.TEXTSPLIT(mvtst[[#This Row],[QR Suivis]],"_"),1,3)</f>
        <v>CM-FT0108</v>
      </c>
      <c r="O454" s="35" t="str">
        <f>INDEX(_xlfn.TEXTSPLIT(mvtst[[#This Row],[QR Suivis]],"_"),1,4)</f>
        <v>EPMA0919-B26-02</v>
      </c>
      <c r="P454" s="35" t="str">
        <f>INDEX(_xlfn.TEXTSPLIT(mvtst[[#This Row],[QR Suivis]],"_"),1,5)</f>
        <v>MARINIERE</v>
      </c>
      <c r="Q454" s="35" t="str">
        <f>_xlfn.TEXTAFTER(mvtst[[#This Row],[QR Suivis]],"_",5)</f>
        <v>0919</v>
      </c>
      <c r="R454" s="84" t="str">
        <f>IF(
   COUNTIFS($A$2:A454,A454,
             $B$2:B454,B454,
             $C$2:C454,C454,
             $D$2:D454,D454,
             $G$2:G454,G454)&gt;1,
   "Doublon",
   "Correcte"
)</f>
        <v>Correcte</v>
      </c>
    </row>
    <row r="455" spans="1:18" x14ac:dyDescent="0.25">
      <c r="A455" s="104" t="s">
        <v>1661</v>
      </c>
      <c r="B455" s="35" t="s">
        <v>595</v>
      </c>
      <c r="C455" s="36">
        <v>5</v>
      </c>
      <c r="D455" s="36">
        <v>0</v>
      </c>
      <c r="E455" s="35"/>
      <c r="F455" s="35" t="s">
        <v>664</v>
      </c>
      <c r="G455" s="37">
        <v>45925</v>
      </c>
      <c r="H455" s="37" t="str">
        <f>INDEX(_xlfn.TEXTSPLIT(mvtst[[#This Row],[QR Suivis]],"_"),1,1)</f>
        <v>OF246537-15</v>
      </c>
      <c r="I455" s="35" t="str">
        <f>_xlfn.TEXTBEFORE(mvtst[[#This Row],[Num Suivis]],"-",,,1)</f>
        <v>OF246537</v>
      </c>
      <c r="J455" s="36">
        <f>SUMIF(mvtst[QR Suivis],mvtst[[#This Row],[QR Suivis]],mvtst[QTE SORTIS])-SUMIF(mvtst[QR Suivis],mvtst[[#This Row],[QR Suivis]],mvtst[QTE RETOUR])</f>
        <v>0</v>
      </c>
      <c r="K455" s="35" t="str">
        <f t="shared" si="7"/>
        <v>Usine</v>
      </c>
      <c r="L455" s="35" t="str">
        <f>_xlfn.XLOOKUP(mvtst[[#This Row],[Sous Traitant]],coordonnee_st[Identification],coordonnee_st[SERVICE],"Non Trouvé")</f>
        <v>Frange</v>
      </c>
      <c r="M455" s="35" t="str">
        <f>INDEX(_xlfn.TEXTSPLIT(mvtst[[#This Row],[QR Suivis]],"_"),1,2)</f>
        <v>CL00296</v>
      </c>
      <c r="N455" s="35" t="str">
        <f>INDEX(_xlfn.TEXTSPLIT(mvtst[[#This Row],[QR Suivis]],"_"),1,3)</f>
        <v>CM-FT0108</v>
      </c>
      <c r="O455" s="35" t="str">
        <f>INDEX(_xlfn.TEXTSPLIT(mvtst[[#This Row],[QR Suivis]],"_"),1,4)</f>
        <v>EPMA0919-B26-02</v>
      </c>
      <c r="P455" s="35" t="str">
        <f>INDEX(_xlfn.TEXTSPLIT(mvtst[[#This Row],[QR Suivis]],"_"),1,5)</f>
        <v>MARINIERE</v>
      </c>
      <c r="Q455" s="35" t="str">
        <f>_xlfn.TEXTAFTER(mvtst[[#This Row],[QR Suivis]],"_",5)</f>
        <v>0919</v>
      </c>
      <c r="R455" s="84" t="str">
        <f>IF(
   COUNTIFS($A$2:A455,A455,
             $B$2:B455,B455,
             $C$2:C455,C455,
             $D$2:D455,D455,
             $G$2:G455,G455)&gt;1,
   "Doublon",
   "Correcte"
)</f>
        <v>Correcte</v>
      </c>
    </row>
    <row r="456" spans="1:18" x14ac:dyDescent="0.25">
      <c r="A456" s="104" t="s">
        <v>1662</v>
      </c>
      <c r="B456" s="35" t="s">
        <v>595</v>
      </c>
      <c r="C456" s="36">
        <v>5</v>
      </c>
      <c r="D456" s="36">
        <v>0</v>
      </c>
      <c r="E456" s="35"/>
      <c r="F456" s="35" t="s">
        <v>664</v>
      </c>
      <c r="G456" s="37">
        <v>45925</v>
      </c>
      <c r="H456" s="37" t="str">
        <f>INDEX(_xlfn.TEXTSPLIT(mvtst[[#This Row],[QR Suivis]],"_"),1,1)</f>
        <v>OF246537-10</v>
      </c>
      <c r="I456" s="35" t="str">
        <f>_xlfn.TEXTBEFORE(mvtst[[#This Row],[Num Suivis]],"-",,,1)</f>
        <v>OF246537</v>
      </c>
      <c r="J456" s="36">
        <f>SUMIF(mvtst[QR Suivis],mvtst[[#This Row],[QR Suivis]],mvtst[QTE SORTIS])-SUMIF(mvtst[QR Suivis],mvtst[[#This Row],[QR Suivis]],mvtst[QTE RETOUR])</f>
        <v>0</v>
      </c>
      <c r="K456" s="35" t="str">
        <f t="shared" si="7"/>
        <v>Usine</v>
      </c>
      <c r="L456" s="35" t="str">
        <f>_xlfn.XLOOKUP(mvtst[[#This Row],[Sous Traitant]],coordonnee_st[Identification],coordonnee_st[SERVICE],"Non Trouvé")</f>
        <v>Frange</v>
      </c>
      <c r="M456" s="35" t="str">
        <f>INDEX(_xlfn.TEXTSPLIT(mvtst[[#This Row],[QR Suivis]],"_"),1,2)</f>
        <v>CL00296</v>
      </c>
      <c r="N456" s="35" t="str">
        <f>INDEX(_xlfn.TEXTSPLIT(mvtst[[#This Row],[QR Suivis]],"_"),1,3)</f>
        <v>CM-FT0108</v>
      </c>
      <c r="O456" s="35" t="str">
        <f>INDEX(_xlfn.TEXTSPLIT(mvtst[[#This Row],[QR Suivis]],"_"),1,4)</f>
        <v>EPMA0919-B26-02</v>
      </c>
      <c r="P456" s="35" t="str">
        <f>INDEX(_xlfn.TEXTSPLIT(mvtst[[#This Row],[QR Suivis]],"_"),1,5)</f>
        <v>MARINIERE</v>
      </c>
      <c r="Q456" s="35" t="str">
        <f>_xlfn.TEXTAFTER(mvtst[[#This Row],[QR Suivis]],"_",5)</f>
        <v>0919</v>
      </c>
      <c r="R456" s="84" t="str">
        <f>IF(
   COUNTIFS($A$2:A456,A456,
             $B$2:B456,B456,
             $C$2:C456,C456,
             $D$2:D456,D456,
             $G$2:G456,G456)&gt;1,
   "Doublon",
   "Correcte"
)</f>
        <v>Correcte</v>
      </c>
    </row>
    <row r="457" spans="1:18" x14ac:dyDescent="0.25">
      <c r="A457" s="104" t="s">
        <v>1663</v>
      </c>
      <c r="B457" s="35" t="s">
        <v>595</v>
      </c>
      <c r="C457" s="36">
        <v>5</v>
      </c>
      <c r="D457" s="36">
        <v>0</v>
      </c>
      <c r="E457" s="35"/>
      <c r="F457" s="35" t="s">
        <v>664</v>
      </c>
      <c r="G457" s="37">
        <v>45925</v>
      </c>
      <c r="H457" s="37" t="str">
        <f>INDEX(_xlfn.TEXTSPLIT(mvtst[[#This Row],[QR Suivis]],"_"),1,1)</f>
        <v>OF246537-9</v>
      </c>
      <c r="I457" s="35" t="str">
        <f>_xlfn.TEXTBEFORE(mvtst[[#This Row],[Num Suivis]],"-",,,1)</f>
        <v>OF246537</v>
      </c>
      <c r="J457" s="36">
        <f>SUMIF(mvtst[QR Suivis],mvtst[[#This Row],[QR Suivis]],mvtst[QTE SORTIS])-SUMIF(mvtst[QR Suivis],mvtst[[#This Row],[QR Suivis]],mvtst[QTE RETOUR])</f>
        <v>0</v>
      </c>
      <c r="K457" s="35" t="str">
        <f t="shared" si="7"/>
        <v>Usine</v>
      </c>
      <c r="L457" s="35" t="str">
        <f>_xlfn.XLOOKUP(mvtst[[#This Row],[Sous Traitant]],coordonnee_st[Identification],coordonnee_st[SERVICE],"Non Trouvé")</f>
        <v>Frange</v>
      </c>
      <c r="M457" s="35" t="str">
        <f>INDEX(_xlfn.TEXTSPLIT(mvtst[[#This Row],[QR Suivis]],"_"),1,2)</f>
        <v>CL00296</v>
      </c>
      <c r="N457" s="35" t="str">
        <f>INDEX(_xlfn.TEXTSPLIT(mvtst[[#This Row],[QR Suivis]],"_"),1,3)</f>
        <v>CM-FT0108</v>
      </c>
      <c r="O457" s="35" t="str">
        <f>INDEX(_xlfn.TEXTSPLIT(mvtst[[#This Row],[QR Suivis]],"_"),1,4)</f>
        <v>EPMA0919-B26-02</v>
      </c>
      <c r="P457" s="35" t="str">
        <f>INDEX(_xlfn.TEXTSPLIT(mvtst[[#This Row],[QR Suivis]],"_"),1,5)</f>
        <v>MARINIERE</v>
      </c>
      <c r="Q457" s="35" t="str">
        <f>_xlfn.TEXTAFTER(mvtst[[#This Row],[QR Suivis]],"_",5)</f>
        <v>0919</v>
      </c>
      <c r="R457" s="84" t="str">
        <f>IF(
   COUNTIFS($A$2:A457,A457,
             $B$2:B457,B457,
             $C$2:C457,C457,
             $D$2:D457,D457,
             $G$2:G457,G457)&gt;1,
   "Doublon",
   "Correcte"
)</f>
        <v>Correcte</v>
      </c>
    </row>
    <row r="458" spans="1:18" x14ac:dyDescent="0.25">
      <c r="A458" s="104" t="s">
        <v>1664</v>
      </c>
      <c r="B458" s="35" t="s">
        <v>595</v>
      </c>
      <c r="C458" s="36">
        <v>5</v>
      </c>
      <c r="D458" s="36">
        <v>0</v>
      </c>
      <c r="E458" s="35"/>
      <c r="F458" s="35" t="s">
        <v>664</v>
      </c>
      <c r="G458" s="37">
        <v>45925</v>
      </c>
      <c r="H458" s="37" t="str">
        <f>INDEX(_xlfn.TEXTSPLIT(mvtst[[#This Row],[QR Suivis]],"_"),1,1)</f>
        <v>OF246537-14</v>
      </c>
      <c r="I458" s="35" t="str">
        <f>_xlfn.TEXTBEFORE(mvtst[[#This Row],[Num Suivis]],"-",,,1)</f>
        <v>OF246537</v>
      </c>
      <c r="J458" s="36">
        <f>SUMIF(mvtst[QR Suivis],mvtst[[#This Row],[QR Suivis]],mvtst[QTE SORTIS])-SUMIF(mvtst[QR Suivis],mvtst[[#This Row],[QR Suivis]],mvtst[QTE RETOUR])</f>
        <v>0</v>
      </c>
      <c r="K458" s="35" t="str">
        <f t="shared" si="7"/>
        <v>Usine</v>
      </c>
      <c r="L458" s="35" t="str">
        <f>_xlfn.XLOOKUP(mvtst[[#This Row],[Sous Traitant]],coordonnee_st[Identification],coordonnee_st[SERVICE],"Non Trouvé")</f>
        <v>Frange</v>
      </c>
      <c r="M458" s="35" t="str">
        <f>INDEX(_xlfn.TEXTSPLIT(mvtst[[#This Row],[QR Suivis]],"_"),1,2)</f>
        <v>CL00296</v>
      </c>
      <c r="N458" s="35" t="str">
        <f>INDEX(_xlfn.TEXTSPLIT(mvtst[[#This Row],[QR Suivis]],"_"),1,3)</f>
        <v>CM-FT0108</v>
      </c>
      <c r="O458" s="35" t="str">
        <f>INDEX(_xlfn.TEXTSPLIT(mvtst[[#This Row],[QR Suivis]],"_"),1,4)</f>
        <v>EPMA0919-B26-02</v>
      </c>
      <c r="P458" s="35" t="str">
        <f>INDEX(_xlfn.TEXTSPLIT(mvtst[[#This Row],[QR Suivis]],"_"),1,5)</f>
        <v>MARINIERE</v>
      </c>
      <c r="Q458" s="35" t="str">
        <f>_xlfn.TEXTAFTER(mvtst[[#This Row],[QR Suivis]],"_",5)</f>
        <v>0919</v>
      </c>
      <c r="R458" s="84" t="str">
        <f>IF(
   COUNTIFS($A$2:A458,A458,
             $B$2:B458,B458,
             $C$2:C458,C458,
             $D$2:D458,D458,
             $G$2:G458,G458)&gt;1,
   "Doublon",
   "Correcte"
)</f>
        <v>Correcte</v>
      </c>
    </row>
    <row r="459" spans="1:18" x14ac:dyDescent="0.25">
      <c r="A459" s="104" t="s">
        <v>1665</v>
      </c>
      <c r="B459" s="35" t="s">
        <v>595</v>
      </c>
      <c r="C459" s="36">
        <v>5</v>
      </c>
      <c r="D459" s="36">
        <v>0</v>
      </c>
      <c r="E459" s="35"/>
      <c r="F459" s="35" t="s">
        <v>664</v>
      </c>
      <c r="G459" s="37">
        <v>45925</v>
      </c>
      <c r="H459" s="37" t="str">
        <f>INDEX(_xlfn.TEXTSPLIT(mvtst[[#This Row],[QR Suivis]],"_"),1,1)</f>
        <v>OF246537-13</v>
      </c>
      <c r="I459" s="35" t="str">
        <f>_xlfn.TEXTBEFORE(mvtst[[#This Row],[Num Suivis]],"-",,,1)</f>
        <v>OF246537</v>
      </c>
      <c r="J459" s="36">
        <f>SUMIF(mvtst[QR Suivis],mvtst[[#This Row],[QR Suivis]],mvtst[QTE SORTIS])-SUMIF(mvtst[QR Suivis],mvtst[[#This Row],[QR Suivis]],mvtst[QTE RETOUR])</f>
        <v>0</v>
      </c>
      <c r="K459" s="35" t="str">
        <f t="shared" si="7"/>
        <v>Usine</v>
      </c>
      <c r="L459" s="35" t="str">
        <f>_xlfn.XLOOKUP(mvtst[[#This Row],[Sous Traitant]],coordonnee_st[Identification],coordonnee_st[SERVICE],"Non Trouvé")</f>
        <v>Frange</v>
      </c>
      <c r="M459" s="35" t="str">
        <f>INDEX(_xlfn.TEXTSPLIT(mvtst[[#This Row],[QR Suivis]],"_"),1,2)</f>
        <v>CL00296</v>
      </c>
      <c r="N459" s="35" t="str">
        <f>INDEX(_xlfn.TEXTSPLIT(mvtst[[#This Row],[QR Suivis]],"_"),1,3)</f>
        <v>CM-FT0108</v>
      </c>
      <c r="O459" s="35" t="str">
        <f>INDEX(_xlfn.TEXTSPLIT(mvtst[[#This Row],[QR Suivis]],"_"),1,4)</f>
        <v>EPMA0919-B26-02</v>
      </c>
      <c r="P459" s="35" t="str">
        <f>INDEX(_xlfn.TEXTSPLIT(mvtst[[#This Row],[QR Suivis]],"_"),1,5)</f>
        <v>MARINIERE</v>
      </c>
      <c r="Q459" s="35" t="str">
        <f>_xlfn.TEXTAFTER(mvtst[[#This Row],[QR Suivis]],"_",5)</f>
        <v>0919</v>
      </c>
      <c r="R459" s="84" t="str">
        <f>IF(
   COUNTIFS($A$2:A459,A459,
             $B$2:B459,B459,
             $C$2:C459,C459,
             $D$2:D459,D459,
             $G$2:G459,G459)&gt;1,
   "Doublon",
   "Correcte"
)</f>
        <v>Correcte</v>
      </c>
    </row>
    <row r="460" spans="1:18" x14ac:dyDescent="0.25">
      <c r="A460" s="104" t="s">
        <v>1411</v>
      </c>
      <c r="B460" s="35" t="s">
        <v>649</v>
      </c>
      <c r="C460" s="36">
        <v>0</v>
      </c>
      <c r="D460" s="36">
        <v>5</v>
      </c>
      <c r="E460" s="35"/>
      <c r="F460" s="35" t="s">
        <v>664</v>
      </c>
      <c r="G460" s="37">
        <v>45926</v>
      </c>
      <c r="H460" s="37" t="str">
        <f>INDEX(_xlfn.TEXTSPLIT(mvtst[[#This Row],[QR Suivis]],"_"),1,1)</f>
        <v>CA250637-10</v>
      </c>
      <c r="I460" s="35" t="str">
        <f>_xlfn.TEXTBEFORE(mvtst[[#This Row],[Num Suivis]],"-",,,1)</f>
        <v>CA250637</v>
      </c>
      <c r="J460" s="36">
        <f>SUMIF(mvtst[QR Suivis],mvtst[[#This Row],[QR Suivis]],mvtst[QTE SORTIS])-SUMIF(mvtst[QR Suivis],mvtst[[#This Row],[QR Suivis]],mvtst[QTE RETOUR])</f>
        <v>0</v>
      </c>
      <c r="K460" s="35" t="str">
        <f t="shared" si="7"/>
        <v>Usine</v>
      </c>
      <c r="L460" s="35" t="str">
        <f>_xlfn.XLOOKUP(mvtst[[#This Row],[Sous Traitant]],coordonnee_st[Identification],coordonnee_st[SERVICE],"Non Trouvé")</f>
        <v>Frange</v>
      </c>
      <c r="M460" s="35" t="str">
        <f>INDEX(_xlfn.TEXTSPLIT(mvtst[[#This Row],[QR Suivis]],"_"),1,2)</f>
        <v>All by Fouta</v>
      </c>
      <c r="N460" s="35" t="str">
        <f>INDEX(_xlfn.TEXTSPLIT(mvtst[[#This Row],[QR Suivis]],"_"),1,3)</f>
        <v>Stock</v>
      </c>
      <c r="O460" s="35" t="str">
        <f>INDEX(_xlfn.TEXTSPLIT(mvtst[[#This Row],[QR Suivis]],"_"),1,4)</f>
        <v>EPMA0919-B26-02</v>
      </c>
      <c r="P460" s="35" t="str">
        <f>INDEX(_xlfn.TEXTSPLIT(mvtst[[#This Row],[QR Suivis]],"_"),1,5)</f>
        <v>MARINIERE</v>
      </c>
      <c r="Q460" s="35" t="str">
        <f>_xlfn.TEXTAFTER(mvtst[[#This Row],[QR Suivis]],"_",5)</f>
        <v>0919</v>
      </c>
      <c r="R460" s="84" t="str">
        <f>IF(
   COUNTIFS($A$2:A460,A460,
             $B$2:B460,B460,
             $C$2:C460,C460,
             $D$2:D460,D460,
             $G$2:G460,G460)&gt;1,
   "Doublon",
   "Correcte"
)</f>
        <v>Correcte</v>
      </c>
    </row>
    <row r="461" spans="1:18" x14ac:dyDescent="0.25">
      <c r="A461" s="104" t="s">
        <v>1412</v>
      </c>
      <c r="B461" s="35" t="s">
        <v>651</v>
      </c>
      <c r="C461" s="36">
        <v>0</v>
      </c>
      <c r="D461" s="36">
        <v>5</v>
      </c>
      <c r="E461" s="35"/>
      <c r="F461" s="35" t="s">
        <v>664</v>
      </c>
      <c r="G461" s="37">
        <v>45926</v>
      </c>
      <c r="H461" s="37" t="str">
        <f>INDEX(_xlfn.TEXTSPLIT(mvtst[[#This Row],[QR Suivis]],"_"),1,1)</f>
        <v>CA250637-11</v>
      </c>
      <c r="I461" s="35" t="str">
        <f>_xlfn.TEXTBEFORE(mvtst[[#This Row],[Num Suivis]],"-",,,1)</f>
        <v>CA250637</v>
      </c>
      <c r="J461" s="36">
        <f>SUMIF(mvtst[QR Suivis],mvtst[[#This Row],[QR Suivis]],mvtst[QTE SORTIS])-SUMIF(mvtst[QR Suivis],mvtst[[#This Row],[QR Suivis]],mvtst[QTE RETOUR])</f>
        <v>0</v>
      </c>
      <c r="K461" s="35" t="str">
        <f t="shared" si="7"/>
        <v>Usine</v>
      </c>
      <c r="L461" s="35" t="str">
        <f>_xlfn.XLOOKUP(mvtst[[#This Row],[Sous Traitant]],coordonnee_st[Identification],coordonnee_st[SERVICE],"Non Trouvé")</f>
        <v>Frange</v>
      </c>
      <c r="M461" s="35" t="str">
        <f>INDEX(_xlfn.TEXTSPLIT(mvtst[[#This Row],[QR Suivis]],"_"),1,2)</f>
        <v>All by Fouta</v>
      </c>
      <c r="N461" s="35" t="str">
        <f>INDEX(_xlfn.TEXTSPLIT(mvtst[[#This Row],[QR Suivis]],"_"),1,3)</f>
        <v>Stock</v>
      </c>
      <c r="O461" s="35" t="str">
        <f>INDEX(_xlfn.TEXTSPLIT(mvtst[[#This Row],[QR Suivis]],"_"),1,4)</f>
        <v>EPMA0919-B26-02</v>
      </c>
      <c r="P461" s="35" t="str">
        <f>INDEX(_xlfn.TEXTSPLIT(mvtst[[#This Row],[QR Suivis]],"_"),1,5)</f>
        <v>MARINIERE</v>
      </c>
      <c r="Q461" s="35" t="str">
        <f>_xlfn.TEXTAFTER(mvtst[[#This Row],[QR Suivis]],"_",5)</f>
        <v>0919</v>
      </c>
      <c r="R461" s="84" t="str">
        <f>IF(
   COUNTIFS($A$2:A461,A461,
             $B$2:B461,B461,
             $C$2:C461,C461,
             $D$2:D461,D461,
             $G$2:G461,G461)&gt;1,
   "Doublon",
   "Correcte"
)</f>
        <v>Correcte</v>
      </c>
    </row>
    <row r="462" spans="1:18" x14ac:dyDescent="0.25">
      <c r="A462" s="104" t="s">
        <v>1413</v>
      </c>
      <c r="B462" s="35" t="s">
        <v>651</v>
      </c>
      <c r="C462" s="36">
        <v>0</v>
      </c>
      <c r="D462" s="36">
        <v>5</v>
      </c>
      <c r="E462" s="35"/>
      <c r="F462" s="35" t="s">
        <v>664</v>
      </c>
      <c r="G462" s="37">
        <v>45926</v>
      </c>
      <c r="H462" s="37" t="str">
        <f>INDEX(_xlfn.TEXTSPLIT(mvtst[[#This Row],[QR Suivis]],"_"),1,1)</f>
        <v>CA250637-12</v>
      </c>
      <c r="I462" s="35" t="str">
        <f>_xlfn.TEXTBEFORE(mvtst[[#This Row],[Num Suivis]],"-",,,1)</f>
        <v>CA250637</v>
      </c>
      <c r="J462" s="36">
        <f>SUMIF(mvtst[QR Suivis],mvtst[[#This Row],[QR Suivis]],mvtst[QTE SORTIS])-SUMIF(mvtst[QR Suivis],mvtst[[#This Row],[QR Suivis]],mvtst[QTE RETOUR])</f>
        <v>0</v>
      </c>
      <c r="K462" s="35" t="str">
        <f t="shared" si="7"/>
        <v>Usine</v>
      </c>
      <c r="L462" s="35" t="str">
        <f>_xlfn.XLOOKUP(mvtst[[#This Row],[Sous Traitant]],coordonnee_st[Identification],coordonnee_st[SERVICE],"Non Trouvé")</f>
        <v>Frange</v>
      </c>
      <c r="M462" s="35" t="str">
        <f>INDEX(_xlfn.TEXTSPLIT(mvtst[[#This Row],[QR Suivis]],"_"),1,2)</f>
        <v>All by Fouta</v>
      </c>
      <c r="N462" s="35" t="str">
        <f>INDEX(_xlfn.TEXTSPLIT(mvtst[[#This Row],[QR Suivis]],"_"),1,3)</f>
        <v>Stock</v>
      </c>
      <c r="O462" s="35" t="str">
        <f>INDEX(_xlfn.TEXTSPLIT(mvtst[[#This Row],[QR Suivis]],"_"),1,4)</f>
        <v>EPMA0919-B26-02</v>
      </c>
      <c r="P462" s="35" t="str">
        <f>INDEX(_xlfn.TEXTSPLIT(mvtst[[#This Row],[QR Suivis]],"_"),1,5)</f>
        <v>MARINIERE</v>
      </c>
      <c r="Q462" s="35" t="str">
        <f>_xlfn.TEXTAFTER(mvtst[[#This Row],[QR Suivis]],"_",5)</f>
        <v>0919</v>
      </c>
      <c r="R462" s="84" t="str">
        <f>IF(
   COUNTIFS($A$2:A462,A462,
             $B$2:B462,B462,
             $C$2:C462,C462,
             $D$2:D462,D462,
             $G$2:G462,G462)&gt;1,
   "Doublon",
   "Correcte"
)</f>
        <v>Correcte</v>
      </c>
    </row>
    <row r="463" spans="1:18" x14ac:dyDescent="0.25">
      <c r="A463" s="104" t="s">
        <v>1414</v>
      </c>
      <c r="B463" s="35" t="s">
        <v>651</v>
      </c>
      <c r="C463" s="36">
        <v>0</v>
      </c>
      <c r="D463" s="36">
        <v>5</v>
      </c>
      <c r="E463" s="35"/>
      <c r="F463" s="35" t="s">
        <v>664</v>
      </c>
      <c r="G463" s="37">
        <v>45926</v>
      </c>
      <c r="H463" s="37" t="str">
        <f>INDEX(_xlfn.TEXTSPLIT(mvtst[[#This Row],[QR Suivis]],"_"),1,1)</f>
        <v>CA250637-13</v>
      </c>
      <c r="I463" s="35" t="str">
        <f>_xlfn.TEXTBEFORE(mvtst[[#This Row],[Num Suivis]],"-",,,1)</f>
        <v>CA250637</v>
      </c>
      <c r="J463" s="36">
        <f>SUMIF(mvtst[QR Suivis],mvtst[[#This Row],[QR Suivis]],mvtst[QTE SORTIS])-SUMIF(mvtst[QR Suivis],mvtst[[#This Row],[QR Suivis]],mvtst[QTE RETOUR])</f>
        <v>0</v>
      </c>
      <c r="K463" s="35" t="str">
        <f t="shared" si="7"/>
        <v>Usine</v>
      </c>
      <c r="L463" s="35" t="str">
        <f>_xlfn.XLOOKUP(mvtst[[#This Row],[Sous Traitant]],coordonnee_st[Identification],coordonnee_st[SERVICE],"Non Trouvé")</f>
        <v>Frange</v>
      </c>
      <c r="M463" s="35" t="str">
        <f>INDEX(_xlfn.TEXTSPLIT(mvtst[[#This Row],[QR Suivis]],"_"),1,2)</f>
        <v>All by Fouta</v>
      </c>
      <c r="N463" s="35" t="str">
        <f>INDEX(_xlfn.TEXTSPLIT(mvtst[[#This Row],[QR Suivis]],"_"),1,3)</f>
        <v>Stock</v>
      </c>
      <c r="O463" s="35" t="str">
        <f>INDEX(_xlfn.TEXTSPLIT(mvtst[[#This Row],[QR Suivis]],"_"),1,4)</f>
        <v>EPMA0919-B26-02</v>
      </c>
      <c r="P463" s="35" t="str">
        <f>INDEX(_xlfn.TEXTSPLIT(mvtst[[#This Row],[QR Suivis]],"_"),1,5)</f>
        <v>MARINIERE</v>
      </c>
      <c r="Q463" s="35" t="str">
        <f>_xlfn.TEXTAFTER(mvtst[[#This Row],[QR Suivis]],"_",5)</f>
        <v>0919</v>
      </c>
      <c r="R463" s="84" t="str">
        <f>IF(
   COUNTIFS($A$2:A463,A463,
             $B$2:B463,B463,
             $C$2:C463,C463,
             $D$2:D463,D463,
             $G$2:G463,G463)&gt;1,
   "Doublon",
   "Correcte"
)</f>
        <v>Correcte</v>
      </c>
    </row>
    <row r="464" spans="1:18" x14ac:dyDescent="0.25">
      <c r="A464" s="104" t="s">
        <v>1666</v>
      </c>
      <c r="B464" s="35" t="s">
        <v>712</v>
      </c>
      <c r="C464" s="36">
        <v>5</v>
      </c>
      <c r="D464" s="36">
        <v>0</v>
      </c>
      <c r="E464" s="35"/>
      <c r="F464" s="35" t="s">
        <v>664</v>
      </c>
      <c r="G464" s="37">
        <v>45926</v>
      </c>
      <c r="H464" s="37" t="str">
        <f>INDEX(_xlfn.TEXTSPLIT(mvtst[[#This Row],[QR Suivis]],"_"),1,1)</f>
        <v>CA250057-2</v>
      </c>
      <c r="I464" s="35" t="str">
        <f>_xlfn.TEXTBEFORE(mvtst[[#This Row],[Num Suivis]],"-",,,1)</f>
        <v>CA250057</v>
      </c>
      <c r="J464" s="36">
        <f>SUMIF(mvtst[QR Suivis],mvtst[[#This Row],[QR Suivis]],mvtst[QTE SORTIS])-SUMIF(mvtst[QR Suivis],mvtst[[#This Row],[QR Suivis]],mvtst[QTE RETOUR])</f>
        <v>0</v>
      </c>
      <c r="K464" s="35" t="str">
        <f t="shared" si="7"/>
        <v>Usine</v>
      </c>
      <c r="L464" s="35" t="str">
        <f>_xlfn.XLOOKUP(mvtst[[#This Row],[Sous Traitant]],coordonnee_st[Identification],coordonnee_st[SERVICE],"Non Trouvé")</f>
        <v>Frange</v>
      </c>
      <c r="M464" s="35" t="str">
        <f>INDEX(_xlfn.TEXTSPLIT(mvtst[[#This Row],[QR Suivis]],"_"),1,2)</f>
        <v>All by Fouta</v>
      </c>
      <c r="N464" s="35" t="str">
        <f>INDEX(_xlfn.TEXTSPLIT(mvtst[[#This Row],[QR Suivis]],"_"),1,3)</f>
        <v>Stock</v>
      </c>
      <c r="O464" s="35" t="str">
        <f>INDEX(_xlfn.TEXTSPLIT(mvtst[[#This Row],[QR Suivis]],"_"),1,4)</f>
        <v>UNS1626-30</v>
      </c>
      <c r="P464" s="35" t="str">
        <f>INDEX(_xlfn.TEXTSPLIT(mvtst[[#This Row],[QR Suivis]],"_"),1,5)</f>
        <v>UNI SURPIQUE</v>
      </c>
      <c r="Q464" s="35" t="str">
        <f>_xlfn.TEXTAFTER(mvtst[[#This Row],[QR Suivis]],"_",5)</f>
        <v>1626</v>
      </c>
      <c r="R464" s="84" t="str">
        <f>IF(
   COUNTIFS($A$2:A464,A464,
             $B$2:B464,B464,
             $C$2:C464,C464,
             $D$2:D464,D464,
             $G$2:G464,G464)&gt;1,
   "Doublon",
   "Correcte"
)</f>
        <v>Correcte</v>
      </c>
    </row>
    <row r="465" spans="1:18" x14ac:dyDescent="0.25">
      <c r="A465" s="104" t="s">
        <v>1667</v>
      </c>
      <c r="B465" s="35" t="s">
        <v>712</v>
      </c>
      <c r="C465" s="36">
        <v>5</v>
      </c>
      <c r="D465" s="36">
        <v>0</v>
      </c>
      <c r="E465" s="35"/>
      <c r="F465" s="35" t="s">
        <v>664</v>
      </c>
      <c r="G465" s="37">
        <v>45926</v>
      </c>
      <c r="H465" s="37" t="str">
        <f>INDEX(_xlfn.TEXTSPLIT(mvtst[[#This Row],[QR Suivis]],"_"),1,1)</f>
        <v>CA250057-1</v>
      </c>
      <c r="I465" s="35" t="str">
        <f>_xlfn.TEXTBEFORE(mvtst[[#This Row],[Num Suivis]],"-",,,1)</f>
        <v>CA250057</v>
      </c>
      <c r="J465" s="36">
        <f>SUMIF(mvtst[QR Suivis],mvtst[[#This Row],[QR Suivis]],mvtst[QTE SORTIS])-SUMIF(mvtst[QR Suivis],mvtst[[#This Row],[QR Suivis]],mvtst[QTE RETOUR])</f>
        <v>0</v>
      </c>
      <c r="K465" s="35" t="str">
        <f t="shared" si="7"/>
        <v>Usine</v>
      </c>
      <c r="L465" s="35" t="str">
        <f>_xlfn.XLOOKUP(mvtst[[#This Row],[Sous Traitant]],coordonnee_st[Identification],coordonnee_st[SERVICE],"Non Trouvé")</f>
        <v>Frange</v>
      </c>
      <c r="M465" s="35" t="str">
        <f>INDEX(_xlfn.TEXTSPLIT(mvtst[[#This Row],[QR Suivis]],"_"),1,2)</f>
        <v>All by Fouta</v>
      </c>
      <c r="N465" s="35" t="str">
        <f>INDEX(_xlfn.TEXTSPLIT(mvtst[[#This Row],[QR Suivis]],"_"),1,3)</f>
        <v>Stock</v>
      </c>
      <c r="O465" s="35" t="str">
        <f>INDEX(_xlfn.TEXTSPLIT(mvtst[[#This Row],[QR Suivis]],"_"),1,4)</f>
        <v>UNS1626-30</v>
      </c>
      <c r="P465" s="35" t="str">
        <f>INDEX(_xlfn.TEXTSPLIT(mvtst[[#This Row],[QR Suivis]],"_"),1,5)</f>
        <v>UNI SURPIQUE</v>
      </c>
      <c r="Q465" s="35" t="str">
        <f>_xlfn.TEXTAFTER(mvtst[[#This Row],[QR Suivis]],"_",5)</f>
        <v>1626</v>
      </c>
      <c r="R465" s="84" t="str">
        <f>IF(
   COUNTIFS($A$2:A465,A465,
             $B$2:B465,B465,
             $C$2:C465,C465,
             $D$2:D465,D465,
             $G$2:G465,G465)&gt;1,
   "Doublon",
   "Correcte"
)</f>
        <v>Correcte</v>
      </c>
    </row>
    <row r="466" spans="1:18" x14ac:dyDescent="0.25">
      <c r="A466" s="104" t="s">
        <v>1668</v>
      </c>
      <c r="B466" s="35" t="s">
        <v>712</v>
      </c>
      <c r="C466" s="36">
        <v>5</v>
      </c>
      <c r="D466" s="36">
        <v>0</v>
      </c>
      <c r="E466" s="35"/>
      <c r="F466" s="35" t="s">
        <v>664</v>
      </c>
      <c r="G466" s="37">
        <v>45926</v>
      </c>
      <c r="H466" s="37" t="str">
        <f>INDEX(_xlfn.TEXTSPLIT(mvtst[[#This Row],[QR Suivis]],"_"),1,1)</f>
        <v>CA250057-3</v>
      </c>
      <c r="I466" s="35" t="str">
        <f>_xlfn.TEXTBEFORE(mvtst[[#This Row],[Num Suivis]],"-",,,1)</f>
        <v>CA250057</v>
      </c>
      <c r="J466" s="36">
        <f>SUMIF(mvtst[QR Suivis],mvtst[[#This Row],[QR Suivis]],mvtst[QTE SORTIS])-SUMIF(mvtst[QR Suivis],mvtst[[#This Row],[QR Suivis]],mvtst[QTE RETOUR])</f>
        <v>0</v>
      </c>
      <c r="K466" s="35" t="str">
        <f t="shared" si="7"/>
        <v>Usine</v>
      </c>
      <c r="L466" s="35" t="str">
        <f>_xlfn.XLOOKUP(mvtst[[#This Row],[Sous Traitant]],coordonnee_st[Identification],coordonnee_st[SERVICE],"Non Trouvé")</f>
        <v>Frange</v>
      </c>
      <c r="M466" s="35" t="str">
        <f>INDEX(_xlfn.TEXTSPLIT(mvtst[[#This Row],[QR Suivis]],"_"),1,2)</f>
        <v>All by Fouta</v>
      </c>
      <c r="N466" s="35" t="str">
        <f>INDEX(_xlfn.TEXTSPLIT(mvtst[[#This Row],[QR Suivis]],"_"),1,3)</f>
        <v>Stock</v>
      </c>
      <c r="O466" s="35" t="str">
        <f>INDEX(_xlfn.TEXTSPLIT(mvtst[[#This Row],[QR Suivis]],"_"),1,4)</f>
        <v>UNS1626-30</v>
      </c>
      <c r="P466" s="35" t="str">
        <f>INDEX(_xlfn.TEXTSPLIT(mvtst[[#This Row],[QR Suivis]],"_"),1,5)</f>
        <v>UNI SURPIQUE</v>
      </c>
      <c r="Q466" s="35" t="str">
        <f>_xlfn.TEXTAFTER(mvtst[[#This Row],[QR Suivis]],"_",5)</f>
        <v>1626</v>
      </c>
      <c r="R466" s="84" t="str">
        <f>IF(
   COUNTIFS($A$2:A466,A466,
             $B$2:B466,B466,
             $C$2:C466,C466,
             $D$2:D466,D466,
             $G$2:G466,G466)&gt;1,
   "Doublon",
   "Correcte"
)</f>
        <v>Correcte</v>
      </c>
    </row>
    <row r="467" spans="1:18" x14ac:dyDescent="0.25">
      <c r="A467" s="104" t="s">
        <v>1669</v>
      </c>
      <c r="B467" s="35" t="s">
        <v>712</v>
      </c>
      <c r="C467" s="36">
        <v>5</v>
      </c>
      <c r="D467" s="36">
        <v>0</v>
      </c>
      <c r="E467" s="35"/>
      <c r="F467" s="35" t="s">
        <v>664</v>
      </c>
      <c r="G467" s="37">
        <v>45926</v>
      </c>
      <c r="H467" s="37" t="str">
        <f>INDEX(_xlfn.TEXTSPLIT(mvtst[[#This Row],[QR Suivis]],"_"),1,1)</f>
        <v>CA250043-4</v>
      </c>
      <c r="I467" s="35" t="str">
        <f>_xlfn.TEXTBEFORE(mvtst[[#This Row],[Num Suivis]],"-",,,1)</f>
        <v>CA250043</v>
      </c>
      <c r="J467" s="36">
        <f>SUMIF(mvtst[QR Suivis],mvtst[[#This Row],[QR Suivis]],mvtst[QTE SORTIS])-SUMIF(mvtst[QR Suivis],mvtst[[#This Row],[QR Suivis]],mvtst[QTE RETOUR])</f>
        <v>0</v>
      </c>
      <c r="K467" s="35" t="str">
        <f t="shared" si="7"/>
        <v>Usine</v>
      </c>
      <c r="L467" s="35" t="str">
        <f>_xlfn.XLOOKUP(mvtst[[#This Row],[Sous Traitant]],coordonnee_st[Identification],coordonnee_st[SERVICE],"Non Trouvé")</f>
        <v>Frange</v>
      </c>
      <c r="M467" s="35" t="str">
        <f>INDEX(_xlfn.TEXTSPLIT(mvtst[[#This Row],[QR Suivis]],"_"),1,2)</f>
        <v>All by Fouta</v>
      </c>
      <c r="N467" s="35" t="str">
        <f>INDEX(_xlfn.TEXTSPLIT(mvtst[[#This Row],[QR Suivis]],"_"),1,3)</f>
        <v>Stock</v>
      </c>
      <c r="O467" s="35" t="str">
        <f>INDEX(_xlfn.TEXTSPLIT(mvtst[[#This Row],[QR Suivis]],"_"),1,4)</f>
        <v>UNS1626-06</v>
      </c>
      <c r="P467" s="35" t="str">
        <f>INDEX(_xlfn.TEXTSPLIT(mvtst[[#This Row],[QR Suivis]],"_"),1,5)</f>
        <v>UNI SURPIQUE</v>
      </c>
      <c r="Q467" s="35" t="str">
        <f>_xlfn.TEXTAFTER(mvtst[[#This Row],[QR Suivis]],"_",5)</f>
        <v>1626</v>
      </c>
      <c r="R467" s="84" t="str">
        <f>IF(
   COUNTIFS($A$2:A467,A467,
             $B$2:B467,B467,
             $C$2:C467,C467,
             $D$2:D467,D467,
             $G$2:G467,G467)&gt;1,
   "Doublon",
   "Correcte"
)</f>
        <v>Correcte</v>
      </c>
    </row>
    <row r="468" spans="1:18" x14ac:dyDescent="0.25">
      <c r="A468" s="104" t="s">
        <v>1670</v>
      </c>
      <c r="B468" s="35" t="s">
        <v>712</v>
      </c>
      <c r="C468" s="36">
        <v>5</v>
      </c>
      <c r="D468" s="36">
        <v>0</v>
      </c>
      <c r="E468" s="35"/>
      <c r="F468" s="35" t="s">
        <v>664</v>
      </c>
      <c r="G468" s="37">
        <v>45926</v>
      </c>
      <c r="H468" s="37" t="str">
        <f>INDEX(_xlfn.TEXTSPLIT(mvtst[[#This Row],[QR Suivis]],"_"),1,1)</f>
        <v>CA250048-6</v>
      </c>
      <c r="I468" s="35" t="str">
        <f>_xlfn.TEXTBEFORE(mvtst[[#This Row],[Num Suivis]],"-",,,1)</f>
        <v>CA250048</v>
      </c>
      <c r="J468" s="36">
        <f>SUMIF(mvtst[QR Suivis],mvtst[[#This Row],[QR Suivis]],mvtst[QTE SORTIS])-SUMIF(mvtst[QR Suivis],mvtst[[#This Row],[QR Suivis]],mvtst[QTE RETOUR])</f>
        <v>0</v>
      </c>
      <c r="K468" s="35" t="str">
        <f t="shared" si="7"/>
        <v>Usine</v>
      </c>
      <c r="L468" s="35" t="str">
        <f>_xlfn.XLOOKUP(mvtst[[#This Row],[Sous Traitant]],coordonnee_st[Identification],coordonnee_st[SERVICE],"Non Trouvé")</f>
        <v>Frange</v>
      </c>
      <c r="M468" s="35" t="str">
        <f>INDEX(_xlfn.TEXTSPLIT(mvtst[[#This Row],[QR Suivis]],"_"),1,2)</f>
        <v>All by Fouta</v>
      </c>
      <c r="N468" s="35" t="str">
        <f>INDEX(_xlfn.TEXTSPLIT(mvtst[[#This Row],[QR Suivis]],"_"),1,3)</f>
        <v>Stock</v>
      </c>
      <c r="O468" s="35" t="str">
        <f>INDEX(_xlfn.TEXTSPLIT(mvtst[[#This Row],[QR Suivis]],"_"),1,4)</f>
        <v>UNS1626-15</v>
      </c>
      <c r="P468" s="35" t="str">
        <f>INDEX(_xlfn.TEXTSPLIT(mvtst[[#This Row],[QR Suivis]],"_"),1,5)</f>
        <v>UNI SURPIQUE</v>
      </c>
      <c r="Q468" s="35" t="str">
        <f>_xlfn.TEXTAFTER(mvtst[[#This Row],[QR Suivis]],"_",5)</f>
        <v>1626</v>
      </c>
      <c r="R468" s="84" t="str">
        <f>IF(
   COUNTIFS($A$2:A468,A468,
             $B$2:B468,B468,
             $C$2:C468,C468,
             $D$2:D468,D468,
             $G$2:G468,G468)&gt;1,
   "Doublon",
   "Correcte"
)</f>
        <v>Correcte</v>
      </c>
    </row>
    <row r="469" spans="1:18" x14ac:dyDescent="0.25">
      <c r="A469" s="104" t="s">
        <v>1671</v>
      </c>
      <c r="B469" s="35" t="s">
        <v>712</v>
      </c>
      <c r="C469" s="36">
        <v>5</v>
      </c>
      <c r="D469" s="36">
        <v>0</v>
      </c>
      <c r="E469" s="35"/>
      <c r="F469" s="35" t="s">
        <v>664</v>
      </c>
      <c r="G469" s="37">
        <v>45926</v>
      </c>
      <c r="H469" s="37" t="str">
        <f>INDEX(_xlfn.TEXTSPLIT(mvtst[[#This Row],[QR Suivis]],"_"),1,1)</f>
        <v>CA250048-4</v>
      </c>
      <c r="I469" s="35" t="str">
        <f>_xlfn.TEXTBEFORE(mvtst[[#This Row],[Num Suivis]],"-",,,1)</f>
        <v>CA250048</v>
      </c>
      <c r="J469" s="36">
        <f>SUMIF(mvtst[QR Suivis],mvtst[[#This Row],[QR Suivis]],mvtst[QTE SORTIS])-SUMIF(mvtst[QR Suivis],mvtst[[#This Row],[QR Suivis]],mvtst[QTE RETOUR])</f>
        <v>0</v>
      </c>
      <c r="K469" s="35" t="str">
        <f t="shared" si="7"/>
        <v>Usine</v>
      </c>
      <c r="L469" s="35" t="str">
        <f>_xlfn.XLOOKUP(mvtst[[#This Row],[Sous Traitant]],coordonnee_st[Identification],coordonnee_st[SERVICE],"Non Trouvé")</f>
        <v>Frange</v>
      </c>
      <c r="M469" s="35" t="str">
        <f>INDEX(_xlfn.TEXTSPLIT(mvtst[[#This Row],[QR Suivis]],"_"),1,2)</f>
        <v>All by Fouta</v>
      </c>
      <c r="N469" s="35" t="str">
        <f>INDEX(_xlfn.TEXTSPLIT(mvtst[[#This Row],[QR Suivis]],"_"),1,3)</f>
        <v>Stock</v>
      </c>
      <c r="O469" s="35" t="str">
        <f>INDEX(_xlfn.TEXTSPLIT(mvtst[[#This Row],[QR Suivis]],"_"),1,4)</f>
        <v>UNS1626-15</v>
      </c>
      <c r="P469" s="35" t="str">
        <f>INDEX(_xlfn.TEXTSPLIT(mvtst[[#This Row],[QR Suivis]],"_"),1,5)</f>
        <v>UNI SURPIQUE</v>
      </c>
      <c r="Q469" s="35" t="str">
        <f>_xlfn.TEXTAFTER(mvtst[[#This Row],[QR Suivis]],"_",5)</f>
        <v>1626</v>
      </c>
      <c r="R469" s="84" t="str">
        <f>IF(
   COUNTIFS($A$2:A469,A469,
             $B$2:B469,B469,
             $C$2:C469,C469,
             $D$2:D469,D469,
             $G$2:G469,G469)&gt;1,
   "Doublon",
   "Correcte"
)</f>
        <v>Correcte</v>
      </c>
    </row>
    <row r="470" spans="1:18" x14ac:dyDescent="0.25">
      <c r="A470" s="104" t="s">
        <v>1672</v>
      </c>
      <c r="B470" s="35" t="s">
        <v>712</v>
      </c>
      <c r="C470" s="36">
        <v>5</v>
      </c>
      <c r="D470" s="36">
        <v>0</v>
      </c>
      <c r="E470" s="35"/>
      <c r="F470" s="35" t="s">
        <v>664</v>
      </c>
      <c r="G470" s="37">
        <v>45926</v>
      </c>
      <c r="H470" s="37" t="str">
        <f>INDEX(_xlfn.TEXTSPLIT(mvtst[[#This Row],[QR Suivis]],"_"),1,1)</f>
        <v>CA250078-1</v>
      </c>
      <c r="I470" s="35" t="str">
        <f>_xlfn.TEXTBEFORE(mvtst[[#This Row],[Num Suivis]],"-",,,1)</f>
        <v>CA250078</v>
      </c>
      <c r="J470" s="36">
        <f>SUMIF(mvtst[QR Suivis],mvtst[[#This Row],[QR Suivis]],mvtst[QTE SORTIS])-SUMIF(mvtst[QR Suivis],mvtst[[#This Row],[QR Suivis]],mvtst[QTE RETOUR])</f>
        <v>0</v>
      </c>
      <c r="K470" s="35" t="str">
        <f t="shared" si="7"/>
        <v>Usine</v>
      </c>
      <c r="L470" s="35" t="str">
        <f>_xlfn.XLOOKUP(mvtst[[#This Row],[Sous Traitant]],coordonnee_st[Identification],coordonnee_st[SERVICE],"Non Trouvé")</f>
        <v>Frange</v>
      </c>
      <c r="M470" s="35" t="str">
        <f>INDEX(_xlfn.TEXTSPLIT(mvtst[[#This Row],[QR Suivis]],"_"),1,2)</f>
        <v>All by Fouta</v>
      </c>
      <c r="N470" s="35" t="str">
        <f>INDEX(_xlfn.TEXTSPLIT(mvtst[[#This Row],[QR Suivis]],"_"),1,3)</f>
        <v>Stock</v>
      </c>
      <c r="O470" s="35" t="str">
        <f>INDEX(_xlfn.TEXTSPLIT(mvtst[[#This Row],[QR Suivis]],"_"),1,4)</f>
        <v>UNS2030-31</v>
      </c>
      <c r="P470" s="35" t="str">
        <f>INDEX(_xlfn.TEXTSPLIT(mvtst[[#This Row],[QR Suivis]],"_"),1,5)</f>
        <v>UNI SURPIQUE</v>
      </c>
      <c r="Q470" s="35" t="str">
        <f>_xlfn.TEXTAFTER(mvtst[[#This Row],[QR Suivis]],"_",5)</f>
        <v>2030</v>
      </c>
      <c r="R470" s="84" t="str">
        <f>IF(
   COUNTIFS($A$2:A470,A470,
             $B$2:B470,B470,
             $C$2:C470,C470,
             $D$2:D470,D470,
             $G$2:G470,G470)&gt;1,
   "Doublon",
   "Correcte"
)</f>
        <v>Correcte</v>
      </c>
    </row>
    <row r="471" spans="1:18" x14ac:dyDescent="0.25">
      <c r="A471" s="104" t="s">
        <v>1673</v>
      </c>
      <c r="B471" s="35" t="s">
        <v>712</v>
      </c>
      <c r="C471" s="36">
        <v>5</v>
      </c>
      <c r="D471" s="36">
        <v>0</v>
      </c>
      <c r="E471" s="35"/>
      <c r="F471" s="35" t="s">
        <v>664</v>
      </c>
      <c r="G471" s="37">
        <v>45926</v>
      </c>
      <c r="H471" s="37" t="str">
        <f>INDEX(_xlfn.TEXTSPLIT(mvtst[[#This Row],[QR Suivis]],"_"),1,1)</f>
        <v>CA250078-2</v>
      </c>
      <c r="I471" s="35" t="str">
        <f>_xlfn.TEXTBEFORE(mvtst[[#This Row],[Num Suivis]],"-",,,1)</f>
        <v>CA250078</v>
      </c>
      <c r="J471" s="36">
        <f>SUMIF(mvtst[QR Suivis],mvtst[[#This Row],[QR Suivis]],mvtst[QTE SORTIS])-SUMIF(mvtst[QR Suivis],mvtst[[#This Row],[QR Suivis]],mvtst[QTE RETOUR])</f>
        <v>0</v>
      </c>
      <c r="K471" s="35" t="str">
        <f t="shared" si="7"/>
        <v>Usine</v>
      </c>
      <c r="L471" s="35" t="str">
        <f>_xlfn.XLOOKUP(mvtst[[#This Row],[Sous Traitant]],coordonnee_st[Identification],coordonnee_st[SERVICE],"Non Trouvé")</f>
        <v>Frange</v>
      </c>
      <c r="M471" s="35" t="str">
        <f>INDEX(_xlfn.TEXTSPLIT(mvtst[[#This Row],[QR Suivis]],"_"),1,2)</f>
        <v>All by Fouta</v>
      </c>
      <c r="N471" s="35" t="str">
        <f>INDEX(_xlfn.TEXTSPLIT(mvtst[[#This Row],[QR Suivis]],"_"),1,3)</f>
        <v>Stock</v>
      </c>
      <c r="O471" s="35" t="str">
        <f>INDEX(_xlfn.TEXTSPLIT(mvtst[[#This Row],[QR Suivis]],"_"),1,4)</f>
        <v>UNS2030-31</v>
      </c>
      <c r="P471" s="35" t="str">
        <f>INDEX(_xlfn.TEXTSPLIT(mvtst[[#This Row],[QR Suivis]],"_"),1,5)</f>
        <v>UNI SURPIQUE</v>
      </c>
      <c r="Q471" s="35" t="str">
        <f>_xlfn.TEXTAFTER(mvtst[[#This Row],[QR Suivis]],"_",5)</f>
        <v>2030</v>
      </c>
      <c r="R471" s="84" t="str">
        <f>IF(
   COUNTIFS($A$2:A471,A471,
             $B$2:B471,B471,
             $C$2:C471,C471,
             $D$2:D471,D471,
             $G$2:G471,G471)&gt;1,
   "Doublon",
   "Correcte"
)</f>
        <v>Correcte</v>
      </c>
    </row>
    <row r="472" spans="1:18" x14ac:dyDescent="0.25">
      <c r="A472" s="104" t="s">
        <v>1674</v>
      </c>
      <c r="B472" s="35" t="s">
        <v>712</v>
      </c>
      <c r="C472" s="36">
        <v>5</v>
      </c>
      <c r="D472" s="36">
        <v>0</v>
      </c>
      <c r="E472" s="35"/>
      <c r="F472" s="35" t="s">
        <v>664</v>
      </c>
      <c r="G472" s="37">
        <v>45926</v>
      </c>
      <c r="H472" s="37" t="str">
        <f>INDEX(_xlfn.TEXTSPLIT(mvtst[[#This Row],[QR Suivis]],"_"),1,1)</f>
        <v>CA250073-1</v>
      </c>
      <c r="I472" s="35" t="str">
        <f>_xlfn.TEXTBEFORE(mvtst[[#This Row],[Num Suivis]],"-",,,1)</f>
        <v>CA250073</v>
      </c>
      <c r="J472" s="36">
        <f>SUMIF(mvtst[QR Suivis],mvtst[[#This Row],[QR Suivis]],mvtst[QTE SORTIS])-SUMIF(mvtst[QR Suivis],mvtst[[#This Row],[QR Suivis]],mvtst[QTE RETOUR])</f>
        <v>0</v>
      </c>
      <c r="K472" s="35" t="str">
        <f t="shared" si="7"/>
        <v>Usine</v>
      </c>
      <c r="L472" s="35" t="str">
        <f>_xlfn.XLOOKUP(mvtst[[#This Row],[Sous Traitant]],coordonnee_st[Identification],coordonnee_st[SERVICE],"Non Trouvé")</f>
        <v>Frange</v>
      </c>
      <c r="M472" s="35" t="str">
        <f>INDEX(_xlfn.TEXTSPLIT(mvtst[[#This Row],[QR Suivis]],"_"),1,2)</f>
        <v>All by Fouta</v>
      </c>
      <c r="N472" s="35" t="str">
        <f>INDEX(_xlfn.TEXTSPLIT(mvtst[[#This Row],[QR Suivis]],"_"),1,3)</f>
        <v>Stock</v>
      </c>
      <c r="O472" s="35" t="str">
        <f>INDEX(_xlfn.TEXTSPLIT(mvtst[[#This Row],[QR Suivis]],"_"),1,4)</f>
        <v>UNS2030-23</v>
      </c>
      <c r="P472" s="35" t="str">
        <f>INDEX(_xlfn.TEXTSPLIT(mvtst[[#This Row],[QR Suivis]],"_"),1,5)</f>
        <v>UNI SURPIQUE</v>
      </c>
      <c r="Q472" s="35" t="str">
        <f>_xlfn.TEXTAFTER(mvtst[[#This Row],[QR Suivis]],"_",5)</f>
        <v>2030</v>
      </c>
      <c r="R472" s="84" t="str">
        <f>IF(
   COUNTIFS($A$2:A472,A472,
             $B$2:B472,B472,
             $C$2:C472,C472,
             $D$2:D472,D472,
             $G$2:G472,G472)&gt;1,
   "Doublon",
   "Correcte"
)</f>
        <v>Correcte</v>
      </c>
    </row>
    <row r="473" spans="1:18" x14ac:dyDescent="0.25">
      <c r="A473" s="104" t="s">
        <v>1675</v>
      </c>
      <c r="B473" s="35" t="s">
        <v>712</v>
      </c>
      <c r="C473" s="36">
        <v>5</v>
      </c>
      <c r="D473" s="36">
        <v>0</v>
      </c>
      <c r="E473" s="35"/>
      <c r="F473" s="35" t="s">
        <v>664</v>
      </c>
      <c r="G473" s="37">
        <v>45926</v>
      </c>
      <c r="H473" s="37" t="str">
        <f>INDEX(_xlfn.TEXTSPLIT(mvtst[[#This Row],[QR Suivis]],"_"),1,1)</f>
        <v>CA250073-2</v>
      </c>
      <c r="I473" s="35" t="str">
        <f>_xlfn.TEXTBEFORE(mvtst[[#This Row],[Num Suivis]],"-",,,1)</f>
        <v>CA250073</v>
      </c>
      <c r="J473" s="36">
        <f>SUMIF(mvtst[QR Suivis],mvtst[[#This Row],[QR Suivis]],mvtst[QTE SORTIS])-SUMIF(mvtst[QR Suivis],mvtst[[#This Row],[QR Suivis]],mvtst[QTE RETOUR])</f>
        <v>0</v>
      </c>
      <c r="K473" s="35" t="str">
        <f t="shared" si="7"/>
        <v>Usine</v>
      </c>
      <c r="L473" s="35" t="str">
        <f>_xlfn.XLOOKUP(mvtst[[#This Row],[Sous Traitant]],coordonnee_st[Identification],coordonnee_st[SERVICE],"Non Trouvé")</f>
        <v>Frange</v>
      </c>
      <c r="M473" s="35" t="str">
        <f>INDEX(_xlfn.TEXTSPLIT(mvtst[[#This Row],[QR Suivis]],"_"),1,2)</f>
        <v>All by Fouta</v>
      </c>
      <c r="N473" s="35" t="str">
        <f>INDEX(_xlfn.TEXTSPLIT(mvtst[[#This Row],[QR Suivis]],"_"),1,3)</f>
        <v>Stock</v>
      </c>
      <c r="O473" s="35" t="str">
        <f>INDEX(_xlfn.TEXTSPLIT(mvtst[[#This Row],[QR Suivis]],"_"),1,4)</f>
        <v>UNS2030-23</v>
      </c>
      <c r="P473" s="35" t="str">
        <f>INDEX(_xlfn.TEXTSPLIT(mvtst[[#This Row],[QR Suivis]],"_"),1,5)</f>
        <v>UNI SURPIQUE</v>
      </c>
      <c r="Q473" s="35" t="str">
        <f>_xlfn.TEXTAFTER(mvtst[[#This Row],[QR Suivis]],"_",5)</f>
        <v>2030</v>
      </c>
      <c r="R473" s="84" t="str">
        <f>IF(
   COUNTIFS($A$2:A473,A473,
             $B$2:B473,B473,
             $C$2:C473,C473,
             $D$2:D473,D473,
             $G$2:G473,G473)&gt;1,
   "Doublon",
   "Correcte"
)</f>
        <v>Correcte</v>
      </c>
    </row>
    <row r="474" spans="1:18" x14ac:dyDescent="0.25">
      <c r="A474" s="104" t="s">
        <v>1676</v>
      </c>
      <c r="B474" s="35" t="s">
        <v>712</v>
      </c>
      <c r="C474" s="36">
        <v>5</v>
      </c>
      <c r="D474" s="36">
        <v>0</v>
      </c>
      <c r="E474" s="35"/>
      <c r="F474" s="35" t="s">
        <v>664</v>
      </c>
      <c r="G474" s="37">
        <v>45926</v>
      </c>
      <c r="H474" s="37" t="str">
        <f>INDEX(_xlfn.TEXTSPLIT(mvtst[[#This Row],[QR Suivis]],"_"),1,1)</f>
        <v>CA250074-1</v>
      </c>
      <c r="I474" s="35" t="str">
        <f>_xlfn.TEXTBEFORE(mvtst[[#This Row],[Num Suivis]],"-",,,1)</f>
        <v>CA250074</v>
      </c>
      <c r="J474" s="36">
        <f>SUMIF(mvtst[QR Suivis],mvtst[[#This Row],[QR Suivis]],mvtst[QTE SORTIS])-SUMIF(mvtst[QR Suivis],mvtst[[#This Row],[QR Suivis]],mvtst[QTE RETOUR])</f>
        <v>0</v>
      </c>
      <c r="K474" s="35" t="str">
        <f t="shared" si="7"/>
        <v>Usine</v>
      </c>
      <c r="L474" s="35" t="str">
        <f>_xlfn.XLOOKUP(mvtst[[#This Row],[Sous Traitant]],coordonnee_st[Identification],coordonnee_st[SERVICE],"Non Trouvé")</f>
        <v>Frange</v>
      </c>
      <c r="M474" s="35" t="str">
        <f>INDEX(_xlfn.TEXTSPLIT(mvtst[[#This Row],[QR Suivis]],"_"),1,2)</f>
        <v>All by Fouta</v>
      </c>
      <c r="N474" s="35" t="str">
        <f>INDEX(_xlfn.TEXTSPLIT(mvtst[[#This Row],[QR Suivis]],"_"),1,3)</f>
        <v>Stock</v>
      </c>
      <c r="O474" s="35" t="str">
        <f>INDEX(_xlfn.TEXTSPLIT(mvtst[[#This Row],[QR Suivis]],"_"),1,4)</f>
        <v>UNS2030-24</v>
      </c>
      <c r="P474" s="35" t="str">
        <f>INDEX(_xlfn.TEXTSPLIT(mvtst[[#This Row],[QR Suivis]],"_"),1,5)</f>
        <v>UNI SURPIQUE</v>
      </c>
      <c r="Q474" s="35" t="str">
        <f>_xlfn.TEXTAFTER(mvtst[[#This Row],[QR Suivis]],"_",5)</f>
        <v>2030</v>
      </c>
      <c r="R474" s="84" t="str">
        <f>IF(
   COUNTIFS($A$2:A474,A474,
             $B$2:B474,B474,
             $C$2:C474,C474,
             $D$2:D474,D474,
             $G$2:G474,G474)&gt;1,
   "Doublon",
   "Correcte"
)</f>
        <v>Correcte</v>
      </c>
    </row>
    <row r="475" spans="1:18" x14ac:dyDescent="0.25">
      <c r="A475" s="104" t="s">
        <v>1677</v>
      </c>
      <c r="B475" s="35" t="s">
        <v>712</v>
      </c>
      <c r="C475" s="36">
        <v>5</v>
      </c>
      <c r="D475" s="36">
        <v>0</v>
      </c>
      <c r="E475" s="35"/>
      <c r="F475" s="35" t="s">
        <v>664</v>
      </c>
      <c r="G475" s="37">
        <v>45926</v>
      </c>
      <c r="H475" s="37" t="str">
        <f>INDEX(_xlfn.TEXTSPLIT(mvtst[[#This Row],[QR Suivis]],"_"),1,1)</f>
        <v>CA250074-2</v>
      </c>
      <c r="I475" s="35" t="str">
        <f>_xlfn.TEXTBEFORE(mvtst[[#This Row],[Num Suivis]],"-",,,1)</f>
        <v>CA250074</v>
      </c>
      <c r="J475" s="36">
        <f>SUMIF(mvtst[QR Suivis],mvtst[[#This Row],[QR Suivis]],mvtst[QTE SORTIS])-SUMIF(mvtst[QR Suivis],mvtst[[#This Row],[QR Suivis]],mvtst[QTE RETOUR])</f>
        <v>0</v>
      </c>
      <c r="K475" s="35" t="str">
        <f t="shared" si="7"/>
        <v>Usine</v>
      </c>
      <c r="L475" s="35" t="str">
        <f>_xlfn.XLOOKUP(mvtst[[#This Row],[Sous Traitant]],coordonnee_st[Identification],coordonnee_st[SERVICE],"Non Trouvé")</f>
        <v>Frange</v>
      </c>
      <c r="M475" s="35" t="str">
        <f>INDEX(_xlfn.TEXTSPLIT(mvtst[[#This Row],[QR Suivis]],"_"),1,2)</f>
        <v>All by Fouta</v>
      </c>
      <c r="N475" s="35" t="str">
        <f>INDEX(_xlfn.TEXTSPLIT(mvtst[[#This Row],[QR Suivis]],"_"),1,3)</f>
        <v>Stock</v>
      </c>
      <c r="O475" s="35" t="str">
        <f>INDEX(_xlfn.TEXTSPLIT(mvtst[[#This Row],[QR Suivis]],"_"),1,4)</f>
        <v>UNS2030-24</v>
      </c>
      <c r="P475" s="35" t="str">
        <f>INDEX(_xlfn.TEXTSPLIT(mvtst[[#This Row],[QR Suivis]],"_"),1,5)</f>
        <v>UNI SURPIQUE</v>
      </c>
      <c r="Q475" s="35" t="str">
        <f>_xlfn.TEXTAFTER(mvtst[[#This Row],[QR Suivis]],"_",5)</f>
        <v>2030</v>
      </c>
      <c r="R475" s="84" t="str">
        <f>IF(
   COUNTIFS($A$2:A475,A475,
             $B$2:B475,B475,
             $C$2:C475,C475,
             $D$2:D475,D475,
             $G$2:G475,G475)&gt;1,
   "Doublon",
   "Correcte"
)</f>
        <v>Correcte</v>
      </c>
    </row>
    <row r="476" spans="1:18" x14ac:dyDescent="0.25">
      <c r="A476" s="104" t="s">
        <v>1678</v>
      </c>
      <c r="B476" s="35" t="s">
        <v>712</v>
      </c>
      <c r="C476" s="36">
        <v>1</v>
      </c>
      <c r="D476" s="36">
        <v>0</v>
      </c>
      <c r="E476" s="35"/>
      <c r="F476" s="35" t="s">
        <v>664</v>
      </c>
      <c r="G476" s="37">
        <v>45926</v>
      </c>
      <c r="H476" s="37" t="str">
        <f>INDEX(_xlfn.TEXTSPLIT(mvtst[[#This Row],[QR Suivis]],"_"),1,1)</f>
        <v>CA250064-5</v>
      </c>
      <c r="I476" s="35" t="str">
        <f>_xlfn.TEXTBEFORE(mvtst[[#This Row],[Num Suivis]],"-",,,1)</f>
        <v>CA250064</v>
      </c>
      <c r="J476" s="36">
        <f>SUMIF(mvtst[QR Suivis],mvtst[[#This Row],[QR Suivis]],mvtst[QTE SORTIS])-SUMIF(mvtst[QR Suivis],mvtst[[#This Row],[QR Suivis]],mvtst[QTE RETOUR])</f>
        <v>0</v>
      </c>
      <c r="K476" s="35" t="str">
        <f t="shared" si="7"/>
        <v>Usine</v>
      </c>
      <c r="L476" s="35" t="str">
        <f>_xlfn.XLOOKUP(mvtst[[#This Row],[Sous Traitant]],coordonnee_st[Identification],coordonnee_st[SERVICE],"Non Trouvé")</f>
        <v>Frange</v>
      </c>
      <c r="M476" s="35" t="str">
        <f>INDEX(_xlfn.TEXTSPLIT(mvtst[[#This Row],[QR Suivis]],"_"),1,2)</f>
        <v>All by Fouta</v>
      </c>
      <c r="N476" s="35" t="str">
        <f>INDEX(_xlfn.TEXTSPLIT(mvtst[[#This Row],[QR Suivis]],"_"),1,3)</f>
        <v>Stock</v>
      </c>
      <c r="O476" s="35" t="str">
        <f>INDEX(_xlfn.TEXTSPLIT(mvtst[[#This Row],[QR Suivis]],"_"),1,4)</f>
        <v>UNS2030-09</v>
      </c>
      <c r="P476" s="35" t="str">
        <f>INDEX(_xlfn.TEXTSPLIT(mvtst[[#This Row],[QR Suivis]],"_"),1,5)</f>
        <v>UNI SURPIQUE</v>
      </c>
      <c r="Q476" s="35" t="str">
        <f>_xlfn.TEXTAFTER(mvtst[[#This Row],[QR Suivis]],"_",5)</f>
        <v>2030</v>
      </c>
      <c r="R476" s="84" t="str">
        <f>IF(
   COUNTIFS($A$2:A476,A476,
             $B$2:B476,B476,
             $C$2:C476,C476,
             $D$2:D476,D476,
             $G$2:G476,G476)&gt;1,
   "Doublon",
   "Correcte"
)</f>
        <v>Correcte</v>
      </c>
    </row>
    <row r="477" spans="1:18" x14ac:dyDescent="0.25">
      <c r="A477" s="104" t="s">
        <v>1679</v>
      </c>
      <c r="B477" s="35" t="s">
        <v>712</v>
      </c>
      <c r="C477" s="36">
        <v>5</v>
      </c>
      <c r="D477" s="36">
        <v>0</v>
      </c>
      <c r="E477" s="35"/>
      <c r="F477" s="35" t="s">
        <v>664</v>
      </c>
      <c r="G477" s="37">
        <v>45926</v>
      </c>
      <c r="H477" s="37" t="str">
        <f>INDEX(_xlfn.TEXTSPLIT(mvtst[[#This Row],[QR Suivis]],"_"),1,1)</f>
        <v>CA250021-2</v>
      </c>
      <c r="I477" s="35" t="str">
        <f>_xlfn.TEXTBEFORE(mvtst[[#This Row],[Num Suivis]],"-",,,1)</f>
        <v>CA250021</v>
      </c>
      <c r="J477" s="36">
        <f>SUMIF(mvtst[QR Suivis],mvtst[[#This Row],[QR Suivis]],mvtst[QTE SORTIS])-SUMIF(mvtst[QR Suivis],mvtst[[#This Row],[QR Suivis]],mvtst[QTE RETOUR])</f>
        <v>0</v>
      </c>
      <c r="K477" s="35" t="str">
        <f t="shared" si="7"/>
        <v>Usine</v>
      </c>
      <c r="L477" s="35" t="str">
        <f>_xlfn.XLOOKUP(mvtst[[#This Row],[Sous Traitant]],coordonnee_st[Identification],coordonnee_st[SERVICE],"Non Trouvé")</f>
        <v>Frange</v>
      </c>
      <c r="M477" s="35" t="str">
        <f>INDEX(_xlfn.TEXTSPLIT(mvtst[[#This Row],[QR Suivis]],"_"),1,2)</f>
        <v>All by Fouta</v>
      </c>
      <c r="N477" s="35" t="str">
        <f>INDEX(_xlfn.TEXTSPLIT(mvtst[[#This Row],[QR Suivis]],"_"),1,3)</f>
        <v>Stock</v>
      </c>
      <c r="O477" s="35" t="str">
        <f>INDEX(_xlfn.TEXTSPLIT(mvtst[[#This Row],[QR Suivis]],"_"),1,4)</f>
        <v>UNS2020-03</v>
      </c>
      <c r="P477" s="35" t="str">
        <f>INDEX(_xlfn.TEXTSPLIT(mvtst[[#This Row],[QR Suivis]],"_"),1,5)</f>
        <v>UNI SURPIQUE</v>
      </c>
      <c r="Q477" s="35" t="str">
        <f>_xlfn.TEXTAFTER(mvtst[[#This Row],[QR Suivis]],"_",5)</f>
        <v>2020</v>
      </c>
      <c r="R477" s="84" t="str">
        <f>IF(
   COUNTIFS($A$2:A477,A477,
             $B$2:B477,B477,
             $C$2:C477,C477,
             $D$2:D477,D477,
             $G$2:G477,G477)&gt;1,
   "Doublon",
   "Correcte"
)</f>
        <v>Correcte</v>
      </c>
    </row>
    <row r="478" spans="1:18" x14ac:dyDescent="0.25">
      <c r="A478" s="104" t="s">
        <v>1680</v>
      </c>
      <c r="B478" s="35" t="s">
        <v>712</v>
      </c>
      <c r="C478" s="36">
        <v>5</v>
      </c>
      <c r="D478" s="36">
        <v>0</v>
      </c>
      <c r="E478" s="35"/>
      <c r="F478" s="35" t="s">
        <v>664</v>
      </c>
      <c r="G478" s="37">
        <v>45926</v>
      </c>
      <c r="H478" s="37" t="str">
        <f>INDEX(_xlfn.TEXTSPLIT(mvtst[[#This Row],[QR Suivis]],"_"),1,1)</f>
        <v>CA250021-3</v>
      </c>
      <c r="I478" s="35" t="str">
        <f>_xlfn.TEXTBEFORE(mvtst[[#This Row],[Num Suivis]],"-",,,1)</f>
        <v>CA250021</v>
      </c>
      <c r="J478" s="36">
        <f>SUMIF(mvtst[QR Suivis],mvtst[[#This Row],[QR Suivis]],mvtst[QTE SORTIS])-SUMIF(mvtst[QR Suivis],mvtst[[#This Row],[QR Suivis]],mvtst[QTE RETOUR])</f>
        <v>0</v>
      </c>
      <c r="K478" s="35" t="str">
        <f t="shared" si="7"/>
        <v>Usine</v>
      </c>
      <c r="L478" s="35" t="str">
        <f>_xlfn.XLOOKUP(mvtst[[#This Row],[Sous Traitant]],coordonnee_st[Identification],coordonnee_st[SERVICE],"Non Trouvé")</f>
        <v>Frange</v>
      </c>
      <c r="M478" s="35" t="str">
        <f>INDEX(_xlfn.TEXTSPLIT(mvtst[[#This Row],[QR Suivis]],"_"),1,2)</f>
        <v>All by Fouta</v>
      </c>
      <c r="N478" s="35" t="str">
        <f>INDEX(_xlfn.TEXTSPLIT(mvtst[[#This Row],[QR Suivis]],"_"),1,3)</f>
        <v>Stock</v>
      </c>
      <c r="O478" s="35" t="str">
        <f>INDEX(_xlfn.TEXTSPLIT(mvtst[[#This Row],[QR Suivis]],"_"),1,4)</f>
        <v>UNS2020-03</v>
      </c>
      <c r="P478" s="35" t="str">
        <f>INDEX(_xlfn.TEXTSPLIT(mvtst[[#This Row],[QR Suivis]],"_"),1,5)</f>
        <v>UNI SURPIQUE</v>
      </c>
      <c r="Q478" s="35" t="str">
        <f>_xlfn.TEXTAFTER(mvtst[[#This Row],[QR Suivis]],"_",5)</f>
        <v>2020</v>
      </c>
      <c r="R478" s="84" t="str">
        <f>IF(
   COUNTIFS($A$2:A478,A478,
             $B$2:B478,B478,
             $C$2:C478,C478,
             $D$2:D478,D478,
             $G$2:G478,G478)&gt;1,
   "Doublon",
   "Correcte"
)</f>
        <v>Correcte</v>
      </c>
    </row>
    <row r="479" spans="1:18" x14ac:dyDescent="0.25">
      <c r="A479" s="104" t="s">
        <v>1304</v>
      </c>
      <c r="B479" s="35" t="s">
        <v>712</v>
      </c>
      <c r="C479" s="36">
        <v>29</v>
      </c>
      <c r="D479" s="36">
        <v>0</v>
      </c>
      <c r="E479" s="35"/>
      <c r="F479" s="35" t="s">
        <v>664</v>
      </c>
      <c r="G479" s="37">
        <v>45926</v>
      </c>
      <c r="H479" s="37" t="str">
        <f>INDEX(_xlfn.TEXTSPLIT(mvtst[[#This Row],[QR Suivis]],"_"),1,1)</f>
        <v>CA250026</v>
      </c>
      <c r="I479" s="35" t="str">
        <f>_xlfn.TEXTBEFORE(mvtst[[#This Row],[Num Suivis]],"-",,,1)</f>
        <v>CA250026</v>
      </c>
      <c r="J479" s="36">
        <f>SUMIF(mvtst[QR Suivis],mvtst[[#This Row],[QR Suivis]],mvtst[QTE SORTIS])-SUMIF(mvtst[QR Suivis],mvtst[[#This Row],[QR Suivis]],mvtst[QTE RETOUR])</f>
        <v>0</v>
      </c>
      <c r="K479" s="35" t="str">
        <f t="shared" si="7"/>
        <v>Usine</v>
      </c>
      <c r="L479" s="35" t="str">
        <f>_xlfn.XLOOKUP(mvtst[[#This Row],[Sous Traitant]],coordonnee_st[Identification],coordonnee_st[SERVICE],"Non Trouvé")</f>
        <v>Frange</v>
      </c>
      <c r="M479" s="35" t="str">
        <f>INDEX(_xlfn.TEXTSPLIT(mvtst[[#This Row],[QR Suivis]],"_"),1,2)</f>
        <v>All by Fouta</v>
      </c>
      <c r="N479" s="35" t="str">
        <f>INDEX(_xlfn.TEXTSPLIT(mvtst[[#This Row],[QR Suivis]],"_"),1,3)</f>
        <v>Stock</v>
      </c>
      <c r="O479" s="35" t="str">
        <f>INDEX(_xlfn.TEXTSPLIT(mvtst[[#This Row],[QR Suivis]],"_"),1,4)</f>
        <v>UNS2020-12</v>
      </c>
      <c r="P479" s="35" t="str">
        <f>INDEX(_xlfn.TEXTSPLIT(mvtst[[#This Row],[QR Suivis]],"_"),1,5)</f>
        <v>UNI SURPIQUE</v>
      </c>
      <c r="Q479" s="35" t="str">
        <f>_xlfn.TEXTAFTER(mvtst[[#This Row],[QR Suivis]],"_",5)</f>
        <v>2020</v>
      </c>
      <c r="R479" s="84" t="str">
        <f>IF(
   COUNTIFS($A$2:A479,A479,
             $B$2:B479,B479,
             $C$2:C479,C479,
             $D$2:D479,D479,
             $G$2:G479,G479)&gt;1,
   "Doublon",
   "Correcte"
)</f>
        <v>Correcte</v>
      </c>
    </row>
    <row r="480" spans="1:18" x14ac:dyDescent="0.25">
      <c r="A480" s="104" t="s">
        <v>1305</v>
      </c>
      <c r="B480" s="35" t="s">
        <v>712</v>
      </c>
      <c r="C480" s="36">
        <v>30</v>
      </c>
      <c r="D480" s="36">
        <v>0</v>
      </c>
      <c r="E480" s="35"/>
      <c r="F480" s="35" t="s">
        <v>664</v>
      </c>
      <c r="G480" s="37">
        <v>45926</v>
      </c>
      <c r="H480" s="37" t="str">
        <f>INDEX(_xlfn.TEXTSPLIT(mvtst[[#This Row],[QR Suivis]],"_"),1,1)</f>
        <v>CA250025</v>
      </c>
      <c r="I480" s="35" t="str">
        <f>_xlfn.TEXTBEFORE(mvtst[[#This Row],[Num Suivis]],"-",,,1)</f>
        <v>CA250025</v>
      </c>
      <c r="J480" s="36">
        <f>SUMIF(mvtst[QR Suivis],mvtst[[#This Row],[QR Suivis]],mvtst[QTE SORTIS])-SUMIF(mvtst[QR Suivis],mvtst[[#This Row],[QR Suivis]],mvtst[QTE RETOUR])</f>
        <v>0</v>
      </c>
      <c r="K480" s="35" t="str">
        <f t="shared" si="7"/>
        <v>Usine</v>
      </c>
      <c r="L480" s="35" t="str">
        <f>_xlfn.XLOOKUP(mvtst[[#This Row],[Sous Traitant]],coordonnee_st[Identification],coordonnee_st[SERVICE],"Non Trouvé")</f>
        <v>Frange</v>
      </c>
      <c r="M480" s="35" t="str">
        <f>INDEX(_xlfn.TEXTSPLIT(mvtst[[#This Row],[QR Suivis]],"_"),1,2)</f>
        <v>All by Fouta</v>
      </c>
      <c r="N480" s="35" t="str">
        <f>INDEX(_xlfn.TEXTSPLIT(mvtst[[#This Row],[QR Suivis]],"_"),1,3)</f>
        <v>Stock</v>
      </c>
      <c r="O480" s="35" t="str">
        <f>INDEX(_xlfn.TEXTSPLIT(mvtst[[#This Row],[QR Suivis]],"_"),1,4)</f>
        <v>UNS2020-10</v>
      </c>
      <c r="P480" s="35" t="str">
        <f>INDEX(_xlfn.TEXTSPLIT(mvtst[[#This Row],[QR Suivis]],"_"),1,5)</f>
        <v>UNI SURPIQUE</v>
      </c>
      <c r="Q480" s="35" t="str">
        <f>_xlfn.TEXTAFTER(mvtst[[#This Row],[QR Suivis]],"_",5)</f>
        <v>2020</v>
      </c>
      <c r="R480" s="84" t="str">
        <f>IF(
   COUNTIFS($A$2:A480,A480,
             $B$2:B480,B480,
             $C$2:C480,C480,
             $D$2:D480,D480,
             $G$2:G480,G480)&gt;1,
   "Doublon",
   "Correcte"
)</f>
        <v>Correcte</v>
      </c>
    </row>
    <row r="481" spans="1:18" x14ac:dyDescent="0.25">
      <c r="A481" s="104" t="s">
        <v>1681</v>
      </c>
      <c r="B481" s="35" t="s">
        <v>712</v>
      </c>
      <c r="C481" s="36">
        <v>5</v>
      </c>
      <c r="D481" s="36">
        <v>0</v>
      </c>
      <c r="E481" s="35"/>
      <c r="F481" s="35" t="s">
        <v>664</v>
      </c>
      <c r="G481" s="37">
        <v>45926</v>
      </c>
      <c r="H481" s="37" t="str">
        <f>INDEX(_xlfn.TEXTSPLIT(mvtst[[#This Row],[QR Suivis]],"_"),1,1)</f>
        <v>CA250022-4</v>
      </c>
      <c r="I481" s="35" t="str">
        <f>_xlfn.TEXTBEFORE(mvtst[[#This Row],[Num Suivis]],"-",,,1)</f>
        <v>CA250022</v>
      </c>
      <c r="J481" s="36">
        <f>SUMIF(mvtst[QR Suivis],mvtst[[#This Row],[QR Suivis]],mvtst[QTE SORTIS])-SUMIF(mvtst[QR Suivis],mvtst[[#This Row],[QR Suivis]],mvtst[QTE RETOUR])</f>
        <v>0</v>
      </c>
      <c r="K481" s="35" t="str">
        <f t="shared" si="7"/>
        <v>Usine</v>
      </c>
      <c r="L481" s="35" t="str">
        <f>_xlfn.XLOOKUP(mvtst[[#This Row],[Sous Traitant]],coordonnee_st[Identification],coordonnee_st[SERVICE],"Non Trouvé")</f>
        <v>Frange</v>
      </c>
      <c r="M481" s="35" t="str">
        <f>INDEX(_xlfn.TEXTSPLIT(mvtst[[#This Row],[QR Suivis]],"_"),1,2)</f>
        <v>All by Fouta</v>
      </c>
      <c r="N481" s="35" t="str">
        <f>INDEX(_xlfn.TEXTSPLIT(mvtst[[#This Row],[QR Suivis]],"_"),1,3)</f>
        <v>Stock</v>
      </c>
      <c r="O481" s="35" t="str">
        <f>INDEX(_xlfn.TEXTSPLIT(mvtst[[#This Row],[QR Suivis]],"_"),1,4)</f>
        <v>UNS2020-04</v>
      </c>
      <c r="P481" s="35" t="str">
        <f>INDEX(_xlfn.TEXTSPLIT(mvtst[[#This Row],[QR Suivis]],"_"),1,5)</f>
        <v>UNI SURPIQUE</v>
      </c>
      <c r="Q481" s="35" t="str">
        <f>_xlfn.TEXTAFTER(mvtst[[#This Row],[QR Suivis]],"_",5)</f>
        <v>2020</v>
      </c>
      <c r="R481" s="84" t="str">
        <f>IF(
   COUNTIFS($A$2:A481,A481,
             $B$2:B481,B481,
             $C$2:C481,C481,
             $D$2:D481,D481,
             $G$2:G481,G481)&gt;1,
   "Doublon",
   "Correcte"
)</f>
        <v>Correcte</v>
      </c>
    </row>
    <row r="482" spans="1:18" x14ac:dyDescent="0.25">
      <c r="A482" s="104" t="s">
        <v>1682</v>
      </c>
      <c r="B482" s="35" t="s">
        <v>712</v>
      </c>
      <c r="C482" s="36">
        <v>1</v>
      </c>
      <c r="D482" s="36">
        <v>0</v>
      </c>
      <c r="E482" s="35"/>
      <c r="F482" s="35" t="s">
        <v>664</v>
      </c>
      <c r="G482" s="37">
        <v>45926</v>
      </c>
      <c r="H482" s="37" t="str">
        <f>INDEX(_xlfn.TEXTSPLIT(mvtst[[#This Row],[QR Suivis]],"_"),1,1)</f>
        <v>CA250041-7</v>
      </c>
      <c r="I482" s="35" t="str">
        <f>_xlfn.TEXTBEFORE(mvtst[[#This Row],[Num Suivis]],"-",,,1)</f>
        <v>CA250041</v>
      </c>
      <c r="J482" s="36">
        <f>SUMIF(mvtst[QR Suivis],mvtst[[#This Row],[QR Suivis]],mvtst[QTE SORTIS])-SUMIF(mvtst[QR Suivis],mvtst[[#This Row],[QR Suivis]],mvtst[QTE RETOUR])</f>
        <v>0</v>
      </c>
      <c r="K482" s="35" t="str">
        <f t="shared" si="7"/>
        <v>Usine</v>
      </c>
      <c r="L482" s="35" t="str">
        <f>_xlfn.XLOOKUP(mvtst[[#This Row],[Sous Traitant]],coordonnee_st[Identification],coordonnee_st[SERVICE],"Non Trouvé")</f>
        <v>Frange</v>
      </c>
      <c r="M482" s="35" t="str">
        <f>INDEX(_xlfn.TEXTSPLIT(mvtst[[#This Row],[QR Suivis]],"_"),1,2)</f>
        <v>All by Fouta</v>
      </c>
      <c r="N482" s="35" t="str">
        <f>INDEX(_xlfn.TEXTSPLIT(mvtst[[#This Row],[QR Suivis]],"_"),1,3)</f>
        <v>Stock</v>
      </c>
      <c r="O482" s="35" t="str">
        <f>INDEX(_xlfn.TEXTSPLIT(mvtst[[#This Row],[QR Suivis]],"_"),1,4)</f>
        <v>UNS1626-03</v>
      </c>
      <c r="P482" s="35" t="str">
        <f>INDEX(_xlfn.TEXTSPLIT(mvtst[[#This Row],[QR Suivis]],"_"),1,5)</f>
        <v>UNI SURPIQUE</v>
      </c>
      <c r="Q482" s="35" t="str">
        <f>_xlfn.TEXTAFTER(mvtst[[#This Row],[QR Suivis]],"_",5)</f>
        <v>1626</v>
      </c>
      <c r="R482" s="84" t="str">
        <f>IF(
   COUNTIFS($A$2:A482,A482,
             $B$2:B482,B482,
             $C$2:C482,C482,
             $D$2:D482,D482,
             $G$2:G482,G482)&gt;1,
   "Doublon",
   "Correcte"
)</f>
        <v>Correcte</v>
      </c>
    </row>
    <row r="483" spans="1:18" x14ac:dyDescent="0.25">
      <c r="A483" s="104" t="s">
        <v>1683</v>
      </c>
      <c r="B483" s="35" t="s">
        <v>595</v>
      </c>
      <c r="C483" s="36">
        <v>2</v>
      </c>
      <c r="D483" s="36">
        <v>0</v>
      </c>
      <c r="E483" s="35"/>
      <c r="F483" s="35" t="s">
        <v>664</v>
      </c>
      <c r="G483" s="37">
        <v>45926</v>
      </c>
      <c r="H483" s="37" t="str">
        <f>INDEX(_xlfn.TEXTSPLIT(mvtst[[#This Row],[QR Suivis]],"_"),1,1)</f>
        <v>OF250131-3</v>
      </c>
      <c r="I483" s="35" t="str">
        <f>_xlfn.TEXTBEFORE(mvtst[[#This Row],[Num Suivis]],"-",,,1)</f>
        <v>OF250131</v>
      </c>
      <c r="J483" s="36">
        <f>SUMIF(mvtst[QR Suivis],mvtst[[#This Row],[QR Suivis]],mvtst[QTE SORTIS])-SUMIF(mvtst[QR Suivis],mvtst[[#This Row],[QR Suivis]],mvtst[QTE RETOUR])</f>
        <v>0</v>
      </c>
      <c r="K483" s="35" t="str">
        <f t="shared" si="7"/>
        <v>Usine</v>
      </c>
      <c r="L483" s="35" t="str">
        <f>_xlfn.XLOOKUP(mvtst[[#This Row],[Sous Traitant]],coordonnee_st[Identification],coordonnee_st[SERVICE],"Non Trouvé")</f>
        <v>Frange</v>
      </c>
      <c r="M483" s="35" t="str">
        <f>INDEX(_xlfn.TEXTSPLIT(mvtst[[#This Row],[QR Suivis]],"_"),1,2)</f>
        <v>CL00162</v>
      </c>
      <c r="N483" s="35" t="str">
        <f>INDEX(_xlfn.TEXTSPLIT(mvtst[[#This Row],[QR Suivis]],"_"),1,3)</f>
        <v>CM-FT0130</v>
      </c>
      <c r="O483" s="35" t="str">
        <f>INDEX(_xlfn.TEXTSPLIT(mvtst[[#This Row],[QR Suivis]],"_"),1,4)</f>
        <v>GIN2426-B12-03</v>
      </c>
      <c r="P483" s="35" t="str">
        <f>INDEX(_xlfn.TEXTSPLIT(mvtst[[#This Row],[QR Suivis]],"_"),1,5)</f>
        <v>GINKO</v>
      </c>
      <c r="Q483" s="35" t="str">
        <f>_xlfn.TEXTAFTER(mvtst[[#This Row],[QR Suivis]],"_",5)</f>
        <v>2426</v>
      </c>
      <c r="R483" s="84" t="str">
        <f>IF(
   COUNTIFS($A$2:A483,A483,
             $B$2:B483,B483,
             $C$2:C483,C483,
             $D$2:D483,D483,
             $G$2:G483,G483)&gt;1,
   "Doublon",
   "Correcte"
)</f>
        <v>Correcte</v>
      </c>
    </row>
    <row r="484" spans="1:18" x14ac:dyDescent="0.25">
      <c r="A484" s="104" t="s">
        <v>1684</v>
      </c>
      <c r="B484" s="35" t="s">
        <v>595</v>
      </c>
      <c r="C484" s="36">
        <v>2</v>
      </c>
      <c r="D484" s="36">
        <v>0</v>
      </c>
      <c r="E484" s="35"/>
      <c r="F484" s="35" t="s">
        <v>664</v>
      </c>
      <c r="G484" s="37">
        <v>45926</v>
      </c>
      <c r="H484" s="37" t="str">
        <f>INDEX(_xlfn.TEXTSPLIT(mvtst[[#This Row],[QR Suivis]],"_"),1,1)</f>
        <v>OF250131-4</v>
      </c>
      <c r="I484" s="35" t="str">
        <f>_xlfn.TEXTBEFORE(mvtst[[#This Row],[Num Suivis]],"-",,,1)</f>
        <v>OF250131</v>
      </c>
      <c r="J484" s="36">
        <f>SUMIF(mvtst[QR Suivis],mvtst[[#This Row],[QR Suivis]],mvtst[QTE SORTIS])-SUMIF(mvtst[QR Suivis],mvtst[[#This Row],[QR Suivis]],mvtst[QTE RETOUR])</f>
        <v>0</v>
      </c>
      <c r="K484" s="35" t="str">
        <f t="shared" si="7"/>
        <v>Usine</v>
      </c>
      <c r="L484" s="35" t="str">
        <f>_xlfn.XLOOKUP(mvtst[[#This Row],[Sous Traitant]],coordonnee_st[Identification],coordonnee_st[SERVICE],"Non Trouvé")</f>
        <v>Frange</v>
      </c>
      <c r="M484" s="35" t="str">
        <f>INDEX(_xlfn.TEXTSPLIT(mvtst[[#This Row],[QR Suivis]],"_"),1,2)</f>
        <v>CL00162</v>
      </c>
      <c r="N484" s="35" t="str">
        <f>INDEX(_xlfn.TEXTSPLIT(mvtst[[#This Row],[QR Suivis]],"_"),1,3)</f>
        <v>CM-FT0130</v>
      </c>
      <c r="O484" s="35" t="str">
        <f>INDEX(_xlfn.TEXTSPLIT(mvtst[[#This Row],[QR Suivis]],"_"),1,4)</f>
        <v>GIN2426-B12-03</v>
      </c>
      <c r="P484" s="35" t="str">
        <f>INDEX(_xlfn.TEXTSPLIT(mvtst[[#This Row],[QR Suivis]],"_"),1,5)</f>
        <v>GINKO</v>
      </c>
      <c r="Q484" s="35" t="str">
        <f>_xlfn.TEXTAFTER(mvtst[[#This Row],[QR Suivis]],"_",5)</f>
        <v>2426</v>
      </c>
      <c r="R484" s="84" t="str">
        <f>IF(
   COUNTIFS($A$2:A484,A484,
             $B$2:B484,B484,
             $C$2:C484,C484,
             $D$2:D484,D484,
             $G$2:G484,G484)&gt;1,
   "Doublon",
   "Correcte"
)</f>
        <v>Correcte</v>
      </c>
    </row>
    <row r="485" spans="1:18" x14ac:dyDescent="0.25">
      <c r="A485" s="104" t="s">
        <v>1685</v>
      </c>
      <c r="B485" s="35" t="s">
        <v>595</v>
      </c>
      <c r="C485" s="36">
        <v>1</v>
      </c>
      <c r="D485" s="36">
        <v>0</v>
      </c>
      <c r="E485" s="35"/>
      <c r="F485" s="35" t="s">
        <v>664</v>
      </c>
      <c r="G485" s="37">
        <v>45926</v>
      </c>
      <c r="H485" s="37" t="str">
        <f>INDEX(_xlfn.TEXTSPLIT(mvtst[[#This Row],[QR Suivis]],"_"),1,1)</f>
        <v>OF250131-5</v>
      </c>
      <c r="I485" s="35" t="str">
        <f>_xlfn.TEXTBEFORE(mvtst[[#This Row],[Num Suivis]],"-",,,1)</f>
        <v>OF250131</v>
      </c>
      <c r="J485" s="36">
        <f>SUMIF(mvtst[QR Suivis],mvtst[[#This Row],[QR Suivis]],mvtst[QTE SORTIS])-SUMIF(mvtst[QR Suivis],mvtst[[#This Row],[QR Suivis]],mvtst[QTE RETOUR])</f>
        <v>0</v>
      </c>
      <c r="K485" s="35" t="str">
        <f t="shared" si="7"/>
        <v>Usine</v>
      </c>
      <c r="L485" s="35" t="str">
        <f>_xlfn.XLOOKUP(mvtst[[#This Row],[Sous Traitant]],coordonnee_st[Identification],coordonnee_st[SERVICE],"Non Trouvé")</f>
        <v>Frange</v>
      </c>
      <c r="M485" s="35" t="str">
        <f>INDEX(_xlfn.TEXTSPLIT(mvtst[[#This Row],[QR Suivis]],"_"),1,2)</f>
        <v>CL00162</v>
      </c>
      <c r="N485" s="35" t="str">
        <f>INDEX(_xlfn.TEXTSPLIT(mvtst[[#This Row],[QR Suivis]],"_"),1,3)</f>
        <v>CM-FT0130</v>
      </c>
      <c r="O485" s="35" t="str">
        <f>INDEX(_xlfn.TEXTSPLIT(mvtst[[#This Row],[QR Suivis]],"_"),1,4)</f>
        <v>GIN2426-B12-03</v>
      </c>
      <c r="P485" s="35" t="str">
        <f>INDEX(_xlfn.TEXTSPLIT(mvtst[[#This Row],[QR Suivis]],"_"),1,5)</f>
        <v>GINKO</v>
      </c>
      <c r="Q485" s="35" t="str">
        <f>_xlfn.TEXTAFTER(mvtst[[#This Row],[QR Suivis]],"_",5)</f>
        <v>2426</v>
      </c>
      <c r="R485" s="84" t="str">
        <f>IF(
   COUNTIFS($A$2:A485,A485,
             $B$2:B485,B485,
             $C$2:C485,C485,
             $D$2:D485,D485,
             $G$2:G485,G485)&gt;1,
   "Doublon",
   "Correcte"
)</f>
        <v>Correcte</v>
      </c>
    </row>
    <row r="486" spans="1:18" x14ac:dyDescent="0.25">
      <c r="A486" s="104" t="s">
        <v>1686</v>
      </c>
      <c r="B486" s="35" t="s">
        <v>595</v>
      </c>
      <c r="C486" s="36">
        <v>2</v>
      </c>
      <c r="D486" s="36">
        <v>0</v>
      </c>
      <c r="E486" s="35"/>
      <c r="F486" s="35" t="s">
        <v>664</v>
      </c>
      <c r="G486" s="37">
        <v>45926</v>
      </c>
      <c r="H486" s="37" t="str">
        <f>INDEX(_xlfn.TEXTSPLIT(mvtst[[#This Row],[QR Suivis]],"_"),1,1)</f>
        <v>OF250132-2</v>
      </c>
      <c r="I486" s="35" t="str">
        <f>_xlfn.TEXTBEFORE(mvtst[[#This Row],[Num Suivis]],"-",,,1)</f>
        <v>OF250132</v>
      </c>
      <c r="J486" s="36">
        <f>SUMIF(mvtst[QR Suivis],mvtst[[#This Row],[QR Suivis]],mvtst[QTE SORTIS])-SUMIF(mvtst[QR Suivis],mvtst[[#This Row],[QR Suivis]],mvtst[QTE RETOUR])</f>
        <v>0</v>
      </c>
      <c r="K486" s="35" t="str">
        <f t="shared" si="7"/>
        <v>Usine</v>
      </c>
      <c r="L486" s="35" t="str">
        <f>_xlfn.XLOOKUP(mvtst[[#This Row],[Sous Traitant]],coordonnee_st[Identification],coordonnee_st[SERVICE],"Non Trouvé")</f>
        <v>Frange</v>
      </c>
      <c r="M486" s="35" t="str">
        <f>INDEX(_xlfn.TEXTSPLIT(mvtst[[#This Row],[QR Suivis]],"_"),1,2)</f>
        <v>CL00162</v>
      </c>
      <c r="N486" s="35" t="str">
        <f>INDEX(_xlfn.TEXTSPLIT(mvtst[[#This Row],[QR Suivis]],"_"),1,3)</f>
        <v>CM-FT0130</v>
      </c>
      <c r="O486" s="35" t="str">
        <f>INDEX(_xlfn.TEXTSPLIT(mvtst[[#This Row],[QR Suivis]],"_"),1,4)</f>
        <v>GIN2426-B19-03</v>
      </c>
      <c r="P486" s="35" t="str">
        <f>INDEX(_xlfn.TEXTSPLIT(mvtst[[#This Row],[QR Suivis]],"_"),1,5)</f>
        <v>GINKO</v>
      </c>
      <c r="Q486" s="35" t="str">
        <f>_xlfn.TEXTAFTER(mvtst[[#This Row],[QR Suivis]],"_",5)</f>
        <v>2426</v>
      </c>
      <c r="R486" s="84" t="str">
        <f>IF(
   COUNTIFS($A$2:A486,A486,
             $B$2:B486,B486,
             $C$2:C486,C486,
             $D$2:D486,D486,
             $G$2:G486,G486)&gt;1,
   "Doublon",
   "Correcte"
)</f>
        <v>Correcte</v>
      </c>
    </row>
    <row r="487" spans="1:18" x14ac:dyDescent="0.25">
      <c r="A487" s="104" t="s">
        <v>1687</v>
      </c>
      <c r="B487" s="35" t="s">
        <v>595</v>
      </c>
      <c r="C487" s="36">
        <v>2</v>
      </c>
      <c r="D487" s="36">
        <v>0</v>
      </c>
      <c r="E487" s="35"/>
      <c r="F487" s="35" t="s">
        <v>664</v>
      </c>
      <c r="G487" s="37">
        <v>45926</v>
      </c>
      <c r="H487" s="37" t="str">
        <f>INDEX(_xlfn.TEXTSPLIT(mvtst[[#This Row],[QR Suivis]],"_"),1,1)</f>
        <v>OF250132-1</v>
      </c>
      <c r="I487" s="35" t="str">
        <f>_xlfn.TEXTBEFORE(mvtst[[#This Row],[Num Suivis]],"-",,,1)</f>
        <v>OF250132</v>
      </c>
      <c r="J487" s="36">
        <f>SUMIF(mvtst[QR Suivis],mvtst[[#This Row],[QR Suivis]],mvtst[QTE SORTIS])-SUMIF(mvtst[QR Suivis],mvtst[[#This Row],[QR Suivis]],mvtst[QTE RETOUR])</f>
        <v>0</v>
      </c>
      <c r="K487" s="35" t="str">
        <f t="shared" si="7"/>
        <v>Usine</v>
      </c>
      <c r="L487" s="35" t="str">
        <f>_xlfn.XLOOKUP(mvtst[[#This Row],[Sous Traitant]],coordonnee_st[Identification],coordonnee_st[SERVICE],"Non Trouvé")</f>
        <v>Frange</v>
      </c>
      <c r="M487" s="35" t="str">
        <f>INDEX(_xlfn.TEXTSPLIT(mvtst[[#This Row],[QR Suivis]],"_"),1,2)</f>
        <v>CL00162</v>
      </c>
      <c r="N487" s="35" t="str">
        <f>INDEX(_xlfn.TEXTSPLIT(mvtst[[#This Row],[QR Suivis]],"_"),1,3)</f>
        <v>CM-FT0130</v>
      </c>
      <c r="O487" s="35" t="str">
        <f>INDEX(_xlfn.TEXTSPLIT(mvtst[[#This Row],[QR Suivis]],"_"),1,4)</f>
        <v>GIN2426-B19-03</v>
      </c>
      <c r="P487" s="35" t="str">
        <f>INDEX(_xlfn.TEXTSPLIT(mvtst[[#This Row],[QR Suivis]],"_"),1,5)</f>
        <v>GINKO</v>
      </c>
      <c r="Q487" s="35" t="str">
        <f>_xlfn.TEXTAFTER(mvtst[[#This Row],[QR Suivis]],"_",5)</f>
        <v>2426</v>
      </c>
      <c r="R487" s="84" t="str">
        <f>IF(
   COUNTIFS($A$2:A487,A487,
             $B$2:B487,B487,
             $C$2:C487,C487,
             $D$2:D487,D487,
             $G$2:G487,G487)&gt;1,
   "Doublon",
   "Correcte"
)</f>
        <v>Correcte</v>
      </c>
    </row>
    <row r="488" spans="1:18" x14ac:dyDescent="0.25">
      <c r="A488" s="104" t="s">
        <v>1688</v>
      </c>
      <c r="B488" s="35" t="s">
        <v>595</v>
      </c>
      <c r="C488" s="36">
        <v>1</v>
      </c>
      <c r="D488" s="36">
        <v>0</v>
      </c>
      <c r="E488" s="35"/>
      <c r="F488" s="35" t="s">
        <v>664</v>
      </c>
      <c r="G488" s="37">
        <v>45926</v>
      </c>
      <c r="H488" s="37" t="str">
        <f>INDEX(_xlfn.TEXTSPLIT(mvtst[[#This Row],[QR Suivis]],"_"),1,1)</f>
        <v>OF250132-5</v>
      </c>
      <c r="I488" s="35" t="str">
        <f>_xlfn.TEXTBEFORE(mvtst[[#This Row],[Num Suivis]],"-",,,1)</f>
        <v>OF250132</v>
      </c>
      <c r="J488" s="36">
        <f>SUMIF(mvtst[QR Suivis],mvtst[[#This Row],[QR Suivis]],mvtst[QTE SORTIS])-SUMIF(mvtst[QR Suivis],mvtst[[#This Row],[QR Suivis]],mvtst[QTE RETOUR])</f>
        <v>0</v>
      </c>
      <c r="K488" s="35" t="str">
        <f t="shared" si="7"/>
        <v>Usine</v>
      </c>
      <c r="L488" s="35" t="str">
        <f>_xlfn.XLOOKUP(mvtst[[#This Row],[Sous Traitant]],coordonnee_st[Identification],coordonnee_st[SERVICE],"Non Trouvé")</f>
        <v>Frange</v>
      </c>
      <c r="M488" s="35" t="str">
        <f>INDEX(_xlfn.TEXTSPLIT(mvtst[[#This Row],[QR Suivis]],"_"),1,2)</f>
        <v>CL00162</v>
      </c>
      <c r="N488" s="35" t="str">
        <f>INDEX(_xlfn.TEXTSPLIT(mvtst[[#This Row],[QR Suivis]],"_"),1,3)</f>
        <v>CM-FT0130</v>
      </c>
      <c r="O488" s="35" t="str">
        <f>INDEX(_xlfn.TEXTSPLIT(mvtst[[#This Row],[QR Suivis]],"_"),1,4)</f>
        <v>GIN2426-B19-03</v>
      </c>
      <c r="P488" s="35" t="str">
        <f>INDEX(_xlfn.TEXTSPLIT(mvtst[[#This Row],[QR Suivis]],"_"),1,5)</f>
        <v>GINKO</v>
      </c>
      <c r="Q488" s="35" t="str">
        <f>_xlfn.TEXTAFTER(mvtst[[#This Row],[QR Suivis]],"_",5)</f>
        <v>2426</v>
      </c>
      <c r="R488" s="84" t="str">
        <f>IF(
   COUNTIFS($A$2:A488,A488,
             $B$2:B488,B488,
             $C$2:C488,C488,
             $D$2:D488,D488,
             $G$2:G488,G488)&gt;1,
   "Doublon",
   "Correcte"
)</f>
        <v>Correcte</v>
      </c>
    </row>
    <row r="489" spans="1:18" x14ac:dyDescent="0.25">
      <c r="A489" s="104" t="s">
        <v>1689</v>
      </c>
      <c r="B489" s="35" t="s">
        <v>712</v>
      </c>
      <c r="C489" s="36">
        <v>5</v>
      </c>
      <c r="D489" s="36">
        <v>0</v>
      </c>
      <c r="E489" s="35"/>
      <c r="F489" s="35" t="s">
        <v>664</v>
      </c>
      <c r="G489" s="37">
        <v>45926</v>
      </c>
      <c r="H489" s="37" t="str">
        <f>INDEX(_xlfn.TEXTSPLIT(mvtst[[#This Row],[QR Suivis]],"_"),1,1)</f>
        <v>CA250022-3</v>
      </c>
      <c r="I489" s="35" t="str">
        <f>_xlfn.TEXTBEFORE(mvtst[[#This Row],[Num Suivis]],"-",,,1)</f>
        <v>CA250022</v>
      </c>
      <c r="J489" s="36">
        <f>SUMIF(mvtst[QR Suivis],mvtst[[#This Row],[QR Suivis]],mvtst[QTE SORTIS])-SUMIF(mvtst[QR Suivis],mvtst[[#This Row],[QR Suivis]],mvtst[QTE RETOUR])</f>
        <v>0</v>
      </c>
      <c r="K489" s="35" t="str">
        <f t="shared" si="7"/>
        <v>Usine</v>
      </c>
      <c r="L489" s="35" t="str">
        <f>_xlfn.XLOOKUP(mvtst[[#This Row],[Sous Traitant]],coordonnee_st[Identification],coordonnee_st[SERVICE],"Non Trouvé")</f>
        <v>Frange</v>
      </c>
      <c r="M489" s="35" t="str">
        <f>INDEX(_xlfn.TEXTSPLIT(mvtst[[#This Row],[QR Suivis]],"_"),1,2)</f>
        <v>All by Fouta</v>
      </c>
      <c r="N489" s="35" t="str">
        <f>INDEX(_xlfn.TEXTSPLIT(mvtst[[#This Row],[QR Suivis]],"_"),1,3)</f>
        <v>Stock</v>
      </c>
      <c r="O489" s="35" t="str">
        <f>INDEX(_xlfn.TEXTSPLIT(mvtst[[#This Row],[QR Suivis]],"_"),1,4)</f>
        <v>UNS2020-04</v>
      </c>
      <c r="P489" s="35" t="str">
        <f>INDEX(_xlfn.TEXTSPLIT(mvtst[[#This Row],[QR Suivis]],"_"),1,5)</f>
        <v>UNI SURPIQUE</v>
      </c>
      <c r="Q489" s="35" t="str">
        <f>_xlfn.TEXTAFTER(mvtst[[#This Row],[QR Suivis]],"_",5)</f>
        <v>2020</v>
      </c>
      <c r="R489" s="84" t="str">
        <f>IF(
   COUNTIFS($A$2:A489,A489,
             $B$2:B489,B489,
             $C$2:C489,C489,
             $D$2:D489,D489,
             $G$2:G489,G489)&gt;1,
   "Doublon",
   "Correcte"
)</f>
        <v>Correcte</v>
      </c>
    </row>
    <row r="490" spans="1:18" x14ac:dyDescent="0.25">
      <c r="A490" s="104" t="s">
        <v>1690</v>
      </c>
      <c r="B490" s="35" t="s">
        <v>712</v>
      </c>
      <c r="C490" s="36">
        <v>5</v>
      </c>
      <c r="D490" s="36">
        <v>0</v>
      </c>
      <c r="E490" s="35"/>
      <c r="F490" s="35" t="s">
        <v>664</v>
      </c>
      <c r="G490" s="37">
        <v>45926</v>
      </c>
      <c r="H490" s="37" t="str">
        <f>INDEX(_xlfn.TEXTSPLIT(mvtst[[#This Row],[QR Suivis]],"_"),1,1)</f>
        <v>CA250022-6</v>
      </c>
      <c r="I490" s="35" t="str">
        <f>_xlfn.TEXTBEFORE(mvtst[[#This Row],[Num Suivis]],"-",,,1)</f>
        <v>CA250022</v>
      </c>
      <c r="J490" s="36">
        <f>SUMIF(mvtst[QR Suivis],mvtst[[#This Row],[QR Suivis]],mvtst[QTE SORTIS])-SUMIF(mvtst[QR Suivis],mvtst[[#This Row],[QR Suivis]],mvtst[QTE RETOUR])</f>
        <v>0</v>
      </c>
      <c r="K490" s="35" t="str">
        <f t="shared" si="7"/>
        <v>Usine</v>
      </c>
      <c r="L490" s="35" t="str">
        <f>_xlfn.XLOOKUP(mvtst[[#This Row],[Sous Traitant]],coordonnee_st[Identification],coordonnee_st[SERVICE],"Non Trouvé")</f>
        <v>Frange</v>
      </c>
      <c r="M490" s="35" t="str">
        <f>INDEX(_xlfn.TEXTSPLIT(mvtst[[#This Row],[QR Suivis]],"_"),1,2)</f>
        <v>All by Fouta</v>
      </c>
      <c r="N490" s="35" t="str">
        <f>INDEX(_xlfn.TEXTSPLIT(mvtst[[#This Row],[QR Suivis]],"_"),1,3)</f>
        <v>Stock</v>
      </c>
      <c r="O490" s="35" t="str">
        <f>INDEX(_xlfn.TEXTSPLIT(mvtst[[#This Row],[QR Suivis]],"_"),1,4)</f>
        <v>UNS2020-04</v>
      </c>
      <c r="P490" s="35" t="str">
        <f>INDEX(_xlfn.TEXTSPLIT(mvtst[[#This Row],[QR Suivis]],"_"),1,5)</f>
        <v>UNI SURPIQUE</v>
      </c>
      <c r="Q490" s="35" t="str">
        <f>_xlfn.TEXTAFTER(mvtst[[#This Row],[QR Suivis]],"_",5)</f>
        <v>2020</v>
      </c>
      <c r="R490" s="84" t="str">
        <f>IF(
   COUNTIFS($A$2:A490,A490,
             $B$2:B490,B490,
             $C$2:C490,C490,
             $D$2:D490,D490,
             $G$2:G490,G490)&gt;1,
   "Doublon",
   "Correcte"
)</f>
        <v>Correcte</v>
      </c>
    </row>
    <row r="491" spans="1:18" x14ac:dyDescent="0.25">
      <c r="A491" s="104" t="s">
        <v>1691</v>
      </c>
      <c r="B491" s="35" t="s">
        <v>712</v>
      </c>
      <c r="C491" s="36">
        <v>5</v>
      </c>
      <c r="D491" s="36">
        <v>0</v>
      </c>
      <c r="E491" s="35"/>
      <c r="F491" s="35" t="s">
        <v>664</v>
      </c>
      <c r="G491" s="37">
        <v>45926</v>
      </c>
      <c r="H491" s="37" t="str">
        <f>INDEX(_xlfn.TEXTSPLIT(mvtst[[#This Row],[QR Suivis]],"_"),1,1)</f>
        <v>CA250022-5</v>
      </c>
      <c r="I491" s="35" t="str">
        <f>_xlfn.TEXTBEFORE(mvtst[[#This Row],[Num Suivis]],"-",,,1)</f>
        <v>CA250022</v>
      </c>
      <c r="J491" s="36">
        <f>SUMIF(mvtst[QR Suivis],mvtst[[#This Row],[QR Suivis]],mvtst[QTE SORTIS])-SUMIF(mvtst[QR Suivis],mvtst[[#This Row],[QR Suivis]],mvtst[QTE RETOUR])</f>
        <v>0</v>
      </c>
      <c r="K491" s="35" t="str">
        <f t="shared" si="7"/>
        <v>Usine</v>
      </c>
      <c r="L491" s="35" t="str">
        <f>_xlfn.XLOOKUP(mvtst[[#This Row],[Sous Traitant]],coordonnee_st[Identification],coordonnee_st[SERVICE],"Non Trouvé")</f>
        <v>Frange</v>
      </c>
      <c r="M491" s="35" t="str">
        <f>INDEX(_xlfn.TEXTSPLIT(mvtst[[#This Row],[QR Suivis]],"_"),1,2)</f>
        <v>All by Fouta</v>
      </c>
      <c r="N491" s="35" t="str">
        <f>INDEX(_xlfn.TEXTSPLIT(mvtst[[#This Row],[QR Suivis]],"_"),1,3)</f>
        <v>Stock</v>
      </c>
      <c r="O491" s="35" t="str">
        <f>INDEX(_xlfn.TEXTSPLIT(mvtst[[#This Row],[QR Suivis]],"_"),1,4)</f>
        <v>UNS2020-04</v>
      </c>
      <c r="P491" s="35" t="str">
        <f>INDEX(_xlfn.TEXTSPLIT(mvtst[[#This Row],[QR Suivis]],"_"),1,5)</f>
        <v>UNI SURPIQUE</v>
      </c>
      <c r="Q491" s="35" t="str">
        <f>_xlfn.TEXTAFTER(mvtst[[#This Row],[QR Suivis]],"_",5)</f>
        <v>2020</v>
      </c>
      <c r="R491" s="84" t="str">
        <f>IF(
   COUNTIFS($A$2:A491,A491,
             $B$2:B491,B491,
             $C$2:C491,C491,
             $D$2:D491,D491,
             $G$2:G491,G491)&gt;1,
   "Doublon",
   "Correcte"
)</f>
        <v>Correcte</v>
      </c>
    </row>
    <row r="492" spans="1:18" x14ac:dyDescent="0.25">
      <c r="A492" s="104" t="s">
        <v>1692</v>
      </c>
      <c r="B492" s="35" t="s">
        <v>712</v>
      </c>
      <c r="C492" s="36">
        <v>5</v>
      </c>
      <c r="D492" s="36">
        <v>0</v>
      </c>
      <c r="E492" s="35"/>
      <c r="F492" s="35" t="s">
        <v>664</v>
      </c>
      <c r="G492" s="37">
        <v>45926</v>
      </c>
      <c r="H492" s="37" t="str">
        <f>INDEX(_xlfn.TEXTSPLIT(mvtst[[#This Row],[QR Suivis]],"_"),1,1)</f>
        <v>CA250022-1</v>
      </c>
      <c r="I492" s="35" t="str">
        <f>_xlfn.TEXTBEFORE(mvtst[[#This Row],[Num Suivis]],"-",,,1)</f>
        <v>CA250022</v>
      </c>
      <c r="J492" s="36">
        <f>SUMIF(mvtst[QR Suivis],mvtst[[#This Row],[QR Suivis]],mvtst[QTE SORTIS])-SUMIF(mvtst[QR Suivis],mvtst[[#This Row],[QR Suivis]],mvtst[QTE RETOUR])</f>
        <v>0</v>
      </c>
      <c r="K492" s="35" t="str">
        <f t="shared" si="7"/>
        <v>Usine</v>
      </c>
      <c r="L492" s="35" t="str">
        <f>_xlfn.XLOOKUP(mvtst[[#This Row],[Sous Traitant]],coordonnee_st[Identification],coordonnee_st[SERVICE],"Non Trouvé")</f>
        <v>Frange</v>
      </c>
      <c r="M492" s="35" t="str">
        <f>INDEX(_xlfn.TEXTSPLIT(mvtst[[#This Row],[QR Suivis]],"_"),1,2)</f>
        <v>All by Fouta</v>
      </c>
      <c r="N492" s="35" t="str">
        <f>INDEX(_xlfn.TEXTSPLIT(mvtst[[#This Row],[QR Suivis]],"_"),1,3)</f>
        <v>Stock</v>
      </c>
      <c r="O492" s="35" t="str">
        <f>INDEX(_xlfn.TEXTSPLIT(mvtst[[#This Row],[QR Suivis]],"_"),1,4)</f>
        <v>UNS2020-04</v>
      </c>
      <c r="P492" s="35" t="str">
        <f>INDEX(_xlfn.TEXTSPLIT(mvtst[[#This Row],[QR Suivis]],"_"),1,5)</f>
        <v>UNI SURPIQUE</v>
      </c>
      <c r="Q492" s="35" t="str">
        <f>_xlfn.TEXTAFTER(mvtst[[#This Row],[QR Suivis]],"_",5)</f>
        <v>2020</v>
      </c>
      <c r="R492" s="84" t="str">
        <f>IF(
   COUNTIFS($A$2:A492,A492,
             $B$2:B492,B492,
             $C$2:C492,C492,
             $D$2:D492,D492,
             $G$2:G492,G492)&gt;1,
   "Doublon",
   "Correcte"
)</f>
        <v>Correcte</v>
      </c>
    </row>
    <row r="493" spans="1:18" x14ac:dyDescent="0.25">
      <c r="A493" s="104" t="s">
        <v>1693</v>
      </c>
      <c r="B493" s="35" t="s">
        <v>712</v>
      </c>
      <c r="C493" s="36">
        <v>5</v>
      </c>
      <c r="D493" s="36">
        <v>0</v>
      </c>
      <c r="E493" s="35"/>
      <c r="F493" s="35" t="s">
        <v>664</v>
      </c>
      <c r="G493" s="37">
        <v>45926</v>
      </c>
      <c r="H493" s="37" t="str">
        <f>INDEX(_xlfn.TEXTSPLIT(mvtst[[#This Row],[QR Suivis]],"_"),1,1)</f>
        <v>CA250022-2</v>
      </c>
      <c r="I493" s="35" t="str">
        <f>_xlfn.TEXTBEFORE(mvtst[[#This Row],[Num Suivis]],"-",,,1)</f>
        <v>CA250022</v>
      </c>
      <c r="J493" s="36">
        <f>SUMIF(mvtst[QR Suivis],mvtst[[#This Row],[QR Suivis]],mvtst[QTE SORTIS])-SUMIF(mvtst[QR Suivis],mvtst[[#This Row],[QR Suivis]],mvtst[QTE RETOUR])</f>
        <v>0</v>
      </c>
      <c r="K493" s="35" t="str">
        <f t="shared" si="7"/>
        <v>Usine</v>
      </c>
      <c r="L493" s="35" t="str">
        <f>_xlfn.XLOOKUP(mvtst[[#This Row],[Sous Traitant]],coordonnee_st[Identification],coordonnee_st[SERVICE],"Non Trouvé")</f>
        <v>Frange</v>
      </c>
      <c r="M493" s="35" t="str">
        <f>INDEX(_xlfn.TEXTSPLIT(mvtst[[#This Row],[QR Suivis]],"_"),1,2)</f>
        <v>All by Fouta</v>
      </c>
      <c r="N493" s="35" t="str">
        <f>INDEX(_xlfn.TEXTSPLIT(mvtst[[#This Row],[QR Suivis]],"_"),1,3)</f>
        <v>Stock</v>
      </c>
      <c r="O493" s="35" t="str">
        <f>INDEX(_xlfn.TEXTSPLIT(mvtst[[#This Row],[QR Suivis]],"_"),1,4)</f>
        <v>UNS2020-04</v>
      </c>
      <c r="P493" s="35" t="str">
        <f>INDEX(_xlfn.TEXTSPLIT(mvtst[[#This Row],[QR Suivis]],"_"),1,5)</f>
        <v>UNI SURPIQUE</v>
      </c>
      <c r="Q493" s="35" t="str">
        <f>_xlfn.TEXTAFTER(mvtst[[#This Row],[QR Suivis]],"_",5)</f>
        <v>2020</v>
      </c>
      <c r="R493" s="84" t="str">
        <f>IF(
   COUNTIFS($A$2:A493,A493,
             $B$2:B493,B493,
             $C$2:C493,C493,
             $D$2:D493,D493,
             $G$2:G493,G493)&gt;1,
   "Doublon",
   "Correcte"
)</f>
        <v>Correcte</v>
      </c>
    </row>
    <row r="494" spans="1:18" x14ac:dyDescent="0.25">
      <c r="A494" s="104" t="s">
        <v>1694</v>
      </c>
      <c r="B494" s="35" t="s">
        <v>712</v>
      </c>
      <c r="C494" s="36">
        <v>1</v>
      </c>
      <c r="D494" s="36">
        <v>0</v>
      </c>
      <c r="E494" s="35"/>
      <c r="F494" s="35" t="s">
        <v>664</v>
      </c>
      <c r="G494" s="37">
        <v>45926</v>
      </c>
      <c r="H494" s="37" t="str">
        <f>INDEX(_xlfn.TEXTSPLIT(mvtst[[#This Row],[QR Suivis]],"_"),1,1)</f>
        <v>CA250022-7</v>
      </c>
      <c r="I494" s="35" t="str">
        <f>_xlfn.TEXTBEFORE(mvtst[[#This Row],[Num Suivis]],"-",,,1)</f>
        <v>CA250022</v>
      </c>
      <c r="J494" s="36">
        <f>SUMIF(mvtst[QR Suivis],mvtst[[#This Row],[QR Suivis]],mvtst[QTE SORTIS])-SUMIF(mvtst[QR Suivis],mvtst[[#This Row],[QR Suivis]],mvtst[QTE RETOUR])</f>
        <v>0</v>
      </c>
      <c r="K494" s="35" t="str">
        <f t="shared" si="7"/>
        <v>Usine</v>
      </c>
      <c r="L494" s="35" t="str">
        <f>_xlfn.XLOOKUP(mvtst[[#This Row],[Sous Traitant]],coordonnee_st[Identification],coordonnee_st[SERVICE],"Non Trouvé")</f>
        <v>Frange</v>
      </c>
      <c r="M494" s="35" t="str">
        <f>INDEX(_xlfn.TEXTSPLIT(mvtst[[#This Row],[QR Suivis]],"_"),1,2)</f>
        <v>All by Fouta</v>
      </c>
      <c r="N494" s="35" t="str">
        <f>INDEX(_xlfn.TEXTSPLIT(mvtst[[#This Row],[QR Suivis]],"_"),1,3)</f>
        <v>Stock</v>
      </c>
      <c r="O494" s="35" t="str">
        <f>INDEX(_xlfn.TEXTSPLIT(mvtst[[#This Row],[QR Suivis]],"_"),1,4)</f>
        <v>UNS2020-04</v>
      </c>
      <c r="P494" s="35" t="str">
        <f>INDEX(_xlfn.TEXTSPLIT(mvtst[[#This Row],[QR Suivis]],"_"),1,5)</f>
        <v>UNI SURPIQUE</v>
      </c>
      <c r="Q494" s="35" t="str">
        <f>_xlfn.TEXTAFTER(mvtst[[#This Row],[QR Suivis]],"_",5)</f>
        <v>2020</v>
      </c>
      <c r="R494" s="84" t="str">
        <f>IF(
   COUNTIFS($A$2:A494,A494,
             $B$2:B494,B494,
             $C$2:C494,C494,
             $D$2:D494,D494,
             $G$2:G494,G494)&gt;1,
   "Doublon",
   "Correcte"
)</f>
        <v>Correcte</v>
      </c>
    </row>
    <row r="495" spans="1:18" x14ac:dyDescent="0.25">
      <c r="A495" s="104" t="s">
        <v>1695</v>
      </c>
      <c r="B495" s="35" t="s">
        <v>712</v>
      </c>
      <c r="C495" s="36">
        <v>1</v>
      </c>
      <c r="D495" s="36">
        <v>0</v>
      </c>
      <c r="E495" s="35"/>
      <c r="F495" s="35" t="s">
        <v>664</v>
      </c>
      <c r="G495" s="37">
        <v>45926</v>
      </c>
      <c r="H495" s="37" t="str">
        <f>INDEX(_xlfn.TEXTSPLIT(mvtst[[#This Row],[QR Suivis]],"_"),1,1)</f>
        <v>CA250039-7</v>
      </c>
      <c r="I495" s="35" t="str">
        <f>_xlfn.TEXTBEFORE(mvtst[[#This Row],[Num Suivis]],"-",,,1)</f>
        <v>CA250039</v>
      </c>
      <c r="J495" s="36">
        <f>SUMIF(mvtst[QR Suivis],mvtst[[#This Row],[QR Suivis]],mvtst[QTE SORTIS])-SUMIF(mvtst[QR Suivis],mvtst[[#This Row],[QR Suivis]],mvtst[QTE RETOUR])</f>
        <v>0</v>
      </c>
      <c r="K495" s="35" t="str">
        <f t="shared" si="7"/>
        <v>Usine</v>
      </c>
      <c r="L495" s="35" t="str">
        <f>_xlfn.XLOOKUP(mvtst[[#This Row],[Sous Traitant]],coordonnee_st[Identification],coordonnee_st[SERVICE],"Non Trouvé")</f>
        <v>Frange</v>
      </c>
      <c r="M495" s="35" t="str">
        <f>INDEX(_xlfn.TEXTSPLIT(mvtst[[#This Row],[QR Suivis]],"_"),1,2)</f>
        <v>All by Fouta</v>
      </c>
      <c r="N495" s="35" t="str">
        <f>INDEX(_xlfn.TEXTSPLIT(mvtst[[#This Row],[QR Suivis]],"_"),1,3)</f>
        <v>Stock</v>
      </c>
      <c r="O495" s="35" t="str">
        <f>INDEX(_xlfn.TEXTSPLIT(mvtst[[#This Row],[QR Suivis]],"_"),1,4)</f>
        <v>UNS2020-32</v>
      </c>
      <c r="P495" s="35" t="str">
        <f>INDEX(_xlfn.TEXTSPLIT(mvtst[[#This Row],[QR Suivis]],"_"),1,5)</f>
        <v>UNI SURPIQUE</v>
      </c>
      <c r="Q495" s="35" t="str">
        <f>_xlfn.TEXTAFTER(mvtst[[#This Row],[QR Suivis]],"_",5)</f>
        <v>2020</v>
      </c>
      <c r="R495" s="84" t="str">
        <f>IF(
   COUNTIFS($A$2:A495,A495,
             $B$2:B495,B495,
             $C$2:C495,C495,
             $D$2:D495,D495,
             $G$2:G495,G495)&gt;1,
   "Doublon",
   "Correcte"
)</f>
        <v>Correcte</v>
      </c>
    </row>
    <row r="496" spans="1:18" x14ac:dyDescent="0.25">
      <c r="A496" s="104" t="s">
        <v>1696</v>
      </c>
      <c r="B496" s="35" t="s">
        <v>712</v>
      </c>
      <c r="C496" s="36">
        <v>5</v>
      </c>
      <c r="D496" s="36">
        <v>0</v>
      </c>
      <c r="E496" s="35"/>
      <c r="F496" s="35" t="s">
        <v>664</v>
      </c>
      <c r="G496" s="37">
        <v>45926</v>
      </c>
      <c r="H496" s="37" t="str">
        <f>INDEX(_xlfn.TEXTSPLIT(mvtst[[#This Row],[QR Suivis]],"_"),1,1)</f>
        <v>CA250039-2</v>
      </c>
      <c r="I496" s="35" t="str">
        <f>_xlfn.TEXTBEFORE(mvtst[[#This Row],[Num Suivis]],"-",,,1)</f>
        <v>CA250039</v>
      </c>
      <c r="J496" s="36">
        <f>SUMIF(mvtst[QR Suivis],mvtst[[#This Row],[QR Suivis]],mvtst[QTE SORTIS])-SUMIF(mvtst[QR Suivis],mvtst[[#This Row],[QR Suivis]],mvtst[QTE RETOUR])</f>
        <v>0</v>
      </c>
      <c r="K496" s="35" t="str">
        <f t="shared" si="7"/>
        <v>Usine</v>
      </c>
      <c r="L496" s="35" t="str">
        <f>_xlfn.XLOOKUP(mvtst[[#This Row],[Sous Traitant]],coordonnee_st[Identification],coordonnee_st[SERVICE],"Non Trouvé")</f>
        <v>Frange</v>
      </c>
      <c r="M496" s="35" t="str">
        <f>INDEX(_xlfn.TEXTSPLIT(mvtst[[#This Row],[QR Suivis]],"_"),1,2)</f>
        <v>All by Fouta</v>
      </c>
      <c r="N496" s="35" t="str">
        <f>INDEX(_xlfn.TEXTSPLIT(mvtst[[#This Row],[QR Suivis]],"_"),1,3)</f>
        <v>Stock</v>
      </c>
      <c r="O496" s="35" t="str">
        <f>INDEX(_xlfn.TEXTSPLIT(mvtst[[#This Row],[QR Suivis]],"_"),1,4)</f>
        <v>UNS2020-32</v>
      </c>
      <c r="P496" s="35" t="str">
        <f>INDEX(_xlfn.TEXTSPLIT(mvtst[[#This Row],[QR Suivis]],"_"),1,5)</f>
        <v>UNI SURPIQUE</v>
      </c>
      <c r="Q496" s="35" t="str">
        <f>_xlfn.TEXTAFTER(mvtst[[#This Row],[QR Suivis]],"_",5)</f>
        <v>2020</v>
      </c>
      <c r="R496" s="84" t="str">
        <f>IF(
   COUNTIFS($A$2:A496,A496,
             $B$2:B496,B496,
             $C$2:C496,C496,
             $D$2:D496,D496,
             $G$2:G496,G496)&gt;1,
   "Doublon",
   "Correcte"
)</f>
        <v>Correcte</v>
      </c>
    </row>
    <row r="497" spans="1:18" x14ac:dyDescent="0.25">
      <c r="A497" s="104" t="s">
        <v>1697</v>
      </c>
      <c r="B497" s="35" t="s">
        <v>712</v>
      </c>
      <c r="C497" s="36">
        <v>5</v>
      </c>
      <c r="D497" s="36">
        <v>0</v>
      </c>
      <c r="E497" s="35"/>
      <c r="F497" s="35" t="s">
        <v>664</v>
      </c>
      <c r="G497" s="37">
        <v>45926</v>
      </c>
      <c r="H497" s="37" t="str">
        <f>INDEX(_xlfn.TEXTSPLIT(mvtst[[#This Row],[QR Suivis]],"_"),1,1)</f>
        <v>CA250039-4</v>
      </c>
      <c r="I497" s="35" t="str">
        <f>_xlfn.TEXTBEFORE(mvtst[[#This Row],[Num Suivis]],"-",,,1)</f>
        <v>CA250039</v>
      </c>
      <c r="J497" s="36">
        <f>SUMIF(mvtst[QR Suivis],mvtst[[#This Row],[QR Suivis]],mvtst[QTE SORTIS])-SUMIF(mvtst[QR Suivis],mvtst[[#This Row],[QR Suivis]],mvtst[QTE RETOUR])</f>
        <v>0</v>
      </c>
      <c r="K497" s="35" t="str">
        <f t="shared" si="7"/>
        <v>Usine</v>
      </c>
      <c r="L497" s="35" t="str">
        <f>_xlfn.XLOOKUP(mvtst[[#This Row],[Sous Traitant]],coordonnee_st[Identification],coordonnee_st[SERVICE],"Non Trouvé")</f>
        <v>Frange</v>
      </c>
      <c r="M497" s="35" t="str">
        <f>INDEX(_xlfn.TEXTSPLIT(mvtst[[#This Row],[QR Suivis]],"_"),1,2)</f>
        <v>All by Fouta</v>
      </c>
      <c r="N497" s="35" t="str">
        <f>INDEX(_xlfn.TEXTSPLIT(mvtst[[#This Row],[QR Suivis]],"_"),1,3)</f>
        <v>Stock</v>
      </c>
      <c r="O497" s="35" t="str">
        <f>INDEX(_xlfn.TEXTSPLIT(mvtst[[#This Row],[QR Suivis]],"_"),1,4)</f>
        <v>UNS2020-32</v>
      </c>
      <c r="P497" s="35" t="str">
        <f>INDEX(_xlfn.TEXTSPLIT(mvtst[[#This Row],[QR Suivis]],"_"),1,5)</f>
        <v>UNI SURPIQUE</v>
      </c>
      <c r="Q497" s="35" t="str">
        <f>_xlfn.TEXTAFTER(mvtst[[#This Row],[QR Suivis]],"_",5)</f>
        <v>2020</v>
      </c>
      <c r="R497" s="84" t="str">
        <f>IF(
   COUNTIFS($A$2:A497,A497,
             $B$2:B497,B497,
             $C$2:C497,C497,
             $D$2:D497,D497,
             $G$2:G497,G497)&gt;1,
   "Doublon",
   "Correcte"
)</f>
        <v>Correcte</v>
      </c>
    </row>
    <row r="498" spans="1:18" x14ac:dyDescent="0.25">
      <c r="A498" s="104" t="s">
        <v>1698</v>
      </c>
      <c r="B498" s="35" t="s">
        <v>712</v>
      </c>
      <c r="C498" s="36">
        <v>5</v>
      </c>
      <c r="D498" s="36">
        <v>0</v>
      </c>
      <c r="E498" s="35"/>
      <c r="F498" s="35" t="s">
        <v>664</v>
      </c>
      <c r="G498" s="37">
        <v>45926</v>
      </c>
      <c r="H498" s="37" t="str">
        <f>INDEX(_xlfn.TEXTSPLIT(mvtst[[#This Row],[QR Suivis]],"_"),1,1)</f>
        <v>CA250039-1</v>
      </c>
      <c r="I498" s="35" t="str">
        <f>_xlfn.TEXTBEFORE(mvtst[[#This Row],[Num Suivis]],"-",,,1)</f>
        <v>CA250039</v>
      </c>
      <c r="J498" s="36">
        <f>SUMIF(mvtst[QR Suivis],mvtst[[#This Row],[QR Suivis]],mvtst[QTE SORTIS])-SUMIF(mvtst[QR Suivis],mvtst[[#This Row],[QR Suivis]],mvtst[QTE RETOUR])</f>
        <v>0</v>
      </c>
      <c r="K498" s="35" t="str">
        <f t="shared" si="7"/>
        <v>Usine</v>
      </c>
      <c r="L498" s="35" t="str">
        <f>_xlfn.XLOOKUP(mvtst[[#This Row],[Sous Traitant]],coordonnee_st[Identification],coordonnee_st[SERVICE],"Non Trouvé")</f>
        <v>Frange</v>
      </c>
      <c r="M498" s="35" t="str">
        <f>INDEX(_xlfn.TEXTSPLIT(mvtst[[#This Row],[QR Suivis]],"_"),1,2)</f>
        <v>All by Fouta</v>
      </c>
      <c r="N498" s="35" t="str">
        <f>INDEX(_xlfn.TEXTSPLIT(mvtst[[#This Row],[QR Suivis]],"_"),1,3)</f>
        <v>Stock</v>
      </c>
      <c r="O498" s="35" t="str">
        <f>INDEX(_xlfn.TEXTSPLIT(mvtst[[#This Row],[QR Suivis]],"_"),1,4)</f>
        <v>UNS2020-32</v>
      </c>
      <c r="P498" s="35" t="str">
        <f>INDEX(_xlfn.TEXTSPLIT(mvtst[[#This Row],[QR Suivis]],"_"),1,5)</f>
        <v>UNI SURPIQUE</v>
      </c>
      <c r="Q498" s="35" t="str">
        <f>_xlfn.TEXTAFTER(mvtst[[#This Row],[QR Suivis]],"_",5)</f>
        <v>2020</v>
      </c>
      <c r="R498" s="84" t="str">
        <f>IF(
   COUNTIFS($A$2:A498,A498,
             $B$2:B498,B498,
             $C$2:C498,C498,
             $D$2:D498,D498,
             $G$2:G498,G498)&gt;1,
   "Doublon",
   "Correcte"
)</f>
        <v>Correcte</v>
      </c>
    </row>
    <row r="499" spans="1:18" x14ac:dyDescent="0.25">
      <c r="A499" s="104" t="s">
        <v>1699</v>
      </c>
      <c r="B499" s="35" t="s">
        <v>712</v>
      </c>
      <c r="C499" s="36">
        <v>5</v>
      </c>
      <c r="D499" s="36">
        <v>0</v>
      </c>
      <c r="E499" s="35"/>
      <c r="F499" s="35" t="s">
        <v>664</v>
      </c>
      <c r="G499" s="37">
        <v>45926</v>
      </c>
      <c r="H499" s="37" t="str">
        <f>INDEX(_xlfn.TEXTSPLIT(mvtst[[#This Row],[QR Suivis]],"_"),1,1)</f>
        <v>CA250039-3</v>
      </c>
      <c r="I499" s="35" t="str">
        <f>_xlfn.TEXTBEFORE(mvtst[[#This Row],[Num Suivis]],"-",,,1)</f>
        <v>CA250039</v>
      </c>
      <c r="J499" s="36">
        <f>SUMIF(mvtst[QR Suivis],mvtst[[#This Row],[QR Suivis]],mvtst[QTE SORTIS])-SUMIF(mvtst[QR Suivis],mvtst[[#This Row],[QR Suivis]],mvtst[QTE RETOUR])</f>
        <v>0</v>
      </c>
      <c r="K499" s="35" t="str">
        <f t="shared" si="7"/>
        <v>Usine</v>
      </c>
      <c r="L499" s="35" t="str">
        <f>_xlfn.XLOOKUP(mvtst[[#This Row],[Sous Traitant]],coordonnee_st[Identification],coordonnee_st[SERVICE],"Non Trouvé")</f>
        <v>Frange</v>
      </c>
      <c r="M499" s="35" t="str">
        <f>INDEX(_xlfn.TEXTSPLIT(mvtst[[#This Row],[QR Suivis]],"_"),1,2)</f>
        <v>All by Fouta</v>
      </c>
      <c r="N499" s="35" t="str">
        <f>INDEX(_xlfn.TEXTSPLIT(mvtst[[#This Row],[QR Suivis]],"_"),1,3)</f>
        <v>Stock</v>
      </c>
      <c r="O499" s="35" t="str">
        <f>INDEX(_xlfn.TEXTSPLIT(mvtst[[#This Row],[QR Suivis]],"_"),1,4)</f>
        <v>UNS2020-32</v>
      </c>
      <c r="P499" s="35" t="str">
        <f>INDEX(_xlfn.TEXTSPLIT(mvtst[[#This Row],[QR Suivis]],"_"),1,5)</f>
        <v>UNI SURPIQUE</v>
      </c>
      <c r="Q499" s="35" t="str">
        <f>_xlfn.TEXTAFTER(mvtst[[#This Row],[QR Suivis]],"_",5)</f>
        <v>2020</v>
      </c>
      <c r="R499" s="84" t="str">
        <f>IF(
   COUNTIFS($A$2:A499,A499,
             $B$2:B499,B499,
             $C$2:C499,C499,
             $D$2:D499,D499,
             $G$2:G499,G499)&gt;1,
   "Doublon",
   "Correcte"
)</f>
        <v>Correcte</v>
      </c>
    </row>
    <row r="500" spans="1:18" x14ac:dyDescent="0.25">
      <c r="A500" s="104" t="s">
        <v>1700</v>
      </c>
      <c r="B500" s="35" t="s">
        <v>712</v>
      </c>
      <c r="C500" s="36">
        <v>5</v>
      </c>
      <c r="D500" s="36">
        <v>0</v>
      </c>
      <c r="E500" s="35"/>
      <c r="F500" s="35" t="s">
        <v>664</v>
      </c>
      <c r="G500" s="37">
        <v>45926</v>
      </c>
      <c r="H500" s="37" t="str">
        <f>INDEX(_xlfn.TEXTSPLIT(mvtst[[#This Row],[QR Suivis]],"_"),1,1)</f>
        <v>CA250039-5</v>
      </c>
      <c r="I500" s="35" t="str">
        <f>_xlfn.TEXTBEFORE(mvtst[[#This Row],[Num Suivis]],"-",,,1)</f>
        <v>CA250039</v>
      </c>
      <c r="J500" s="36">
        <f>SUMIF(mvtst[QR Suivis],mvtst[[#This Row],[QR Suivis]],mvtst[QTE SORTIS])-SUMIF(mvtst[QR Suivis],mvtst[[#This Row],[QR Suivis]],mvtst[QTE RETOUR])</f>
        <v>0</v>
      </c>
      <c r="K500" s="35" t="str">
        <f t="shared" si="7"/>
        <v>Usine</v>
      </c>
      <c r="L500" s="35" t="str">
        <f>_xlfn.XLOOKUP(mvtst[[#This Row],[Sous Traitant]],coordonnee_st[Identification],coordonnee_st[SERVICE],"Non Trouvé")</f>
        <v>Frange</v>
      </c>
      <c r="M500" s="35" t="str">
        <f>INDEX(_xlfn.TEXTSPLIT(mvtst[[#This Row],[QR Suivis]],"_"),1,2)</f>
        <v>All by Fouta</v>
      </c>
      <c r="N500" s="35" t="str">
        <f>INDEX(_xlfn.TEXTSPLIT(mvtst[[#This Row],[QR Suivis]],"_"),1,3)</f>
        <v>Stock</v>
      </c>
      <c r="O500" s="35" t="str">
        <f>INDEX(_xlfn.TEXTSPLIT(mvtst[[#This Row],[QR Suivis]],"_"),1,4)</f>
        <v>UNS2020-32</v>
      </c>
      <c r="P500" s="35" t="str">
        <f>INDEX(_xlfn.TEXTSPLIT(mvtst[[#This Row],[QR Suivis]],"_"),1,5)</f>
        <v>UNI SURPIQUE</v>
      </c>
      <c r="Q500" s="35" t="str">
        <f>_xlfn.TEXTAFTER(mvtst[[#This Row],[QR Suivis]],"_",5)</f>
        <v>2020</v>
      </c>
      <c r="R500" s="84" t="str">
        <f>IF(
   COUNTIFS($A$2:A500,A500,
             $B$2:B500,B500,
             $C$2:C500,C500,
             $D$2:D500,D500,
             $G$2:G500,G500)&gt;1,
   "Doublon",
   "Correcte"
)</f>
        <v>Correcte</v>
      </c>
    </row>
    <row r="501" spans="1:18" x14ac:dyDescent="0.25">
      <c r="A501" s="104" t="s">
        <v>1701</v>
      </c>
      <c r="B501" s="35" t="s">
        <v>712</v>
      </c>
      <c r="C501" s="36">
        <v>5</v>
      </c>
      <c r="D501" s="36">
        <v>0</v>
      </c>
      <c r="E501" s="35"/>
      <c r="F501" s="35" t="s">
        <v>664</v>
      </c>
      <c r="G501" s="37">
        <v>45926</v>
      </c>
      <c r="H501" s="37" t="str">
        <f>INDEX(_xlfn.TEXTSPLIT(mvtst[[#This Row],[QR Suivis]],"_"),1,1)</f>
        <v>CA250039-6</v>
      </c>
      <c r="I501" s="35" t="str">
        <f>_xlfn.TEXTBEFORE(mvtst[[#This Row],[Num Suivis]],"-",,,1)</f>
        <v>CA250039</v>
      </c>
      <c r="J501" s="36">
        <f>SUMIF(mvtst[QR Suivis],mvtst[[#This Row],[QR Suivis]],mvtst[QTE SORTIS])-SUMIF(mvtst[QR Suivis],mvtst[[#This Row],[QR Suivis]],mvtst[QTE RETOUR])</f>
        <v>0</v>
      </c>
      <c r="K501" s="35" t="str">
        <f t="shared" si="7"/>
        <v>Usine</v>
      </c>
      <c r="L501" s="35" t="str">
        <f>_xlfn.XLOOKUP(mvtst[[#This Row],[Sous Traitant]],coordonnee_st[Identification],coordonnee_st[SERVICE],"Non Trouvé")</f>
        <v>Frange</v>
      </c>
      <c r="M501" s="35" t="str">
        <f>INDEX(_xlfn.TEXTSPLIT(mvtst[[#This Row],[QR Suivis]],"_"),1,2)</f>
        <v>All by Fouta</v>
      </c>
      <c r="N501" s="35" t="str">
        <f>INDEX(_xlfn.TEXTSPLIT(mvtst[[#This Row],[QR Suivis]],"_"),1,3)</f>
        <v>Stock</v>
      </c>
      <c r="O501" s="35" t="str">
        <f>INDEX(_xlfn.TEXTSPLIT(mvtst[[#This Row],[QR Suivis]],"_"),1,4)</f>
        <v>UNS2020-32</v>
      </c>
      <c r="P501" s="35" t="str">
        <f>INDEX(_xlfn.TEXTSPLIT(mvtst[[#This Row],[QR Suivis]],"_"),1,5)</f>
        <v>UNI SURPIQUE</v>
      </c>
      <c r="Q501" s="35" t="str">
        <f>_xlfn.TEXTAFTER(mvtst[[#This Row],[QR Suivis]],"_",5)</f>
        <v>2020</v>
      </c>
      <c r="R501" s="84" t="str">
        <f>IF(
   COUNTIFS($A$2:A501,A501,
             $B$2:B501,B501,
             $C$2:C501,C501,
             $D$2:D501,D501,
             $G$2:G501,G501)&gt;1,
   "Doublon",
   "Correcte"
)</f>
        <v>Correcte</v>
      </c>
    </row>
    <row r="502" spans="1:18" x14ac:dyDescent="0.25">
      <c r="A502" s="104" t="s">
        <v>1702</v>
      </c>
      <c r="B502" s="35" t="s">
        <v>712</v>
      </c>
      <c r="C502" s="36">
        <v>1</v>
      </c>
      <c r="D502" s="36">
        <v>0</v>
      </c>
      <c r="E502" s="35"/>
      <c r="F502" s="35" t="s">
        <v>664</v>
      </c>
      <c r="G502" s="37">
        <v>45926</v>
      </c>
      <c r="H502" s="37" t="str">
        <f>INDEX(_xlfn.TEXTSPLIT(mvtst[[#This Row],[QR Suivis]],"_"),1,1)</f>
        <v>CA250032-7</v>
      </c>
      <c r="I502" s="35" t="str">
        <f>_xlfn.TEXTBEFORE(mvtst[[#This Row],[Num Suivis]],"-",,,1)</f>
        <v>CA250032</v>
      </c>
      <c r="J502" s="36">
        <f>SUMIF(mvtst[QR Suivis],mvtst[[#This Row],[QR Suivis]],mvtst[QTE SORTIS])-SUMIF(mvtst[QR Suivis],mvtst[[#This Row],[QR Suivis]],mvtst[QTE RETOUR])</f>
        <v>0</v>
      </c>
      <c r="K502" s="35" t="str">
        <f t="shared" si="7"/>
        <v>Usine</v>
      </c>
      <c r="L502" s="35" t="str">
        <f>_xlfn.XLOOKUP(mvtst[[#This Row],[Sous Traitant]],coordonnee_st[Identification],coordonnee_st[SERVICE],"Non Trouvé")</f>
        <v>Frange</v>
      </c>
      <c r="M502" s="35" t="str">
        <f>INDEX(_xlfn.TEXTSPLIT(mvtst[[#This Row],[QR Suivis]],"_"),1,2)</f>
        <v>All by Fouta</v>
      </c>
      <c r="N502" s="35" t="str">
        <f>INDEX(_xlfn.TEXTSPLIT(mvtst[[#This Row],[QR Suivis]],"_"),1,3)</f>
        <v>Stock</v>
      </c>
      <c r="O502" s="35" t="str">
        <f>INDEX(_xlfn.TEXTSPLIT(mvtst[[#This Row],[QR Suivis]],"_"),1,4)</f>
        <v>UNS2020-20</v>
      </c>
      <c r="P502" s="35" t="str">
        <f>INDEX(_xlfn.TEXTSPLIT(mvtst[[#This Row],[QR Suivis]],"_"),1,5)</f>
        <v>UNI SURPIQUE</v>
      </c>
      <c r="Q502" s="35" t="str">
        <f>_xlfn.TEXTAFTER(mvtst[[#This Row],[QR Suivis]],"_",5)</f>
        <v>2020</v>
      </c>
      <c r="R502" s="84" t="str">
        <f>IF(
   COUNTIFS($A$2:A502,A502,
             $B$2:B502,B502,
             $C$2:C502,C502,
             $D$2:D502,D502,
             $G$2:G502,G502)&gt;1,
   "Doublon",
   "Correcte"
)</f>
        <v>Correcte</v>
      </c>
    </row>
    <row r="503" spans="1:18" x14ac:dyDescent="0.25">
      <c r="A503" s="104" t="s">
        <v>1703</v>
      </c>
      <c r="B503" s="35" t="s">
        <v>712</v>
      </c>
      <c r="C503" s="36">
        <v>5</v>
      </c>
      <c r="D503" s="36">
        <v>0</v>
      </c>
      <c r="E503" s="35"/>
      <c r="F503" s="35" t="s">
        <v>664</v>
      </c>
      <c r="G503" s="37">
        <v>45926</v>
      </c>
      <c r="H503" s="37" t="str">
        <f>INDEX(_xlfn.TEXTSPLIT(mvtst[[#This Row],[QR Suivis]],"_"),1,1)</f>
        <v>CA250032-6</v>
      </c>
      <c r="I503" s="35" t="str">
        <f>_xlfn.TEXTBEFORE(mvtst[[#This Row],[Num Suivis]],"-",,,1)</f>
        <v>CA250032</v>
      </c>
      <c r="J503" s="36">
        <f>SUMIF(mvtst[QR Suivis],mvtst[[#This Row],[QR Suivis]],mvtst[QTE SORTIS])-SUMIF(mvtst[QR Suivis],mvtst[[#This Row],[QR Suivis]],mvtst[QTE RETOUR])</f>
        <v>0</v>
      </c>
      <c r="K503" s="35" t="str">
        <f t="shared" si="7"/>
        <v>Usine</v>
      </c>
      <c r="L503" s="35" t="str">
        <f>_xlfn.XLOOKUP(mvtst[[#This Row],[Sous Traitant]],coordonnee_st[Identification],coordonnee_st[SERVICE],"Non Trouvé")</f>
        <v>Frange</v>
      </c>
      <c r="M503" s="35" t="str">
        <f>INDEX(_xlfn.TEXTSPLIT(mvtst[[#This Row],[QR Suivis]],"_"),1,2)</f>
        <v>All by Fouta</v>
      </c>
      <c r="N503" s="35" t="str">
        <f>INDEX(_xlfn.TEXTSPLIT(mvtst[[#This Row],[QR Suivis]],"_"),1,3)</f>
        <v>Stock</v>
      </c>
      <c r="O503" s="35" t="str">
        <f>INDEX(_xlfn.TEXTSPLIT(mvtst[[#This Row],[QR Suivis]],"_"),1,4)</f>
        <v>UNS2020-20</v>
      </c>
      <c r="P503" s="35" t="str">
        <f>INDEX(_xlfn.TEXTSPLIT(mvtst[[#This Row],[QR Suivis]],"_"),1,5)</f>
        <v>UNI SURPIQUE</v>
      </c>
      <c r="Q503" s="35" t="str">
        <f>_xlfn.TEXTAFTER(mvtst[[#This Row],[QR Suivis]],"_",5)</f>
        <v>2020</v>
      </c>
      <c r="R503" s="84" t="str">
        <f>IF(
   COUNTIFS($A$2:A503,A503,
             $B$2:B503,B503,
             $C$2:C503,C503,
             $D$2:D503,D503,
             $G$2:G503,G503)&gt;1,
   "Doublon",
   "Correcte"
)</f>
        <v>Correcte</v>
      </c>
    </row>
    <row r="504" spans="1:18" x14ac:dyDescent="0.25">
      <c r="A504" s="104" t="s">
        <v>1704</v>
      </c>
      <c r="B504" s="35" t="s">
        <v>712</v>
      </c>
      <c r="C504" s="36">
        <v>5</v>
      </c>
      <c r="D504" s="36">
        <v>0</v>
      </c>
      <c r="E504" s="35"/>
      <c r="F504" s="35" t="s">
        <v>664</v>
      </c>
      <c r="G504" s="37">
        <v>45926</v>
      </c>
      <c r="H504" s="37" t="str">
        <f>INDEX(_xlfn.TEXTSPLIT(mvtst[[#This Row],[QR Suivis]],"_"),1,1)</f>
        <v>CA250032-5</v>
      </c>
      <c r="I504" s="35" t="str">
        <f>_xlfn.TEXTBEFORE(mvtst[[#This Row],[Num Suivis]],"-",,,1)</f>
        <v>CA250032</v>
      </c>
      <c r="J504" s="36">
        <f>SUMIF(mvtst[QR Suivis],mvtst[[#This Row],[QR Suivis]],mvtst[QTE SORTIS])-SUMIF(mvtst[QR Suivis],mvtst[[#This Row],[QR Suivis]],mvtst[QTE RETOUR])</f>
        <v>0</v>
      </c>
      <c r="K504" s="35" t="str">
        <f t="shared" si="7"/>
        <v>Usine</v>
      </c>
      <c r="L504" s="35" t="str">
        <f>_xlfn.XLOOKUP(mvtst[[#This Row],[Sous Traitant]],coordonnee_st[Identification],coordonnee_st[SERVICE],"Non Trouvé")</f>
        <v>Frange</v>
      </c>
      <c r="M504" s="35" t="str">
        <f>INDEX(_xlfn.TEXTSPLIT(mvtst[[#This Row],[QR Suivis]],"_"),1,2)</f>
        <v>All by Fouta</v>
      </c>
      <c r="N504" s="35" t="str">
        <f>INDEX(_xlfn.TEXTSPLIT(mvtst[[#This Row],[QR Suivis]],"_"),1,3)</f>
        <v>Stock</v>
      </c>
      <c r="O504" s="35" t="str">
        <f>INDEX(_xlfn.TEXTSPLIT(mvtst[[#This Row],[QR Suivis]],"_"),1,4)</f>
        <v>UNS2020-20</v>
      </c>
      <c r="P504" s="35" t="str">
        <f>INDEX(_xlfn.TEXTSPLIT(mvtst[[#This Row],[QR Suivis]],"_"),1,5)</f>
        <v>UNI SURPIQUE</v>
      </c>
      <c r="Q504" s="35" t="str">
        <f>_xlfn.TEXTAFTER(mvtst[[#This Row],[QR Suivis]],"_",5)</f>
        <v>2020</v>
      </c>
      <c r="R504" s="84" t="str">
        <f>IF(
   COUNTIFS($A$2:A504,A504,
             $B$2:B504,B504,
             $C$2:C504,C504,
             $D$2:D504,D504,
             $G$2:G504,G504)&gt;1,
   "Doublon",
   "Correcte"
)</f>
        <v>Correcte</v>
      </c>
    </row>
    <row r="505" spans="1:18" x14ac:dyDescent="0.25">
      <c r="A505" s="104" t="s">
        <v>1705</v>
      </c>
      <c r="B505" s="35" t="s">
        <v>712</v>
      </c>
      <c r="C505" s="36">
        <v>5</v>
      </c>
      <c r="D505" s="36">
        <v>0</v>
      </c>
      <c r="E505" s="35"/>
      <c r="F505" s="35" t="s">
        <v>664</v>
      </c>
      <c r="G505" s="37">
        <v>45926</v>
      </c>
      <c r="H505" s="37" t="str">
        <f>INDEX(_xlfn.TEXTSPLIT(mvtst[[#This Row],[QR Suivis]],"_"),1,1)</f>
        <v>CA250050-3</v>
      </c>
      <c r="I505" s="35" t="str">
        <f>_xlfn.TEXTBEFORE(mvtst[[#This Row],[Num Suivis]],"-",,,1)</f>
        <v>CA250050</v>
      </c>
      <c r="J505" s="36">
        <f>SUMIF(mvtst[QR Suivis],mvtst[[#This Row],[QR Suivis]],mvtst[QTE SORTIS])-SUMIF(mvtst[QR Suivis],mvtst[[#This Row],[QR Suivis]],mvtst[QTE RETOUR])</f>
        <v>0</v>
      </c>
      <c r="K505" s="35" t="str">
        <f t="shared" si="7"/>
        <v>Usine</v>
      </c>
      <c r="L505" s="35" t="str">
        <f>_xlfn.XLOOKUP(mvtst[[#This Row],[Sous Traitant]],coordonnee_st[Identification],coordonnee_st[SERVICE],"Non Trouvé")</f>
        <v>Frange</v>
      </c>
      <c r="M505" s="35" t="str">
        <f>INDEX(_xlfn.TEXTSPLIT(mvtst[[#This Row],[QR Suivis]],"_"),1,2)</f>
        <v>All by Fouta</v>
      </c>
      <c r="N505" s="35" t="str">
        <f>INDEX(_xlfn.TEXTSPLIT(mvtst[[#This Row],[QR Suivis]],"_"),1,3)</f>
        <v>Stock</v>
      </c>
      <c r="O505" s="35" t="str">
        <f>INDEX(_xlfn.TEXTSPLIT(mvtst[[#This Row],[QR Suivis]],"_"),1,4)</f>
        <v>UNS1626-18</v>
      </c>
      <c r="P505" s="35" t="str">
        <f>INDEX(_xlfn.TEXTSPLIT(mvtst[[#This Row],[QR Suivis]],"_"),1,5)</f>
        <v>UNI SURPIQUE</v>
      </c>
      <c r="Q505" s="35" t="str">
        <f>_xlfn.TEXTAFTER(mvtst[[#This Row],[QR Suivis]],"_",5)</f>
        <v>1626</v>
      </c>
      <c r="R505" s="84" t="str">
        <f>IF(
   COUNTIFS($A$2:A505,A505,
             $B$2:B505,B505,
             $C$2:C505,C505,
             $D$2:D505,D505,
             $G$2:G505,G505)&gt;1,
   "Doublon",
   "Correcte"
)</f>
        <v>Correcte</v>
      </c>
    </row>
    <row r="506" spans="1:18" x14ac:dyDescent="0.25">
      <c r="A506" s="104" t="s">
        <v>1706</v>
      </c>
      <c r="B506" s="35" t="s">
        <v>712</v>
      </c>
      <c r="C506" s="36">
        <v>5</v>
      </c>
      <c r="D506" s="36">
        <v>0</v>
      </c>
      <c r="E506" s="35"/>
      <c r="F506" s="35" t="s">
        <v>664</v>
      </c>
      <c r="G506" s="37">
        <v>45926</v>
      </c>
      <c r="H506" s="37" t="str">
        <f>INDEX(_xlfn.TEXTSPLIT(mvtst[[#This Row],[QR Suivis]],"_"),1,1)</f>
        <v>CA250050-1</v>
      </c>
      <c r="I506" s="35" t="str">
        <f>_xlfn.TEXTBEFORE(mvtst[[#This Row],[Num Suivis]],"-",,,1)</f>
        <v>CA250050</v>
      </c>
      <c r="J506" s="36">
        <f>SUMIF(mvtst[QR Suivis],mvtst[[#This Row],[QR Suivis]],mvtst[QTE SORTIS])-SUMIF(mvtst[QR Suivis],mvtst[[#This Row],[QR Suivis]],mvtst[QTE RETOUR])</f>
        <v>0</v>
      </c>
      <c r="K506" s="35" t="str">
        <f t="shared" si="7"/>
        <v>Usine</v>
      </c>
      <c r="L506" s="35" t="str">
        <f>_xlfn.XLOOKUP(mvtst[[#This Row],[Sous Traitant]],coordonnee_st[Identification],coordonnee_st[SERVICE],"Non Trouvé")</f>
        <v>Frange</v>
      </c>
      <c r="M506" s="35" t="str">
        <f>INDEX(_xlfn.TEXTSPLIT(mvtst[[#This Row],[QR Suivis]],"_"),1,2)</f>
        <v>All by Fouta</v>
      </c>
      <c r="N506" s="35" t="str">
        <f>INDEX(_xlfn.TEXTSPLIT(mvtst[[#This Row],[QR Suivis]],"_"),1,3)</f>
        <v>Stock</v>
      </c>
      <c r="O506" s="35" t="str">
        <f>INDEX(_xlfn.TEXTSPLIT(mvtst[[#This Row],[QR Suivis]],"_"),1,4)</f>
        <v>UNS1626-18</v>
      </c>
      <c r="P506" s="35" t="str">
        <f>INDEX(_xlfn.TEXTSPLIT(mvtst[[#This Row],[QR Suivis]],"_"),1,5)</f>
        <v>UNI SURPIQUE</v>
      </c>
      <c r="Q506" s="35" t="str">
        <f>_xlfn.TEXTAFTER(mvtst[[#This Row],[QR Suivis]],"_",5)</f>
        <v>1626</v>
      </c>
      <c r="R506" s="84" t="str">
        <f>IF(
   COUNTIFS($A$2:A506,A506,
             $B$2:B506,B506,
             $C$2:C506,C506,
             $D$2:D506,D506,
             $G$2:G506,G506)&gt;1,
   "Doublon",
   "Correcte"
)</f>
        <v>Correcte</v>
      </c>
    </row>
    <row r="507" spans="1:18" x14ac:dyDescent="0.25">
      <c r="A507" s="104" t="s">
        <v>1707</v>
      </c>
      <c r="B507" s="35" t="s">
        <v>712</v>
      </c>
      <c r="C507" s="36">
        <v>5</v>
      </c>
      <c r="D507" s="36">
        <v>0</v>
      </c>
      <c r="E507" s="35"/>
      <c r="F507" s="35" t="s">
        <v>664</v>
      </c>
      <c r="G507" s="37">
        <v>45926</v>
      </c>
      <c r="H507" s="37" t="str">
        <f>INDEX(_xlfn.TEXTSPLIT(mvtst[[#This Row],[QR Suivis]],"_"),1,1)</f>
        <v>CA250050-2</v>
      </c>
      <c r="I507" s="35" t="str">
        <f>_xlfn.TEXTBEFORE(mvtst[[#This Row],[Num Suivis]],"-",,,1)</f>
        <v>CA250050</v>
      </c>
      <c r="J507" s="36">
        <f>SUMIF(mvtst[QR Suivis],mvtst[[#This Row],[QR Suivis]],mvtst[QTE SORTIS])-SUMIF(mvtst[QR Suivis],mvtst[[#This Row],[QR Suivis]],mvtst[QTE RETOUR])</f>
        <v>0</v>
      </c>
      <c r="K507" s="35" t="str">
        <f t="shared" si="7"/>
        <v>Usine</v>
      </c>
      <c r="L507" s="35" t="str">
        <f>_xlfn.XLOOKUP(mvtst[[#This Row],[Sous Traitant]],coordonnee_st[Identification],coordonnee_st[SERVICE],"Non Trouvé")</f>
        <v>Frange</v>
      </c>
      <c r="M507" s="35" t="str">
        <f>INDEX(_xlfn.TEXTSPLIT(mvtst[[#This Row],[QR Suivis]],"_"),1,2)</f>
        <v>All by Fouta</v>
      </c>
      <c r="N507" s="35" t="str">
        <f>INDEX(_xlfn.TEXTSPLIT(mvtst[[#This Row],[QR Suivis]],"_"),1,3)</f>
        <v>Stock</v>
      </c>
      <c r="O507" s="35" t="str">
        <f>INDEX(_xlfn.TEXTSPLIT(mvtst[[#This Row],[QR Suivis]],"_"),1,4)</f>
        <v>UNS1626-18</v>
      </c>
      <c r="P507" s="35" t="str">
        <f>INDEX(_xlfn.TEXTSPLIT(mvtst[[#This Row],[QR Suivis]],"_"),1,5)</f>
        <v>UNI SURPIQUE</v>
      </c>
      <c r="Q507" s="35" t="str">
        <f>_xlfn.TEXTAFTER(mvtst[[#This Row],[QR Suivis]],"_",5)</f>
        <v>1626</v>
      </c>
      <c r="R507" s="84" t="str">
        <f>IF(
   COUNTIFS($A$2:A507,A507,
             $B$2:B507,B507,
             $C$2:C507,C507,
             $D$2:D507,D507,
             $G$2:G507,G507)&gt;1,
   "Doublon",
   "Correcte"
)</f>
        <v>Correcte</v>
      </c>
    </row>
    <row r="508" spans="1:18" x14ac:dyDescent="0.25">
      <c r="A508" s="104" t="s">
        <v>1708</v>
      </c>
      <c r="B508" s="35" t="s">
        <v>712</v>
      </c>
      <c r="C508" s="36">
        <v>5</v>
      </c>
      <c r="D508" s="36">
        <v>0</v>
      </c>
      <c r="E508" s="35"/>
      <c r="F508" s="35" t="s">
        <v>664</v>
      </c>
      <c r="G508" s="37">
        <v>45926</v>
      </c>
      <c r="H508" s="37" t="str">
        <f>INDEX(_xlfn.TEXTSPLIT(mvtst[[#This Row],[QR Suivis]],"_"),1,1)</f>
        <v>CA250050-4</v>
      </c>
      <c r="I508" s="35" t="str">
        <f>_xlfn.TEXTBEFORE(mvtst[[#This Row],[Num Suivis]],"-",,,1)</f>
        <v>CA250050</v>
      </c>
      <c r="J508" s="36">
        <f>SUMIF(mvtst[QR Suivis],mvtst[[#This Row],[QR Suivis]],mvtst[QTE SORTIS])-SUMIF(mvtst[QR Suivis],mvtst[[#This Row],[QR Suivis]],mvtst[QTE RETOUR])</f>
        <v>0</v>
      </c>
      <c r="K508" s="35" t="str">
        <f t="shared" si="7"/>
        <v>Usine</v>
      </c>
      <c r="L508" s="35" t="str">
        <f>_xlfn.XLOOKUP(mvtst[[#This Row],[Sous Traitant]],coordonnee_st[Identification],coordonnee_st[SERVICE],"Non Trouvé")</f>
        <v>Frange</v>
      </c>
      <c r="M508" s="35" t="str">
        <f>INDEX(_xlfn.TEXTSPLIT(mvtst[[#This Row],[QR Suivis]],"_"),1,2)</f>
        <v>All by Fouta</v>
      </c>
      <c r="N508" s="35" t="str">
        <f>INDEX(_xlfn.TEXTSPLIT(mvtst[[#This Row],[QR Suivis]],"_"),1,3)</f>
        <v>Stock</v>
      </c>
      <c r="O508" s="35" t="str">
        <f>INDEX(_xlfn.TEXTSPLIT(mvtst[[#This Row],[QR Suivis]],"_"),1,4)</f>
        <v>UNS1626-18</v>
      </c>
      <c r="P508" s="35" t="str">
        <f>INDEX(_xlfn.TEXTSPLIT(mvtst[[#This Row],[QR Suivis]],"_"),1,5)</f>
        <v>UNI SURPIQUE</v>
      </c>
      <c r="Q508" s="35" t="str">
        <f>_xlfn.TEXTAFTER(mvtst[[#This Row],[QR Suivis]],"_",5)</f>
        <v>1626</v>
      </c>
      <c r="R508" s="84" t="str">
        <f>IF(
   COUNTIFS($A$2:A508,A508,
             $B$2:B508,B508,
             $C$2:C508,C508,
             $D$2:D508,D508,
             $G$2:G508,G508)&gt;1,
   "Doublon",
   "Correcte"
)</f>
        <v>Correcte</v>
      </c>
    </row>
    <row r="509" spans="1:18" x14ac:dyDescent="0.25">
      <c r="A509" s="104" t="s">
        <v>1709</v>
      </c>
      <c r="B509" s="35" t="s">
        <v>712</v>
      </c>
      <c r="C509" s="36">
        <v>5</v>
      </c>
      <c r="D509" s="36">
        <v>0</v>
      </c>
      <c r="E509" s="35"/>
      <c r="F509" s="35" t="s">
        <v>664</v>
      </c>
      <c r="G509" s="37">
        <v>45926</v>
      </c>
      <c r="H509" s="37" t="str">
        <f>INDEX(_xlfn.TEXTSPLIT(mvtst[[#This Row],[QR Suivis]],"_"),1,1)</f>
        <v>CA250023-4</v>
      </c>
      <c r="I509" s="35" t="str">
        <f>_xlfn.TEXTBEFORE(mvtst[[#This Row],[Num Suivis]],"-",,,1)</f>
        <v>CA250023</v>
      </c>
      <c r="J509" s="36">
        <f>SUMIF(mvtst[QR Suivis],mvtst[[#This Row],[QR Suivis]],mvtst[QTE SORTIS])-SUMIF(mvtst[QR Suivis],mvtst[[#This Row],[QR Suivis]],mvtst[QTE RETOUR])</f>
        <v>0</v>
      </c>
      <c r="K509" s="35" t="str">
        <f t="shared" si="7"/>
        <v>Usine</v>
      </c>
      <c r="L509" s="35" t="str">
        <f>_xlfn.XLOOKUP(mvtst[[#This Row],[Sous Traitant]],coordonnee_st[Identification],coordonnee_st[SERVICE],"Non Trouvé")</f>
        <v>Frange</v>
      </c>
      <c r="M509" s="35" t="str">
        <f>INDEX(_xlfn.TEXTSPLIT(mvtst[[#This Row],[QR Suivis]],"_"),1,2)</f>
        <v>All by Fouta</v>
      </c>
      <c r="N509" s="35" t="str">
        <f>INDEX(_xlfn.TEXTSPLIT(mvtst[[#This Row],[QR Suivis]],"_"),1,3)</f>
        <v>Stock</v>
      </c>
      <c r="O509" s="35" t="str">
        <f>INDEX(_xlfn.TEXTSPLIT(mvtst[[#This Row],[QR Suivis]],"_"),1,4)</f>
        <v>UNS2020-06</v>
      </c>
      <c r="P509" s="35" t="str">
        <f>INDEX(_xlfn.TEXTSPLIT(mvtst[[#This Row],[QR Suivis]],"_"),1,5)</f>
        <v>UNI SURPIQUE</v>
      </c>
      <c r="Q509" s="35" t="str">
        <f>_xlfn.TEXTAFTER(mvtst[[#This Row],[QR Suivis]],"_",5)</f>
        <v>2020</v>
      </c>
      <c r="R509" s="84" t="str">
        <f>IF(
   COUNTIFS($A$2:A509,A509,
             $B$2:B509,B509,
             $C$2:C509,C509,
             $D$2:D509,D509,
             $G$2:G509,G509)&gt;1,
   "Doublon",
   "Correcte"
)</f>
        <v>Correcte</v>
      </c>
    </row>
    <row r="510" spans="1:18" x14ac:dyDescent="0.25">
      <c r="A510" s="104" t="s">
        <v>1710</v>
      </c>
      <c r="B510" s="35" t="s">
        <v>712</v>
      </c>
      <c r="C510" s="36">
        <v>5</v>
      </c>
      <c r="D510" s="36">
        <v>0</v>
      </c>
      <c r="E510" s="35"/>
      <c r="F510" s="35" t="s">
        <v>664</v>
      </c>
      <c r="G510" s="37">
        <v>45926</v>
      </c>
      <c r="H510" s="37" t="str">
        <f>INDEX(_xlfn.TEXTSPLIT(mvtst[[#This Row],[QR Suivis]],"_"),1,1)</f>
        <v>CA250023-6</v>
      </c>
      <c r="I510" s="35" t="str">
        <f>_xlfn.TEXTBEFORE(mvtst[[#This Row],[Num Suivis]],"-",,,1)</f>
        <v>CA250023</v>
      </c>
      <c r="J510" s="36">
        <f>SUMIF(mvtst[QR Suivis],mvtst[[#This Row],[QR Suivis]],mvtst[QTE SORTIS])-SUMIF(mvtst[QR Suivis],mvtst[[#This Row],[QR Suivis]],mvtst[QTE RETOUR])</f>
        <v>0</v>
      </c>
      <c r="K510" s="35" t="str">
        <f t="shared" si="7"/>
        <v>Usine</v>
      </c>
      <c r="L510" s="35" t="str">
        <f>_xlfn.XLOOKUP(mvtst[[#This Row],[Sous Traitant]],coordonnee_st[Identification],coordonnee_st[SERVICE],"Non Trouvé")</f>
        <v>Frange</v>
      </c>
      <c r="M510" s="35" t="str">
        <f>INDEX(_xlfn.TEXTSPLIT(mvtst[[#This Row],[QR Suivis]],"_"),1,2)</f>
        <v>All by Fouta</v>
      </c>
      <c r="N510" s="35" t="str">
        <f>INDEX(_xlfn.TEXTSPLIT(mvtst[[#This Row],[QR Suivis]],"_"),1,3)</f>
        <v>Stock</v>
      </c>
      <c r="O510" s="35" t="str">
        <f>INDEX(_xlfn.TEXTSPLIT(mvtst[[#This Row],[QR Suivis]],"_"),1,4)</f>
        <v>UNS2020-06</v>
      </c>
      <c r="P510" s="35" t="str">
        <f>INDEX(_xlfn.TEXTSPLIT(mvtst[[#This Row],[QR Suivis]],"_"),1,5)</f>
        <v>UNI SURPIQUE</v>
      </c>
      <c r="Q510" s="35" t="str">
        <f>_xlfn.TEXTAFTER(mvtst[[#This Row],[QR Suivis]],"_",5)</f>
        <v>2020</v>
      </c>
      <c r="R510" s="84" t="str">
        <f>IF(
   COUNTIFS($A$2:A510,A510,
             $B$2:B510,B510,
             $C$2:C510,C510,
             $D$2:D510,D510,
             $G$2:G510,G510)&gt;1,
   "Doublon",
   "Correcte"
)</f>
        <v>Correcte</v>
      </c>
    </row>
    <row r="511" spans="1:18" x14ac:dyDescent="0.25">
      <c r="A511" s="104" t="s">
        <v>1711</v>
      </c>
      <c r="B511" s="35" t="s">
        <v>712</v>
      </c>
      <c r="C511" s="36">
        <v>5</v>
      </c>
      <c r="D511" s="36">
        <v>0</v>
      </c>
      <c r="E511" s="35"/>
      <c r="F511" s="35" t="s">
        <v>664</v>
      </c>
      <c r="G511" s="37">
        <v>45926</v>
      </c>
      <c r="H511" s="37" t="str">
        <f>INDEX(_xlfn.TEXTSPLIT(mvtst[[#This Row],[QR Suivis]],"_"),1,1)</f>
        <v>CA250036-4</v>
      </c>
      <c r="I511" s="35" t="str">
        <f>_xlfn.TEXTBEFORE(mvtst[[#This Row],[Num Suivis]],"-",,,1)</f>
        <v>CA250036</v>
      </c>
      <c r="J511" s="36">
        <f>SUMIF(mvtst[QR Suivis],mvtst[[#This Row],[QR Suivis]],mvtst[QTE SORTIS])-SUMIF(mvtst[QR Suivis],mvtst[[#This Row],[QR Suivis]],mvtst[QTE RETOUR])</f>
        <v>0</v>
      </c>
      <c r="K511" s="35" t="str">
        <f t="shared" si="7"/>
        <v>Usine</v>
      </c>
      <c r="L511" s="35" t="str">
        <f>_xlfn.XLOOKUP(mvtst[[#This Row],[Sous Traitant]],coordonnee_st[Identification],coordonnee_st[SERVICE],"Non Trouvé")</f>
        <v>Frange</v>
      </c>
      <c r="M511" s="35" t="str">
        <f>INDEX(_xlfn.TEXTSPLIT(mvtst[[#This Row],[QR Suivis]],"_"),1,2)</f>
        <v>All by Fouta</v>
      </c>
      <c r="N511" s="35" t="str">
        <f>INDEX(_xlfn.TEXTSPLIT(mvtst[[#This Row],[QR Suivis]],"_"),1,3)</f>
        <v>Stock</v>
      </c>
      <c r="O511" s="35" t="str">
        <f>INDEX(_xlfn.TEXTSPLIT(mvtst[[#This Row],[QR Suivis]],"_"),1,4)</f>
        <v>UNS2020-27</v>
      </c>
      <c r="P511" s="35" t="str">
        <f>INDEX(_xlfn.TEXTSPLIT(mvtst[[#This Row],[QR Suivis]],"_"),1,5)</f>
        <v>UNI SURPIQUE</v>
      </c>
      <c r="Q511" s="35" t="str">
        <f>_xlfn.TEXTAFTER(mvtst[[#This Row],[QR Suivis]],"_",5)</f>
        <v>2020</v>
      </c>
      <c r="R511" s="84" t="str">
        <f>IF(
   COUNTIFS($A$2:A511,A511,
             $B$2:B511,B511,
             $C$2:C511,C511,
             $D$2:D511,D511,
             $G$2:G511,G511)&gt;1,
   "Doublon",
   "Correcte"
)</f>
        <v>Correcte</v>
      </c>
    </row>
    <row r="512" spans="1:18" x14ac:dyDescent="0.25">
      <c r="A512" s="104" t="s">
        <v>1712</v>
      </c>
      <c r="B512" s="35" t="s">
        <v>712</v>
      </c>
      <c r="C512" s="36">
        <v>5</v>
      </c>
      <c r="D512" s="36">
        <v>0</v>
      </c>
      <c r="E512" s="35"/>
      <c r="F512" s="35" t="s">
        <v>664</v>
      </c>
      <c r="G512" s="37">
        <v>45926</v>
      </c>
      <c r="H512" s="37" t="str">
        <f>INDEX(_xlfn.TEXTSPLIT(mvtst[[#This Row],[QR Suivis]],"_"),1,1)</f>
        <v>CA250036-1</v>
      </c>
      <c r="I512" s="35" t="str">
        <f>_xlfn.TEXTBEFORE(mvtst[[#This Row],[Num Suivis]],"-",,,1)</f>
        <v>CA250036</v>
      </c>
      <c r="J512" s="36">
        <f>SUMIF(mvtst[QR Suivis],mvtst[[#This Row],[QR Suivis]],mvtst[QTE SORTIS])-SUMIF(mvtst[QR Suivis],mvtst[[#This Row],[QR Suivis]],mvtst[QTE RETOUR])</f>
        <v>0</v>
      </c>
      <c r="K512" s="35" t="str">
        <f t="shared" si="7"/>
        <v>Usine</v>
      </c>
      <c r="L512" s="35" t="str">
        <f>_xlfn.XLOOKUP(mvtst[[#This Row],[Sous Traitant]],coordonnee_st[Identification],coordonnee_st[SERVICE],"Non Trouvé")</f>
        <v>Frange</v>
      </c>
      <c r="M512" s="35" t="str">
        <f>INDEX(_xlfn.TEXTSPLIT(mvtst[[#This Row],[QR Suivis]],"_"),1,2)</f>
        <v>All by Fouta</v>
      </c>
      <c r="N512" s="35" t="str">
        <f>INDEX(_xlfn.TEXTSPLIT(mvtst[[#This Row],[QR Suivis]],"_"),1,3)</f>
        <v>Stock</v>
      </c>
      <c r="O512" s="35" t="str">
        <f>INDEX(_xlfn.TEXTSPLIT(mvtst[[#This Row],[QR Suivis]],"_"),1,4)</f>
        <v>UNS2020-27</v>
      </c>
      <c r="P512" s="35" t="str">
        <f>INDEX(_xlfn.TEXTSPLIT(mvtst[[#This Row],[QR Suivis]],"_"),1,5)</f>
        <v>UNI SURPIQUE</v>
      </c>
      <c r="Q512" s="35" t="str">
        <f>_xlfn.TEXTAFTER(mvtst[[#This Row],[QR Suivis]],"_",5)</f>
        <v>2020</v>
      </c>
      <c r="R512" s="84" t="str">
        <f>IF(
   COUNTIFS($A$2:A512,A512,
             $B$2:B512,B512,
             $C$2:C512,C512,
             $D$2:D512,D512,
             $G$2:G512,G512)&gt;1,
   "Doublon",
   "Correcte"
)</f>
        <v>Correcte</v>
      </c>
    </row>
    <row r="513" spans="1:18" x14ac:dyDescent="0.25">
      <c r="A513" s="104" t="s">
        <v>1713</v>
      </c>
      <c r="B513" s="35" t="s">
        <v>712</v>
      </c>
      <c r="C513" s="36">
        <v>5</v>
      </c>
      <c r="D513" s="36">
        <v>0</v>
      </c>
      <c r="E513" s="35"/>
      <c r="F513" s="35" t="s">
        <v>664</v>
      </c>
      <c r="G513" s="37">
        <v>45926</v>
      </c>
      <c r="H513" s="37" t="str">
        <f>INDEX(_xlfn.TEXTSPLIT(mvtst[[#This Row],[QR Suivis]],"_"),1,1)</f>
        <v>CA250036-3</v>
      </c>
      <c r="I513" s="35" t="str">
        <f>_xlfn.TEXTBEFORE(mvtst[[#This Row],[Num Suivis]],"-",,,1)</f>
        <v>CA250036</v>
      </c>
      <c r="J513" s="36">
        <f>SUMIF(mvtst[QR Suivis],mvtst[[#This Row],[QR Suivis]],mvtst[QTE SORTIS])-SUMIF(mvtst[QR Suivis],mvtst[[#This Row],[QR Suivis]],mvtst[QTE RETOUR])</f>
        <v>0</v>
      </c>
      <c r="K513" s="35" t="str">
        <f t="shared" si="7"/>
        <v>Usine</v>
      </c>
      <c r="L513" s="35" t="str">
        <f>_xlfn.XLOOKUP(mvtst[[#This Row],[Sous Traitant]],coordonnee_st[Identification],coordonnee_st[SERVICE],"Non Trouvé")</f>
        <v>Frange</v>
      </c>
      <c r="M513" s="35" t="str">
        <f>INDEX(_xlfn.TEXTSPLIT(mvtst[[#This Row],[QR Suivis]],"_"),1,2)</f>
        <v>All by Fouta</v>
      </c>
      <c r="N513" s="35" t="str">
        <f>INDEX(_xlfn.TEXTSPLIT(mvtst[[#This Row],[QR Suivis]],"_"),1,3)</f>
        <v>Stock</v>
      </c>
      <c r="O513" s="35" t="str">
        <f>INDEX(_xlfn.TEXTSPLIT(mvtst[[#This Row],[QR Suivis]],"_"),1,4)</f>
        <v>UNS2020-27</v>
      </c>
      <c r="P513" s="35" t="str">
        <f>INDEX(_xlfn.TEXTSPLIT(mvtst[[#This Row],[QR Suivis]],"_"),1,5)</f>
        <v>UNI SURPIQUE</v>
      </c>
      <c r="Q513" s="35" t="str">
        <f>_xlfn.TEXTAFTER(mvtst[[#This Row],[QR Suivis]],"_",5)</f>
        <v>2020</v>
      </c>
      <c r="R513" s="84" t="str">
        <f>IF(
   COUNTIFS($A$2:A513,A513,
             $B$2:B513,B513,
             $C$2:C513,C513,
             $D$2:D513,D513,
             $G$2:G513,G513)&gt;1,
   "Doublon",
   "Correcte"
)</f>
        <v>Correcte</v>
      </c>
    </row>
    <row r="514" spans="1:18" x14ac:dyDescent="0.25">
      <c r="A514" s="104" t="s">
        <v>1714</v>
      </c>
      <c r="B514" s="35" t="s">
        <v>712</v>
      </c>
      <c r="C514" s="36">
        <v>5</v>
      </c>
      <c r="D514" s="36">
        <v>0</v>
      </c>
      <c r="E514" s="35"/>
      <c r="F514" s="35" t="s">
        <v>664</v>
      </c>
      <c r="G514" s="37">
        <v>45926</v>
      </c>
      <c r="H514" s="37" t="str">
        <f>INDEX(_xlfn.TEXTSPLIT(mvtst[[#This Row],[QR Suivis]],"_"),1,1)</f>
        <v>CA250036-5</v>
      </c>
      <c r="I514" s="35" t="str">
        <f>_xlfn.TEXTBEFORE(mvtst[[#This Row],[Num Suivis]],"-",,,1)</f>
        <v>CA250036</v>
      </c>
      <c r="J514" s="36">
        <f>SUMIF(mvtst[QR Suivis],mvtst[[#This Row],[QR Suivis]],mvtst[QTE SORTIS])-SUMIF(mvtst[QR Suivis],mvtst[[#This Row],[QR Suivis]],mvtst[QTE RETOUR])</f>
        <v>0</v>
      </c>
      <c r="K514" s="35" t="str">
        <f t="shared" si="7"/>
        <v>Usine</v>
      </c>
      <c r="L514" s="35" t="str">
        <f>_xlfn.XLOOKUP(mvtst[[#This Row],[Sous Traitant]],coordonnee_st[Identification],coordonnee_st[SERVICE],"Non Trouvé")</f>
        <v>Frange</v>
      </c>
      <c r="M514" s="35" t="str">
        <f>INDEX(_xlfn.TEXTSPLIT(mvtst[[#This Row],[QR Suivis]],"_"),1,2)</f>
        <v>All by Fouta</v>
      </c>
      <c r="N514" s="35" t="str">
        <f>INDEX(_xlfn.TEXTSPLIT(mvtst[[#This Row],[QR Suivis]],"_"),1,3)</f>
        <v>Stock</v>
      </c>
      <c r="O514" s="35" t="str">
        <f>INDEX(_xlfn.TEXTSPLIT(mvtst[[#This Row],[QR Suivis]],"_"),1,4)</f>
        <v>UNS2020-27</v>
      </c>
      <c r="P514" s="35" t="str">
        <f>INDEX(_xlfn.TEXTSPLIT(mvtst[[#This Row],[QR Suivis]],"_"),1,5)</f>
        <v>UNI SURPIQUE</v>
      </c>
      <c r="Q514" s="35" t="str">
        <f>_xlfn.TEXTAFTER(mvtst[[#This Row],[QR Suivis]],"_",5)</f>
        <v>2020</v>
      </c>
      <c r="R514" s="84" t="str">
        <f>IF(
   COUNTIFS($A$2:A514,A514,
             $B$2:B514,B514,
             $C$2:C514,C514,
             $D$2:D514,D514,
             $G$2:G514,G514)&gt;1,
   "Doublon",
   "Correcte"
)</f>
        <v>Correcte</v>
      </c>
    </row>
    <row r="515" spans="1:18" x14ac:dyDescent="0.25">
      <c r="A515" s="104" t="s">
        <v>1715</v>
      </c>
      <c r="B515" s="35" t="s">
        <v>712</v>
      </c>
      <c r="C515" s="36">
        <v>5</v>
      </c>
      <c r="D515" s="36">
        <v>0</v>
      </c>
      <c r="E515" s="35"/>
      <c r="F515" s="35" t="s">
        <v>664</v>
      </c>
      <c r="G515" s="37">
        <v>45926</v>
      </c>
      <c r="H515" s="37" t="str">
        <f>INDEX(_xlfn.TEXTSPLIT(mvtst[[#This Row],[QR Suivis]],"_"),1,1)</f>
        <v>CA250036-2</v>
      </c>
      <c r="I515" s="35" t="str">
        <f>_xlfn.TEXTBEFORE(mvtst[[#This Row],[Num Suivis]],"-",,,1)</f>
        <v>CA250036</v>
      </c>
      <c r="J515" s="36">
        <f>SUMIF(mvtst[QR Suivis],mvtst[[#This Row],[QR Suivis]],mvtst[QTE SORTIS])-SUMIF(mvtst[QR Suivis],mvtst[[#This Row],[QR Suivis]],mvtst[QTE RETOUR])</f>
        <v>0</v>
      </c>
      <c r="K515" s="35" t="str">
        <f t="shared" ref="K515:K578" si="8">"Usine"</f>
        <v>Usine</v>
      </c>
      <c r="L515" s="35" t="str">
        <f>_xlfn.XLOOKUP(mvtst[[#This Row],[Sous Traitant]],coordonnee_st[Identification],coordonnee_st[SERVICE],"Non Trouvé")</f>
        <v>Frange</v>
      </c>
      <c r="M515" s="35" t="str">
        <f>INDEX(_xlfn.TEXTSPLIT(mvtst[[#This Row],[QR Suivis]],"_"),1,2)</f>
        <v>All by Fouta</v>
      </c>
      <c r="N515" s="35" t="str">
        <f>INDEX(_xlfn.TEXTSPLIT(mvtst[[#This Row],[QR Suivis]],"_"),1,3)</f>
        <v>Stock</v>
      </c>
      <c r="O515" s="35" t="str">
        <f>INDEX(_xlfn.TEXTSPLIT(mvtst[[#This Row],[QR Suivis]],"_"),1,4)</f>
        <v>UNS2020-27</v>
      </c>
      <c r="P515" s="35" t="str">
        <f>INDEX(_xlfn.TEXTSPLIT(mvtst[[#This Row],[QR Suivis]],"_"),1,5)</f>
        <v>UNI SURPIQUE</v>
      </c>
      <c r="Q515" s="35" t="str">
        <f>_xlfn.TEXTAFTER(mvtst[[#This Row],[QR Suivis]],"_",5)</f>
        <v>2020</v>
      </c>
      <c r="R515" s="84" t="str">
        <f>IF(
   COUNTIFS($A$2:A515,A515,
             $B$2:B515,B515,
             $C$2:C515,C515,
             $D$2:D515,D515,
             $G$2:G515,G515)&gt;1,
   "Doublon",
   "Correcte"
)</f>
        <v>Correcte</v>
      </c>
    </row>
    <row r="516" spans="1:18" x14ac:dyDescent="0.25">
      <c r="A516" s="104" t="s">
        <v>1716</v>
      </c>
      <c r="B516" s="35" t="s">
        <v>712</v>
      </c>
      <c r="C516" s="36">
        <v>5</v>
      </c>
      <c r="D516" s="36">
        <v>0</v>
      </c>
      <c r="E516" s="35"/>
      <c r="F516" s="35" t="s">
        <v>664</v>
      </c>
      <c r="G516" s="37">
        <v>45926</v>
      </c>
      <c r="H516" s="37" t="str">
        <f>INDEX(_xlfn.TEXTSPLIT(mvtst[[#This Row],[QR Suivis]],"_"),1,1)</f>
        <v>CA250058-2</v>
      </c>
      <c r="I516" s="35" t="str">
        <f>_xlfn.TEXTBEFORE(mvtst[[#This Row],[Num Suivis]],"-",,,1)</f>
        <v>CA250058</v>
      </c>
      <c r="J516" s="36">
        <f>SUMIF(mvtst[QR Suivis],mvtst[[#This Row],[QR Suivis]],mvtst[QTE SORTIS])-SUMIF(mvtst[QR Suivis],mvtst[[#This Row],[QR Suivis]],mvtst[QTE RETOUR])</f>
        <v>0</v>
      </c>
      <c r="K516" s="35" t="str">
        <f t="shared" si="8"/>
        <v>Usine</v>
      </c>
      <c r="L516" s="35" t="str">
        <f>_xlfn.XLOOKUP(mvtst[[#This Row],[Sous Traitant]],coordonnee_st[Identification],coordonnee_st[SERVICE],"Non Trouvé")</f>
        <v>Frange</v>
      </c>
      <c r="M516" s="35" t="str">
        <f>INDEX(_xlfn.TEXTSPLIT(mvtst[[#This Row],[QR Suivis]],"_"),1,2)</f>
        <v>All by Fouta</v>
      </c>
      <c r="N516" s="35" t="str">
        <f>INDEX(_xlfn.TEXTSPLIT(mvtst[[#This Row],[QR Suivis]],"_"),1,3)</f>
        <v>Stock</v>
      </c>
      <c r="O516" s="35" t="str">
        <f>INDEX(_xlfn.TEXTSPLIT(mvtst[[#This Row],[QR Suivis]],"_"),1,4)</f>
        <v>UNS1626-31</v>
      </c>
      <c r="P516" s="35" t="str">
        <f>INDEX(_xlfn.TEXTSPLIT(mvtst[[#This Row],[QR Suivis]],"_"),1,5)</f>
        <v>UNI SURPIQUE</v>
      </c>
      <c r="Q516" s="35" t="str">
        <f>_xlfn.TEXTAFTER(mvtst[[#This Row],[QR Suivis]],"_",5)</f>
        <v>1626</v>
      </c>
      <c r="R516" s="84" t="str">
        <f>IF(
   COUNTIFS($A$2:A516,A516,
             $B$2:B516,B516,
             $C$2:C516,C516,
             $D$2:D516,D516,
             $G$2:G516,G516)&gt;1,
   "Doublon",
   "Correcte"
)</f>
        <v>Correcte</v>
      </c>
    </row>
    <row r="517" spans="1:18" x14ac:dyDescent="0.25">
      <c r="A517" s="104" t="s">
        <v>1717</v>
      </c>
      <c r="B517" s="35" t="s">
        <v>712</v>
      </c>
      <c r="C517" s="36">
        <v>5</v>
      </c>
      <c r="D517" s="36">
        <v>0</v>
      </c>
      <c r="E517" s="35"/>
      <c r="F517" s="35" t="s">
        <v>664</v>
      </c>
      <c r="G517" s="37">
        <v>45926</v>
      </c>
      <c r="H517" s="37" t="str">
        <f>INDEX(_xlfn.TEXTSPLIT(mvtst[[#This Row],[QR Suivis]],"_"),1,1)</f>
        <v>CA250058-3</v>
      </c>
      <c r="I517" s="35" t="str">
        <f>_xlfn.TEXTBEFORE(mvtst[[#This Row],[Num Suivis]],"-",,,1)</f>
        <v>CA250058</v>
      </c>
      <c r="J517" s="36">
        <f>SUMIF(mvtst[QR Suivis],mvtst[[#This Row],[QR Suivis]],mvtst[QTE SORTIS])-SUMIF(mvtst[QR Suivis],mvtst[[#This Row],[QR Suivis]],mvtst[QTE RETOUR])</f>
        <v>0</v>
      </c>
      <c r="K517" s="35" t="str">
        <f t="shared" si="8"/>
        <v>Usine</v>
      </c>
      <c r="L517" s="35" t="str">
        <f>_xlfn.XLOOKUP(mvtst[[#This Row],[Sous Traitant]],coordonnee_st[Identification],coordonnee_st[SERVICE],"Non Trouvé")</f>
        <v>Frange</v>
      </c>
      <c r="M517" s="35" t="str">
        <f>INDEX(_xlfn.TEXTSPLIT(mvtst[[#This Row],[QR Suivis]],"_"),1,2)</f>
        <v>All by Fouta</v>
      </c>
      <c r="N517" s="35" t="str">
        <f>INDEX(_xlfn.TEXTSPLIT(mvtst[[#This Row],[QR Suivis]],"_"),1,3)</f>
        <v>Stock</v>
      </c>
      <c r="O517" s="35" t="str">
        <f>INDEX(_xlfn.TEXTSPLIT(mvtst[[#This Row],[QR Suivis]],"_"),1,4)</f>
        <v>UNS1626-31</v>
      </c>
      <c r="P517" s="35" t="str">
        <f>INDEX(_xlfn.TEXTSPLIT(mvtst[[#This Row],[QR Suivis]],"_"),1,5)</f>
        <v>UNI SURPIQUE</v>
      </c>
      <c r="Q517" s="35" t="str">
        <f>_xlfn.TEXTAFTER(mvtst[[#This Row],[QR Suivis]],"_",5)</f>
        <v>1626</v>
      </c>
      <c r="R517" s="84" t="str">
        <f>IF(
   COUNTIFS($A$2:A517,A517,
             $B$2:B517,B517,
             $C$2:C517,C517,
             $D$2:D517,D517,
             $G$2:G517,G517)&gt;1,
   "Doublon",
   "Correcte"
)</f>
        <v>Correcte</v>
      </c>
    </row>
    <row r="518" spans="1:18" x14ac:dyDescent="0.25">
      <c r="A518" s="104" t="s">
        <v>1718</v>
      </c>
      <c r="B518" s="35" t="s">
        <v>712</v>
      </c>
      <c r="C518" s="36">
        <v>5</v>
      </c>
      <c r="D518" s="36">
        <v>0</v>
      </c>
      <c r="E518" s="35"/>
      <c r="F518" s="35" t="s">
        <v>664</v>
      </c>
      <c r="G518" s="37">
        <v>45926</v>
      </c>
      <c r="H518" s="37" t="str">
        <f>INDEX(_xlfn.TEXTSPLIT(mvtst[[#This Row],[QR Suivis]],"_"),1,1)</f>
        <v>CA250058-1</v>
      </c>
      <c r="I518" s="35" t="str">
        <f>_xlfn.TEXTBEFORE(mvtst[[#This Row],[Num Suivis]],"-",,,1)</f>
        <v>CA250058</v>
      </c>
      <c r="J518" s="36">
        <f>SUMIF(mvtst[QR Suivis],mvtst[[#This Row],[QR Suivis]],mvtst[QTE SORTIS])-SUMIF(mvtst[QR Suivis],mvtst[[#This Row],[QR Suivis]],mvtst[QTE RETOUR])</f>
        <v>0</v>
      </c>
      <c r="K518" s="35" t="str">
        <f t="shared" si="8"/>
        <v>Usine</v>
      </c>
      <c r="L518" s="35" t="str">
        <f>_xlfn.XLOOKUP(mvtst[[#This Row],[Sous Traitant]],coordonnee_st[Identification],coordonnee_st[SERVICE],"Non Trouvé")</f>
        <v>Frange</v>
      </c>
      <c r="M518" s="35" t="str">
        <f>INDEX(_xlfn.TEXTSPLIT(mvtst[[#This Row],[QR Suivis]],"_"),1,2)</f>
        <v>All by Fouta</v>
      </c>
      <c r="N518" s="35" t="str">
        <f>INDEX(_xlfn.TEXTSPLIT(mvtst[[#This Row],[QR Suivis]],"_"),1,3)</f>
        <v>Stock</v>
      </c>
      <c r="O518" s="35" t="str">
        <f>INDEX(_xlfn.TEXTSPLIT(mvtst[[#This Row],[QR Suivis]],"_"),1,4)</f>
        <v>UNS1626-31</v>
      </c>
      <c r="P518" s="35" t="str">
        <f>INDEX(_xlfn.TEXTSPLIT(mvtst[[#This Row],[QR Suivis]],"_"),1,5)</f>
        <v>UNI SURPIQUE</v>
      </c>
      <c r="Q518" s="35" t="str">
        <f>_xlfn.TEXTAFTER(mvtst[[#This Row],[QR Suivis]],"_",5)</f>
        <v>1626</v>
      </c>
      <c r="R518" s="84" t="str">
        <f>IF(
   COUNTIFS($A$2:A518,A518,
             $B$2:B518,B518,
             $C$2:C518,C518,
             $D$2:D518,D518,
             $G$2:G518,G518)&gt;1,
   "Doublon",
   "Correcte"
)</f>
        <v>Correcte</v>
      </c>
    </row>
    <row r="519" spans="1:18" x14ac:dyDescent="0.25">
      <c r="A519" s="104" t="s">
        <v>1719</v>
      </c>
      <c r="B519" s="35" t="s">
        <v>712</v>
      </c>
      <c r="C519" s="36">
        <v>5</v>
      </c>
      <c r="D519" s="36">
        <v>0</v>
      </c>
      <c r="E519" s="35"/>
      <c r="F519" s="35" t="s">
        <v>664</v>
      </c>
      <c r="G519" s="37">
        <v>45926</v>
      </c>
      <c r="H519" s="37" t="str">
        <f>INDEX(_xlfn.TEXTSPLIT(mvtst[[#This Row],[QR Suivis]],"_"),1,1)</f>
        <v>CA250049-5</v>
      </c>
      <c r="I519" s="35" t="str">
        <f>_xlfn.TEXTBEFORE(mvtst[[#This Row],[Num Suivis]],"-",,,1)</f>
        <v>CA250049</v>
      </c>
      <c r="J519" s="36">
        <f>SUMIF(mvtst[QR Suivis],mvtst[[#This Row],[QR Suivis]],mvtst[QTE SORTIS])-SUMIF(mvtst[QR Suivis],mvtst[[#This Row],[QR Suivis]],mvtst[QTE RETOUR])</f>
        <v>0</v>
      </c>
      <c r="K519" s="35" t="str">
        <f t="shared" si="8"/>
        <v>Usine</v>
      </c>
      <c r="L519" s="35" t="str">
        <f>_xlfn.XLOOKUP(mvtst[[#This Row],[Sous Traitant]],coordonnee_st[Identification],coordonnee_st[SERVICE],"Non Trouvé")</f>
        <v>Frange</v>
      </c>
      <c r="M519" s="35" t="str">
        <f>INDEX(_xlfn.TEXTSPLIT(mvtst[[#This Row],[QR Suivis]],"_"),1,2)</f>
        <v>All by Fouta</v>
      </c>
      <c r="N519" s="35" t="str">
        <f>INDEX(_xlfn.TEXTSPLIT(mvtst[[#This Row],[QR Suivis]],"_"),1,3)</f>
        <v>Stock</v>
      </c>
      <c r="O519" s="35" t="str">
        <f>INDEX(_xlfn.TEXTSPLIT(mvtst[[#This Row],[QR Suivis]],"_"),1,4)</f>
        <v>UNS1626-17</v>
      </c>
      <c r="P519" s="35" t="str">
        <f>INDEX(_xlfn.TEXTSPLIT(mvtst[[#This Row],[QR Suivis]],"_"),1,5)</f>
        <v>UNI SURPIQUE</v>
      </c>
      <c r="Q519" s="35" t="str">
        <f>_xlfn.TEXTAFTER(mvtst[[#This Row],[QR Suivis]],"_",5)</f>
        <v>1626</v>
      </c>
      <c r="R519" s="84" t="str">
        <f>IF(
   COUNTIFS($A$2:A519,A519,
             $B$2:B519,B519,
             $C$2:C519,C519,
             $D$2:D519,D519,
             $G$2:G519,G519)&gt;1,
   "Doublon",
   "Correcte"
)</f>
        <v>Correcte</v>
      </c>
    </row>
    <row r="520" spans="1:18" x14ac:dyDescent="0.25">
      <c r="A520" s="104" t="s">
        <v>1720</v>
      </c>
      <c r="B520" s="35" t="s">
        <v>712</v>
      </c>
      <c r="C520" s="36">
        <v>5</v>
      </c>
      <c r="D520" s="36">
        <v>0</v>
      </c>
      <c r="E520" s="35"/>
      <c r="F520" s="35" t="s">
        <v>664</v>
      </c>
      <c r="G520" s="37">
        <v>45926</v>
      </c>
      <c r="H520" s="37" t="str">
        <f>INDEX(_xlfn.TEXTSPLIT(mvtst[[#This Row],[QR Suivis]],"_"),1,1)</f>
        <v>CA250049-6</v>
      </c>
      <c r="I520" s="35" t="str">
        <f>_xlfn.TEXTBEFORE(mvtst[[#This Row],[Num Suivis]],"-",,,1)</f>
        <v>CA250049</v>
      </c>
      <c r="J520" s="36">
        <f>SUMIF(mvtst[QR Suivis],mvtst[[#This Row],[QR Suivis]],mvtst[QTE SORTIS])-SUMIF(mvtst[QR Suivis],mvtst[[#This Row],[QR Suivis]],mvtst[QTE RETOUR])</f>
        <v>0</v>
      </c>
      <c r="K520" s="35" t="str">
        <f t="shared" si="8"/>
        <v>Usine</v>
      </c>
      <c r="L520" s="35" t="str">
        <f>_xlfn.XLOOKUP(mvtst[[#This Row],[Sous Traitant]],coordonnee_st[Identification],coordonnee_st[SERVICE],"Non Trouvé")</f>
        <v>Frange</v>
      </c>
      <c r="M520" s="35" t="str">
        <f>INDEX(_xlfn.TEXTSPLIT(mvtst[[#This Row],[QR Suivis]],"_"),1,2)</f>
        <v>All by Fouta</v>
      </c>
      <c r="N520" s="35" t="str">
        <f>INDEX(_xlfn.TEXTSPLIT(mvtst[[#This Row],[QR Suivis]],"_"),1,3)</f>
        <v>Stock</v>
      </c>
      <c r="O520" s="35" t="str">
        <f>INDEX(_xlfn.TEXTSPLIT(mvtst[[#This Row],[QR Suivis]],"_"),1,4)</f>
        <v>UNS1626-17</v>
      </c>
      <c r="P520" s="35" t="str">
        <f>INDEX(_xlfn.TEXTSPLIT(mvtst[[#This Row],[QR Suivis]],"_"),1,5)</f>
        <v>UNI SURPIQUE</v>
      </c>
      <c r="Q520" s="35" t="str">
        <f>_xlfn.TEXTAFTER(mvtst[[#This Row],[QR Suivis]],"_",5)</f>
        <v>1626</v>
      </c>
      <c r="R520" s="84" t="str">
        <f>IF(
   COUNTIFS($A$2:A520,A520,
             $B$2:B520,B520,
             $C$2:C520,C520,
             $D$2:D520,D520,
             $G$2:G520,G520)&gt;1,
   "Doublon",
   "Correcte"
)</f>
        <v>Correcte</v>
      </c>
    </row>
    <row r="521" spans="1:18" x14ac:dyDescent="0.25">
      <c r="A521" s="104" t="s">
        <v>1721</v>
      </c>
      <c r="B521" s="35" t="s">
        <v>712</v>
      </c>
      <c r="C521" s="36">
        <v>5</v>
      </c>
      <c r="D521" s="36">
        <v>0</v>
      </c>
      <c r="E521" s="35"/>
      <c r="F521" s="35" t="s">
        <v>664</v>
      </c>
      <c r="G521" s="37">
        <v>45926</v>
      </c>
      <c r="H521" s="37" t="str">
        <f>INDEX(_xlfn.TEXTSPLIT(mvtst[[#This Row],[QR Suivis]],"_"),1,1)</f>
        <v>CA250049-4</v>
      </c>
      <c r="I521" s="35" t="str">
        <f>_xlfn.TEXTBEFORE(mvtst[[#This Row],[Num Suivis]],"-",,,1)</f>
        <v>CA250049</v>
      </c>
      <c r="J521" s="36">
        <f>SUMIF(mvtst[QR Suivis],mvtst[[#This Row],[QR Suivis]],mvtst[QTE SORTIS])-SUMIF(mvtst[QR Suivis],mvtst[[#This Row],[QR Suivis]],mvtst[QTE RETOUR])</f>
        <v>0</v>
      </c>
      <c r="K521" s="35" t="str">
        <f t="shared" si="8"/>
        <v>Usine</v>
      </c>
      <c r="L521" s="35" t="str">
        <f>_xlfn.XLOOKUP(mvtst[[#This Row],[Sous Traitant]],coordonnee_st[Identification],coordonnee_st[SERVICE],"Non Trouvé")</f>
        <v>Frange</v>
      </c>
      <c r="M521" s="35" t="str">
        <f>INDEX(_xlfn.TEXTSPLIT(mvtst[[#This Row],[QR Suivis]],"_"),1,2)</f>
        <v>All by Fouta</v>
      </c>
      <c r="N521" s="35" t="str">
        <f>INDEX(_xlfn.TEXTSPLIT(mvtst[[#This Row],[QR Suivis]],"_"),1,3)</f>
        <v>Stock</v>
      </c>
      <c r="O521" s="35" t="str">
        <f>INDEX(_xlfn.TEXTSPLIT(mvtst[[#This Row],[QR Suivis]],"_"),1,4)</f>
        <v>UNS1626-17</v>
      </c>
      <c r="P521" s="35" t="str">
        <f>INDEX(_xlfn.TEXTSPLIT(mvtst[[#This Row],[QR Suivis]],"_"),1,5)</f>
        <v>UNI SURPIQUE</v>
      </c>
      <c r="Q521" s="35" t="str">
        <f>_xlfn.TEXTAFTER(mvtst[[#This Row],[QR Suivis]],"_",5)</f>
        <v>1626</v>
      </c>
      <c r="R521" s="84" t="str">
        <f>IF(
   COUNTIFS($A$2:A521,A521,
             $B$2:B521,B521,
             $C$2:C521,C521,
             $D$2:D521,D521,
             $G$2:G521,G521)&gt;1,
   "Doublon",
   "Correcte"
)</f>
        <v>Correcte</v>
      </c>
    </row>
    <row r="522" spans="1:18" x14ac:dyDescent="0.25">
      <c r="A522" s="104" t="s">
        <v>1722</v>
      </c>
      <c r="B522" s="35" t="s">
        <v>712</v>
      </c>
      <c r="C522" s="36">
        <v>5</v>
      </c>
      <c r="D522" s="36">
        <v>0</v>
      </c>
      <c r="E522" s="35"/>
      <c r="F522" s="35" t="s">
        <v>664</v>
      </c>
      <c r="G522" s="37">
        <v>45926</v>
      </c>
      <c r="H522" s="37" t="str">
        <f>INDEX(_xlfn.TEXTSPLIT(mvtst[[#This Row],[QR Suivis]],"_"),1,1)</f>
        <v>CA250049-1</v>
      </c>
      <c r="I522" s="35" t="str">
        <f>_xlfn.TEXTBEFORE(mvtst[[#This Row],[Num Suivis]],"-",,,1)</f>
        <v>CA250049</v>
      </c>
      <c r="J522" s="36">
        <f>SUMIF(mvtst[QR Suivis],mvtst[[#This Row],[QR Suivis]],mvtst[QTE SORTIS])-SUMIF(mvtst[QR Suivis],mvtst[[#This Row],[QR Suivis]],mvtst[QTE RETOUR])</f>
        <v>0</v>
      </c>
      <c r="K522" s="35" t="str">
        <f t="shared" si="8"/>
        <v>Usine</v>
      </c>
      <c r="L522" s="35" t="str">
        <f>_xlfn.XLOOKUP(mvtst[[#This Row],[Sous Traitant]],coordonnee_st[Identification],coordonnee_st[SERVICE],"Non Trouvé")</f>
        <v>Frange</v>
      </c>
      <c r="M522" s="35" t="str">
        <f>INDEX(_xlfn.TEXTSPLIT(mvtst[[#This Row],[QR Suivis]],"_"),1,2)</f>
        <v>All by Fouta</v>
      </c>
      <c r="N522" s="35" t="str">
        <f>INDEX(_xlfn.TEXTSPLIT(mvtst[[#This Row],[QR Suivis]],"_"),1,3)</f>
        <v>Stock</v>
      </c>
      <c r="O522" s="35" t="str">
        <f>INDEX(_xlfn.TEXTSPLIT(mvtst[[#This Row],[QR Suivis]],"_"),1,4)</f>
        <v>UNS1626-17</v>
      </c>
      <c r="P522" s="35" t="str">
        <f>INDEX(_xlfn.TEXTSPLIT(mvtst[[#This Row],[QR Suivis]],"_"),1,5)</f>
        <v>UNI SURPIQUE</v>
      </c>
      <c r="Q522" s="35" t="str">
        <f>_xlfn.TEXTAFTER(mvtst[[#This Row],[QR Suivis]],"_",5)</f>
        <v>1626</v>
      </c>
      <c r="R522" s="84" t="str">
        <f>IF(
   COUNTIFS($A$2:A522,A522,
             $B$2:B522,B522,
             $C$2:C522,C522,
             $D$2:D522,D522,
             $G$2:G522,G522)&gt;1,
   "Doublon",
   "Correcte"
)</f>
        <v>Correcte</v>
      </c>
    </row>
    <row r="523" spans="1:18" x14ac:dyDescent="0.25">
      <c r="A523" s="104" t="s">
        <v>1723</v>
      </c>
      <c r="B523" s="35" t="s">
        <v>712</v>
      </c>
      <c r="C523" s="36">
        <v>5</v>
      </c>
      <c r="D523" s="36">
        <v>0</v>
      </c>
      <c r="E523" s="35"/>
      <c r="F523" s="35" t="s">
        <v>664</v>
      </c>
      <c r="G523" s="37">
        <v>45926</v>
      </c>
      <c r="H523" s="37" t="str">
        <f>INDEX(_xlfn.TEXTSPLIT(mvtst[[#This Row],[QR Suivis]],"_"),1,1)</f>
        <v>CA250049-2</v>
      </c>
      <c r="I523" s="35" t="str">
        <f>_xlfn.TEXTBEFORE(mvtst[[#This Row],[Num Suivis]],"-",,,1)</f>
        <v>CA250049</v>
      </c>
      <c r="J523" s="36">
        <f>SUMIF(mvtst[QR Suivis],mvtst[[#This Row],[QR Suivis]],mvtst[QTE SORTIS])-SUMIF(mvtst[QR Suivis],mvtst[[#This Row],[QR Suivis]],mvtst[QTE RETOUR])</f>
        <v>0</v>
      </c>
      <c r="K523" s="35" t="str">
        <f t="shared" si="8"/>
        <v>Usine</v>
      </c>
      <c r="L523" s="35" t="str">
        <f>_xlfn.XLOOKUP(mvtst[[#This Row],[Sous Traitant]],coordonnee_st[Identification],coordonnee_st[SERVICE],"Non Trouvé")</f>
        <v>Frange</v>
      </c>
      <c r="M523" s="35" t="str">
        <f>INDEX(_xlfn.TEXTSPLIT(mvtst[[#This Row],[QR Suivis]],"_"),1,2)</f>
        <v>All by Fouta</v>
      </c>
      <c r="N523" s="35" t="str">
        <f>INDEX(_xlfn.TEXTSPLIT(mvtst[[#This Row],[QR Suivis]],"_"),1,3)</f>
        <v>Stock</v>
      </c>
      <c r="O523" s="35" t="str">
        <f>INDEX(_xlfn.TEXTSPLIT(mvtst[[#This Row],[QR Suivis]],"_"),1,4)</f>
        <v>UNS1626-17</v>
      </c>
      <c r="P523" s="35" t="str">
        <f>INDEX(_xlfn.TEXTSPLIT(mvtst[[#This Row],[QR Suivis]],"_"),1,5)</f>
        <v>UNI SURPIQUE</v>
      </c>
      <c r="Q523" s="35" t="str">
        <f>_xlfn.TEXTAFTER(mvtst[[#This Row],[QR Suivis]],"_",5)</f>
        <v>1626</v>
      </c>
      <c r="R523" s="84" t="str">
        <f>IF(
   COUNTIFS($A$2:A523,A523,
             $B$2:B523,B523,
             $C$2:C523,C523,
             $D$2:D523,D523,
             $G$2:G523,G523)&gt;1,
   "Doublon",
   "Correcte"
)</f>
        <v>Correcte</v>
      </c>
    </row>
    <row r="524" spans="1:18" x14ac:dyDescent="0.25">
      <c r="A524" s="104" t="s">
        <v>1724</v>
      </c>
      <c r="B524" s="35" t="s">
        <v>712</v>
      </c>
      <c r="C524" s="36">
        <v>5</v>
      </c>
      <c r="D524" s="36">
        <v>0</v>
      </c>
      <c r="E524" s="35"/>
      <c r="F524" s="35" t="s">
        <v>664</v>
      </c>
      <c r="G524" s="37">
        <v>45926</v>
      </c>
      <c r="H524" s="37" t="str">
        <f>INDEX(_xlfn.TEXTSPLIT(mvtst[[#This Row],[QR Suivis]],"_"),1,1)</f>
        <v>CA250049-3</v>
      </c>
      <c r="I524" s="35" t="str">
        <f>_xlfn.TEXTBEFORE(mvtst[[#This Row],[Num Suivis]],"-",,,1)</f>
        <v>CA250049</v>
      </c>
      <c r="J524" s="36">
        <f>SUMIF(mvtst[QR Suivis],mvtst[[#This Row],[QR Suivis]],mvtst[QTE SORTIS])-SUMIF(mvtst[QR Suivis],mvtst[[#This Row],[QR Suivis]],mvtst[QTE RETOUR])</f>
        <v>0</v>
      </c>
      <c r="K524" s="35" t="str">
        <f t="shared" si="8"/>
        <v>Usine</v>
      </c>
      <c r="L524" s="35" t="str">
        <f>_xlfn.XLOOKUP(mvtst[[#This Row],[Sous Traitant]],coordonnee_st[Identification],coordonnee_st[SERVICE],"Non Trouvé")</f>
        <v>Frange</v>
      </c>
      <c r="M524" s="35" t="str">
        <f>INDEX(_xlfn.TEXTSPLIT(mvtst[[#This Row],[QR Suivis]],"_"),1,2)</f>
        <v>All by Fouta</v>
      </c>
      <c r="N524" s="35" t="str">
        <f>INDEX(_xlfn.TEXTSPLIT(mvtst[[#This Row],[QR Suivis]],"_"),1,3)</f>
        <v>Stock</v>
      </c>
      <c r="O524" s="35" t="str">
        <f>INDEX(_xlfn.TEXTSPLIT(mvtst[[#This Row],[QR Suivis]],"_"),1,4)</f>
        <v>UNS1626-17</v>
      </c>
      <c r="P524" s="35" t="str">
        <f>INDEX(_xlfn.TEXTSPLIT(mvtst[[#This Row],[QR Suivis]],"_"),1,5)</f>
        <v>UNI SURPIQUE</v>
      </c>
      <c r="Q524" s="35" t="str">
        <f>_xlfn.TEXTAFTER(mvtst[[#This Row],[QR Suivis]],"_",5)</f>
        <v>1626</v>
      </c>
      <c r="R524" s="84" t="str">
        <f>IF(
   COUNTIFS($A$2:A524,A524,
             $B$2:B524,B524,
             $C$2:C524,C524,
             $D$2:D524,D524,
             $G$2:G524,G524)&gt;1,
   "Doublon",
   "Correcte"
)</f>
        <v>Correcte</v>
      </c>
    </row>
    <row r="525" spans="1:18" x14ac:dyDescent="0.25">
      <c r="A525" s="104" t="s">
        <v>1558</v>
      </c>
      <c r="B525" s="35" t="s">
        <v>712</v>
      </c>
      <c r="C525" s="36">
        <v>0</v>
      </c>
      <c r="D525" s="36">
        <v>5</v>
      </c>
      <c r="E525" s="35" t="s">
        <v>699</v>
      </c>
      <c r="F525" s="35" t="s">
        <v>634</v>
      </c>
      <c r="G525" s="37">
        <v>45926.619618055556</v>
      </c>
      <c r="H525" s="37" t="str">
        <f>INDEX(_xlfn.TEXTSPLIT(mvtst[[#This Row],[QR Suivis]],"_"),1,1)</f>
        <v>CA250072-4</v>
      </c>
      <c r="I525" s="35" t="str">
        <f>_xlfn.TEXTBEFORE(mvtst[[#This Row],[Num Suivis]],"-",,,1)</f>
        <v>CA250072</v>
      </c>
      <c r="J525" s="36">
        <f>SUMIF(mvtst[QR Suivis],mvtst[[#This Row],[QR Suivis]],mvtst[QTE SORTIS])-SUMIF(mvtst[QR Suivis],mvtst[[#This Row],[QR Suivis]],mvtst[QTE RETOUR])</f>
        <v>0</v>
      </c>
      <c r="K525" s="35" t="str">
        <f t="shared" si="8"/>
        <v>Usine</v>
      </c>
      <c r="L525" s="35" t="str">
        <f>_xlfn.XLOOKUP(mvtst[[#This Row],[Sous Traitant]],coordonnee_st[Identification],coordonnee_st[SERVICE],"Non Trouvé")</f>
        <v>Frange</v>
      </c>
      <c r="M525" s="35" t="str">
        <f>INDEX(_xlfn.TEXTSPLIT(mvtst[[#This Row],[QR Suivis]],"_"),1,2)</f>
        <v>All by Fouta</v>
      </c>
      <c r="N525" s="35" t="str">
        <f>INDEX(_xlfn.TEXTSPLIT(mvtst[[#This Row],[QR Suivis]],"_"),1,3)</f>
        <v>Stock</v>
      </c>
      <c r="O525" s="35" t="str">
        <f>INDEX(_xlfn.TEXTSPLIT(mvtst[[#This Row],[QR Suivis]],"_"),1,4)</f>
        <v>UNS2030-20</v>
      </c>
      <c r="P525" s="35" t="str">
        <f>INDEX(_xlfn.TEXTSPLIT(mvtst[[#This Row],[QR Suivis]],"_"),1,5)</f>
        <v>UNI SURPIQUE</v>
      </c>
      <c r="Q525" s="35" t="str">
        <f>_xlfn.TEXTAFTER(mvtst[[#This Row],[QR Suivis]],"_",5)</f>
        <v>2030</v>
      </c>
      <c r="R525" s="84" t="str">
        <f>IF(
   COUNTIFS($A$2:A525,A525,
             $B$2:B525,B525,
             $C$2:C525,C525,
             $D$2:D525,D525,
             $G$2:G525,G525)&gt;1,
   "Doublon",
   "Correcte"
)</f>
        <v>Correcte</v>
      </c>
    </row>
    <row r="526" spans="1:18" x14ac:dyDescent="0.25">
      <c r="A526" s="104" t="s">
        <v>1559</v>
      </c>
      <c r="B526" s="35" t="s">
        <v>712</v>
      </c>
      <c r="C526" s="36">
        <v>0</v>
      </c>
      <c r="D526" s="36">
        <v>1</v>
      </c>
      <c r="E526" s="35" t="s">
        <v>699</v>
      </c>
      <c r="F526" s="35" t="s">
        <v>634</v>
      </c>
      <c r="G526" s="37">
        <v>45926.619872685187</v>
      </c>
      <c r="H526" s="37" t="str">
        <f>INDEX(_xlfn.TEXTSPLIT(mvtst[[#This Row],[QR Suivis]],"_"),1,1)</f>
        <v>CA250072-5</v>
      </c>
      <c r="I526" s="35" t="str">
        <f>_xlfn.TEXTBEFORE(mvtst[[#This Row],[Num Suivis]],"-",,,1)</f>
        <v>CA250072</v>
      </c>
      <c r="J526" s="36">
        <f>SUMIF(mvtst[QR Suivis],mvtst[[#This Row],[QR Suivis]],mvtst[QTE SORTIS])-SUMIF(mvtst[QR Suivis],mvtst[[#This Row],[QR Suivis]],mvtst[QTE RETOUR])</f>
        <v>0</v>
      </c>
      <c r="K526" s="35" t="str">
        <f t="shared" si="8"/>
        <v>Usine</v>
      </c>
      <c r="L526" s="35" t="str">
        <f>_xlfn.XLOOKUP(mvtst[[#This Row],[Sous Traitant]],coordonnee_st[Identification],coordonnee_st[SERVICE],"Non Trouvé")</f>
        <v>Frange</v>
      </c>
      <c r="M526" s="35" t="str">
        <f>INDEX(_xlfn.TEXTSPLIT(mvtst[[#This Row],[QR Suivis]],"_"),1,2)</f>
        <v>All by Fouta</v>
      </c>
      <c r="N526" s="35" t="str">
        <f>INDEX(_xlfn.TEXTSPLIT(mvtst[[#This Row],[QR Suivis]],"_"),1,3)</f>
        <v>Stock</v>
      </c>
      <c r="O526" s="35" t="str">
        <f>INDEX(_xlfn.TEXTSPLIT(mvtst[[#This Row],[QR Suivis]],"_"),1,4)</f>
        <v>UNS2030-20</v>
      </c>
      <c r="P526" s="35" t="str">
        <f>INDEX(_xlfn.TEXTSPLIT(mvtst[[#This Row],[QR Suivis]],"_"),1,5)</f>
        <v>UNI SURPIQUE</v>
      </c>
      <c r="Q526" s="35" t="str">
        <f>_xlfn.TEXTAFTER(mvtst[[#This Row],[QR Suivis]],"_",5)</f>
        <v>2030</v>
      </c>
      <c r="R526" s="84" t="str">
        <f>IF(
   COUNTIFS($A$2:A526,A526,
             $B$2:B526,B526,
             $C$2:C526,C526,
             $D$2:D526,D526,
             $G$2:G526,G526)&gt;1,
   "Doublon",
   "Correcte"
)</f>
        <v>Correcte</v>
      </c>
    </row>
    <row r="527" spans="1:18" x14ac:dyDescent="0.25">
      <c r="A527" s="104" t="s">
        <v>1560</v>
      </c>
      <c r="B527" s="35" t="s">
        <v>712</v>
      </c>
      <c r="C527" s="36">
        <v>0</v>
      </c>
      <c r="D527" s="36">
        <v>5</v>
      </c>
      <c r="E527" s="35" t="s">
        <v>699</v>
      </c>
      <c r="F527" s="35" t="s">
        <v>634</v>
      </c>
      <c r="G527" s="37">
        <v>45926.620115740741</v>
      </c>
      <c r="H527" s="37" t="str">
        <f>INDEX(_xlfn.TEXTSPLIT(mvtst[[#This Row],[QR Suivis]],"_"),1,1)</f>
        <v>CA250072-3</v>
      </c>
      <c r="I527" s="35" t="str">
        <f>_xlfn.TEXTBEFORE(mvtst[[#This Row],[Num Suivis]],"-",,,1)</f>
        <v>CA250072</v>
      </c>
      <c r="J527" s="36">
        <f>SUMIF(mvtst[QR Suivis],mvtst[[#This Row],[QR Suivis]],mvtst[QTE SORTIS])-SUMIF(mvtst[QR Suivis],mvtst[[#This Row],[QR Suivis]],mvtst[QTE RETOUR])</f>
        <v>0</v>
      </c>
      <c r="K527" s="35" t="str">
        <f t="shared" si="8"/>
        <v>Usine</v>
      </c>
      <c r="L527" s="35" t="str">
        <f>_xlfn.XLOOKUP(mvtst[[#This Row],[Sous Traitant]],coordonnee_st[Identification],coordonnee_st[SERVICE],"Non Trouvé")</f>
        <v>Frange</v>
      </c>
      <c r="M527" s="35" t="str">
        <f>INDEX(_xlfn.TEXTSPLIT(mvtst[[#This Row],[QR Suivis]],"_"),1,2)</f>
        <v>All by Fouta</v>
      </c>
      <c r="N527" s="35" t="str">
        <f>INDEX(_xlfn.TEXTSPLIT(mvtst[[#This Row],[QR Suivis]],"_"),1,3)</f>
        <v>Stock</v>
      </c>
      <c r="O527" s="35" t="str">
        <f>INDEX(_xlfn.TEXTSPLIT(mvtst[[#This Row],[QR Suivis]],"_"),1,4)</f>
        <v>UNS2030-20</v>
      </c>
      <c r="P527" s="35" t="str">
        <f>INDEX(_xlfn.TEXTSPLIT(mvtst[[#This Row],[QR Suivis]],"_"),1,5)</f>
        <v>UNI SURPIQUE</v>
      </c>
      <c r="Q527" s="35" t="str">
        <f>_xlfn.TEXTAFTER(mvtst[[#This Row],[QR Suivis]],"_",5)</f>
        <v>2030</v>
      </c>
      <c r="R527" s="84" t="str">
        <f>IF(
   COUNTIFS($A$2:A527,A527,
             $B$2:B527,B527,
             $C$2:C527,C527,
             $D$2:D527,D527,
             $G$2:G527,G527)&gt;1,
   "Doublon",
   "Correcte"
)</f>
        <v>Correcte</v>
      </c>
    </row>
    <row r="528" spans="1:18" x14ac:dyDescent="0.25">
      <c r="A528" s="104" t="s">
        <v>1561</v>
      </c>
      <c r="B528" s="35" t="s">
        <v>712</v>
      </c>
      <c r="C528" s="36">
        <v>0</v>
      </c>
      <c r="D528" s="36">
        <v>5</v>
      </c>
      <c r="E528" s="35" t="s">
        <v>699</v>
      </c>
      <c r="F528" s="35" t="s">
        <v>634</v>
      </c>
      <c r="G528" s="37">
        <v>45926.620347222219</v>
      </c>
      <c r="H528" s="37" t="str">
        <f>INDEX(_xlfn.TEXTSPLIT(mvtst[[#This Row],[QR Suivis]],"_"),1,1)</f>
        <v>CA250072-2</v>
      </c>
      <c r="I528" s="35" t="str">
        <f>_xlfn.TEXTBEFORE(mvtst[[#This Row],[Num Suivis]],"-",,,1)</f>
        <v>CA250072</v>
      </c>
      <c r="J528" s="36">
        <f>SUMIF(mvtst[QR Suivis],mvtst[[#This Row],[QR Suivis]],mvtst[QTE SORTIS])-SUMIF(mvtst[QR Suivis],mvtst[[#This Row],[QR Suivis]],mvtst[QTE RETOUR])</f>
        <v>0</v>
      </c>
      <c r="K528" s="35" t="str">
        <f t="shared" si="8"/>
        <v>Usine</v>
      </c>
      <c r="L528" s="35" t="str">
        <f>_xlfn.XLOOKUP(mvtst[[#This Row],[Sous Traitant]],coordonnee_st[Identification],coordonnee_st[SERVICE],"Non Trouvé")</f>
        <v>Frange</v>
      </c>
      <c r="M528" s="35" t="str">
        <f>INDEX(_xlfn.TEXTSPLIT(mvtst[[#This Row],[QR Suivis]],"_"),1,2)</f>
        <v>All by Fouta</v>
      </c>
      <c r="N528" s="35" t="str">
        <f>INDEX(_xlfn.TEXTSPLIT(mvtst[[#This Row],[QR Suivis]],"_"),1,3)</f>
        <v>Stock</v>
      </c>
      <c r="O528" s="35" t="str">
        <f>INDEX(_xlfn.TEXTSPLIT(mvtst[[#This Row],[QR Suivis]],"_"),1,4)</f>
        <v>UNS2030-20</v>
      </c>
      <c r="P528" s="35" t="str">
        <f>INDEX(_xlfn.TEXTSPLIT(mvtst[[#This Row],[QR Suivis]],"_"),1,5)</f>
        <v>UNI SURPIQUE</v>
      </c>
      <c r="Q528" s="35" t="str">
        <f>_xlfn.TEXTAFTER(mvtst[[#This Row],[QR Suivis]],"_",5)</f>
        <v>2030</v>
      </c>
      <c r="R528" s="84" t="str">
        <f>IF(
   COUNTIFS($A$2:A528,A528,
             $B$2:B528,B528,
             $C$2:C528,C528,
             $D$2:D528,D528,
             $G$2:G528,G528)&gt;1,
   "Doublon",
   "Correcte"
)</f>
        <v>Correcte</v>
      </c>
    </row>
    <row r="529" spans="1:18" x14ac:dyDescent="0.25">
      <c r="A529" s="104" t="s">
        <v>1562</v>
      </c>
      <c r="B529" s="35" t="s">
        <v>712</v>
      </c>
      <c r="C529" s="36">
        <v>0</v>
      </c>
      <c r="D529" s="36">
        <v>5</v>
      </c>
      <c r="E529" s="35" t="s">
        <v>699</v>
      </c>
      <c r="F529" s="35" t="s">
        <v>634</v>
      </c>
      <c r="G529" s="37">
        <v>45926.620671296296</v>
      </c>
      <c r="H529" s="37" t="str">
        <f>INDEX(_xlfn.TEXTSPLIT(mvtst[[#This Row],[QR Suivis]],"_"),1,1)</f>
        <v>CA250072-1</v>
      </c>
      <c r="I529" s="35" t="str">
        <f>_xlfn.TEXTBEFORE(mvtst[[#This Row],[Num Suivis]],"-",,,1)</f>
        <v>CA250072</v>
      </c>
      <c r="J529" s="36">
        <f>SUMIF(mvtst[QR Suivis],mvtst[[#This Row],[QR Suivis]],mvtst[QTE SORTIS])-SUMIF(mvtst[QR Suivis],mvtst[[#This Row],[QR Suivis]],mvtst[QTE RETOUR])</f>
        <v>0</v>
      </c>
      <c r="K529" s="35" t="str">
        <f t="shared" si="8"/>
        <v>Usine</v>
      </c>
      <c r="L529" s="35" t="str">
        <f>_xlfn.XLOOKUP(mvtst[[#This Row],[Sous Traitant]],coordonnee_st[Identification],coordonnee_st[SERVICE],"Non Trouvé")</f>
        <v>Frange</v>
      </c>
      <c r="M529" s="35" t="str">
        <f>INDEX(_xlfn.TEXTSPLIT(mvtst[[#This Row],[QR Suivis]],"_"),1,2)</f>
        <v>All by Fouta</v>
      </c>
      <c r="N529" s="35" t="str">
        <f>INDEX(_xlfn.TEXTSPLIT(mvtst[[#This Row],[QR Suivis]],"_"),1,3)</f>
        <v>Stock</v>
      </c>
      <c r="O529" s="35" t="str">
        <f>INDEX(_xlfn.TEXTSPLIT(mvtst[[#This Row],[QR Suivis]],"_"),1,4)</f>
        <v>UNS2030-20</v>
      </c>
      <c r="P529" s="35" t="str">
        <f>INDEX(_xlfn.TEXTSPLIT(mvtst[[#This Row],[QR Suivis]],"_"),1,5)</f>
        <v>UNI SURPIQUE</v>
      </c>
      <c r="Q529" s="35" t="str">
        <f>_xlfn.TEXTAFTER(mvtst[[#This Row],[QR Suivis]],"_",5)</f>
        <v>2030</v>
      </c>
      <c r="R529" s="84" t="str">
        <f>IF(
   COUNTIFS($A$2:A529,A529,
             $B$2:B529,B529,
             $C$2:C529,C529,
             $D$2:D529,D529,
             $G$2:G529,G529)&gt;1,
   "Doublon",
   "Correcte"
)</f>
        <v>Correcte</v>
      </c>
    </row>
    <row r="530" spans="1:18" x14ac:dyDescent="0.25">
      <c r="A530" s="104" t="s">
        <v>1420</v>
      </c>
      <c r="B530" s="35" t="s">
        <v>712</v>
      </c>
      <c r="C530" s="36">
        <v>0</v>
      </c>
      <c r="D530" s="36">
        <v>5</v>
      </c>
      <c r="E530" s="35" t="s">
        <v>699</v>
      </c>
      <c r="F530" s="35" t="s">
        <v>634</v>
      </c>
      <c r="G530" s="37">
        <v>45926.621064814812</v>
      </c>
      <c r="H530" s="37" t="str">
        <f>INDEX(_xlfn.TEXTSPLIT(mvtst[[#This Row],[QR Suivis]],"_"),1,1)</f>
        <v>CA250004-1</v>
      </c>
      <c r="I530" s="35" t="str">
        <f>_xlfn.TEXTBEFORE(mvtst[[#This Row],[Num Suivis]],"-",,,1)</f>
        <v>CA250004</v>
      </c>
      <c r="J530" s="36">
        <f>SUMIF(mvtst[QR Suivis],mvtst[[#This Row],[QR Suivis]],mvtst[QTE SORTIS])-SUMIF(mvtst[QR Suivis],mvtst[[#This Row],[QR Suivis]],mvtst[QTE RETOUR])</f>
        <v>0</v>
      </c>
      <c r="K530" s="35" t="str">
        <f t="shared" si="8"/>
        <v>Usine</v>
      </c>
      <c r="L530" s="35" t="str">
        <f>_xlfn.XLOOKUP(mvtst[[#This Row],[Sous Traitant]],coordonnee_st[Identification],coordonnee_st[SERVICE],"Non Trouvé")</f>
        <v>Frange</v>
      </c>
      <c r="M530" s="35" t="str">
        <f>INDEX(_xlfn.TEXTSPLIT(mvtst[[#This Row],[QR Suivis]],"_"),1,2)</f>
        <v>All by Fouta</v>
      </c>
      <c r="N530" s="35" t="str">
        <f>INDEX(_xlfn.TEXTSPLIT(mvtst[[#This Row],[QR Suivis]],"_"),1,3)</f>
        <v>Stock</v>
      </c>
      <c r="O530" s="35" t="str">
        <f>INDEX(_xlfn.TEXTSPLIT(mvtst[[#This Row],[QR Suivis]],"_"),1,4)</f>
        <v>UNS1020-09</v>
      </c>
      <c r="P530" s="35" t="str">
        <f>INDEX(_xlfn.TEXTSPLIT(mvtst[[#This Row],[QR Suivis]],"_"),1,5)</f>
        <v>UNI SURPIQUE</v>
      </c>
      <c r="Q530" s="35" t="str">
        <f>_xlfn.TEXTAFTER(mvtst[[#This Row],[QR Suivis]],"_",5)</f>
        <v>1020</v>
      </c>
      <c r="R530" s="84" t="str">
        <f>IF(
   COUNTIFS($A$2:A530,A530,
             $B$2:B530,B530,
             $C$2:C530,C530,
             $D$2:D530,D530,
             $G$2:G530,G530)&gt;1,
   "Doublon",
   "Correcte"
)</f>
        <v>Correcte</v>
      </c>
    </row>
    <row r="531" spans="1:18" x14ac:dyDescent="0.25">
      <c r="A531" s="104" t="s">
        <v>1421</v>
      </c>
      <c r="B531" s="35" t="s">
        <v>712</v>
      </c>
      <c r="C531" s="36">
        <v>0</v>
      </c>
      <c r="D531" s="36">
        <v>5</v>
      </c>
      <c r="E531" s="35" t="s">
        <v>699</v>
      </c>
      <c r="F531" s="35" t="s">
        <v>634</v>
      </c>
      <c r="G531" s="37">
        <v>45926.621736111112</v>
      </c>
      <c r="H531" s="37" t="str">
        <f>INDEX(_xlfn.TEXTSPLIT(mvtst[[#This Row],[QR Suivis]],"_"),1,1)</f>
        <v>CA250004-2</v>
      </c>
      <c r="I531" s="35" t="str">
        <f>_xlfn.TEXTBEFORE(mvtst[[#This Row],[Num Suivis]],"-",,,1)</f>
        <v>CA250004</v>
      </c>
      <c r="J531" s="36">
        <f>SUMIF(mvtst[QR Suivis],mvtst[[#This Row],[QR Suivis]],mvtst[QTE SORTIS])-SUMIF(mvtst[QR Suivis],mvtst[[#This Row],[QR Suivis]],mvtst[QTE RETOUR])</f>
        <v>0</v>
      </c>
      <c r="K531" s="35" t="str">
        <f t="shared" si="8"/>
        <v>Usine</v>
      </c>
      <c r="L531" s="35" t="str">
        <f>_xlfn.XLOOKUP(mvtst[[#This Row],[Sous Traitant]],coordonnee_st[Identification],coordonnee_st[SERVICE],"Non Trouvé")</f>
        <v>Frange</v>
      </c>
      <c r="M531" s="35" t="str">
        <f>INDEX(_xlfn.TEXTSPLIT(mvtst[[#This Row],[QR Suivis]],"_"),1,2)</f>
        <v>All by Fouta</v>
      </c>
      <c r="N531" s="35" t="str">
        <f>INDEX(_xlfn.TEXTSPLIT(mvtst[[#This Row],[QR Suivis]],"_"),1,3)</f>
        <v>Stock</v>
      </c>
      <c r="O531" s="35" t="str">
        <f>INDEX(_xlfn.TEXTSPLIT(mvtst[[#This Row],[QR Suivis]],"_"),1,4)</f>
        <v>UNS1020-09</v>
      </c>
      <c r="P531" s="35" t="str">
        <f>INDEX(_xlfn.TEXTSPLIT(mvtst[[#This Row],[QR Suivis]],"_"),1,5)</f>
        <v>UNI SURPIQUE</v>
      </c>
      <c r="Q531" s="35" t="str">
        <f>_xlfn.TEXTAFTER(mvtst[[#This Row],[QR Suivis]],"_",5)</f>
        <v>1020</v>
      </c>
      <c r="R531" s="84" t="str">
        <f>IF(
   COUNTIFS($A$2:A531,A531,
             $B$2:B531,B531,
             $C$2:C531,C531,
             $D$2:D531,D531,
             $G$2:G531,G531)&gt;1,
   "Doublon",
   "Correcte"
)</f>
        <v>Correcte</v>
      </c>
    </row>
    <row r="532" spans="1:18" x14ac:dyDescent="0.25">
      <c r="A532" s="104" t="s">
        <v>1503</v>
      </c>
      <c r="B532" s="35" t="s">
        <v>712</v>
      </c>
      <c r="C532" s="36">
        <v>0</v>
      </c>
      <c r="D532" s="36">
        <v>5</v>
      </c>
      <c r="E532" s="35" t="s">
        <v>699</v>
      </c>
      <c r="F532" s="35" t="s">
        <v>634</v>
      </c>
      <c r="G532" s="37">
        <v>45926.621944444443</v>
      </c>
      <c r="H532" s="37" t="str">
        <f>INDEX(_xlfn.TEXTSPLIT(mvtst[[#This Row],[QR Suivis]],"_"),1,1)</f>
        <v>CA250012-1</v>
      </c>
      <c r="I532" s="35" t="str">
        <f>_xlfn.TEXTBEFORE(mvtst[[#This Row],[Num Suivis]],"-",,,1)</f>
        <v>CA250012</v>
      </c>
      <c r="J532" s="36">
        <f>SUMIF(mvtst[QR Suivis],mvtst[[#This Row],[QR Suivis]],mvtst[QTE SORTIS])-SUMIF(mvtst[QR Suivis],mvtst[[#This Row],[QR Suivis]],mvtst[QTE RETOUR])</f>
        <v>0</v>
      </c>
      <c r="K532" s="35" t="str">
        <f t="shared" si="8"/>
        <v>Usine</v>
      </c>
      <c r="L532" s="35" t="str">
        <f>_xlfn.XLOOKUP(mvtst[[#This Row],[Sous Traitant]],coordonnee_st[Identification],coordonnee_st[SERVICE],"Non Trouvé")</f>
        <v>Frange</v>
      </c>
      <c r="M532" s="35" t="str">
        <f>INDEX(_xlfn.TEXTSPLIT(mvtst[[#This Row],[QR Suivis]],"_"),1,2)</f>
        <v>All by Fouta</v>
      </c>
      <c r="N532" s="35" t="str">
        <f>INDEX(_xlfn.TEXTSPLIT(mvtst[[#This Row],[QR Suivis]],"_"),1,3)</f>
        <v>Stock</v>
      </c>
      <c r="O532" s="35" t="str">
        <f>INDEX(_xlfn.TEXTSPLIT(mvtst[[#This Row],[QR Suivis]],"_"),1,4)</f>
        <v>UNS1020-20</v>
      </c>
      <c r="P532" s="35" t="str">
        <f>INDEX(_xlfn.TEXTSPLIT(mvtst[[#This Row],[QR Suivis]],"_"),1,5)</f>
        <v>UNI SURPIQUE</v>
      </c>
      <c r="Q532" s="35" t="str">
        <f>_xlfn.TEXTAFTER(mvtst[[#This Row],[QR Suivis]],"_",5)</f>
        <v>1020</v>
      </c>
      <c r="R532" s="84" t="str">
        <f>IF(
   COUNTIFS($A$2:A532,A532,
             $B$2:B532,B532,
             $C$2:C532,C532,
             $D$2:D532,D532,
             $G$2:G532,G532)&gt;1,
   "Doublon",
   "Correcte"
)</f>
        <v>Correcte</v>
      </c>
    </row>
    <row r="533" spans="1:18" x14ac:dyDescent="0.25">
      <c r="A533" s="104" t="s">
        <v>1504</v>
      </c>
      <c r="B533" s="35" t="s">
        <v>712</v>
      </c>
      <c r="C533" s="36">
        <v>0</v>
      </c>
      <c r="D533" s="36">
        <v>5</v>
      </c>
      <c r="E533" s="35" t="s">
        <v>699</v>
      </c>
      <c r="F533" s="35" t="s">
        <v>634</v>
      </c>
      <c r="G533" s="37">
        <v>45926.623298611114</v>
      </c>
      <c r="H533" s="37" t="str">
        <f>INDEX(_xlfn.TEXTSPLIT(mvtst[[#This Row],[QR Suivis]],"_"),1,1)</f>
        <v>CA250012-4</v>
      </c>
      <c r="I533" s="35" t="str">
        <f>_xlfn.TEXTBEFORE(mvtst[[#This Row],[Num Suivis]],"-",,,1)</f>
        <v>CA250012</v>
      </c>
      <c r="J533" s="36">
        <f>SUMIF(mvtst[QR Suivis],mvtst[[#This Row],[QR Suivis]],mvtst[QTE SORTIS])-SUMIF(mvtst[QR Suivis],mvtst[[#This Row],[QR Suivis]],mvtst[QTE RETOUR])</f>
        <v>0</v>
      </c>
      <c r="K533" s="35" t="str">
        <f t="shared" si="8"/>
        <v>Usine</v>
      </c>
      <c r="L533" s="35" t="str">
        <f>_xlfn.XLOOKUP(mvtst[[#This Row],[Sous Traitant]],coordonnee_st[Identification],coordonnee_st[SERVICE],"Non Trouvé")</f>
        <v>Frange</v>
      </c>
      <c r="M533" s="35" t="str">
        <f>INDEX(_xlfn.TEXTSPLIT(mvtst[[#This Row],[QR Suivis]],"_"),1,2)</f>
        <v>All by Fouta</v>
      </c>
      <c r="N533" s="35" t="str">
        <f>INDEX(_xlfn.TEXTSPLIT(mvtst[[#This Row],[QR Suivis]],"_"),1,3)</f>
        <v>Stock</v>
      </c>
      <c r="O533" s="35" t="str">
        <f>INDEX(_xlfn.TEXTSPLIT(mvtst[[#This Row],[QR Suivis]],"_"),1,4)</f>
        <v>UNS1020-20</v>
      </c>
      <c r="P533" s="35" t="str">
        <f>INDEX(_xlfn.TEXTSPLIT(mvtst[[#This Row],[QR Suivis]],"_"),1,5)</f>
        <v>UNI SURPIQUE</v>
      </c>
      <c r="Q533" s="35" t="str">
        <f>_xlfn.TEXTAFTER(mvtst[[#This Row],[QR Suivis]],"_",5)</f>
        <v>1020</v>
      </c>
      <c r="R533" s="84" t="str">
        <f>IF(
   COUNTIFS($A$2:A533,A533,
             $B$2:B533,B533,
             $C$2:C533,C533,
             $D$2:D533,D533,
             $G$2:G533,G533)&gt;1,
   "Doublon",
   "Correcte"
)</f>
        <v>Correcte</v>
      </c>
    </row>
    <row r="534" spans="1:18" x14ac:dyDescent="0.25">
      <c r="A534" s="104" t="s">
        <v>1505</v>
      </c>
      <c r="B534" s="35" t="s">
        <v>712</v>
      </c>
      <c r="C534" s="36">
        <v>0</v>
      </c>
      <c r="D534" s="36">
        <v>5</v>
      </c>
      <c r="E534" s="35" t="s">
        <v>699</v>
      </c>
      <c r="F534" s="35" t="s">
        <v>634</v>
      </c>
      <c r="G534" s="37">
        <v>45926.62431712963</v>
      </c>
      <c r="H534" s="37" t="str">
        <f>INDEX(_xlfn.TEXTSPLIT(mvtst[[#This Row],[QR Suivis]],"_"),1,1)</f>
        <v>CA250012-3</v>
      </c>
      <c r="I534" s="35" t="str">
        <f>_xlfn.TEXTBEFORE(mvtst[[#This Row],[Num Suivis]],"-",,,1)</f>
        <v>CA250012</v>
      </c>
      <c r="J534" s="36">
        <f>SUMIF(mvtst[QR Suivis],mvtst[[#This Row],[QR Suivis]],mvtst[QTE SORTIS])-SUMIF(mvtst[QR Suivis],mvtst[[#This Row],[QR Suivis]],mvtst[QTE RETOUR])</f>
        <v>0</v>
      </c>
      <c r="K534" s="35" t="str">
        <f t="shared" si="8"/>
        <v>Usine</v>
      </c>
      <c r="L534" s="35" t="str">
        <f>_xlfn.XLOOKUP(mvtst[[#This Row],[Sous Traitant]],coordonnee_st[Identification],coordonnee_st[SERVICE],"Non Trouvé")</f>
        <v>Frange</v>
      </c>
      <c r="M534" s="35" t="str">
        <f>INDEX(_xlfn.TEXTSPLIT(mvtst[[#This Row],[QR Suivis]],"_"),1,2)</f>
        <v>All by Fouta</v>
      </c>
      <c r="N534" s="35" t="str">
        <f>INDEX(_xlfn.TEXTSPLIT(mvtst[[#This Row],[QR Suivis]],"_"),1,3)</f>
        <v>Stock</v>
      </c>
      <c r="O534" s="35" t="str">
        <f>INDEX(_xlfn.TEXTSPLIT(mvtst[[#This Row],[QR Suivis]],"_"),1,4)</f>
        <v>UNS1020-20</v>
      </c>
      <c r="P534" s="35" t="str">
        <f>INDEX(_xlfn.TEXTSPLIT(mvtst[[#This Row],[QR Suivis]],"_"),1,5)</f>
        <v>UNI SURPIQUE</v>
      </c>
      <c r="Q534" s="35" t="str">
        <f>_xlfn.TEXTAFTER(mvtst[[#This Row],[QR Suivis]],"_",5)</f>
        <v>1020</v>
      </c>
      <c r="R534" s="84" t="str">
        <f>IF(
   COUNTIFS($A$2:A534,A534,
             $B$2:B534,B534,
             $C$2:C534,C534,
             $D$2:D534,D534,
             $G$2:G534,G534)&gt;1,
   "Doublon",
   "Correcte"
)</f>
        <v>Correcte</v>
      </c>
    </row>
    <row r="535" spans="1:18" x14ac:dyDescent="0.25">
      <c r="A535" s="104" t="s">
        <v>1422</v>
      </c>
      <c r="B535" s="35" t="s">
        <v>712</v>
      </c>
      <c r="C535" s="36">
        <v>0</v>
      </c>
      <c r="D535" s="36">
        <v>5</v>
      </c>
      <c r="E535" s="35" t="s">
        <v>699</v>
      </c>
      <c r="F535" s="35" t="s">
        <v>634</v>
      </c>
      <c r="G535" s="37">
        <v>45926.626562500001</v>
      </c>
      <c r="H535" s="37" t="str">
        <f>INDEX(_xlfn.TEXTSPLIT(mvtst[[#This Row],[QR Suivis]],"_"),1,1)</f>
        <v>CA250004-6</v>
      </c>
      <c r="I535" s="35" t="str">
        <f>_xlfn.TEXTBEFORE(mvtst[[#This Row],[Num Suivis]],"-",,,1)</f>
        <v>CA250004</v>
      </c>
      <c r="J535" s="36">
        <f>SUMIF(mvtst[QR Suivis],mvtst[[#This Row],[QR Suivis]],mvtst[QTE SORTIS])-SUMIF(mvtst[QR Suivis],mvtst[[#This Row],[QR Suivis]],mvtst[QTE RETOUR])</f>
        <v>0</v>
      </c>
      <c r="K535" s="35" t="str">
        <f t="shared" si="8"/>
        <v>Usine</v>
      </c>
      <c r="L535" s="35" t="str">
        <f>_xlfn.XLOOKUP(mvtst[[#This Row],[Sous Traitant]],coordonnee_st[Identification],coordonnee_st[SERVICE],"Non Trouvé")</f>
        <v>Frange</v>
      </c>
      <c r="M535" s="35" t="str">
        <f>INDEX(_xlfn.TEXTSPLIT(mvtst[[#This Row],[QR Suivis]],"_"),1,2)</f>
        <v>All by Fouta</v>
      </c>
      <c r="N535" s="35" t="str">
        <f>INDEX(_xlfn.TEXTSPLIT(mvtst[[#This Row],[QR Suivis]],"_"),1,3)</f>
        <v>Stock</v>
      </c>
      <c r="O535" s="35" t="str">
        <f>INDEX(_xlfn.TEXTSPLIT(mvtst[[#This Row],[QR Suivis]],"_"),1,4)</f>
        <v>UNS1020-09</v>
      </c>
      <c r="P535" s="35" t="str">
        <f>INDEX(_xlfn.TEXTSPLIT(mvtst[[#This Row],[QR Suivis]],"_"),1,5)</f>
        <v>UNI SURPIQUE</v>
      </c>
      <c r="Q535" s="35" t="str">
        <f>_xlfn.TEXTAFTER(mvtst[[#This Row],[QR Suivis]],"_",5)</f>
        <v>1020</v>
      </c>
      <c r="R535" s="84" t="str">
        <f>IF(
   COUNTIFS($A$2:A535,A535,
             $B$2:B535,B535,
             $C$2:C535,C535,
             $D$2:D535,D535,
             $G$2:G535,G535)&gt;1,
   "Doublon",
   "Correcte"
)</f>
        <v>Correcte</v>
      </c>
    </row>
    <row r="536" spans="1:18" x14ac:dyDescent="0.25">
      <c r="A536" s="104" t="s">
        <v>1506</v>
      </c>
      <c r="B536" s="35" t="s">
        <v>712</v>
      </c>
      <c r="C536" s="36">
        <v>0</v>
      </c>
      <c r="D536" s="36">
        <v>5</v>
      </c>
      <c r="E536" s="35" t="s">
        <v>699</v>
      </c>
      <c r="F536" s="35" t="s">
        <v>634</v>
      </c>
      <c r="G536" s="37">
        <v>45926.627164351848</v>
      </c>
      <c r="H536" s="37" t="str">
        <f>INDEX(_xlfn.TEXTSPLIT(mvtst[[#This Row],[QR Suivis]],"_"),1,1)</f>
        <v>CA250012-10</v>
      </c>
      <c r="I536" s="35" t="str">
        <f>_xlfn.TEXTBEFORE(mvtst[[#This Row],[Num Suivis]],"-",,,1)</f>
        <v>CA250012</v>
      </c>
      <c r="J536" s="36">
        <f>SUMIF(mvtst[QR Suivis],mvtst[[#This Row],[QR Suivis]],mvtst[QTE SORTIS])-SUMIF(mvtst[QR Suivis],mvtst[[#This Row],[QR Suivis]],mvtst[QTE RETOUR])</f>
        <v>0</v>
      </c>
      <c r="K536" s="35" t="str">
        <f t="shared" si="8"/>
        <v>Usine</v>
      </c>
      <c r="L536" s="35" t="str">
        <f>_xlfn.XLOOKUP(mvtst[[#This Row],[Sous Traitant]],coordonnee_st[Identification],coordonnee_st[SERVICE],"Non Trouvé")</f>
        <v>Frange</v>
      </c>
      <c r="M536" s="35" t="str">
        <f>INDEX(_xlfn.TEXTSPLIT(mvtst[[#This Row],[QR Suivis]],"_"),1,2)</f>
        <v>All by Fouta</v>
      </c>
      <c r="N536" s="35" t="str">
        <f>INDEX(_xlfn.TEXTSPLIT(mvtst[[#This Row],[QR Suivis]],"_"),1,3)</f>
        <v>Stock</v>
      </c>
      <c r="O536" s="35" t="str">
        <f>INDEX(_xlfn.TEXTSPLIT(mvtst[[#This Row],[QR Suivis]],"_"),1,4)</f>
        <v>UNS1020-20</v>
      </c>
      <c r="P536" s="35" t="str">
        <f>INDEX(_xlfn.TEXTSPLIT(mvtst[[#This Row],[QR Suivis]],"_"),1,5)</f>
        <v>UNI SURPIQUE</v>
      </c>
      <c r="Q536" s="35" t="str">
        <f>_xlfn.TEXTAFTER(mvtst[[#This Row],[QR Suivis]],"_",5)</f>
        <v>1020</v>
      </c>
      <c r="R536" s="84" t="str">
        <f>IF(
   COUNTIFS($A$2:A536,A536,
             $B$2:B536,B536,
             $C$2:C536,C536,
             $D$2:D536,D536,
             $G$2:G536,G536)&gt;1,
   "Doublon",
   "Correcte"
)</f>
        <v>Correcte</v>
      </c>
    </row>
    <row r="537" spans="1:18" x14ac:dyDescent="0.25">
      <c r="A537" s="104" t="s">
        <v>1442</v>
      </c>
      <c r="B537" s="35" t="s">
        <v>712</v>
      </c>
      <c r="C537" s="36">
        <v>0</v>
      </c>
      <c r="D537" s="36">
        <v>5</v>
      </c>
      <c r="E537" s="35" t="s">
        <v>699</v>
      </c>
      <c r="F537" s="35" t="s">
        <v>634</v>
      </c>
      <c r="G537" s="37">
        <v>45926.627557870372</v>
      </c>
      <c r="H537" s="37" t="str">
        <f>INDEX(_xlfn.TEXTSPLIT(mvtst[[#This Row],[QR Suivis]],"_"),1,1)</f>
        <v>CA250005-11</v>
      </c>
      <c r="I537" s="35" t="str">
        <f>_xlfn.TEXTBEFORE(mvtst[[#This Row],[Num Suivis]],"-",,,1)</f>
        <v>CA250005</v>
      </c>
      <c r="J537" s="36">
        <f>SUMIF(mvtst[QR Suivis],mvtst[[#This Row],[QR Suivis]],mvtst[QTE SORTIS])-SUMIF(mvtst[QR Suivis],mvtst[[#This Row],[QR Suivis]],mvtst[QTE RETOUR])</f>
        <v>0</v>
      </c>
      <c r="K537" s="35" t="str">
        <f t="shared" si="8"/>
        <v>Usine</v>
      </c>
      <c r="L537" s="35" t="str">
        <f>_xlfn.XLOOKUP(mvtst[[#This Row],[Sous Traitant]],coordonnee_st[Identification],coordonnee_st[SERVICE],"Non Trouvé")</f>
        <v>Frange</v>
      </c>
      <c r="M537" s="35" t="str">
        <f>INDEX(_xlfn.TEXTSPLIT(mvtst[[#This Row],[QR Suivis]],"_"),1,2)</f>
        <v>All by Fouta</v>
      </c>
      <c r="N537" s="35" t="str">
        <f>INDEX(_xlfn.TEXTSPLIT(mvtst[[#This Row],[QR Suivis]],"_"),1,3)</f>
        <v>Stock</v>
      </c>
      <c r="O537" s="35" t="str">
        <f>INDEX(_xlfn.TEXTSPLIT(mvtst[[#This Row],[QR Suivis]],"_"),1,4)</f>
        <v>UNS1020-10</v>
      </c>
      <c r="P537" s="35" t="str">
        <f>INDEX(_xlfn.TEXTSPLIT(mvtst[[#This Row],[QR Suivis]],"_"),1,5)</f>
        <v>UNI SURPIQUE</v>
      </c>
      <c r="Q537" s="35" t="str">
        <f>_xlfn.TEXTAFTER(mvtst[[#This Row],[QR Suivis]],"_",5)</f>
        <v>1020</v>
      </c>
      <c r="R537" s="84" t="str">
        <f>IF(
   COUNTIFS($A$2:A537,A537,
             $B$2:B537,B537,
             $C$2:C537,C537,
             $D$2:D537,D537,
             $G$2:G537,G537)&gt;1,
   "Doublon",
   "Correcte"
)</f>
        <v>Correcte</v>
      </c>
    </row>
    <row r="538" spans="1:18" x14ac:dyDescent="0.25">
      <c r="A538" s="104" t="s">
        <v>1507</v>
      </c>
      <c r="B538" s="35" t="s">
        <v>712</v>
      </c>
      <c r="C538" s="36">
        <v>0</v>
      </c>
      <c r="D538" s="36">
        <v>5</v>
      </c>
      <c r="E538" s="35" t="s">
        <v>699</v>
      </c>
      <c r="F538" s="35" t="s">
        <v>634</v>
      </c>
      <c r="G538" s="37">
        <v>45926.628055555557</v>
      </c>
      <c r="H538" s="37" t="str">
        <f>INDEX(_xlfn.TEXTSPLIT(mvtst[[#This Row],[QR Suivis]],"_"),1,1)</f>
        <v>CA250012-11</v>
      </c>
      <c r="I538" s="35" t="str">
        <f>_xlfn.TEXTBEFORE(mvtst[[#This Row],[Num Suivis]],"-",,,1)</f>
        <v>CA250012</v>
      </c>
      <c r="J538" s="36">
        <f>SUMIF(mvtst[QR Suivis],mvtst[[#This Row],[QR Suivis]],mvtst[QTE SORTIS])-SUMIF(mvtst[QR Suivis],mvtst[[#This Row],[QR Suivis]],mvtst[QTE RETOUR])</f>
        <v>0</v>
      </c>
      <c r="K538" s="35" t="str">
        <f t="shared" si="8"/>
        <v>Usine</v>
      </c>
      <c r="L538" s="35" t="str">
        <f>_xlfn.XLOOKUP(mvtst[[#This Row],[Sous Traitant]],coordonnee_st[Identification],coordonnee_st[SERVICE],"Non Trouvé")</f>
        <v>Frange</v>
      </c>
      <c r="M538" s="35" t="str">
        <f>INDEX(_xlfn.TEXTSPLIT(mvtst[[#This Row],[QR Suivis]],"_"),1,2)</f>
        <v>All by Fouta</v>
      </c>
      <c r="N538" s="35" t="str">
        <f>INDEX(_xlfn.TEXTSPLIT(mvtst[[#This Row],[QR Suivis]],"_"),1,3)</f>
        <v>Stock</v>
      </c>
      <c r="O538" s="35" t="str">
        <f>INDEX(_xlfn.TEXTSPLIT(mvtst[[#This Row],[QR Suivis]],"_"),1,4)</f>
        <v>UNS1020-20</v>
      </c>
      <c r="P538" s="35" t="str">
        <f>INDEX(_xlfn.TEXTSPLIT(mvtst[[#This Row],[QR Suivis]],"_"),1,5)</f>
        <v>UNI SURPIQUE</v>
      </c>
      <c r="Q538" s="35" t="str">
        <f>_xlfn.TEXTAFTER(mvtst[[#This Row],[QR Suivis]],"_",5)</f>
        <v>1020</v>
      </c>
      <c r="R538" s="84" t="str">
        <f>IF(
   COUNTIFS($A$2:A538,A538,
             $B$2:B538,B538,
             $C$2:C538,C538,
             $D$2:D538,D538,
             $G$2:G538,G538)&gt;1,
   "Doublon",
   "Correcte"
)</f>
        <v>Correcte</v>
      </c>
    </row>
    <row r="539" spans="1:18" x14ac:dyDescent="0.25">
      <c r="A539" s="104" t="s">
        <v>1432</v>
      </c>
      <c r="B539" s="35" t="s">
        <v>712</v>
      </c>
      <c r="C539" s="36">
        <v>0</v>
      </c>
      <c r="D539" s="36">
        <v>5</v>
      </c>
      <c r="E539" s="35" t="s">
        <v>699</v>
      </c>
      <c r="F539" s="35" t="s">
        <v>634</v>
      </c>
      <c r="G539" s="37">
        <v>45926.628379629627</v>
      </c>
      <c r="H539" s="37" t="str">
        <f>INDEX(_xlfn.TEXTSPLIT(mvtst[[#This Row],[QR Suivis]],"_"),1,1)</f>
        <v>CA250005-9</v>
      </c>
      <c r="I539" s="35" t="str">
        <f>_xlfn.TEXTBEFORE(mvtst[[#This Row],[Num Suivis]],"-",,,1)</f>
        <v>CA250005</v>
      </c>
      <c r="J539" s="36">
        <f>SUMIF(mvtst[QR Suivis],mvtst[[#This Row],[QR Suivis]],mvtst[QTE SORTIS])-SUMIF(mvtst[QR Suivis],mvtst[[#This Row],[QR Suivis]],mvtst[QTE RETOUR])</f>
        <v>0</v>
      </c>
      <c r="K539" s="35" t="str">
        <f t="shared" si="8"/>
        <v>Usine</v>
      </c>
      <c r="L539" s="35" t="str">
        <f>_xlfn.XLOOKUP(mvtst[[#This Row],[Sous Traitant]],coordonnee_st[Identification],coordonnee_st[SERVICE],"Non Trouvé")</f>
        <v>Frange</v>
      </c>
      <c r="M539" s="35" t="str">
        <f>INDEX(_xlfn.TEXTSPLIT(mvtst[[#This Row],[QR Suivis]],"_"),1,2)</f>
        <v>All by Fouta</v>
      </c>
      <c r="N539" s="35" t="str">
        <f>INDEX(_xlfn.TEXTSPLIT(mvtst[[#This Row],[QR Suivis]],"_"),1,3)</f>
        <v>Stock</v>
      </c>
      <c r="O539" s="35" t="str">
        <f>INDEX(_xlfn.TEXTSPLIT(mvtst[[#This Row],[QR Suivis]],"_"),1,4)</f>
        <v>UNS1020-10</v>
      </c>
      <c r="P539" s="35" t="str">
        <f>INDEX(_xlfn.TEXTSPLIT(mvtst[[#This Row],[QR Suivis]],"_"),1,5)</f>
        <v>UNI SURPIQUE</v>
      </c>
      <c r="Q539" s="35" t="str">
        <f>_xlfn.TEXTAFTER(mvtst[[#This Row],[QR Suivis]],"_",5)</f>
        <v>1020</v>
      </c>
      <c r="R539" s="84" t="str">
        <f>IF(
   COUNTIFS($A$2:A539,A539,
             $B$2:B539,B539,
             $C$2:C539,C539,
             $D$2:D539,D539,
             $G$2:G539,G539)&gt;1,
   "Doublon",
   "Correcte"
)</f>
        <v>Correcte</v>
      </c>
    </row>
    <row r="540" spans="1:18" x14ac:dyDescent="0.25">
      <c r="A540" s="104" t="s">
        <v>1433</v>
      </c>
      <c r="B540" s="35" t="s">
        <v>712</v>
      </c>
      <c r="C540" s="36">
        <v>0</v>
      </c>
      <c r="D540" s="36">
        <v>5</v>
      </c>
      <c r="E540" s="35" t="s">
        <v>699</v>
      </c>
      <c r="F540" s="35" t="s">
        <v>634</v>
      </c>
      <c r="G540" s="37">
        <v>45926.628761574073</v>
      </c>
      <c r="H540" s="37" t="str">
        <f>INDEX(_xlfn.TEXTSPLIT(mvtst[[#This Row],[QR Suivis]],"_"),1,1)</f>
        <v>CA250005-10</v>
      </c>
      <c r="I540" s="35" t="str">
        <f>_xlfn.TEXTBEFORE(mvtst[[#This Row],[Num Suivis]],"-",,,1)</f>
        <v>CA250005</v>
      </c>
      <c r="J540" s="36">
        <f>SUMIF(mvtst[QR Suivis],mvtst[[#This Row],[QR Suivis]],mvtst[QTE SORTIS])-SUMIF(mvtst[QR Suivis],mvtst[[#This Row],[QR Suivis]],mvtst[QTE RETOUR])</f>
        <v>0</v>
      </c>
      <c r="K540" s="35" t="str">
        <f t="shared" si="8"/>
        <v>Usine</v>
      </c>
      <c r="L540" s="35" t="str">
        <f>_xlfn.XLOOKUP(mvtst[[#This Row],[Sous Traitant]],coordonnee_st[Identification],coordonnee_st[SERVICE],"Non Trouvé")</f>
        <v>Frange</v>
      </c>
      <c r="M540" s="35" t="str">
        <f>INDEX(_xlfn.TEXTSPLIT(mvtst[[#This Row],[QR Suivis]],"_"),1,2)</f>
        <v>All by Fouta</v>
      </c>
      <c r="N540" s="35" t="str">
        <f>INDEX(_xlfn.TEXTSPLIT(mvtst[[#This Row],[QR Suivis]],"_"),1,3)</f>
        <v>Stock</v>
      </c>
      <c r="O540" s="35" t="str">
        <f>INDEX(_xlfn.TEXTSPLIT(mvtst[[#This Row],[QR Suivis]],"_"),1,4)</f>
        <v>UNS1020-10</v>
      </c>
      <c r="P540" s="35" t="str">
        <f>INDEX(_xlfn.TEXTSPLIT(mvtst[[#This Row],[QR Suivis]],"_"),1,5)</f>
        <v>UNI SURPIQUE</v>
      </c>
      <c r="Q540" s="35" t="str">
        <f>_xlfn.TEXTAFTER(mvtst[[#This Row],[QR Suivis]],"_",5)</f>
        <v>1020</v>
      </c>
      <c r="R540" s="84" t="str">
        <f>IF(
   COUNTIFS($A$2:A540,A540,
             $B$2:B540,B540,
             $C$2:C540,C540,
             $D$2:D540,D540,
             $G$2:G540,G540)&gt;1,
   "Doublon",
   "Correcte"
)</f>
        <v>Correcte</v>
      </c>
    </row>
    <row r="541" spans="1:18" x14ac:dyDescent="0.25">
      <c r="A541" s="104" t="s">
        <v>1423</v>
      </c>
      <c r="B541" s="35" t="s">
        <v>712</v>
      </c>
      <c r="C541" s="36">
        <v>0</v>
      </c>
      <c r="D541" s="36">
        <v>5</v>
      </c>
      <c r="E541" s="35" t="s">
        <v>699</v>
      </c>
      <c r="F541" s="35" t="s">
        <v>634</v>
      </c>
      <c r="G541" s="37">
        <v>45926.629201388889</v>
      </c>
      <c r="H541" s="37" t="str">
        <f>INDEX(_xlfn.TEXTSPLIT(mvtst[[#This Row],[QR Suivis]],"_"),1,1)</f>
        <v>CA250004-7</v>
      </c>
      <c r="I541" s="35" t="str">
        <f>_xlfn.TEXTBEFORE(mvtst[[#This Row],[Num Suivis]],"-",,,1)</f>
        <v>CA250004</v>
      </c>
      <c r="J541" s="36">
        <f>SUMIF(mvtst[QR Suivis],mvtst[[#This Row],[QR Suivis]],mvtst[QTE SORTIS])-SUMIF(mvtst[QR Suivis],mvtst[[#This Row],[QR Suivis]],mvtst[QTE RETOUR])</f>
        <v>0</v>
      </c>
      <c r="K541" s="35" t="str">
        <f t="shared" si="8"/>
        <v>Usine</v>
      </c>
      <c r="L541" s="35" t="str">
        <f>_xlfn.XLOOKUP(mvtst[[#This Row],[Sous Traitant]],coordonnee_st[Identification],coordonnee_st[SERVICE],"Non Trouvé")</f>
        <v>Frange</v>
      </c>
      <c r="M541" s="35" t="str">
        <f>INDEX(_xlfn.TEXTSPLIT(mvtst[[#This Row],[QR Suivis]],"_"),1,2)</f>
        <v>All by Fouta</v>
      </c>
      <c r="N541" s="35" t="str">
        <f>INDEX(_xlfn.TEXTSPLIT(mvtst[[#This Row],[QR Suivis]],"_"),1,3)</f>
        <v>Stock</v>
      </c>
      <c r="O541" s="35" t="str">
        <f>INDEX(_xlfn.TEXTSPLIT(mvtst[[#This Row],[QR Suivis]],"_"),1,4)</f>
        <v>UNS1020-09</v>
      </c>
      <c r="P541" s="35" t="str">
        <f>INDEX(_xlfn.TEXTSPLIT(mvtst[[#This Row],[QR Suivis]],"_"),1,5)</f>
        <v>UNI SURPIQUE</v>
      </c>
      <c r="Q541" s="35" t="str">
        <f>_xlfn.TEXTAFTER(mvtst[[#This Row],[QR Suivis]],"_",5)</f>
        <v>1020</v>
      </c>
      <c r="R541" s="84" t="str">
        <f>IF(
   COUNTIFS($A$2:A541,A541,
             $B$2:B541,B541,
             $C$2:C541,C541,
             $D$2:D541,D541,
             $G$2:G541,G541)&gt;1,
   "Doublon",
   "Correcte"
)</f>
        <v>Correcte</v>
      </c>
    </row>
    <row r="542" spans="1:18" x14ac:dyDescent="0.25">
      <c r="A542" s="104" t="s">
        <v>1508</v>
      </c>
      <c r="B542" s="35" t="s">
        <v>712</v>
      </c>
      <c r="C542" s="36">
        <v>0</v>
      </c>
      <c r="D542" s="36">
        <v>5</v>
      </c>
      <c r="E542" s="35" t="s">
        <v>699</v>
      </c>
      <c r="F542" s="35" t="s">
        <v>634</v>
      </c>
      <c r="G542" s="37">
        <v>45926.629745370374</v>
      </c>
      <c r="H542" s="37" t="str">
        <f>INDEX(_xlfn.TEXTSPLIT(mvtst[[#This Row],[QR Suivis]],"_"),1,1)</f>
        <v>CA250012-12</v>
      </c>
      <c r="I542" s="35" t="str">
        <f>_xlfn.TEXTBEFORE(mvtst[[#This Row],[Num Suivis]],"-",,,1)</f>
        <v>CA250012</v>
      </c>
      <c r="J542" s="36">
        <f>SUMIF(mvtst[QR Suivis],mvtst[[#This Row],[QR Suivis]],mvtst[QTE SORTIS])-SUMIF(mvtst[QR Suivis],mvtst[[#This Row],[QR Suivis]],mvtst[QTE RETOUR])</f>
        <v>0</v>
      </c>
      <c r="K542" s="35" t="str">
        <f t="shared" si="8"/>
        <v>Usine</v>
      </c>
      <c r="L542" s="35" t="str">
        <f>_xlfn.XLOOKUP(mvtst[[#This Row],[Sous Traitant]],coordonnee_st[Identification],coordonnee_st[SERVICE],"Non Trouvé")</f>
        <v>Frange</v>
      </c>
      <c r="M542" s="35" t="str">
        <f>INDEX(_xlfn.TEXTSPLIT(mvtst[[#This Row],[QR Suivis]],"_"),1,2)</f>
        <v>All by Fouta</v>
      </c>
      <c r="N542" s="35" t="str">
        <f>INDEX(_xlfn.TEXTSPLIT(mvtst[[#This Row],[QR Suivis]],"_"),1,3)</f>
        <v>Stock</v>
      </c>
      <c r="O542" s="35" t="str">
        <f>INDEX(_xlfn.TEXTSPLIT(mvtst[[#This Row],[QR Suivis]],"_"),1,4)</f>
        <v>UNS1020-20</v>
      </c>
      <c r="P542" s="35" t="str">
        <f>INDEX(_xlfn.TEXTSPLIT(mvtst[[#This Row],[QR Suivis]],"_"),1,5)</f>
        <v>UNI SURPIQUE</v>
      </c>
      <c r="Q542" s="35" t="str">
        <f>_xlfn.TEXTAFTER(mvtst[[#This Row],[QR Suivis]],"_",5)</f>
        <v>1020</v>
      </c>
      <c r="R542" s="84" t="str">
        <f>IF(
   COUNTIFS($A$2:A542,A542,
             $B$2:B542,B542,
             $C$2:C542,C542,
             $D$2:D542,D542,
             $G$2:G542,G542)&gt;1,
   "Doublon",
   "Correcte"
)</f>
        <v>Correcte</v>
      </c>
    </row>
    <row r="543" spans="1:18" x14ac:dyDescent="0.25">
      <c r="A543" s="104" t="s">
        <v>1415</v>
      </c>
      <c r="B543" s="35" t="s">
        <v>712</v>
      </c>
      <c r="C543" s="36">
        <v>0</v>
      </c>
      <c r="D543" s="36">
        <v>1</v>
      </c>
      <c r="E543" s="35" t="s">
        <v>699</v>
      </c>
      <c r="F543" s="35" t="s">
        <v>634</v>
      </c>
      <c r="G543" s="37">
        <v>45926.629988425928</v>
      </c>
      <c r="H543" s="37" t="str">
        <f>INDEX(_xlfn.TEXTSPLIT(mvtst[[#This Row],[QR Suivis]],"_"),1,1)</f>
        <v>CA250002-13</v>
      </c>
      <c r="I543" s="35" t="str">
        <f>_xlfn.TEXTBEFORE(mvtst[[#This Row],[Num Suivis]],"-",,,1)</f>
        <v>CA250002</v>
      </c>
      <c r="J543" s="36">
        <f>SUMIF(mvtst[QR Suivis],mvtst[[#This Row],[QR Suivis]],mvtst[QTE SORTIS])-SUMIF(mvtst[QR Suivis],mvtst[[#This Row],[QR Suivis]],mvtst[QTE RETOUR])</f>
        <v>0</v>
      </c>
      <c r="K543" s="35" t="str">
        <f t="shared" si="8"/>
        <v>Usine</v>
      </c>
      <c r="L543" s="35" t="str">
        <f>_xlfn.XLOOKUP(mvtst[[#This Row],[Sous Traitant]],coordonnee_st[Identification],coordonnee_st[SERVICE],"Non Trouvé")</f>
        <v>Frange</v>
      </c>
      <c r="M543" s="35" t="str">
        <f>INDEX(_xlfn.TEXTSPLIT(mvtst[[#This Row],[QR Suivis]],"_"),1,2)</f>
        <v>All by Fouta</v>
      </c>
      <c r="N543" s="35" t="str">
        <f>INDEX(_xlfn.TEXTSPLIT(mvtst[[#This Row],[QR Suivis]],"_"),1,3)</f>
        <v>Stock</v>
      </c>
      <c r="O543" s="35" t="str">
        <f>INDEX(_xlfn.TEXTSPLIT(mvtst[[#This Row],[QR Suivis]],"_"),1,4)</f>
        <v>UNS1020-04</v>
      </c>
      <c r="P543" s="35" t="str">
        <f>INDEX(_xlfn.TEXTSPLIT(mvtst[[#This Row],[QR Suivis]],"_"),1,5)</f>
        <v>UNI SURPIQUE</v>
      </c>
      <c r="Q543" s="35" t="str">
        <f>_xlfn.TEXTAFTER(mvtst[[#This Row],[QR Suivis]],"_",5)</f>
        <v>1020</v>
      </c>
      <c r="R543" s="84" t="str">
        <f>IF(
   COUNTIFS($A$2:A543,A543,
             $B$2:B543,B543,
             $C$2:C543,C543,
             $D$2:D543,D543,
             $G$2:G543,G543)&gt;1,
   "Doublon",
   "Correcte"
)</f>
        <v>Correcte</v>
      </c>
    </row>
    <row r="544" spans="1:18" x14ac:dyDescent="0.25">
      <c r="A544" s="104" t="s">
        <v>1540</v>
      </c>
      <c r="B544" s="35" t="s">
        <v>712</v>
      </c>
      <c r="C544" s="36">
        <v>0</v>
      </c>
      <c r="D544" s="36">
        <v>4</v>
      </c>
      <c r="E544" s="35" t="s">
        <v>699</v>
      </c>
      <c r="F544" s="35" t="s">
        <v>634</v>
      </c>
      <c r="G544" s="37">
        <v>45926.630636574075</v>
      </c>
      <c r="H544" s="37" t="str">
        <f>INDEX(_xlfn.TEXTSPLIT(mvtst[[#This Row],[QR Suivis]],"_"),1,1)</f>
        <v>CA250014-12</v>
      </c>
      <c r="I544" s="35" t="str">
        <f>_xlfn.TEXTBEFORE(mvtst[[#This Row],[Num Suivis]],"-",,,1)</f>
        <v>CA250014</v>
      </c>
      <c r="J544" s="36">
        <f>SUMIF(mvtst[QR Suivis],mvtst[[#This Row],[QR Suivis]],mvtst[QTE SORTIS])-SUMIF(mvtst[QR Suivis],mvtst[[#This Row],[QR Suivis]],mvtst[QTE RETOUR])</f>
        <v>0</v>
      </c>
      <c r="K544" s="35" t="str">
        <f t="shared" si="8"/>
        <v>Usine</v>
      </c>
      <c r="L544" s="35" t="str">
        <f>_xlfn.XLOOKUP(mvtst[[#This Row],[Sous Traitant]],coordonnee_st[Identification],coordonnee_st[SERVICE],"Non Trouvé")</f>
        <v>Frange</v>
      </c>
      <c r="M544" s="35" t="str">
        <f>INDEX(_xlfn.TEXTSPLIT(mvtst[[#This Row],[QR Suivis]],"_"),1,2)</f>
        <v>All by Fouta</v>
      </c>
      <c r="N544" s="35" t="str">
        <f>INDEX(_xlfn.TEXTSPLIT(mvtst[[#This Row],[QR Suivis]],"_"),1,3)</f>
        <v>Stock</v>
      </c>
      <c r="O544" s="35" t="str">
        <f>INDEX(_xlfn.TEXTSPLIT(mvtst[[#This Row],[QR Suivis]],"_"),1,4)</f>
        <v>UNS1020-24</v>
      </c>
      <c r="P544" s="35" t="str">
        <f>INDEX(_xlfn.TEXTSPLIT(mvtst[[#This Row],[QR Suivis]],"_"),1,5)</f>
        <v>UNI SURPIQUE</v>
      </c>
      <c r="Q544" s="35" t="str">
        <f>_xlfn.TEXTAFTER(mvtst[[#This Row],[QR Suivis]],"_",5)</f>
        <v>1020</v>
      </c>
      <c r="R544" s="84" t="str">
        <f>IF(
   COUNTIFS($A$2:A544,A544,
             $B$2:B544,B544,
             $C$2:C544,C544,
             $D$2:D544,D544,
             $G$2:G544,G544)&gt;1,
   "Doublon",
   "Correcte"
)</f>
        <v>Correcte</v>
      </c>
    </row>
    <row r="545" spans="1:18" x14ac:dyDescent="0.25">
      <c r="A545" s="104" t="s">
        <v>1541</v>
      </c>
      <c r="B545" s="35" t="s">
        <v>712</v>
      </c>
      <c r="C545" s="36">
        <v>0</v>
      </c>
      <c r="D545" s="36">
        <v>5</v>
      </c>
      <c r="E545" s="35" t="s">
        <v>699</v>
      </c>
      <c r="F545" s="35" t="s">
        <v>634</v>
      </c>
      <c r="G545" s="37">
        <v>45926.631168981483</v>
      </c>
      <c r="H545" s="37" t="str">
        <f>INDEX(_xlfn.TEXTSPLIT(mvtst[[#This Row],[QR Suivis]],"_"),1,1)</f>
        <v>CA250014-10</v>
      </c>
      <c r="I545" s="35" t="str">
        <f>_xlfn.TEXTBEFORE(mvtst[[#This Row],[Num Suivis]],"-",,,1)</f>
        <v>CA250014</v>
      </c>
      <c r="J545" s="36">
        <f>SUMIF(mvtst[QR Suivis],mvtst[[#This Row],[QR Suivis]],mvtst[QTE SORTIS])-SUMIF(mvtst[QR Suivis],mvtst[[#This Row],[QR Suivis]],mvtst[QTE RETOUR])</f>
        <v>0</v>
      </c>
      <c r="K545" s="35" t="str">
        <f t="shared" si="8"/>
        <v>Usine</v>
      </c>
      <c r="L545" s="35" t="str">
        <f>_xlfn.XLOOKUP(mvtst[[#This Row],[Sous Traitant]],coordonnee_st[Identification],coordonnee_st[SERVICE],"Non Trouvé")</f>
        <v>Frange</v>
      </c>
      <c r="M545" s="35" t="str">
        <f>INDEX(_xlfn.TEXTSPLIT(mvtst[[#This Row],[QR Suivis]],"_"),1,2)</f>
        <v>All by Fouta</v>
      </c>
      <c r="N545" s="35" t="str">
        <f>INDEX(_xlfn.TEXTSPLIT(mvtst[[#This Row],[QR Suivis]],"_"),1,3)</f>
        <v>Stock</v>
      </c>
      <c r="O545" s="35" t="str">
        <f>INDEX(_xlfn.TEXTSPLIT(mvtst[[#This Row],[QR Suivis]],"_"),1,4)</f>
        <v>UNS1020-24</v>
      </c>
      <c r="P545" s="35" t="str">
        <f>INDEX(_xlfn.TEXTSPLIT(mvtst[[#This Row],[QR Suivis]],"_"),1,5)</f>
        <v>UNI SURPIQUE</v>
      </c>
      <c r="Q545" s="35" t="str">
        <f>_xlfn.TEXTAFTER(mvtst[[#This Row],[QR Suivis]],"_",5)</f>
        <v>1020</v>
      </c>
      <c r="R545" s="84" t="str">
        <f>IF(
   COUNTIFS($A$2:A545,A545,
             $B$2:B545,B545,
             $C$2:C545,C545,
             $D$2:D545,D545,
             $G$2:G545,G545)&gt;1,
   "Doublon",
   "Correcte"
)</f>
        <v>Correcte</v>
      </c>
    </row>
    <row r="546" spans="1:18" x14ac:dyDescent="0.25">
      <c r="A546" s="104" t="s">
        <v>1542</v>
      </c>
      <c r="B546" s="35" t="s">
        <v>712</v>
      </c>
      <c r="C546" s="36">
        <v>0</v>
      </c>
      <c r="D546" s="36">
        <v>5</v>
      </c>
      <c r="E546" s="35" t="s">
        <v>699</v>
      </c>
      <c r="F546" s="35" t="s">
        <v>634</v>
      </c>
      <c r="G546" s="37">
        <v>45926.63144675926</v>
      </c>
      <c r="H546" s="37" t="str">
        <f>INDEX(_xlfn.TEXTSPLIT(mvtst[[#This Row],[QR Suivis]],"_"),1,1)</f>
        <v>CA250014-4</v>
      </c>
      <c r="I546" s="35" t="str">
        <f>_xlfn.TEXTBEFORE(mvtst[[#This Row],[Num Suivis]],"-",,,1)</f>
        <v>CA250014</v>
      </c>
      <c r="J546" s="36">
        <f>SUMIF(mvtst[QR Suivis],mvtst[[#This Row],[QR Suivis]],mvtst[QTE SORTIS])-SUMIF(mvtst[QR Suivis],mvtst[[#This Row],[QR Suivis]],mvtst[QTE RETOUR])</f>
        <v>0</v>
      </c>
      <c r="K546" s="35" t="str">
        <f t="shared" si="8"/>
        <v>Usine</v>
      </c>
      <c r="L546" s="35" t="str">
        <f>_xlfn.XLOOKUP(mvtst[[#This Row],[Sous Traitant]],coordonnee_st[Identification],coordonnee_st[SERVICE],"Non Trouvé")</f>
        <v>Frange</v>
      </c>
      <c r="M546" s="35" t="str">
        <f>INDEX(_xlfn.TEXTSPLIT(mvtst[[#This Row],[QR Suivis]],"_"),1,2)</f>
        <v>All by Fouta</v>
      </c>
      <c r="N546" s="35" t="str">
        <f>INDEX(_xlfn.TEXTSPLIT(mvtst[[#This Row],[QR Suivis]],"_"),1,3)</f>
        <v>Stock</v>
      </c>
      <c r="O546" s="35" t="str">
        <f>INDEX(_xlfn.TEXTSPLIT(mvtst[[#This Row],[QR Suivis]],"_"),1,4)</f>
        <v>UNS1020-24</v>
      </c>
      <c r="P546" s="35" t="str">
        <f>INDEX(_xlfn.TEXTSPLIT(mvtst[[#This Row],[QR Suivis]],"_"),1,5)</f>
        <v>UNI SURPIQUE</v>
      </c>
      <c r="Q546" s="35" t="str">
        <f>_xlfn.TEXTAFTER(mvtst[[#This Row],[QR Suivis]],"_",5)</f>
        <v>1020</v>
      </c>
      <c r="R546" s="84" t="str">
        <f>IF(
   COUNTIFS($A$2:A546,A546,
             $B$2:B546,B546,
             $C$2:C546,C546,
             $D$2:D546,D546,
             $G$2:G546,G546)&gt;1,
   "Doublon",
   "Correcte"
)</f>
        <v>Correcte</v>
      </c>
    </row>
    <row r="547" spans="1:18" x14ac:dyDescent="0.25">
      <c r="A547" s="104" t="s">
        <v>1434</v>
      </c>
      <c r="B547" s="35" t="s">
        <v>712</v>
      </c>
      <c r="C547" s="36">
        <v>0</v>
      </c>
      <c r="D547" s="36">
        <v>5</v>
      </c>
      <c r="E547" s="35" t="s">
        <v>699</v>
      </c>
      <c r="F547" s="35" t="s">
        <v>634</v>
      </c>
      <c r="G547" s="37">
        <v>45926.631828703707</v>
      </c>
      <c r="H547" s="37" t="str">
        <f>INDEX(_xlfn.TEXTSPLIT(mvtst[[#This Row],[QR Suivis]],"_"),1,1)</f>
        <v>CA250005-4</v>
      </c>
      <c r="I547" s="35" t="str">
        <f>_xlfn.TEXTBEFORE(mvtst[[#This Row],[Num Suivis]],"-",,,1)</f>
        <v>CA250005</v>
      </c>
      <c r="J547" s="36">
        <f>SUMIF(mvtst[QR Suivis],mvtst[[#This Row],[QR Suivis]],mvtst[QTE SORTIS])-SUMIF(mvtst[QR Suivis],mvtst[[#This Row],[QR Suivis]],mvtst[QTE RETOUR])</f>
        <v>0</v>
      </c>
      <c r="K547" s="35" t="str">
        <f t="shared" si="8"/>
        <v>Usine</v>
      </c>
      <c r="L547" s="35" t="str">
        <f>_xlfn.XLOOKUP(mvtst[[#This Row],[Sous Traitant]],coordonnee_st[Identification],coordonnee_st[SERVICE],"Non Trouvé")</f>
        <v>Frange</v>
      </c>
      <c r="M547" s="35" t="str">
        <f>INDEX(_xlfn.TEXTSPLIT(mvtst[[#This Row],[QR Suivis]],"_"),1,2)</f>
        <v>All by Fouta</v>
      </c>
      <c r="N547" s="35" t="str">
        <f>INDEX(_xlfn.TEXTSPLIT(mvtst[[#This Row],[QR Suivis]],"_"),1,3)</f>
        <v>Stock</v>
      </c>
      <c r="O547" s="35" t="str">
        <f>INDEX(_xlfn.TEXTSPLIT(mvtst[[#This Row],[QR Suivis]],"_"),1,4)</f>
        <v>UNS1020-10</v>
      </c>
      <c r="P547" s="35" t="str">
        <f>INDEX(_xlfn.TEXTSPLIT(mvtst[[#This Row],[QR Suivis]],"_"),1,5)</f>
        <v>UNI SURPIQUE</v>
      </c>
      <c r="Q547" s="35" t="str">
        <f>_xlfn.TEXTAFTER(mvtst[[#This Row],[QR Suivis]],"_",5)</f>
        <v>1020</v>
      </c>
      <c r="R547" s="84" t="str">
        <f>IF(
   COUNTIFS($A$2:A547,A547,
             $B$2:B547,B547,
             $C$2:C547,C547,
             $D$2:D547,D547,
             $G$2:G547,G547)&gt;1,
   "Doublon",
   "Correcte"
)</f>
        <v>Correcte</v>
      </c>
    </row>
    <row r="548" spans="1:18" x14ac:dyDescent="0.25">
      <c r="A548" s="104" t="s">
        <v>1435</v>
      </c>
      <c r="B548" s="35" t="s">
        <v>712</v>
      </c>
      <c r="C548" s="36">
        <v>0</v>
      </c>
      <c r="D548" s="36">
        <v>5</v>
      </c>
      <c r="E548" s="35" t="s">
        <v>699</v>
      </c>
      <c r="F548" s="35" t="s">
        <v>634</v>
      </c>
      <c r="G548" s="37">
        <v>45926.632233796299</v>
      </c>
      <c r="H548" s="37" t="str">
        <f>INDEX(_xlfn.TEXTSPLIT(mvtst[[#This Row],[QR Suivis]],"_"),1,1)</f>
        <v>CA250005-2</v>
      </c>
      <c r="I548" s="35" t="str">
        <f>_xlfn.TEXTBEFORE(mvtst[[#This Row],[Num Suivis]],"-",,,1)</f>
        <v>CA250005</v>
      </c>
      <c r="J548" s="36">
        <f>SUMIF(mvtst[QR Suivis],mvtst[[#This Row],[QR Suivis]],mvtst[QTE SORTIS])-SUMIF(mvtst[QR Suivis],mvtst[[#This Row],[QR Suivis]],mvtst[QTE RETOUR])</f>
        <v>0</v>
      </c>
      <c r="K548" s="35" t="str">
        <f t="shared" si="8"/>
        <v>Usine</v>
      </c>
      <c r="L548" s="35" t="str">
        <f>_xlfn.XLOOKUP(mvtst[[#This Row],[Sous Traitant]],coordonnee_st[Identification],coordonnee_st[SERVICE],"Non Trouvé")</f>
        <v>Frange</v>
      </c>
      <c r="M548" s="35" t="str">
        <f>INDEX(_xlfn.TEXTSPLIT(mvtst[[#This Row],[QR Suivis]],"_"),1,2)</f>
        <v>All by Fouta</v>
      </c>
      <c r="N548" s="35" t="str">
        <f>INDEX(_xlfn.TEXTSPLIT(mvtst[[#This Row],[QR Suivis]],"_"),1,3)</f>
        <v>Stock</v>
      </c>
      <c r="O548" s="35" t="str">
        <f>INDEX(_xlfn.TEXTSPLIT(mvtst[[#This Row],[QR Suivis]],"_"),1,4)</f>
        <v>UNS1020-10</v>
      </c>
      <c r="P548" s="35" t="str">
        <f>INDEX(_xlfn.TEXTSPLIT(mvtst[[#This Row],[QR Suivis]],"_"),1,5)</f>
        <v>UNI SURPIQUE</v>
      </c>
      <c r="Q548" s="35" t="str">
        <f>_xlfn.TEXTAFTER(mvtst[[#This Row],[QR Suivis]],"_",5)</f>
        <v>1020</v>
      </c>
      <c r="R548" s="84" t="str">
        <f>IF(
   COUNTIFS($A$2:A548,A548,
             $B$2:B548,B548,
             $C$2:C548,C548,
             $D$2:D548,D548,
             $G$2:G548,G548)&gt;1,
   "Doublon",
   "Correcte"
)</f>
        <v>Correcte</v>
      </c>
    </row>
    <row r="549" spans="1:18" x14ac:dyDescent="0.25">
      <c r="A549" s="104" t="s">
        <v>1436</v>
      </c>
      <c r="B549" s="35" t="s">
        <v>712</v>
      </c>
      <c r="C549" s="36">
        <v>0</v>
      </c>
      <c r="D549" s="36">
        <v>5</v>
      </c>
      <c r="E549" s="35" t="s">
        <v>699</v>
      </c>
      <c r="F549" s="35" t="s">
        <v>634</v>
      </c>
      <c r="G549" s="37">
        <v>45926.632777777777</v>
      </c>
      <c r="H549" s="37" t="str">
        <f>INDEX(_xlfn.TEXTSPLIT(mvtst[[#This Row],[QR Suivis]],"_"),1,1)</f>
        <v>CA250005-12</v>
      </c>
      <c r="I549" s="35" t="str">
        <f>_xlfn.TEXTBEFORE(mvtst[[#This Row],[Num Suivis]],"-",,,1)</f>
        <v>CA250005</v>
      </c>
      <c r="J549" s="36">
        <f>SUMIF(mvtst[QR Suivis],mvtst[[#This Row],[QR Suivis]],mvtst[QTE SORTIS])-SUMIF(mvtst[QR Suivis],mvtst[[#This Row],[QR Suivis]],mvtst[QTE RETOUR])</f>
        <v>0</v>
      </c>
      <c r="K549" s="35" t="str">
        <f t="shared" si="8"/>
        <v>Usine</v>
      </c>
      <c r="L549" s="35" t="str">
        <f>_xlfn.XLOOKUP(mvtst[[#This Row],[Sous Traitant]],coordonnee_st[Identification],coordonnee_st[SERVICE],"Non Trouvé")</f>
        <v>Frange</v>
      </c>
      <c r="M549" s="35" t="str">
        <f>INDEX(_xlfn.TEXTSPLIT(mvtst[[#This Row],[QR Suivis]],"_"),1,2)</f>
        <v>All by Fouta</v>
      </c>
      <c r="N549" s="35" t="str">
        <f>INDEX(_xlfn.TEXTSPLIT(mvtst[[#This Row],[QR Suivis]],"_"),1,3)</f>
        <v>Stock</v>
      </c>
      <c r="O549" s="35" t="str">
        <f>INDEX(_xlfn.TEXTSPLIT(mvtst[[#This Row],[QR Suivis]],"_"),1,4)</f>
        <v>UNS1020-10</v>
      </c>
      <c r="P549" s="35" t="str">
        <f>INDEX(_xlfn.TEXTSPLIT(mvtst[[#This Row],[QR Suivis]],"_"),1,5)</f>
        <v>UNI SURPIQUE</v>
      </c>
      <c r="Q549" s="35" t="str">
        <f>_xlfn.TEXTAFTER(mvtst[[#This Row],[QR Suivis]],"_",5)</f>
        <v>1020</v>
      </c>
      <c r="R549" s="84" t="str">
        <f>IF(
   COUNTIFS($A$2:A549,A549,
             $B$2:B549,B549,
             $C$2:C549,C549,
             $D$2:D549,D549,
             $G$2:G549,G549)&gt;1,
   "Doublon",
   "Correcte"
)</f>
        <v>Correcte</v>
      </c>
    </row>
    <row r="550" spans="1:18" x14ac:dyDescent="0.25">
      <c r="A550" s="104" t="s">
        <v>1437</v>
      </c>
      <c r="B550" s="35" t="s">
        <v>712</v>
      </c>
      <c r="C550" s="36">
        <v>0</v>
      </c>
      <c r="D550" s="36">
        <v>4</v>
      </c>
      <c r="E550" s="35" t="s">
        <v>699</v>
      </c>
      <c r="F550" s="35" t="s">
        <v>634</v>
      </c>
      <c r="G550" s="37">
        <v>45926.633194444446</v>
      </c>
      <c r="H550" s="37" t="str">
        <f>INDEX(_xlfn.TEXTSPLIT(mvtst[[#This Row],[QR Suivis]],"_"),1,1)</f>
        <v>CA250005-7</v>
      </c>
      <c r="I550" s="35" t="str">
        <f>_xlfn.TEXTBEFORE(mvtst[[#This Row],[Num Suivis]],"-",,,1)</f>
        <v>CA250005</v>
      </c>
      <c r="J550" s="36">
        <f>SUMIF(mvtst[QR Suivis],mvtst[[#This Row],[QR Suivis]],mvtst[QTE SORTIS])-SUMIF(mvtst[QR Suivis],mvtst[[#This Row],[QR Suivis]],mvtst[QTE RETOUR])</f>
        <v>0</v>
      </c>
      <c r="K550" s="35" t="str">
        <f t="shared" si="8"/>
        <v>Usine</v>
      </c>
      <c r="L550" s="35" t="str">
        <f>_xlfn.XLOOKUP(mvtst[[#This Row],[Sous Traitant]],coordonnee_st[Identification],coordonnee_st[SERVICE],"Non Trouvé")</f>
        <v>Frange</v>
      </c>
      <c r="M550" s="35" t="str">
        <f>INDEX(_xlfn.TEXTSPLIT(mvtst[[#This Row],[QR Suivis]],"_"),1,2)</f>
        <v>All by Fouta</v>
      </c>
      <c r="N550" s="35" t="str">
        <f>INDEX(_xlfn.TEXTSPLIT(mvtst[[#This Row],[QR Suivis]],"_"),1,3)</f>
        <v>Stock</v>
      </c>
      <c r="O550" s="35" t="str">
        <f>INDEX(_xlfn.TEXTSPLIT(mvtst[[#This Row],[QR Suivis]],"_"),1,4)</f>
        <v>UNS1020-10</v>
      </c>
      <c r="P550" s="35" t="str">
        <f>INDEX(_xlfn.TEXTSPLIT(mvtst[[#This Row],[QR Suivis]],"_"),1,5)</f>
        <v>UNI SURPIQUE</v>
      </c>
      <c r="Q550" s="35" t="str">
        <f>_xlfn.TEXTAFTER(mvtst[[#This Row],[QR Suivis]],"_",5)</f>
        <v>1020</v>
      </c>
      <c r="R550" s="84" t="str">
        <f>IF(
   COUNTIFS($A$2:A550,A550,
             $B$2:B550,B550,
             $C$2:C550,C550,
             $D$2:D550,D550,
             $G$2:G550,G550)&gt;1,
   "Doublon",
   "Correcte"
)</f>
        <v>Correcte</v>
      </c>
    </row>
    <row r="551" spans="1:18" x14ac:dyDescent="0.25">
      <c r="A551" s="104" t="s">
        <v>1516</v>
      </c>
      <c r="B551" s="35" t="s">
        <v>712</v>
      </c>
      <c r="C551" s="36">
        <v>0</v>
      </c>
      <c r="D551" s="36">
        <v>5</v>
      </c>
      <c r="E551" s="35" t="s">
        <v>699</v>
      </c>
      <c r="F551" s="35" t="s">
        <v>634</v>
      </c>
      <c r="G551" s="37">
        <v>45926.633414351854</v>
      </c>
      <c r="H551" s="37" t="str">
        <f>INDEX(_xlfn.TEXTSPLIT(mvtst[[#This Row],[QR Suivis]],"_"),1,1)</f>
        <v>CA250015-7</v>
      </c>
      <c r="I551" s="35" t="str">
        <f>_xlfn.TEXTBEFORE(mvtst[[#This Row],[Num Suivis]],"-",,,1)</f>
        <v>CA250015</v>
      </c>
      <c r="J551" s="36">
        <f>SUMIF(mvtst[QR Suivis],mvtst[[#This Row],[QR Suivis]],mvtst[QTE SORTIS])-SUMIF(mvtst[QR Suivis],mvtst[[#This Row],[QR Suivis]],mvtst[QTE RETOUR])</f>
        <v>0</v>
      </c>
      <c r="K551" s="35" t="str">
        <f t="shared" si="8"/>
        <v>Usine</v>
      </c>
      <c r="L551" s="35" t="str">
        <f>_xlfn.XLOOKUP(mvtst[[#This Row],[Sous Traitant]],coordonnee_st[Identification],coordonnee_st[SERVICE],"Non Trouvé")</f>
        <v>Frange</v>
      </c>
      <c r="M551" s="35" t="str">
        <f>INDEX(_xlfn.TEXTSPLIT(mvtst[[#This Row],[QR Suivis]],"_"),1,2)</f>
        <v>All by Fouta</v>
      </c>
      <c r="N551" s="35" t="str">
        <f>INDEX(_xlfn.TEXTSPLIT(mvtst[[#This Row],[QR Suivis]],"_"),1,3)</f>
        <v>Stock</v>
      </c>
      <c r="O551" s="35" t="str">
        <f>INDEX(_xlfn.TEXTSPLIT(mvtst[[#This Row],[QR Suivis]],"_"),1,4)</f>
        <v>UNS1020-26</v>
      </c>
      <c r="P551" s="35" t="str">
        <f>INDEX(_xlfn.TEXTSPLIT(mvtst[[#This Row],[QR Suivis]],"_"),1,5)</f>
        <v>UNI SURPIQUE</v>
      </c>
      <c r="Q551" s="35" t="str">
        <f>_xlfn.TEXTAFTER(mvtst[[#This Row],[QR Suivis]],"_",5)</f>
        <v>1020</v>
      </c>
      <c r="R551" s="84" t="str">
        <f>IF(
   COUNTIFS($A$2:A551,A551,
             $B$2:B551,B551,
             $C$2:C551,C551,
             $D$2:D551,D551,
             $G$2:G551,G551)&gt;1,
   "Doublon",
   "Correcte"
)</f>
        <v>Correcte</v>
      </c>
    </row>
    <row r="552" spans="1:18" x14ac:dyDescent="0.25">
      <c r="A552" s="104" t="s">
        <v>1517</v>
      </c>
      <c r="B552" s="35" t="s">
        <v>712</v>
      </c>
      <c r="C552" s="36">
        <v>0</v>
      </c>
      <c r="D552" s="36">
        <v>5</v>
      </c>
      <c r="E552" s="35" t="s">
        <v>699</v>
      </c>
      <c r="F552" s="35" t="s">
        <v>634</v>
      </c>
      <c r="G552" s="37">
        <v>45926.633900462963</v>
      </c>
      <c r="H552" s="37" t="str">
        <f>INDEX(_xlfn.TEXTSPLIT(mvtst[[#This Row],[QR Suivis]],"_"),1,1)</f>
        <v>CA250015-9</v>
      </c>
      <c r="I552" s="35" t="str">
        <f>_xlfn.TEXTBEFORE(mvtst[[#This Row],[Num Suivis]],"-",,,1)</f>
        <v>CA250015</v>
      </c>
      <c r="J552" s="36">
        <f>SUMIF(mvtst[QR Suivis],mvtst[[#This Row],[QR Suivis]],mvtst[QTE SORTIS])-SUMIF(mvtst[QR Suivis],mvtst[[#This Row],[QR Suivis]],mvtst[QTE RETOUR])</f>
        <v>0</v>
      </c>
      <c r="K552" s="35" t="str">
        <f t="shared" si="8"/>
        <v>Usine</v>
      </c>
      <c r="L552" s="35" t="str">
        <f>_xlfn.XLOOKUP(mvtst[[#This Row],[Sous Traitant]],coordonnee_st[Identification],coordonnee_st[SERVICE],"Non Trouvé")</f>
        <v>Frange</v>
      </c>
      <c r="M552" s="35" t="str">
        <f>INDEX(_xlfn.TEXTSPLIT(mvtst[[#This Row],[QR Suivis]],"_"),1,2)</f>
        <v>All by Fouta</v>
      </c>
      <c r="N552" s="35" t="str">
        <f>INDEX(_xlfn.TEXTSPLIT(mvtst[[#This Row],[QR Suivis]],"_"),1,3)</f>
        <v>Stock</v>
      </c>
      <c r="O552" s="35" t="str">
        <f>INDEX(_xlfn.TEXTSPLIT(mvtst[[#This Row],[QR Suivis]],"_"),1,4)</f>
        <v>UNS1020-26</v>
      </c>
      <c r="P552" s="35" t="str">
        <f>INDEX(_xlfn.TEXTSPLIT(mvtst[[#This Row],[QR Suivis]],"_"),1,5)</f>
        <v>UNI SURPIQUE</v>
      </c>
      <c r="Q552" s="35" t="str">
        <f>_xlfn.TEXTAFTER(mvtst[[#This Row],[QR Suivis]],"_",5)</f>
        <v>1020</v>
      </c>
      <c r="R552" s="84" t="str">
        <f>IF(
   COUNTIFS($A$2:A552,A552,
             $B$2:B552,B552,
             $C$2:C552,C552,
             $D$2:D552,D552,
             $G$2:G552,G552)&gt;1,
   "Doublon",
   "Correcte"
)</f>
        <v>Correcte</v>
      </c>
    </row>
    <row r="553" spans="1:18" x14ac:dyDescent="0.25">
      <c r="A553" s="104" t="s">
        <v>1518</v>
      </c>
      <c r="B553" s="35" t="s">
        <v>712</v>
      </c>
      <c r="C553" s="36">
        <v>0</v>
      </c>
      <c r="D553" s="36">
        <v>5</v>
      </c>
      <c r="E553" s="35" t="s">
        <v>699</v>
      </c>
      <c r="F553" s="35" t="s">
        <v>634</v>
      </c>
      <c r="G553" s="37">
        <v>45926.634131944447</v>
      </c>
      <c r="H553" s="37" t="str">
        <f>INDEX(_xlfn.TEXTSPLIT(mvtst[[#This Row],[QR Suivis]],"_"),1,1)</f>
        <v>CA250015-2</v>
      </c>
      <c r="I553" s="35" t="str">
        <f>_xlfn.TEXTBEFORE(mvtst[[#This Row],[Num Suivis]],"-",,,1)</f>
        <v>CA250015</v>
      </c>
      <c r="J553" s="36">
        <f>SUMIF(mvtst[QR Suivis],mvtst[[#This Row],[QR Suivis]],mvtst[QTE SORTIS])-SUMIF(mvtst[QR Suivis],mvtst[[#This Row],[QR Suivis]],mvtst[QTE RETOUR])</f>
        <v>0</v>
      </c>
      <c r="K553" s="35" t="str">
        <f t="shared" si="8"/>
        <v>Usine</v>
      </c>
      <c r="L553" s="35" t="str">
        <f>_xlfn.XLOOKUP(mvtst[[#This Row],[Sous Traitant]],coordonnee_st[Identification],coordonnee_st[SERVICE],"Non Trouvé")</f>
        <v>Frange</v>
      </c>
      <c r="M553" s="35" t="str">
        <f>INDEX(_xlfn.TEXTSPLIT(mvtst[[#This Row],[QR Suivis]],"_"),1,2)</f>
        <v>All by Fouta</v>
      </c>
      <c r="N553" s="35" t="str">
        <f>INDEX(_xlfn.TEXTSPLIT(mvtst[[#This Row],[QR Suivis]],"_"),1,3)</f>
        <v>Stock</v>
      </c>
      <c r="O553" s="35" t="str">
        <f>INDEX(_xlfn.TEXTSPLIT(mvtst[[#This Row],[QR Suivis]],"_"),1,4)</f>
        <v>UNS1020-26</v>
      </c>
      <c r="P553" s="35" t="str">
        <f>INDEX(_xlfn.TEXTSPLIT(mvtst[[#This Row],[QR Suivis]],"_"),1,5)</f>
        <v>UNI SURPIQUE</v>
      </c>
      <c r="Q553" s="35" t="str">
        <f>_xlfn.TEXTAFTER(mvtst[[#This Row],[QR Suivis]],"_",5)</f>
        <v>1020</v>
      </c>
      <c r="R553" s="84" t="str">
        <f>IF(
   COUNTIFS($A$2:A553,A553,
             $B$2:B553,B553,
             $C$2:C553,C553,
             $D$2:D553,D553,
             $G$2:G553,G553)&gt;1,
   "Doublon",
   "Correcte"
)</f>
        <v>Correcte</v>
      </c>
    </row>
    <row r="554" spans="1:18" x14ac:dyDescent="0.25">
      <c r="A554" s="104" t="s">
        <v>1519</v>
      </c>
      <c r="B554" s="35" t="s">
        <v>712</v>
      </c>
      <c r="C554" s="36">
        <v>0</v>
      </c>
      <c r="D554" s="36">
        <v>5</v>
      </c>
      <c r="E554" s="35" t="s">
        <v>699</v>
      </c>
      <c r="F554" s="35" t="s">
        <v>634</v>
      </c>
      <c r="G554" s="37">
        <v>45926.634513888886</v>
      </c>
      <c r="H554" s="37" t="str">
        <f>INDEX(_xlfn.TEXTSPLIT(mvtst[[#This Row],[QR Suivis]],"_"),1,1)</f>
        <v>CA250015-12</v>
      </c>
      <c r="I554" s="35" t="str">
        <f>_xlfn.TEXTBEFORE(mvtst[[#This Row],[Num Suivis]],"-",,,1)</f>
        <v>CA250015</v>
      </c>
      <c r="J554" s="36">
        <f>SUMIF(mvtst[QR Suivis],mvtst[[#This Row],[QR Suivis]],mvtst[QTE SORTIS])-SUMIF(mvtst[QR Suivis],mvtst[[#This Row],[QR Suivis]],mvtst[QTE RETOUR])</f>
        <v>0</v>
      </c>
      <c r="K554" s="35" t="str">
        <f t="shared" si="8"/>
        <v>Usine</v>
      </c>
      <c r="L554" s="35" t="str">
        <f>_xlfn.XLOOKUP(mvtst[[#This Row],[Sous Traitant]],coordonnee_st[Identification],coordonnee_st[SERVICE],"Non Trouvé")</f>
        <v>Frange</v>
      </c>
      <c r="M554" s="35" t="str">
        <f>INDEX(_xlfn.TEXTSPLIT(mvtst[[#This Row],[QR Suivis]],"_"),1,2)</f>
        <v>All by Fouta</v>
      </c>
      <c r="N554" s="35" t="str">
        <f>INDEX(_xlfn.TEXTSPLIT(mvtst[[#This Row],[QR Suivis]],"_"),1,3)</f>
        <v>Stock</v>
      </c>
      <c r="O554" s="35" t="str">
        <f>INDEX(_xlfn.TEXTSPLIT(mvtst[[#This Row],[QR Suivis]],"_"),1,4)</f>
        <v>UNS1020-26</v>
      </c>
      <c r="P554" s="35" t="str">
        <f>INDEX(_xlfn.TEXTSPLIT(mvtst[[#This Row],[QR Suivis]],"_"),1,5)</f>
        <v>UNI SURPIQUE</v>
      </c>
      <c r="Q554" s="35" t="str">
        <f>_xlfn.TEXTAFTER(mvtst[[#This Row],[QR Suivis]],"_",5)</f>
        <v>1020</v>
      </c>
      <c r="R554" s="84" t="str">
        <f>IF(
   COUNTIFS($A$2:A554,A554,
             $B$2:B554,B554,
             $C$2:C554,C554,
             $D$2:D554,D554,
             $G$2:G554,G554)&gt;1,
   "Doublon",
   "Correcte"
)</f>
        <v>Correcte</v>
      </c>
    </row>
    <row r="555" spans="1:18" x14ac:dyDescent="0.25">
      <c r="A555" s="104" t="s">
        <v>1520</v>
      </c>
      <c r="B555" s="35" t="s">
        <v>712</v>
      </c>
      <c r="C555" s="36">
        <v>0</v>
      </c>
      <c r="D555" s="36">
        <v>5</v>
      </c>
      <c r="E555" s="35" t="s">
        <v>699</v>
      </c>
      <c r="F555" s="35" t="s">
        <v>634</v>
      </c>
      <c r="G555" s="37">
        <v>45926.635127314818</v>
      </c>
      <c r="H555" s="37" t="str">
        <f>INDEX(_xlfn.TEXTSPLIT(mvtst[[#This Row],[QR Suivis]],"_"),1,1)</f>
        <v>CA250015-3</v>
      </c>
      <c r="I555" s="35" t="str">
        <f>_xlfn.TEXTBEFORE(mvtst[[#This Row],[Num Suivis]],"-",,,1)</f>
        <v>CA250015</v>
      </c>
      <c r="J555" s="36">
        <f>SUMIF(mvtst[QR Suivis],mvtst[[#This Row],[QR Suivis]],mvtst[QTE SORTIS])-SUMIF(mvtst[QR Suivis],mvtst[[#This Row],[QR Suivis]],mvtst[QTE RETOUR])</f>
        <v>0</v>
      </c>
      <c r="K555" s="35" t="str">
        <f t="shared" si="8"/>
        <v>Usine</v>
      </c>
      <c r="L555" s="35" t="str">
        <f>_xlfn.XLOOKUP(mvtst[[#This Row],[Sous Traitant]],coordonnee_st[Identification],coordonnee_st[SERVICE],"Non Trouvé")</f>
        <v>Frange</v>
      </c>
      <c r="M555" s="35" t="str">
        <f>INDEX(_xlfn.TEXTSPLIT(mvtst[[#This Row],[QR Suivis]],"_"),1,2)</f>
        <v>All by Fouta</v>
      </c>
      <c r="N555" s="35" t="str">
        <f>INDEX(_xlfn.TEXTSPLIT(mvtst[[#This Row],[QR Suivis]],"_"),1,3)</f>
        <v>Stock</v>
      </c>
      <c r="O555" s="35" t="str">
        <f>INDEX(_xlfn.TEXTSPLIT(mvtst[[#This Row],[QR Suivis]],"_"),1,4)</f>
        <v>UNS1020-26</v>
      </c>
      <c r="P555" s="35" t="str">
        <f>INDEX(_xlfn.TEXTSPLIT(mvtst[[#This Row],[QR Suivis]],"_"),1,5)</f>
        <v>UNI SURPIQUE</v>
      </c>
      <c r="Q555" s="35" t="str">
        <f>_xlfn.TEXTAFTER(mvtst[[#This Row],[QR Suivis]],"_",5)</f>
        <v>1020</v>
      </c>
      <c r="R555" s="84" t="str">
        <f>IF(
   COUNTIFS($A$2:A555,A555,
             $B$2:B555,B555,
             $C$2:C555,C555,
             $D$2:D555,D555,
             $G$2:G555,G555)&gt;1,
   "Doublon",
   "Correcte"
)</f>
        <v>Correcte</v>
      </c>
    </row>
    <row r="556" spans="1:18" x14ac:dyDescent="0.25">
      <c r="A556" s="104" t="s">
        <v>1438</v>
      </c>
      <c r="B556" s="35" t="s">
        <v>712</v>
      </c>
      <c r="C556" s="36">
        <v>0</v>
      </c>
      <c r="D556" s="36">
        <v>1</v>
      </c>
      <c r="E556" s="35" t="s">
        <v>699</v>
      </c>
      <c r="F556" s="35" t="s">
        <v>634</v>
      </c>
      <c r="G556" s="37">
        <v>45926.63554398148</v>
      </c>
      <c r="H556" s="37" t="str">
        <f>INDEX(_xlfn.TEXTSPLIT(mvtst[[#This Row],[QR Suivis]],"_"),1,1)</f>
        <v>CA250005-13</v>
      </c>
      <c r="I556" s="35" t="str">
        <f>_xlfn.TEXTBEFORE(mvtst[[#This Row],[Num Suivis]],"-",,,1)</f>
        <v>CA250005</v>
      </c>
      <c r="J556" s="36">
        <f>SUMIF(mvtst[QR Suivis],mvtst[[#This Row],[QR Suivis]],mvtst[QTE SORTIS])-SUMIF(mvtst[QR Suivis],mvtst[[#This Row],[QR Suivis]],mvtst[QTE RETOUR])</f>
        <v>0</v>
      </c>
      <c r="K556" s="35" t="str">
        <f t="shared" si="8"/>
        <v>Usine</v>
      </c>
      <c r="L556" s="35" t="str">
        <f>_xlfn.XLOOKUP(mvtst[[#This Row],[Sous Traitant]],coordonnee_st[Identification],coordonnee_st[SERVICE],"Non Trouvé")</f>
        <v>Frange</v>
      </c>
      <c r="M556" s="35" t="str">
        <f>INDEX(_xlfn.TEXTSPLIT(mvtst[[#This Row],[QR Suivis]],"_"),1,2)</f>
        <v>All by Fouta</v>
      </c>
      <c r="N556" s="35" t="str">
        <f>INDEX(_xlfn.TEXTSPLIT(mvtst[[#This Row],[QR Suivis]],"_"),1,3)</f>
        <v>Stock</v>
      </c>
      <c r="O556" s="35" t="str">
        <f>INDEX(_xlfn.TEXTSPLIT(mvtst[[#This Row],[QR Suivis]],"_"),1,4)</f>
        <v>UNS1020-10</v>
      </c>
      <c r="P556" s="35" t="str">
        <f>INDEX(_xlfn.TEXTSPLIT(mvtst[[#This Row],[QR Suivis]],"_"),1,5)</f>
        <v>UNI SURPIQUE</v>
      </c>
      <c r="Q556" s="35" t="str">
        <f>_xlfn.TEXTAFTER(mvtst[[#This Row],[QR Suivis]],"_",5)</f>
        <v>1020</v>
      </c>
      <c r="R556" s="84" t="str">
        <f>IF(
   COUNTIFS($A$2:A556,A556,
             $B$2:B556,B556,
             $C$2:C556,C556,
             $D$2:D556,D556,
             $G$2:G556,G556)&gt;1,
   "Doublon",
   "Correcte"
)</f>
        <v>Correcte</v>
      </c>
    </row>
    <row r="557" spans="1:18" x14ac:dyDescent="0.25">
      <c r="A557" s="104" t="s">
        <v>1509</v>
      </c>
      <c r="B557" s="35" t="s">
        <v>712</v>
      </c>
      <c r="C557" s="36">
        <v>0</v>
      </c>
      <c r="D557" s="36">
        <v>5</v>
      </c>
      <c r="E557" s="35" t="s">
        <v>699</v>
      </c>
      <c r="F557" s="35" t="s">
        <v>634</v>
      </c>
      <c r="G557" s="37">
        <v>45926.635949074072</v>
      </c>
      <c r="H557" s="37" t="str">
        <f>INDEX(_xlfn.TEXTSPLIT(mvtst[[#This Row],[QR Suivis]],"_"),1,1)</f>
        <v>CA250012-2</v>
      </c>
      <c r="I557" s="35" t="str">
        <f>_xlfn.TEXTBEFORE(mvtst[[#This Row],[Num Suivis]],"-",,,1)</f>
        <v>CA250012</v>
      </c>
      <c r="J557" s="36">
        <f>SUMIF(mvtst[QR Suivis],mvtst[[#This Row],[QR Suivis]],mvtst[QTE SORTIS])-SUMIF(mvtst[QR Suivis],mvtst[[#This Row],[QR Suivis]],mvtst[QTE RETOUR])</f>
        <v>0</v>
      </c>
      <c r="K557" s="35" t="str">
        <f t="shared" si="8"/>
        <v>Usine</v>
      </c>
      <c r="L557" s="35" t="str">
        <f>_xlfn.XLOOKUP(mvtst[[#This Row],[Sous Traitant]],coordonnee_st[Identification],coordonnee_st[SERVICE],"Non Trouvé")</f>
        <v>Frange</v>
      </c>
      <c r="M557" s="35" t="str">
        <f>INDEX(_xlfn.TEXTSPLIT(mvtst[[#This Row],[QR Suivis]],"_"),1,2)</f>
        <v>All by Fouta</v>
      </c>
      <c r="N557" s="35" t="str">
        <f>INDEX(_xlfn.TEXTSPLIT(mvtst[[#This Row],[QR Suivis]],"_"),1,3)</f>
        <v>Stock</v>
      </c>
      <c r="O557" s="35" t="str">
        <f>INDEX(_xlfn.TEXTSPLIT(mvtst[[#This Row],[QR Suivis]],"_"),1,4)</f>
        <v>UNS1020-20</v>
      </c>
      <c r="P557" s="35" t="str">
        <f>INDEX(_xlfn.TEXTSPLIT(mvtst[[#This Row],[QR Suivis]],"_"),1,5)</f>
        <v>UNI SURPIQUE</v>
      </c>
      <c r="Q557" s="35" t="str">
        <f>_xlfn.TEXTAFTER(mvtst[[#This Row],[QR Suivis]],"_",5)</f>
        <v>1020</v>
      </c>
      <c r="R557" s="84" t="str">
        <f>IF(
   COUNTIFS($A$2:A557,A557,
             $B$2:B557,B557,
             $C$2:C557,C557,
             $D$2:D557,D557,
             $G$2:G557,G557)&gt;1,
   "Doublon",
   "Correcte"
)</f>
        <v>Correcte</v>
      </c>
    </row>
    <row r="558" spans="1:18" x14ac:dyDescent="0.25">
      <c r="A558" s="104" t="s">
        <v>1307</v>
      </c>
      <c r="B558" s="35" t="s">
        <v>712</v>
      </c>
      <c r="C558" s="36">
        <v>0</v>
      </c>
      <c r="D558" s="36">
        <v>5</v>
      </c>
      <c r="E558" s="35" t="s">
        <v>699</v>
      </c>
      <c r="F558" s="35" t="s">
        <v>634</v>
      </c>
      <c r="G558" s="37">
        <v>45926.636458333334</v>
      </c>
      <c r="H558" s="37" t="str">
        <f>INDEX(_xlfn.TEXTSPLIT(mvtst[[#This Row],[QR Suivis]],"_"),1,1)</f>
        <v>CA250014</v>
      </c>
      <c r="I558" s="35" t="str">
        <f>_xlfn.TEXTBEFORE(mvtst[[#This Row],[Num Suivis]],"-",,,1)</f>
        <v>CA250014</v>
      </c>
      <c r="J558" s="36">
        <f>SUMIF(mvtst[QR Suivis],mvtst[[#This Row],[QR Suivis]],mvtst[QTE SORTIS])-SUMIF(mvtst[QR Suivis],mvtst[[#This Row],[QR Suivis]],mvtst[QTE RETOUR])</f>
        <v>0</v>
      </c>
      <c r="K558" s="35" t="str">
        <f t="shared" si="8"/>
        <v>Usine</v>
      </c>
      <c r="L558" s="35" t="str">
        <f>_xlfn.XLOOKUP(mvtst[[#This Row],[Sous Traitant]],coordonnee_st[Identification],coordonnee_st[SERVICE],"Non Trouvé")</f>
        <v>Frange</v>
      </c>
      <c r="M558" s="35" t="str">
        <f>INDEX(_xlfn.TEXTSPLIT(mvtst[[#This Row],[QR Suivis]],"_"),1,2)</f>
        <v>All by Fouta</v>
      </c>
      <c r="N558" s="35" t="str">
        <f>INDEX(_xlfn.TEXTSPLIT(mvtst[[#This Row],[QR Suivis]],"_"),1,3)</f>
        <v>Stock</v>
      </c>
      <c r="O558" s="35" t="str">
        <f>INDEX(_xlfn.TEXTSPLIT(mvtst[[#This Row],[QR Suivis]],"_"),1,4)</f>
        <v>UNS1020-24</v>
      </c>
      <c r="P558" s="35" t="str">
        <f>INDEX(_xlfn.TEXTSPLIT(mvtst[[#This Row],[QR Suivis]],"_"),1,5)</f>
        <v>UNI SURPIQUE</v>
      </c>
      <c r="Q558" s="35" t="str">
        <f>_xlfn.TEXTAFTER(mvtst[[#This Row],[QR Suivis]],"_",5)</f>
        <v>1020</v>
      </c>
      <c r="R558" s="84" t="str">
        <f>IF(
   COUNTIFS($A$2:A558,A558,
             $B$2:B558,B558,
             $C$2:C558,C558,
             $D$2:D558,D558,
             $G$2:G558,G558)&gt;1,
   "Doublon",
   "Correcte"
)</f>
        <v>Correcte</v>
      </c>
    </row>
    <row r="559" spans="1:18" x14ac:dyDescent="0.25">
      <c r="A559" s="104" t="s">
        <v>1594</v>
      </c>
      <c r="B559" s="35" t="s">
        <v>595</v>
      </c>
      <c r="C559" s="36">
        <v>0</v>
      </c>
      <c r="D559" s="36">
        <v>2</v>
      </c>
      <c r="E559" s="35" t="s">
        <v>699</v>
      </c>
      <c r="F559" s="35" t="s">
        <v>634</v>
      </c>
      <c r="G559" s="37">
        <v>45926.637453703705</v>
      </c>
      <c r="H559" s="37" t="str">
        <f>INDEX(_xlfn.TEXTSPLIT(mvtst[[#This Row],[QR Suivis]],"_"),1,1)</f>
        <v>OF250134-1</v>
      </c>
      <c r="I559" s="35" t="str">
        <f>_xlfn.TEXTBEFORE(mvtst[[#This Row],[Num Suivis]],"-",,,1)</f>
        <v>OF250134</v>
      </c>
      <c r="J559" s="36">
        <f>SUMIF(mvtst[QR Suivis],mvtst[[#This Row],[QR Suivis]],mvtst[QTE SORTIS])-SUMIF(mvtst[QR Suivis],mvtst[[#This Row],[QR Suivis]],mvtst[QTE RETOUR])</f>
        <v>0</v>
      </c>
      <c r="K559" s="35" t="str">
        <f t="shared" si="8"/>
        <v>Usine</v>
      </c>
      <c r="L559" s="35" t="str">
        <f>_xlfn.XLOOKUP(mvtst[[#This Row],[Sous Traitant]],coordonnee_st[Identification],coordonnee_st[SERVICE],"Non Trouvé")</f>
        <v>Frange</v>
      </c>
      <c r="M559" s="35" t="str">
        <f>INDEX(_xlfn.TEXTSPLIT(mvtst[[#This Row],[QR Suivis]],"_"),1,2)</f>
        <v>CL00162</v>
      </c>
      <c r="N559" s="35" t="str">
        <f>INDEX(_xlfn.TEXTSPLIT(mvtst[[#This Row],[QR Suivis]],"_"),1,3)</f>
        <v>CM-FT0130</v>
      </c>
      <c r="O559" s="35" t="str">
        <f>INDEX(_xlfn.TEXTSPLIT(mvtst[[#This Row],[QR Suivis]],"_"),1,4)</f>
        <v>OLI2426-B18-19</v>
      </c>
      <c r="P559" s="35" t="str">
        <f>INDEX(_xlfn.TEXTSPLIT(mvtst[[#This Row],[QR Suivis]],"_"),1,5)</f>
        <v>OLIVIER</v>
      </c>
      <c r="Q559" s="35" t="str">
        <f>_xlfn.TEXTAFTER(mvtst[[#This Row],[QR Suivis]],"_",5)</f>
        <v>2426</v>
      </c>
      <c r="R559" s="84" t="str">
        <f>IF(
   COUNTIFS($A$2:A559,A559,
             $B$2:B559,B559,
             $C$2:C559,C559,
             $D$2:D559,D559,
             $G$2:G559,G559)&gt;1,
   "Doublon",
   "Correcte"
)</f>
        <v>Correcte</v>
      </c>
    </row>
    <row r="560" spans="1:18" x14ac:dyDescent="0.25">
      <c r="A560" s="104" t="s">
        <v>1595</v>
      </c>
      <c r="B560" s="35" t="s">
        <v>595</v>
      </c>
      <c r="C560" s="36">
        <v>0</v>
      </c>
      <c r="D560" s="36">
        <v>1</v>
      </c>
      <c r="E560" s="35" t="s">
        <v>699</v>
      </c>
      <c r="F560" s="35" t="s">
        <v>634</v>
      </c>
      <c r="G560" s="37">
        <v>45926.637928240743</v>
      </c>
      <c r="H560" s="37" t="str">
        <f>INDEX(_xlfn.TEXTSPLIT(mvtst[[#This Row],[QR Suivis]],"_"),1,1)</f>
        <v>OF250134-2</v>
      </c>
      <c r="I560" s="35" t="str">
        <f>_xlfn.TEXTBEFORE(mvtst[[#This Row],[Num Suivis]],"-",,,1)</f>
        <v>OF250134</v>
      </c>
      <c r="J560" s="36">
        <f>SUMIF(mvtst[QR Suivis],mvtst[[#This Row],[QR Suivis]],mvtst[QTE SORTIS])-SUMIF(mvtst[QR Suivis],mvtst[[#This Row],[QR Suivis]],mvtst[QTE RETOUR])</f>
        <v>0</v>
      </c>
      <c r="K560" s="35" t="str">
        <f t="shared" si="8"/>
        <v>Usine</v>
      </c>
      <c r="L560" s="35" t="str">
        <f>_xlfn.XLOOKUP(mvtst[[#This Row],[Sous Traitant]],coordonnee_st[Identification],coordonnee_st[SERVICE],"Non Trouvé")</f>
        <v>Frange</v>
      </c>
      <c r="M560" s="35" t="str">
        <f>INDEX(_xlfn.TEXTSPLIT(mvtst[[#This Row],[QR Suivis]],"_"),1,2)</f>
        <v>CL00162</v>
      </c>
      <c r="N560" s="35" t="str">
        <f>INDEX(_xlfn.TEXTSPLIT(mvtst[[#This Row],[QR Suivis]],"_"),1,3)</f>
        <v>CM-FT0130</v>
      </c>
      <c r="O560" s="35" t="str">
        <f>INDEX(_xlfn.TEXTSPLIT(mvtst[[#This Row],[QR Suivis]],"_"),1,4)</f>
        <v>OLI2426-B18-19</v>
      </c>
      <c r="P560" s="35" t="str">
        <f>INDEX(_xlfn.TEXTSPLIT(mvtst[[#This Row],[QR Suivis]],"_"),1,5)</f>
        <v>OLIVIER</v>
      </c>
      <c r="Q560" s="35" t="str">
        <f>_xlfn.TEXTAFTER(mvtst[[#This Row],[QR Suivis]],"_",5)</f>
        <v>2426</v>
      </c>
      <c r="R560" s="84" t="str">
        <f>IF(
   COUNTIFS($A$2:A560,A560,
             $B$2:B560,B560,
             $C$2:C560,C560,
             $D$2:D560,D560,
             $G$2:G560,G560)&gt;1,
   "Doublon",
   "Correcte"
)</f>
        <v>Correcte</v>
      </c>
    </row>
    <row r="561" spans="1:18" x14ac:dyDescent="0.25">
      <c r="A561" s="104" t="s">
        <v>1596</v>
      </c>
      <c r="B561" s="35" t="s">
        <v>595</v>
      </c>
      <c r="C561" s="36">
        <v>0</v>
      </c>
      <c r="D561" s="36">
        <v>2</v>
      </c>
      <c r="E561" s="35" t="s">
        <v>699</v>
      </c>
      <c r="F561" s="35" t="s">
        <v>634</v>
      </c>
      <c r="G561" s="37">
        <v>45926.639560185184</v>
      </c>
      <c r="H561" s="37" t="str">
        <f>INDEX(_xlfn.TEXTSPLIT(mvtst[[#This Row],[QR Suivis]],"_"),1,1)</f>
        <v>OF250134-3</v>
      </c>
      <c r="I561" s="35" t="str">
        <f>_xlfn.TEXTBEFORE(mvtst[[#This Row],[Num Suivis]],"-",,,1)</f>
        <v>OF250134</v>
      </c>
      <c r="J561" s="36">
        <f>SUMIF(mvtst[QR Suivis],mvtst[[#This Row],[QR Suivis]],mvtst[QTE SORTIS])-SUMIF(mvtst[QR Suivis],mvtst[[#This Row],[QR Suivis]],mvtst[QTE RETOUR])</f>
        <v>0</v>
      </c>
      <c r="K561" s="35" t="str">
        <f t="shared" si="8"/>
        <v>Usine</v>
      </c>
      <c r="L561" s="35" t="str">
        <f>_xlfn.XLOOKUP(mvtst[[#This Row],[Sous Traitant]],coordonnee_st[Identification],coordonnee_st[SERVICE],"Non Trouvé")</f>
        <v>Frange</v>
      </c>
      <c r="M561" s="35" t="str">
        <f>INDEX(_xlfn.TEXTSPLIT(mvtst[[#This Row],[QR Suivis]],"_"),1,2)</f>
        <v>CL00162</v>
      </c>
      <c r="N561" s="35" t="str">
        <f>INDEX(_xlfn.TEXTSPLIT(mvtst[[#This Row],[QR Suivis]],"_"),1,3)</f>
        <v>CM-FT0130</v>
      </c>
      <c r="O561" s="35" t="str">
        <f>INDEX(_xlfn.TEXTSPLIT(mvtst[[#This Row],[QR Suivis]],"_"),1,4)</f>
        <v>OLI2426-B18-19</v>
      </c>
      <c r="P561" s="35" t="str">
        <f>INDEX(_xlfn.TEXTSPLIT(mvtst[[#This Row],[QR Suivis]],"_"),1,5)</f>
        <v>OLIVIER</v>
      </c>
      <c r="Q561" s="35" t="str">
        <f>_xlfn.TEXTAFTER(mvtst[[#This Row],[QR Suivis]],"_",5)</f>
        <v>2426</v>
      </c>
      <c r="R561" s="84" t="str">
        <f>IF(
   COUNTIFS($A$2:A561,A561,
             $B$2:B561,B561,
             $C$2:C561,C561,
             $D$2:D561,D561,
             $G$2:G561,G561)&gt;1,
   "Doublon",
   "Correcte"
)</f>
        <v>Correcte</v>
      </c>
    </row>
    <row r="562" spans="1:18" x14ac:dyDescent="0.25">
      <c r="A562" s="104" t="s">
        <v>1521</v>
      </c>
      <c r="B562" s="35" t="s">
        <v>712</v>
      </c>
      <c r="C562" s="36">
        <v>0</v>
      </c>
      <c r="D562" s="36">
        <v>5</v>
      </c>
      <c r="E562" s="35" t="s">
        <v>699</v>
      </c>
      <c r="F562" s="35" t="s">
        <v>634</v>
      </c>
      <c r="G562" s="37">
        <v>45926.640335648146</v>
      </c>
      <c r="H562" s="37" t="str">
        <f>INDEX(_xlfn.TEXTSPLIT(mvtst[[#This Row],[QR Suivis]],"_"),1,1)</f>
        <v>CA250015-6</v>
      </c>
      <c r="I562" s="35" t="str">
        <f>_xlfn.TEXTBEFORE(mvtst[[#This Row],[Num Suivis]],"-",,,1)</f>
        <v>CA250015</v>
      </c>
      <c r="J562" s="36">
        <f>SUMIF(mvtst[QR Suivis],mvtst[[#This Row],[QR Suivis]],mvtst[QTE SORTIS])-SUMIF(mvtst[QR Suivis],mvtst[[#This Row],[QR Suivis]],mvtst[QTE RETOUR])</f>
        <v>0</v>
      </c>
      <c r="K562" s="35" t="str">
        <f t="shared" si="8"/>
        <v>Usine</v>
      </c>
      <c r="L562" s="35" t="str">
        <f>_xlfn.XLOOKUP(mvtst[[#This Row],[Sous Traitant]],coordonnee_st[Identification],coordonnee_st[SERVICE],"Non Trouvé")</f>
        <v>Frange</v>
      </c>
      <c r="M562" s="35" t="str">
        <f>INDEX(_xlfn.TEXTSPLIT(mvtst[[#This Row],[QR Suivis]],"_"),1,2)</f>
        <v>All by Fouta</v>
      </c>
      <c r="N562" s="35" t="str">
        <f>INDEX(_xlfn.TEXTSPLIT(mvtst[[#This Row],[QR Suivis]],"_"),1,3)</f>
        <v>Stock</v>
      </c>
      <c r="O562" s="35" t="str">
        <f>INDEX(_xlfn.TEXTSPLIT(mvtst[[#This Row],[QR Suivis]],"_"),1,4)</f>
        <v>UNS1020-26</v>
      </c>
      <c r="P562" s="35" t="str">
        <f>INDEX(_xlfn.TEXTSPLIT(mvtst[[#This Row],[QR Suivis]],"_"),1,5)</f>
        <v>UNI SURPIQUE</v>
      </c>
      <c r="Q562" s="35" t="str">
        <f>_xlfn.TEXTAFTER(mvtst[[#This Row],[QR Suivis]],"_",5)</f>
        <v>1020</v>
      </c>
      <c r="R562" s="84" t="str">
        <f>IF(
   COUNTIFS($A$2:A562,A562,
             $B$2:B562,B562,
             $C$2:C562,C562,
             $D$2:D562,D562,
             $G$2:G562,G562)&gt;1,
   "Doublon",
   "Correcte"
)</f>
        <v>Correcte</v>
      </c>
    </row>
    <row r="563" spans="1:18" x14ac:dyDescent="0.25">
      <c r="A563" s="104" t="s">
        <v>1522</v>
      </c>
      <c r="B563" s="35" t="s">
        <v>712</v>
      </c>
      <c r="C563" s="36">
        <v>0</v>
      </c>
      <c r="D563" s="36">
        <v>5</v>
      </c>
      <c r="E563" s="35" t="s">
        <v>699</v>
      </c>
      <c r="F563" s="35" t="s">
        <v>634</v>
      </c>
      <c r="G563" s="37">
        <v>45926.640613425923</v>
      </c>
      <c r="H563" s="37" t="str">
        <f>INDEX(_xlfn.TEXTSPLIT(mvtst[[#This Row],[QR Suivis]],"_"),1,1)</f>
        <v>CA250015-4</v>
      </c>
      <c r="I563" s="35" t="str">
        <f>_xlfn.TEXTBEFORE(mvtst[[#This Row],[Num Suivis]],"-",,,1)</f>
        <v>CA250015</v>
      </c>
      <c r="J563" s="36">
        <f>SUMIF(mvtst[QR Suivis],mvtst[[#This Row],[QR Suivis]],mvtst[QTE SORTIS])-SUMIF(mvtst[QR Suivis],mvtst[[#This Row],[QR Suivis]],mvtst[QTE RETOUR])</f>
        <v>0</v>
      </c>
      <c r="K563" s="35" t="str">
        <f t="shared" si="8"/>
        <v>Usine</v>
      </c>
      <c r="L563" s="35" t="str">
        <f>_xlfn.XLOOKUP(mvtst[[#This Row],[Sous Traitant]],coordonnee_st[Identification],coordonnee_st[SERVICE],"Non Trouvé")</f>
        <v>Frange</v>
      </c>
      <c r="M563" s="35" t="str">
        <f>INDEX(_xlfn.TEXTSPLIT(mvtst[[#This Row],[QR Suivis]],"_"),1,2)</f>
        <v>All by Fouta</v>
      </c>
      <c r="N563" s="35" t="str">
        <f>INDEX(_xlfn.TEXTSPLIT(mvtst[[#This Row],[QR Suivis]],"_"),1,3)</f>
        <v>Stock</v>
      </c>
      <c r="O563" s="35" t="str">
        <f>INDEX(_xlfn.TEXTSPLIT(mvtst[[#This Row],[QR Suivis]],"_"),1,4)</f>
        <v>UNS1020-26</v>
      </c>
      <c r="P563" s="35" t="str">
        <f>INDEX(_xlfn.TEXTSPLIT(mvtst[[#This Row],[QR Suivis]],"_"),1,5)</f>
        <v>UNI SURPIQUE</v>
      </c>
      <c r="Q563" s="35" t="str">
        <f>_xlfn.TEXTAFTER(mvtst[[#This Row],[QR Suivis]],"_",5)</f>
        <v>1020</v>
      </c>
      <c r="R563" s="84" t="str">
        <f>IF(
   COUNTIFS($A$2:A563,A563,
             $B$2:B563,B563,
             $C$2:C563,C563,
             $D$2:D563,D563,
             $G$2:G563,G563)&gt;1,
   "Doublon",
   "Correcte"
)</f>
        <v>Correcte</v>
      </c>
    </row>
    <row r="564" spans="1:18" x14ac:dyDescent="0.25">
      <c r="A564" s="104" t="s">
        <v>1523</v>
      </c>
      <c r="B564" s="35" t="s">
        <v>712</v>
      </c>
      <c r="C564" s="36">
        <v>0</v>
      </c>
      <c r="D564" s="36">
        <v>5</v>
      </c>
      <c r="E564" s="35" t="s">
        <v>699</v>
      </c>
      <c r="F564" s="35" t="s">
        <v>634</v>
      </c>
      <c r="G564" s="37">
        <v>45926.641145833331</v>
      </c>
      <c r="H564" s="37" t="str">
        <f>INDEX(_xlfn.TEXTSPLIT(mvtst[[#This Row],[QR Suivis]],"_"),1,1)</f>
        <v>CA250015-1</v>
      </c>
      <c r="I564" s="35" t="str">
        <f>_xlfn.TEXTBEFORE(mvtst[[#This Row],[Num Suivis]],"-",,,1)</f>
        <v>CA250015</v>
      </c>
      <c r="J564" s="36">
        <f>SUMIF(mvtst[QR Suivis],mvtst[[#This Row],[QR Suivis]],mvtst[QTE SORTIS])-SUMIF(mvtst[QR Suivis],mvtst[[#This Row],[QR Suivis]],mvtst[QTE RETOUR])</f>
        <v>0</v>
      </c>
      <c r="K564" s="35" t="str">
        <f t="shared" si="8"/>
        <v>Usine</v>
      </c>
      <c r="L564" s="35" t="str">
        <f>_xlfn.XLOOKUP(mvtst[[#This Row],[Sous Traitant]],coordonnee_st[Identification],coordonnee_st[SERVICE],"Non Trouvé")</f>
        <v>Frange</v>
      </c>
      <c r="M564" s="35" t="str">
        <f>INDEX(_xlfn.TEXTSPLIT(mvtst[[#This Row],[QR Suivis]],"_"),1,2)</f>
        <v>All by Fouta</v>
      </c>
      <c r="N564" s="35" t="str">
        <f>INDEX(_xlfn.TEXTSPLIT(mvtst[[#This Row],[QR Suivis]],"_"),1,3)</f>
        <v>Stock</v>
      </c>
      <c r="O564" s="35" t="str">
        <f>INDEX(_xlfn.TEXTSPLIT(mvtst[[#This Row],[QR Suivis]],"_"),1,4)</f>
        <v>UNS1020-26</v>
      </c>
      <c r="P564" s="35" t="str">
        <f>INDEX(_xlfn.TEXTSPLIT(mvtst[[#This Row],[QR Suivis]],"_"),1,5)</f>
        <v>UNI SURPIQUE</v>
      </c>
      <c r="Q564" s="35" t="str">
        <f>_xlfn.TEXTAFTER(mvtst[[#This Row],[QR Suivis]],"_",5)</f>
        <v>1020</v>
      </c>
      <c r="R564" s="84" t="str">
        <f>IF(
   COUNTIFS($A$2:A564,A564,
             $B$2:B564,B564,
             $C$2:C564,C564,
             $D$2:D564,D564,
             $G$2:G564,G564)&gt;1,
   "Doublon",
   "Correcte"
)</f>
        <v>Correcte</v>
      </c>
    </row>
    <row r="565" spans="1:18" x14ac:dyDescent="0.25">
      <c r="A565" s="104" t="s">
        <v>1439</v>
      </c>
      <c r="B565" s="35" t="s">
        <v>712</v>
      </c>
      <c r="C565" s="36">
        <v>0</v>
      </c>
      <c r="D565" s="36">
        <v>5</v>
      </c>
      <c r="E565" s="35" t="s">
        <v>699</v>
      </c>
      <c r="F565" s="35" t="s">
        <v>634</v>
      </c>
      <c r="G565" s="37">
        <v>45926.641574074078</v>
      </c>
      <c r="H565" s="37" t="str">
        <f>INDEX(_xlfn.TEXTSPLIT(mvtst[[#This Row],[QR Suivis]],"_"),1,1)</f>
        <v>CA250005-5</v>
      </c>
      <c r="I565" s="35" t="str">
        <f>_xlfn.TEXTBEFORE(mvtst[[#This Row],[Num Suivis]],"-",,,1)</f>
        <v>CA250005</v>
      </c>
      <c r="J565" s="36">
        <f>SUMIF(mvtst[QR Suivis],mvtst[[#This Row],[QR Suivis]],mvtst[QTE SORTIS])-SUMIF(mvtst[QR Suivis],mvtst[[#This Row],[QR Suivis]],mvtst[QTE RETOUR])</f>
        <v>0</v>
      </c>
      <c r="K565" s="35" t="str">
        <f t="shared" si="8"/>
        <v>Usine</v>
      </c>
      <c r="L565" s="35" t="str">
        <f>_xlfn.XLOOKUP(mvtst[[#This Row],[Sous Traitant]],coordonnee_st[Identification],coordonnee_st[SERVICE],"Non Trouvé")</f>
        <v>Frange</v>
      </c>
      <c r="M565" s="35" t="str">
        <f>INDEX(_xlfn.TEXTSPLIT(mvtst[[#This Row],[QR Suivis]],"_"),1,2)</f>
        <v>All by Fouta</v>
      </c>
      <c r="N565" s="35" t="str">
        <f>INDEX(_xlfn.TEXTSPLIT(mvtst[[#This Row],[QR Suivis]],"_"),1,3)</f>
        <v>Stock</v>
      </c>
      <c r="O565" s="35" t="str">
        <f>INDEX(_xlfn.TEXTSPLIT(mvtst[[#This Row],[QR Suivis]],"_"),1,4)</f>
        <v>UNS1020-10</v>
      </c>
      <c r="P565" s="35" t="str">
        <f>INDEX(_xlfn.TEXTSPLIT(mvtst[[#This Row],[QR Suivis]],"_"),1,5)</f>
        <v>UNI SURPIQUE</v>
      </c>
      <c r="Q565" s="35" t="str">
        <f>_xlfn.TEXTAFTER(mvtst[[#This Row],[QR Suivis]],"_",5)</f>
        <v>1020</v>
      </c>
      <c r="R565" s="84" t="str">
        <f>IF(
   COUNTIFS($A$2:A565,A565,
             $B$2:B565,B565,
             $C$2:C565,C565,
             $D$2:D565,D565,
             $G$2:G565,G565)&gt;1,
   "Doublon",
   "Correcte"
)</f>
        <v>Correcte</v>
      </c>
    </row>
    <row r="566" spans="1:18" x14ac:dyDescent="0.25">
      <c r="A566" s="104" t="s">
        <v>1524</v>
      </c>
      <c r="B566" s="35" t="s">
        <v>712</v>
      </c>
      <c r="C566" s="36">
        <v>0</v>
      </c>
      <c r="D566" s="36">
        <v>5</v>
      </c>
      <c r="E566" s="35" t="s">
        <v>699</v>
      </c>
      <c r="F566" s="35" t="s">
        <v>634</v>
      </c>
      <c r="G566" s="37">
        <v>45926.641886574071</v>
      </c>
      <c r="H566" s="37" t="str">
        <f>INDEX(_xlfn.TEXTSPLIT(mvtst[[#This Row],[QR Suivis]],"_"),1,1)</f>
        <v>CA250015-8</v>
      </c>
      <c r="I566" s="35" t="str">
        <f>_xlfn.TEXTBEFORE(mvtst[[#This Row],[Num Suivis]],"-",,,1)</f>
        <v>CA250015</v>
      </c>
      <c r="J566" s="36">
        <f>SUMIF(mvtst[QR Suivis],mvtst[[#This Row],[QR Suivis]],mvtst[QTE SORTIS])-SUMIF(mvtst[QR Suivis],mvtst[[#This Row],[QR Suivis]],mvtst[QTE RETOUR])</f>
        <v>0</v>
      </c>
      <c r="K566" s="35" t="str">
        <f t="shared" si="8"/>
        <v>Usine</v>
      </c>
      <c r="L566" s="35" t="str">
        <f>_xlfn.XLOOKUP(mvtst[[#This Row],[Sous Traitant]],coordonnee_st[Identification],coordonnee_st[SERVICE],"Non Trouvé")</f>
        <v>Frange</v>
      </c>
      <c r="M566" s="35" t="str">
        <f>INDEX(_xlfn.TEXTSPLIT(mvtst[[#This Row],[QR Suivis]],"_"),1,2)</f>
        <v>All by Fouta</v>
      </c>
      <c r="N566" s="35" t="str">
        <f>INDEX(_xlfn.TEXTSPLIT(mvtst[[#This Row],[QR Suivis]],"_"),1,3)</f>
        <v>Stock</v>
      </c>
      <c r="O566" s="35" t="str">
        <f>INDEX(_xlfn.TEXTSPLIT(mvtst[[#This Row],[QR Suivis]],"_"),1,4)</f>
        <v>UNS1020-26</v>
      </c>
      <c r="P566" s="35" t="str">
        <f>INDEX(_xlfn.TEXTSPLIT(mvtst[[#This Row],[QR Suivis]],"_"),1,5)</f>
        <v>UNI SURPIQUE</v>
      </c>
      <c r="Q566" s="35" t="str">
        <f>_xlfn.TEXTAFTER(mvtst[[#This Row],[QR Suivis]],"_",5)</f>
        <v>1020</v>
      </c>
      <c r="R566" s="84" t="str">
        <f>IF(
   COUNTIFS($A$2:A566,A566,
             $B$2:B566,B566,
             $C$2:C566,C566,
             $D$2:D566,D566,
             $G$2:G566,G566)&gt;1,
   "Doublon",
   "Correcte"
)</f>
        <v>Correcte</v>
      </c>
    </row>
    <row r="567" spans="1:18" x14ac:dyDescent="0.25">
      <c r="A567" s="104" t="s">
        <v>1525</v>
      </c>
      <c r="B567" s="35" t="s">
        <v>712</v>
      </c>
      <c r="C567" s="36">
        <v>0</v>
      </c>
      <c r="D567" s="36">
        <v>5</v>
      </c>
      <c r="E567" s="35" t="s">
        <v>699</v>
      </c>
      <c r="F567" s="35" t="s">
        <v>634</v>
      </c>
      <c r="G567" s="37">
        <v>45926.642106481479</v>
      </c>
      <c r="H567" s="37" t="str">
        <f>INDEX(_xlfn.TEXTSPLIT(mvtst[[#This Row],[QR Suivis]],"_"),1,1)</f>
        <v>CA250015-11</v>
      </c>
      <c r="I567" s="35" t="str">
        <f>_xlfn.TEXTBEFORE(mvtst[[#This Row],[Num Suivis]],"-",,,1)</f>
        <v>CA250015</v>
      </c>
      <c r="J567" s="36">
        <f>SUMIF(mvtst[QR Suivis],mvtst[[#This Row],[QR Suivis]],mvtst[QTE SORTIS])-SUMIF(mvtst[QR Suivis],mvtst[[#This Row],[QR Suivis]],mvtst[QTE RETOUR])</f>
        <v>0</v>
      </c>
      <c r="K567" s="35" t="str">
        <f t="shared" si="8"/>
        <v>Usine</v>
      </c>
      <c r="L567" s="35" t="str">
        <f>_xlfn.XLOOKUP(mvtst[[#This Row],[Sous Traitant]],coordonnee_st[Identification],coordonnee_st[SERVICE],"Non Trouvé")</f>
        <v>Frange</v>
      </c>
      <c r="M567" s="35" t="str">
        <f>INDEX(_xlfn.TEXTSPLIT(mvtst[[#This Row],[QR Suivis]],"_"),1,2)</f>
        <v>All by Fouta</v>
      </c>
      <c r="N567" s="35" t="str">
        <f>INDEX(_xlfn.TEXTSPLIT(mvtst[[#This Row],[QR Suivis]],"_"),1,3)</f>
        <v>Stock</v>
      </c>
      <c r="O567" s="35" t="str">
        <f>INDEX(_xlfn.TEXTSPLIT(mvtst[[#This Row],[QR Suivis]],"_"),1,4)</f>
        <v>UNS1020-26</v>
      </c>
      <c r="P567" s="35" t="str">
        <f>INDEX(_xlfn.TEXTSPLIT(mvtst[[#This Row],[QR Suivis]],"_"),1,5)</f>
        <v>UNI SURPIQUE</v>
      </c>
      <c r="Q567" s="35" t="str">
        <f>_xlfn.TEXTAFTER(mvtst[[#This Row],[QR Suivis]],"_",5)</f>
        <v>1020</v>
      </c>
      <c r="R567" s="84" t="str">
        <f>IF(
   COUNTIFS($A$2:A567,A567,
             $B$2:B567,B567,
             $C$2:C567,C567,
             $D$2:D567,D567,
             $G$2:G567,G567)&gt;1,
   "Doublon",
   "Correcte"
)</f>
        <v>Correcte</v>
      </c>
    </row>
    <row r="568" spans="1:18" x14ac:dyDescent="0.25">
      <c r="A568" s="104" t="s">
        <v>1526</v>
      </c>
      <c r="B568" s="35" t="s">
        <v>712</v>
      </c>
      <c r="C568" s="36">
        <v>0</v>
      </c>
      <c r="D568" s="36">
        <v>5</v>
      </c>
      <c r="E568" s="35" t="s">
        <v>699</v>
      </c>
      <c r="F568" s="35" t="s">
        <v>634</v>
      </c>
      <c r="G568" s="37">
        <v>45926.642488425925</v>
      </c>
      <c r="H568" s="37" t="str">
        <f>INDEX(_xlfn.TEXTSPLIT(mvtst[[#This Row],[QR Suivis]],"_"),1,1)</f>
        <v>CA250015-10</v>
      </c>
      <c r="I568" s="35" t="str">
        <f>_xlfn.TEXTBEFORE(mvtst[[#This Row],[Num Suivis]],"-",,,1)</f>
        <v>CA250015</v>
      </c>
      <c r="J568" s="36">
        <f>SUMIF(mvtst[QR Suivis],mvtst[[#This Row],[QR Suivis]],mvtst[QTE SORTIS])-SUMIF(mvtst[QR Suivis],mvtst[[#This Row],[QR Suivis]],mvtst[QTE RETOUR])</f>
        <v>0</v>
      </c>
      <c r="K568" s="35" t="str">
        <f t="shared" si="8"/>
        <v>Usine</v>
      </c>
      <c r="L568" s="35" t="str">
        <f>_xlfn.XLOOKUP(mvtst[[#This Row],[Sous Traitant]],coordonnee_st[Identification],coordonnee_st[SERVICE],"Non Trouvé")</f>
        <v>Frange</v>
      </c>
      <c r="M568" s="35" t="str">
        <f>INDEX(_xlfn.TEXTSPLIT(mvtst[[#This Row],[QR Suivis]],"_"),1,2)</f>
        <v>All by Fouta</v>
      </c>
      <c r="N568" s="35" t="str">
        <f>INDEX(_xlfn.TEXTSPLIT(mvtst[[#This Row],[QR Suivis]],"_"),1,3)</f>
        <v>Stock</v>
      </c>
      <c r="O568" s="35" t="str">
        <f>INDEX(_xlfn.TEXTSPLIT(mvtst[[#This Row],[QR Suivis]],"_"),1,4)</f>
        <v>UNS1020-26</v>
      </c>
      <c r="P568" s="35" t="str">
        <f>INDEX(_xlfn.TEXTSPLIT(mvtst[[#This Row],[QR Suivis]],"_"),1,5)</f>
        <v>UNI SURPIQUE</v>
      </c>
      <c r="Q568" s="35" t="str">
        <f>_xlfn.TEXTAFTER(mvtst[[#This Row],[QR Suivis]],"_",5)</f>
        <v>1020</v>
      </c>
      <c r="R568" s="84" t="str">
        <f>IF(
   COUNTIFS($A$2:A568,A568,
             $B$2:B568,B568,
             $C$2:C568,C568,
             $D$2:D568,D568,
             $G$2:G568,G568)&gt;1,
   "Doublon",
   "Correcte"
)</f>
        <v>Correcte</v>
      </c>
    </row>
    <row r="569" spans="1:18" x14ac:dyDescent="0.25">
      <c r="A569" s="104" t="s">
        <v>1527</v>
      </c>
      <c r="B569" s="35" t="s">
        <v>712</v>
      </c>
      <c r="C569" s="36">
        <v>0</v>
      </c>
      <c r="D569" s="36">
        <v>5</v>
      </c>
      <c r="E569" s="35" t="s">
        <v>699</v>
      </c>
      <c r="F569" s="35" t="s">
        <v>634</v>
      </c>
      <c r="G569" s="37">
        <v>45926.642951388887</v>
      </c>
      <c r="H569" s="37" t="str">
        <f>INDEX(_xlfn.TEXTSPLIT(mvtst[[#This Row],[QR Suivis]],"_"),1,1)</f>
        <v>CA250015-5</v>
      </c>
      <c r="I569" s="35" t="str">
        <f>_xlfn.TEXTBEFORE(mvtst[[#This Row],[Num Suivis]],"-",,,1)</f>
        <v>CA250015</v>
      </c>
      <c r="J569" s="36">
        <f>SUMIF(mvtst[QR Suivis],mvtst[[#This Row],[QR Suivis]],mvtst[QTE SORTIS])-SUMIF(mvtst[QR Suivis],mvtst[[#This Row],[QR Suivis]],mvtst[QTE RETOUR])</f>
        <v>0</v>
      </c>
      <c r="K569" s="35" t="str">
        <f t="shared" si="8"/>
        <v>Usine</v>
      </c>
      <c r="L569" s="35" t="str">
        <f>_xlfn.XLOOKUP(mvtst[[#This Row],[Sous Traitant]],coordonnee_st[Identification],coordonnee_st[SERVICE],"Non Trouvé")</f>
        <v>Frange</v>
      </c>
      <c r="M569" s="35" t="str">
        <f>INDEX(_xlfn.TEXTSPLIT(mvtst[[#This Row],[QR Suivis]],"_"),1,2)</f>
        <v>All by Fouta</v>
      </c>
      <c r="N569" s="35" t="str">
        <f>INDEX(_xlfn.TEXTSPLIT(mvtst[[#This Row],[QR Suivis]],"_"),1,3)</f>
        <v>Stock</v>
      </c>
      <c r="O569" s="35" t="str">
        <f>INDEX(_xlfn.TEXTSPLIT(mvtst[[#This Row],[QR Suivis]],"_"),1,4)</f>
        <v>UNS1020-26</v>
      </c>
      <c r="P569" s="35" t="str">
        <f>INDEX(_xlfn.TEXTSPLIT(mvtst[[#This Row],[QR Suivis]],"_"),1,5)</f>
        <v>UNI SURPIQUE</v>
      </c>
      <c r="Q569" s="35" t="str">
        <f>_xlfn.TEXTAFTER(mvtst[[#This Row],[QR Suivis]],"_",5)</f>
        <v>1020</v>
      </c>
      <c r="R569" s="84" t="str">
        <f>IF(
   COUNTIFS($A$2:A569,A569,
             $B$2:B569,B569,
             $C$2:C569,C569,
             $D$2:D569,D569,
             $G$2:G569,G569)&gt;1,
   "Doublon",
   "Correcte"
)</f>
        <v>Correcte</v>
      </c>
    </row>
    <row r="570" spans="1:18" x14ac:dyDescent="0.25">
      <c r="A570" s="104" t="s">
        <v>1510</v>
      </c>
      <c r="B570" s="35" t="s">
        <v>712</v>
      </c>
      <c r="C570" s="36">
        <v>0</v>
      </c>
      <c r="D570" s="36">
        <v>5</v>
      </c>
      <c r="E570" s="35" t="s">
        <v>699</v>
      </c>
      <c r="F570" s="35" t="s">
        <v>634</v>
      </c>
      <c r="G570" s="37">
        <v>45926.643645833334</v>
      </c>
      <c r="H570" s="37" t="str">
        <f>INDEX(_xlfn.TEXTSPLIT(mvtst[[#This Row],[QR Suivis]],"_"),1,1)</f>
        <v>CA250012-9</v>
      </c>
      <c r="I570" s="35" t="str">
        <f>_xlfn.TEXTBEFORE(mvtst[[#This Row],[Num Suivis]],"-",,,1)</f>
        <v>CA250012</v>
      </c>
      <c r="J570" s="36">
        <f>SUMIF(mvtst[QR Suivis],mvtst[[#This Row],[QR Suivis]],mvtst[QTE SORTIS])-SUMIF(mvtst[QR Suivis],mvtst[[#This Row],[QR Suivis]],mvtst[QTE RETOUR])</f>
        <v>0</v>
      </c>
      <c r="K570" s="35" t="str">
        <f t="shared" si="8"/>
        <v>Usine</v>
      </c>
      <c r="L570" s="35" t="str">
        <f>_xlfn.XLOOKUP(mvtst[[#This Row],[Sous Traitant]],coordonnee_st[Identification],coordonnee_st[SERVICE],"Non Trouvé")</f>
        <v>Frange</v>
      </c>
      <c r="M570" s="35" t="str">
        <f>INDEX(_xlfn.TEXTSPLIT(mvtst[[#This Row],[QR Suivis]],"_"),1,2)</f>
        <v>All by Fouta</v>
      </c>
      <c r="N570" s="35" t="str">
        <f>INDEX(_xlfn.TEXTSPLIT(mvtst[[#This Row],[QR Suivis]],"_"),1,3)</f>
        <v>Stock</v>
      </c>
      <c r="O570" s="35" t="str">
        <f>INDEX(_xlfn.TEXTSPLIT(mvtst[[#This Row],[QR Suivis]],"_"),1,4)</f>
        <v>UNS1020-20</v>
      </c>
      <c r="P570" s="35" t="str">
        <f>INDEX(_xlfn.TEXTSPLIT(mvtst[[#This Row],[QR Suivis]],"_"),1,5)</f>
        <v>UNI SURPIQUE</v>
      </c>
      <c r="Q570" s="35" t="str">
        <f>_xlfn.TEXTAFTER(mvtst[[#This Row],[QR Suivis]],"_",5)</f>
        <v>1020</v>
      </c>
      <c r="R570" s="84" t="str">
        <f>IF(
   COUNTIFS($A$2:A570,A570,
             $B$2:B570,B570,
             $C$2:C570,C570,
             $D$2:D570,D570,
             $G$2:G570,G570)&gt;1,
   "Doublon",
   "Correcte"
)</f>
        <v>Correcte</v>
      </c>
    </row>
    <row r="571" spans="1:18" x14ac:dyDescent="0.25">
      <c r="A571" s="104" t="s">
        <v>1511</v>
      </c>
      <c r="B571" s="35" t="s">
        <v>712</v>
      </c>
      <c r="C571" s="36">
        <v>0</v>
      </c>
      <c r="D571" s="36">
        <v>5</v>
      </c>
      <c r="E571" s="35" t="s">
        <v>699</v>
      </c>
      <c r="F571" s="35" t="s">
        <v>634</v>
      </c>
      <c r="G571" s="37">
        <v>45926.64403935185</v>
      </c>
      <c r="H571" s="37" t="str">
        <f>INDEX(_xlfn.TEXTSPLIT(mvtst[[#This Row],[QR Suivis]],"_"),1,1)</f>
        <v>CA250012-7</v>
      </c>
      <c r="I571" s="35" t="str">
        <f>_xlfn.TEXTBEFORE(mvtst[[#This Row],[Num Suivis]],"-",,,1)</f>
        <v>CA250012</v>
      </c>
      <c r="J571" s="36">
        <f>SUMIF(mvtst[QR Suivis],mvtst[[#This Row],[QR Suivis]],mvtst[QTE SORTIS])-SUMIF(mvtst[QR Suivis],mvtst[[#This Row],[QR Suivis]],mvtst[QTE RETOUR])</f>
        <v>0</v>
      </c>
      <c r="K571" s="35" t="str">
        <f t="shared" si="8"/>
        <v>Usine</v>
      </c>
      <c r="L571" s="35" t="str">
        <f>_xlfn.XLOOKUP(mvtst[[#This Row],[Sous Traitant]],coordonnee_st[Identification],coordonnee_st[SERVICE],"Non Trouvé")</f>
        <v>Frange</v>
      </c>
      <c r="M571" s="35" t="str">
        <f>INDEX(_xlfn.TEXTSPLIT(mvtst[[#This Row],[QR Suivis]],"_"),1,2)</f>
        <v>All by Fouta</v>
      </c>
      <c r="N571" s="35" t="str">
        <f>INDEX(_xlfn.TEXTSPLIT(mvtst[[#This Row],[QR Suivis]],"_"),1,3)</f>
        <v>Stock</v>
      </c>
      <c r="O571" s="35" t="str">
        <f>INDEX(_xlfn.TEXTSPLIT(mvtst[[#This Row],[QR Suivis]],"_"),1,4)</f>
        <v>UNS1020-20</v>
      </c>
      <c r="P571" s="35" t="str">
        <f>INDEX(_xlfn.TEXTSPLIT(mvtst[[#This Row],[QR Suivis]],"_"),1,5)</f>
        <v>UNI SURPIQUE</v>
      </c>
      <c r="Q571" s="35" t="str">
        <f>_xlfn.TEXTAFTER(mvtst[[#This Row],[QR Suivis]],"_",5)</f>
        <v>1020</v>
      </c>
      <c r="R571" s="84" t="str">
        <f>IF(
   COUNTIFS($A$2:A571,A571,
             $B$2:B571,B571,
             $C$2:C571,C571,
             $D$2:D571,D571,
             $G$2:G571,G571)&gt;1,
   "Doublon",
   "Correcte"
)</f>
        <v>Correcte</v>
      </c>
    </row>
    <row r="572" spans="1:18" x14ac:dyDescent="0.25">
      <c r="A572" s="104" t="s">
        <v>1512</v>
      </c>
      <c r="B572" s="35" t="s">
        <v>712</v>
      </c>
      <c r="C572" s="36">
        <v>0</v>
      </c>
      <c r="D572" s="36">
        <v>2</v>
      </c>
      <c r="E572" s="35" t="s">
        <v>699</v>
      </c>
      <c r="F572" s="35" t="s">
        <v>634</v>
      </c>
      <c r="G572" s="37">
        <v>45926.644537037035</v>
      </c>
      <c r="H572" s="37" t="str">
        <f>INDEX(_xlfn.TEXTSPLIT(mvtst[[#This Row],[QR Suivis]],"_"),1,1)</f>
        <v>CA250012-13</v>
      </c>
      <c r="I572" s="35" t="str">
        <f>_xlfn.TEXTBEFORE(mvtst[[#This Row],[Num Suivis]],"-",,,1)</f>
        <v>CA250012</v>
      </c>
      <c r="J572" s="36">
        <f>SUMIF(mvtst[QR Suivis],mvtst[[#This Row],[QR Suivis]],mvtst[QTE SORTIS])-SUMIF(mvtst[QR Suivis],mvtst[[#This Row],[QR Suivis]],mvtst[QTE RETOUR])</f>
        <v>0</v>
      </c>
      <c r="K572" s="35" t="str">
        <f t="shared" si="8"/>
        <v>Usine</v>
      </c>
      <c r="L572" s="35" t="str">
        <f>_xlfn.XLOOKUP(mvtst[[#This Row],[Sous Traitant]],coordonnee_st[Identification],coordonnee_st[SERVICE],"Non Trouvé")</f>
        <v>Frange</v>
      </c>
      <c r="M572" s="35" t="str">
        <f>INDEX(_xlfn.TEXTSPLIT(mvtst[[#This Row],[QR Suivis]],"_"),1,2)</f>
        <v>All by Fouta</v>
      </c>
      <c r="N572" s="35" t="str">
        <f>INDEX(_xlfn.TEXTSPLIT(mvtst[[#This Row],[QR Suivis]],"_"),1,3)</f>
        <v>Stock</v>
      </c>
      <c r="O572" s="35" t="str">
        <f>INDEX(_xlfn.TEXTSPLIT(mvtst[[#This Row],[QR Suivis]],"_"),1,4)</f>
        <v>UNS1020-20</v>
      </c>
      <c r="P572" s="35" t="str">
        <f>INDEX(_xlfn.TEXTSPLIT(mvtst[[#This Row],[QR Suivis]],"_"),1,5)</f>
        <v>UNI SURPIQUE</v>
      </c>
      <c r="Q572" s="35" t="str">
        <f>_xlfn.TEXTAFTER(mvtst[[#This Row],[QR Suivis]],"_",5)</f>
        <v>1020</v>
      </c>
      <c r="R572" s="84" t="str">
        <f>IF(
   COUNTIFS($A$2:A572,A572,
             $B$2:B572,B572,
             $C$2:C572,C572,
             $D$2:D572,D572,
             $G$2:G572,G572)&gt;1,
   "Doublon",
   "Correcte"
)</f>
        <v>Correcte</v>
      </c>
    </row>
    <row r="573" spans="1:18" x14ac:dyDescent="0.25">
      <c r="A573" s="104" t="s">
        <v>1513</v>
      </c>
      <c r="B573" s="35" t="s">
        <v>712</v>
      </c>
      <c r="C573" s="36">
        <v>0</v>
      </c>
      <c r="D573" s="36">
        <v>5</v>
      </c>
      <c r="E573" s="35" t="s">
        <v>699</v>
      </c>
      <c r="F573" s="35" t="s">
        <v>634</v>
      </c>
      <c r="G573" s="37">
        <v>45926.644826388889</v>
      </c>
      <c r="H573" s="37" t="str">
        <f>INDEX(_xlfn.TEXTSPLIT(mvtst[[#This Row],[QR Suivis]],"_"),1,1)</f>
        <v>CA250012-8</v>
      </c>
      <c r="I573" s="35" t="str">
        <f>_xlfn.TEXTBEFORE(mvtst[[#This Row],[Num Suivis]],"-",,,1)</f>
        <v>CA250012</v>
      </c>
      <c r="J573" s="36">
        <f>SUMIF(mvtst[QR Suivis],mvtst[[#This Row],[QR Suivis]],mvtst[QTE SORTIS])-SUMIF(mvtst[QR Suivis],mvtst[[#This Row],[QR Suivis]],mvtst[QTE RETOUR])</f>
        <v>0</v>
      </c>
      <c r="K573" s="35" t="str">
        <f t="shared" si="8"/>
        <v>Usine</v>
      </c>
      <c r="L573" s="35" t="str">
        <f>_xlfn.XLOOKUP(mvtst[[#This Row],[Sous Traitant]],coordonnee_st[Identification],coordonnee_st[SERVICE],"Non Trouvé")</f>
        <v>Frange</v>
      </c>
      <c r="M573" s="35" t="str">
        <f>INDEX(_xlfn.TEXTSPLIT(mvtst[[#This Row],[QR Suivis]],"_"),1,2)</f>
        <v>All by Fouta</v>
      </c>
      <c r="N573" s="35" t="str">
        <f>INDEX(_xlfn.TEXTSPLIT(mvtst[[#This Row],[QR Suivis]],"_"),1,3)</f>
        <v>Stock</v>
      </c>
      <c r="O573" s="35" t="str">
        <f>INDEX(_xlfn.TEXTSPLIT(mvtst[[#This Row],[QR Suivis]],"_"),1,4)</f>
        <v>UNS1020-20</v>
      </c>
      <c r="P573" s="35" t="str">
        <f>INDEX(_xlfn.TEXTSPLIT(mvtst[[#This Row],[QR Suivis]],"_"),1,5)</f>
        <v>UNI SURPIQUE</v>
      </c>
      <c r="Q573" s="35" t="str">
        <f>_xlfn.TEXTAFTER(mvtst[[#This Row],[QR Suivis]],"_",5)</f>
        <v>1020</v>
      </c>
      <c r="R573" s="84" t="str">
        <f>IF(
   COUNTIFS($A$2:A573,A573,
             $B$2:B573,B573,
             $C$2:C573,C573,
             $D$2:D573,D573,
             $G$2:G573,G573)&gt;1,
   "Doublon",
   "Correcte"
)</f>
        <v>Correcte</v>
      </c>
    </row>
    <row r="574" spans="1:18" x14ac:dyDescent="0.25">
      <c r="A574" s="104" t="s">
        <v>1514</v>
      </c>
      <c r="B574" s="35" t="s">
        <v>712</v>
      </c>
      <c r="C574" s="36">
        <v>0</v>
      </c>
      <c r="D574" s="36">
        <v>5</v>
      </c>
      <c r="E574" s="35" t="s">
        <v>699</v>
      </c>
      <c r="F574" s="35" t="s">
        <v>634</v>
      </c>
      <c r="G574" s="37">
        <v>45926.645254629628</v>
      </c>
      <c r="H574" s="37" t="str">
        <f>INDEX(_xlfn.TEXTSPLIT(mvtst[[#This Row],[QR Suivis]],"_"),1,1)</f>
        <v>CA250012-6</v>
      </c>
      <c r="I574" s="35" t="str">
        <f>_xlfn.TEXTBEFORE(mvtst[[#This Row],[Num Suivis]],"-",,,1)</f>
        <v>CA250012</v>
      </c>
      <c r="J574" s="36">
        <f>SUMIF(mvtst[QR Suivis],mvtst[[#This Row],[QR Suivis]],mvtst[QTE SORTIS])-SUMIF(mvtst[QR Suivis],mvtst[[#This Row],[QR Suivis]],mvtst[QTE RETOUR])</f>
        <v>0</v>
      </c>
      <c r="K574" s="35" t="str">
        <f t="shared" si="8"/>
        <v>Usine</v>
      </c>
      <c r="L574" s="35" t="str">
        <f>_xlfn.XLOOKUP(mvtst[[#This Row],[Sous Traitant]],coordonnee_st[Identification],coordonnee_st[SERVICE],"Non Trouvé")</f>
        <v>Frange</v>
      </c>
      <c r="M574" s="35" t="str">
        <f>INDEX(_xlfn.TEXTSPLIT(mvtst[[#This Row],[QR Suivis]],"_"),1,2)</f>
        <v>All by Fouta</v>
      </c>
      <c r="N574" s="35" t="str">
        <f>INDEX(_xlfn.TEXTSPLIT(mvtst[[#This Row],[QR Suivis]],"_"),1,3)</f>
        <v>Stock</v>
      </c>
      <c r="O574" s="35" t="str">
        <f>INDEX(_xlfn.TEXTSPLIT(mvtst[[#This Row],[QR Suivis]],"_"),1,4)</f>
        <v>UNS1020-20</v>
      </c>
      <c r="P574" s="35" t="str">
        <f>INDEX(_xlfn.TEXTSPLIT(mvtst[[#This Row],[QR Suivis]],"_"),1,5)</f>
        <v>UNI SURPIQUE</v>
      </c>
      <c r="Q574" s="35" t="str">
        <f>_xlfn.TEXTAFTER(mvtst[[#This Row],[QR Suivis]],"_",5)</f>
        <v>1020</v>
      </c>
      <c r="R574" s="84" t="str">
        <f>IF(
   COUNTIFS($A$2:A574,A574,
             $B$2:B574,B574,
             $C$2:C574,C574,
             $D$2:D574,D574,
             $G$2:G574,G574)&gt;1,
   "Doublon",
   "Correcte"
)</f>
        <v>Correcte</v>
      </c>
    </row>
    <row r="575" spans="1:18" x14ac:dyDescent="0.25">
      <c r="A575" s="104" t="s">
        <v>1515</v>
      </c>
      <c r="B575" s="35" t="s">
        <v>712</v>
      </c>
      <c r="C575" s="36">
        <v>0</v>
      </c>
      <c r="D575" s="36">
        <v>5</v>
      </c>
      <c r="E575" s="35" t="s">
        <v>699</v>
      </c>
      <c r="F575" s="35" t="s">
        <v>634</v>
      </c>
      <c r="G575" s="37">
        <v>45926.645578703705</v>
      </c>
      <c r="H575" s="37" t="str">
        <f>INDEX(_xlfn.TEXTSPLIT(mvtst[[#This Row],[QR Suivis]],"_"),1,1)</f>
        <v>CA250012-5</v>
      </c>
      <c r="I575" s="35" t="str">
        <f>_xlfn.TEXTBEFORE(mvtst[[#This Row],[Num Suivis]],"-",,,1)</f>
        <v>CA250012</v>
      </c>
      <c r="J575" s="36">
        <f>SUMIF(mvtst[QR Suivis],mvtst[[#This Row],[QR Suivis]],mvtst[QTE SORTIS])-SUMIF(mvtst[QR Suivis],mvtst[[#This Row],[QR Suivis]],mvtst[QTE RETOUR])</f>
        <v>0</v>
      </c>
      <c r="K575" s="35" t="str">
        <f t="shared" si="8"/>
        <v>Usine</v>
      </c>
      <c r="L575" s="35" t="str">
        <f>_xlfn.XLOOKUP(mvtst[[#This Row],[Sous Traitant]],coordonnee_st[Identification],coordonnee_st[SERVICE],"Non Trouvé")</f>
        <v>Frange</v>
      </c>
      <c r="M575" s="35" t="str">
        <f>INDEX(_xlfn.TEXTSPLIT(mvtst[[#This Row],[QR Suivis]],"_"),1,2)</f>
        <v>All by Fouta</v>
      </c>
      <c r="N575" s="35" t="str">
        <f>INDEX(_xlfn.TEXTSPLIT(mvtst[[#This Row],[QR Suivis]],"_"),1,3)</f>
        <v>Stock</v>
      </c>
      <c r="O575" s="35" t="str">
        <f>INDEX(_xlfn.TEXTSPLIT(mvtst[[#This Row],[QR Suivis]],"_"),1,4)</f>
        <v>UNS1020-20</v>
      </c>
      <c r="P575" s="35" t="str">
        <f>INDEX(_xlfn.TEXTSPLIT(mvtst[[#This Row],[QR Suivis]],"_"),1,5)</f>
        <v>UNI SURPIQUE</v>
      </c>
      <c r="Q575" s="35" t="str">
        <f>_xlfn.TEXTAFTER(mvtst[[#This Row],[QR Suivis]],"_",5)</f>
        <v>1020</v>
      </c>
      <c r="R575" s="84" t="str">
        <f>IF(
   COUNTIFS($A$2:A575,A575,
             $B$2:B575,B575,
             $C$2:C575,C575,
             $D$2:D575,D575,
             $G$2:G575,G575)&gt;1,
   "Doublon",
   "Correcte"
)</f>
        <v>Correcte</v>
      </c>
    </row>
    <row r="576" spans="1:18" x14ac:dyDescent="0.25">
      <c r="A576" s="104" t="s">
        <v>1543</v>
      </c>
      <c r="B576" s="35" t="s">
        <v>712</v>
      </c>
      <c r="C576" s="36">
        <v>0</v>
      </c>
      <c r="D576" s="36">
        <v>1</v>
      </c>
      <c r="E576" s="35" t="s">
        <v>699</v>
      </c>
      <c r="F576" s="35" t="s">
        <v>634</v>
      </c>
      <c r="G576" s="37">
        <v>45926.645821759259</v>
      </c>
      <c r="H576" s="37" t="str">
        <f>INDEX(_xlfn.TEXTSPLIT(mvtst[[#This Row],[QR Suivis]],"_"),1,1)</f>
        <v>CA250014-13</v>
      </c>
      <c r="I576" s="35" t="str">
        <f>_xlfn.TEXTBEFORE(mvtst[[#This Row],[Num Suivis]],"-",,,1)</f>
        <v>CA250014</v>
      </c>
      <c r="J576" s="36">
        <f>SUMIF(mvtst[QR Suivis],mvtst[[#This Row],[QR Suivis]],mvtst[QTE SORTIS])-SUMIF(mvtst[QR Suivis],mvtst[[#This Row],[QR Suivis]],mvtst[QTE RETOUR])</f>
        <v>0</v>
      </c>
      <c r="K576" s="35" t="str">
        <f t="shared" si="8"/>
        <v>Usine</v>
      </c>
      <c r="L576" s="35" t="str">
        <f>_xlfn.XLOOKUP(mvtst[[#This Row],[Sous Traitant]],coordonnee_st[Identification],coordonnee_st[SERVICE],"Non Trouvé")</f>
        <v>Frange</v>
      </c>
      <c r="M576" s="35" t="str">
        <f>INDEX(_xlfn.TEXTSPLIT(mvtst[[#This Row],[QR Suivis]],"_"),1,2)</f>
        <v>All by Fouta</v>
      </c>
      <c r="N576" s="35" t="str">
        <f>INDEX(_xlfn.TEXTSPLIT(mvtst[[#This Row],[QR Suivis]],"_"),1,3)</f>
        <v>Stock</v>
      </c>
      <c r="O576" s="35" t="str">
        <f>INDEX(_xlfn.TEXTSPLIT(mvtst[[#This Row],[QR Suivis]],"_"),1,4)</f>
        <v>UNS1020-24</v>
      </c>
      <c r="P576" s="35" t="str">
        <f>INDEX(_xlfn.TEXTSPLIT(mvtst[[#This Row],[QR Suivis]],"_"),1,5)</f>
        <v>UNI SURPIQUE</v>
      </c>
      <c r="Q576" s="35" t="str">
        <f>_xlfn.TEXTAFTER(mvtst[[#This Row],[QR Suivis]],"_",5)</f>
        <v>1020</v>
      </c>
      <c r="R576" s="84" t="str">
        <f>IF(
   COUNTIFS($A$2:A576,A576,
             $B$2:B576,B576,
             $C$2:C576,C576,
             $D$2:D576,D576,
             $G$2:G576,G576)&gt;1,
   "Doublon",
   "Correcte"
)</f>
        <v>Correcte</v>
      </c>
    </row>
    <row r="577" spans="1:18" x14ac:dyDescent="0.25">
      <c r="A577" s="104" t="s">
        <v>1544</v>
      </c>
      <c r="B577" s="35" t="s">
        <v>712</v>
      </c>
      <c r="C577" s="36">
        <v>0</v>
      </c>
      <c r="D577" s="36">
        <v>5</v>
      </c>
      <c r="E577" s="35" t="s">
        <v>699</v>
      </c>
      <c r="F577" s="35" t="s">
        <v>634</v>
      </c>
      <c r="G577" s="37">
        <v>45926.646423611113</v>
      </c>
      <c r="H577" s="37" t="str">
        <f>INDEX(_xlfn.TEXTSPLIT(mvtst[[#This Row],[QR Suivis]],"_"),1,1)</f>
        <v>CA250014-5</v>
      </c>
      <c r="I577" s="35" t="str">
        <f>_xlfn.TEXTBEFORE(mvtst[[#This Row],[Num Suivis]],"-",,,1)</f>
        <v>CA250014</v>
      </c>
      <c r="J577" s="36">
        <f>SUMIF(mvtst[QR Suivis],mvtst[[#This Row],[QR Suivis]],mvtst[QTE SORTIS])-SUMIF(mvtst[QR Suivis],mvtst[[#This Row],[QR Suivis]],mvtst[QTE RETOUR])</f>
        <v>0</v>
      </c>
      <c r="K577" s="35" t="str">
        <f t="shared" si="8"/>
        <v>Usine</v>
      </c>
      <c r="L577" s="35" t="str">
        <f>_xlfn.XLOOKUP(mvtst[[#This Row],[Sous Traitant]],coordonnee_st[Identification],coordonnee_st[SERVICE],"Non Trouvé")</f>
        <v>Frange</v>
      </c>
      <c r="M577" s="35" t="str">
        <f>INDEX(_xlfn.TEXTSPLIT(mvtst[[#This Row],[QR Suivis]],"_"),1,2)</f>
        <v>All by Fouta</v>
      </c>
      <c r="N577" s="35" t="str">
        <f>INDEX(_xlfn.TEXTSPLIT(mvtst[[#This Row],[QR Suivis]],"_"),1,3)</f>
        <v>Stock</v>
      </c>
      <c r="O577" s="35" t="str">
        <f>INDEX(_xlfn.TEXTSPLIT(mvtst[[#This Row],[QR Suivis]],"_"),1,4)</f>
        <v>UNS1020-24</v>
      </c>
      <c r="P577" s="35" t="str">
        <f>INDEX(_xlfn.TEXTSPLIT(mvtst[[#This Row],[QR Suivis]],"_"),1,5)</f>
        <v>UNI SURPIQUE</v>
      </c>
      <c r="Q577" s="35" t="str">
        <f>_xlfn.TEXTAFTER(mvtst[[#This Row],[QR Suivis]],"_",5)</f>
        <v>1020</v>
      </c>
      <c r="R577" s="84" t="str">
        <f>IF(
   COUNTIFS($A$2:A577,A577,
             $B$2:B577,B577,
             $C$2:C577,C577,
             $D$2:D577,D577,
             $G$2:G577,G577)&gt;1,
   "Doublon",
   "Correcte"
)</f>
        <v>Correcte</v>
      </c>
    </row>
    <row r="578" spans="1:18" x14ac:dyDescent="0.25">
      <c r="A578" s="104" t="s">
        <v>1545</v>
      </c>
      <c r="B578" s="35" t="s">
        <v>712</v>
      </c>
      <c r="C578" s="36">
        <v>0</v>
      </c>
      <c r="D578" s="36">
        <v>5</v>
      </c>
      <c r="E578" s="35" t="s">
        <v>699</v>
      </c>
      <c r="F578" s="35" t="s">
        <v>634</v>
      </c>
      <c r="G578" s="37">
        <v>45926.646724537037</v>
      </c>
      <c r="H578" s="37" t="str">
        <f>INDEX(_xlfn.TEXTSPLIT(mvtst[[#This Row],[QR Suivis]],"_"),1,1)</f>
        <v>CA250014-1</v>
      </c>
      <c r="I578" s="35" t="str">
        <f>_xlfn.TEXTBEFORE(mvtst[[#This Row],[Num Suivis]],"-",,,1)</f>
        <v>CA250014</v>
      </c>
      <c r="J578" s="36">
        <f>SUMIF(mvtst[QR Suivis],mvtst[[#This Row],[QR Suivis]],mvtst[QTE SORTIS])-SUMIF(mvtst[QR Suivis],mvtst[[#This Row],[QR Suivis]],mvtst[QTE RETOUR])</f>
        <v>0</v>
      </c>
      <c r="K578" s="35" t="str">
        <f t="shared" si="8"/>
        <v>Usine</v>
      </c>
      <c r="L578" s="35" t="str">
        <f>_xlfn.XLOOKUP(mvtst[[#This Row],[Sous Traitant]],coordonnee_st[Identification],coordonnee_st[SERVICE],"Non Trouvé")</f>
        <v>Frange</v>
      </c>
      <c r="M578" s="35" t="str">
        <f>INDEX(_xlfn.TEXTSPLIT(mvtst[[#This Row],[QR Suivis]],"_"),1,2)</f>
        <v>All by Fouta</v>
      </c>
      <c r="N578" s="35" t="str">
        <f>INDEX(_xlfn.TEXTSPLIT(mvtst[[#This Row],[QR Suivis]],"_"),1,3)</f>
        <v>Stock</v>
      </c>
      <c r="O578" s="35" t="str">
        <f>INDEX(_xlfn.TEXTSPLIT(mvtst[[#This Row],[QR Suivis]],"_"),1,4)</f>
        <v>UNS1020-24</v>
      </c>
      <c r="P578" s="35" t="str">
        <f>INDEX(_xlfn.TEXTSPLIT(mvtst[[#This Row],[QR Suivis]],"_"),1,5)</f>
        <v>UNI SURPIQUE</v>
      </c>
      <c r="Q578" s="35" t="str">
        <f>_xlfn.TEXTAFTER(mvtst[[#This Row],[QR Suivis]],"_",5)</f>
        <v>1020</v>
      </c>
      <c r="R578" s="84" t="str">
        <f>IF(
   COUNTIFS($A$2:A578,A578,
             $B$2:B578,B578,
             $C$2:C578,C578,
             $D$2:D578,D578,
             $G$2:G578,G578)&gt;1,
   "Doublon",
   "Correcte"
)</f>
        <v>Correcte</v>
      </c>
    </row>
    <row r="579" spans="1:18" x14ac:dyDescent="0.25">
      <c r="A579" s="104" t="s">
        <v>1546</v>
      </c>
      <c r="B579" s="35" t="s">
        <v>712</v>
      </c>
      <c r="C579" s="36">
        <v>0</v>
      </c>
      <c r="D579" s="36">
        <v>5</v>
      </c>
      <c r="E579" s="35" t="s">
        <v>699</v>
      </c>
      <c r="F579" s="35" t="s">
        <v>634</v>
      </c>
      <c r="G579" s="37">
        <v>45926.647222222222</v>
      </c>
      <c r="H579" s="37" t="str">
        <f>INDEX(_xlfn.TEXTSPLIT(mvtst[[#This Row],[QR Suivis]],"_"),1,1)</f>
        <v>CA250014-11</v>
      </c>
      <c r="I579" s="35" t="str">
        <f>_xlfn.TEXTBEFORE(mvtst[[#This Row],[Num Suivis]],"-",,,1)</f>
        <v>CA250014</v>
      </c>
      <c r="J579" s="36">
        <f>SUMIF(mvtst[QR Suivis],mvtst[[#This Row],[QR Suivis]],mvtst[QTE SORTIS])-SUMIF(mvtst[QR Suivis],mvtst[[#This Row],[QR Suivis]],mvtst[QTE RETOUR])</f>
        <v>0</v>
      </c>
      <c r="K579" s="35" t="str">
        <f t="shared" ref="K579:K642" si="9">"Usine"</f>
        <v>Usine</v>
      </c>
      <c r="L579" s="35" t="str">
        <f>_xlfn.XLOOKUP(mvtst[[#This Row],[Sous Traitant]],coordonnee_st[Identification],coordonnee_st[SERVICE],"Non Trouvé")</f>
        <v>Frange</v>
      </c>
      <c r="M579" s="35" t="str">
        <f>INDEX(_xlfn.TEXTSPLIT(mvtst[[#This Row],[QR Suivis]],"_"),1,2)</f>
        <v>All by Fouta</v>
      </c>
      <c r="N579" s="35" t="str">
        <f>INDEX(_xlfn.TEXTSPLIT(mvtst[[#This Row],[QR Suivis]],"_"),1,3)</f>
        <v>Stock</v>
      </c>
      <c r="O579" s="35" t="str">
        <f>INDEX(_xlfn.TEXTSPLIT(mvtst[[#This Row],[QR Suivis]],"_"),1,4)</f>
        <v>UNS1020-24</v>
      </c>
      <c r="P579" s="35" t="str">
        <f>INDEX(_xlfn.TEXTSPLIT(mvtst[[#This Row],[QR Suivis]],"_"),1,5)</f>
        <v>UNI SURPIQUE</v>
      </c>
      <c r="Q579" s="35" t="str">
        <f>_xlfn.TEXTAFTER(mvtst[[#This Row],[QR Suivis]],"_",5)</f>
        <v>1020</v>
      </c>
      <c r="R579" s="84" t="str">
        <f>IF(
   COUNTIFS($A$2:A579,A579,
             $B$2:B579,B579,
             $C$2:C579,C579,
             $D$2:D579,D579,
             $G$2:G579,G579)&gt;1,
   "Doublon",
   "Correcte"
)</f>
        <v>Correcte</v>
      </c>
    </row>
    <row r="580" spans="1:18" x14ac:dyDescent="0.25">
      <c r="A580" s="104" t="s">
        <v>1547</v>
      </c>
      <c r="B580" s="35" t="s">
        <v>712</v>
      </c>
      <c r="C580" s="36">
        <v>0</v>
      </c>
      <c r="D580" s="36">
        <v>5</v>
      </c>
      <c r="E580" s="35" t="s">
        <v>699</v>
      </c>
      <c r="F580" s="35" t="s">
        <v>634</v>
      </c>
      <c r="G580" s="37">
        <v>45926.647430555553</v>
      </c>
      <c r="H580" s="37" t="str">
        <f>INDEX(_xlfn.TEXTSPLIT(mvtst[[#This Row],[QR Suivis]],"_"),1,1)</f>
        <v>CA250014-8</v>
      </c>
      <c r="I580" s="35" t="str">
        <f>_xlfn.TEXTBEFORE(mvtst[[#This Row],[Num Suivis]],"-",,,1)</f>
        <v>CA250014</v>
      </c>
      <c r="J580" s="36">
        <f>SUMIF(mvtst[QR Suivis],mvtst[[#This Row],[QR Suivis]],mvtst[QTE SORTIS])-SUMIF(mvtst[QR Suivis],mvtst[[#This Row],[QR Suivis]],mvtst[QTE RETOUR])</f>
        <v>0</v>
      </c>
      <c r="K580" s="35" t="str">
        <f t="shared" si="9"/>
        <v>Usine</v>
      </c>
      <c r="L580" s="35" t="str">
        <f>_xlfn.XLOOKUP(mvtst[[#This Row],[Sous Traitant]],coordonnee_st[Identification],coordonnee_st[SERVICE],"Non Trouvé")</f>
        <v>Frange</v>
      </c>
      <c r="M580" s="35" t="str">
        <f>INDEX(_xlfn.TEXTSPLIT(mvtst[[#This Row],[QR Suivis]],"_"),1,2)</f>
        <v>All by Fouta</v>
      </c>
      <c r="N580" s="35" t="str">
        <f>INDEX(_xlfn.TEXTSPLIT(mvtst[[#This Row],[QR Suivis]],"_"),1,3)</f>
        <v>Stock</v>
      </c>
      <c r="O580" s="35" t="str">
        <f>INDEX(_xlfn.TEXTSPLIT(mvtst[[#This Row],[QR Suivis]],"_"),1,4)</f>
        <v>UNS1020-24</v>
      </c>
      <c r="P580" s="35" t="str">
        <f>INDEX(_xlfn.TEXTSPLIT(mvtst[[#This Row],[QR Suivis]],"_"),1,5)</f>
        <v>UNI SURPIQUE</v>
      </c>
      <c r="Q580" s="35" t="str">
        <f>_xlfn.TEXTAFTER(mvtst[[#This Row],[QR Suivis]],"_",5)</f>
        <v>1020</v>
      </c>
      <c r="R580" s="84" t="str">
        <f>IF(
   COUNTIFS($A$2:A580,A580,
             $B$2:B580,B580,
             $C$2:C580,C580,
             $D$2:D580,D580,
             $G$2:G580,G580)&gt;1,
   "Doublon",
   "Correcte"
)</f>
        <v>Correcte</v>
      </c>
    </row>
    <row r="581" spans="1:18" x14ac:dyDescent="0.25">
      <c r="A581" s="104" t="s">
        <v>1440</v>
      </c>
      <c r="B581" s="35" t="s">
        <v>712</v>
      </c>
      <c r="C581" s="36">
        <v>0</v>
      </c>
      <c r="D581" s="36">
        <v>5</v>
      </c>
      <c r="E581" s="35" t="s">
        <v>699</v>
      </c>
      <c r="F581" s="35" t="s">
        <v>634</v>
      </c>
      <c r="G581" s="37">
        <v>45926.647939814815</v>
      </c>
      <c r="H581" s="37" t="str">
        <f>INDEX(_xlfn.TEXTSPLIT(mvtst[[#This Row],[QR Suivis]],"_"),1,1)</f>
        <v>CA250005-1</v>
      </c>
      <c r="I581" s="35" t="str">
        <f>_xlfn.TEXTBEFORE(mvtst[[#This Row],[Num Suivis]],"-",,,1)</f>
        <v>CA250005</v>
      </c>
      <c r="J581" s="36">
        <f>SUMIF(mvtst[QR Suivis],mvtst[[#This Row],[QR Suivis]],mvtst[QTE SORTIS])-SUMIF(mvtst[QR Suivis],mvtst[[#This Row],[QR Suivis]],mvtst[QTE RETOUR])</f>
        <v>0</v>
      </c>
      <c r="K581" s="35" t="str">
        <f t="shared" si="9"/>
        <v>Usine</v>
      </c>
      <c r="L581" s="35" t="str">
        <f>_xlfn.XLOOKUP(mvtst[[#This Row],[Sous Traitant]],coordonnee_st[Identification],coordonnee_st[SERVICE],"Non Trouvé")</f>
        <v>Frange</v>
      </c>
      <c r="M581" s="35" t="str">
        <f>INDEX(_xlfn.TEXTSPLIT(mvtst[[#This Row],[QR Suivis]],"_"),1,2)</f>
        <v>All by Fouta</v>
      </c>
      <c r="N581" s="35" t="str">
        <f>INDEX(_xlfn.TEXTSPLIT(mvtst[[#This Row],[QR Suivis]],"_"),1,3)</f>
        <v>Stock</v>
      </c>
      <c r="O581" s="35" t="str">
        <f>INDEX(_xlfn.TEXTSPLIT(mvtst[[#This Row],[QR Suivis]],"_"),1,4)</f>
        <v>UNS1020-10</v>
      </c>
      <c r="P581" s="35" t="str">
        <f>INDEX(_xlfn.TEXTSPLIT(mvtst[[#This Row],[QR Suivis]],"_"),1,5)</f>
        <v>UNI SURPIQUE</v>
      </c>
      <c r="Q581" s="35" t="str">
        <f>_xlfn.TEXTAFTER(mvtst[[#This Row],[QR Suivis]],"_",5)</f>
        <v>1020</v>
      </c>
      <c r="R581" s="84" t="str">
        <f>IF(
   COUNTIFS($A$2:A581,A581,
             $B$2:B581,B581,
             $C$2:C581,C581,
             $D$2:D581,D581,
             $G$2:G581,G581)&gt;1,
   "Doublon",
   "Correcte"
)</f>
        <v>Correcte</v>
      </c>
    </row>
    <row r="582" spans="1:18" x14ac:dyDescent="0.25">
      <c r="A582" s="104" t="s">
        <v>1563</v>
      </c>
      <c r="B582" s="35" t="s">
        <v>712</v>
      </c>
      <c r="C582" s="36">
        <v>0</v>
      </c>
      <c r="D582" s="36">
        <v>5</v>
      </c>
      <c r="E582" s="35" t="s">
        <v>699</v>
      </c>
      <c r="F582" s="35" t="s">
        <v>634</v>
      </c>
      <c r="G582" s="37">
        <v>45926.648402777777</v>
      </c>
      <c r="H582" s="37" t="str">
        <f>INDEX(_xlfn.TEXTSPLIT(mvtst[[#This Row],[QR Suivis]],"_"),1,1)</f>
        <v>CA250018-3</v>
      </c>
      <c r="I582" s="35" t="str">
        <f>_xlfn.TEXTBEFORE(mvtst[[#This Row],[Num Suivis]],"-",,,1)</f>
        <v>CA250018</v>
      </c>
      <c r="J582" s="36">
        <f>SUMIF(mvtst[QR Suivis],mvtst[[#This Row],[QR Suivis]],mvtst[QTE SORTIS])-SUMIF(mvtst[QR Suivis],mvtst[[#This Row],[QR Suivis]],mvtst[QTE RETOUR])</f>
        <v>0</v>
      </c>
      <c r="K582" s="35" t="str">
        <f t="shared" si="9"/>
        <v>Usine</v>
      </c>
      <c r="L582" s="35" t="str">
        <f>_xlfn.XLOOKUP(mvtst[[#This Row],[Sous Traitant]],coordonnee_st[Identification],coordonnee_st[SERVICE],"Non Trouvé")</f>
        <v>Frange</v>
      </c>
      <c r="M582" s="35" t="str">
        <f>INDEX(_xlfn.TEXTSPLIT(mvtst[[#This Row],[QR Suivis]],"_"),1,2)</f>
        <v>All by Fouta</v>
      </c>
      <c r="N582" s="35" t="str">
        <f>INDEX(_xlfn.TEXTSPLIT(mvtst[[#This Row],[QR Suivis]],"_"),1,3)</f>
        <v>Stock</v>
      </c>
      <c r="O582" s="35" t="str">
        <f>INDEX(_xlfn.TEXTSPLIT(mvtst[[#This Row],[QR Suivis]],"_"),1,4)</f>
        <v>UNS1020-31</v>
      </c>
      <c r="P582" s="35" t="str">
        <f>INDEX(_xlfn.TEXTSPLIT(mvtst[[#This Row],[QR Suivis]],"_"),1,5)</f>
        <v>UNI SURPIQUE</v>
      </c>
      <c r="Q582" s="35" t="str">
        <f>_xlfn.TEXTAFTER(mvtst[[#This Row],[QR Suivis]],"_",5)</f>
        <v>1020</v>
      </c>
      <c r="R582" s="84" t="str">
        <f>IF(
   COUNTIFS($A$2:A582,A582,
             $B$2:B582,B582,
             $C$2:C582,C582,
             $D$2:D582,D582,
             $G$2:G582,G582)&gt;1,
   "Doublon",
   "Correcte"
)</f>
        <v>Correcte</v>
      </c>
    </row>
    <row r="583" spans="1:18" x14ac:dyDescent="0.25">
      <c r="A583" s="104" t="s">
        <v>1479</v>
      </c>
      <c r="B583" s="35" t="s">
        <v>712</v>
      </c>
      <c r="C583" s="36">
        <v>0</v>
      </c>
      <c r="D583" s="36">
        <v>5</v>
      </c>
      <c r="E583" s="35" t="s">
        <v>699</v>
      </c>
      <c r="F583" s="35" t="s">
        <v>634</v>
      </c>
      <c r="G583" s="37">
        <v>45926.648726851854</v>
      </c>
      <c r="H583" s="37" t="str">
        <f>INDEX(_xlfn.TEXTSPLIT(mvtst[[#This Row],[QR Suivis]],"_"),1,1)</f>
        <v>CA250009-2</v>
      </c>
      <c r="I583" s="35" t="str">
        <f>_xlfn.TEXTBEFORE(mvtst[[#This Row],[Num Suivis]],"-",,,1)</f>
        <v>CA250009</v>
      </c>
      <c r="J583" s="36">
        <f>SUMIF(mvtst[QR Suivis],mvtst[[#This Row],[QR Suivis]],mvtst[QTE SORTIS])-SUMIF(mvtst[QR Suivis],mvtst[[#This Row],[QR Suivis]],mvtst[QTE RETOUR])</f>
        <v>0</v>
      </c>
      <c r="K583" s="35" t="str">
        <f t="shared" si="9"/>
        <v>Usine</v>
      </c>
      <c r="L583" s="35" t="str">
        <f>_xlfn.XLOOKUP(mvtst[[#This Row],[Sous Traitant]],coordonnee_st[Identification],coordonnee_st[SERVICE],"Non Trouvé")</f>
        <v>Frange</v>
      </c>
      <c r="M583" s="35" t="str">
        <f>INDEX(_xlfn.TEXTSPLIT(mvtst[[#This Row],[QR Suivis]],"_"),1,2)</f>
        <v>All by Fouta</v>
      </c>
      <c r="N583" s="35" t="str">
        <f>INDEX(_xlfn.TEXTSPLIT(mvtst[[#This Row],[QR Suivis]],"_"),1,3)</f>
        <v>Stock</v>
      </c>
      <c r="O583" s="35" t="str">
        <f>INDEX(_xlfn.TEXTSPLIT(mvtst[[#This Row],[QR Suivis]],"_"),1,4)</f>
        <v>UNS1020-17</v>
      </c>
      <c r="P583" s="35" t="str">
        <f>INDEX(_xlfn.TEXTSPLIT(mvtst[[#This Row],[QR Suivis]],"_"),1,5)</f>
        <v>UNI SURPIQUE</v>
      </c>
      <c r="Q583" s="35" t="str">
        <f>_xlfn.TEXTAFTER(mvtst[[#This Row],[QR Suivis]],"_",5)</f>
        <v>1020</v>
      </c>
      <c r="R583" s="84" t="str">
        <f>IF(
   COUNTIFS($A$2:A583,A583,
             $B$2:B583,B583,
             $C$2:C583,C583,
             $D$2:D583,D583,
             $G$2:G583,G583)&gt;1,
   "Doublon",
   "Correcte"
)</f>
        <v>Correcte</v>
      </c>
    </row>
    <row r="584" spans="1:18" x14ac:dyDescent="0.25">
      <c r="A584" s="104" t="s">
        <v>1480</v>
      </c>
      <c r="B584" s="35" t="s">
        <v>712</v>
      </c>
      <c r="C584" s="36">
        <v>0</v>
      </c>
      <c r="D584" s="36">
        <v>5</v>
      </c>
      <c r="E584" s="35" t="s">
        <v>699</v>
      </c>
      <c r="F584" s="35" t="s">
        <v>634</v>
      </c>
      <c r="G584" s="37">
        <v>45926.649305555555</v>
      </c>
      <c r="H584" s="37" t="str">
        <f>INDEX(_xlfn.TEXTSPLIT(mvtst[[#This Row],[QR Suivis]],"_"),1,1)</f>
        <v>CA250009-9</v>
      </c>
      <c r="I584" s="35" t="str">
        <f>_xlfn.TEXTBEFORE(mvtst[[#This Row],[Num Suivis]],"-",,,1)</f>
        <v>CA250009</v>
      </c>
      <c r="J584" s="36">
        <f>SUMIF(mvtst[QR Suivis],mvtst[[#This Row],[QR Suivis]],mvtst[QTE SORTIS])-SUMIF(mvtst[QR Suivis],mvtst[[#This Row],[QR Suivis]],mvtst[QTE RETOUR])</f>
        <v>0</v>
      </c>
      <c r="K584" s="35" t="str">
        <f t="shared" si="9"/>
        <v>Usine</v>
      </c>
      <c r="L584" s="35" t="str">
        <f>_xlfn.XLOOKUP(mvtst[[#This Row],[Sous Traitant]],coordonnee_st[Identification],coordonnee_st[SERVICE],"Non Trouvé")</f>
        <v>Frange</v>
      </c>
      <c r="M584" s="35" t="str">
        <f>INDEX(_xlfn.TEXTSPLIT(mvtst[[#This Row],[QR Suivis]],"_"),1,2)</f>
        <v>All by Fouta</v>
      </c>
      <c r="N584" s="35" t="str">
        <f>INDEX(_xlfn.TEXTSPLIT(mvtst[[#This Row],[QR Suivis]],"_"),1,3)</f>
        <v>Stock</v>
      </c>
      <c r="O584" s="35" t="str">
        <f>INDEX(_xlfn.TEXTSPLIT(mvtst[[#This Row],[QR Suivis]],"_"),1,4)</f>
        <v>UNS1020-17</v>
      </c>
      <c r="P584" s="35" t="str">
        <f>INDEX(_xlfn.TEXTSPLIT(mvtst[[#This Row],[QR Suivis]],"_"),1,5)</f>
        <v>UNI SURPIQUE</v>
      </c>
      <c r="Q584" s="35" t="str">
        <f>_xlfn.TEXTAFTER(mvtst[[#This Row],[QR Suivis]],"_",5)</f>
        <v>1020</v>
      </c>
      <c r="R584" s="84" t="str">
        <f>IF(
   COUNTIFS($A$2:A584,A584,
             $B$2:B584,B584,
             $C$2:C584,C584,
             $D$2:D584,D584,
             $G$2:G584,G584)&gt;1,
   "Doublon",
   "Correcte"
)</f>
        <v>Correcte</v>
      </c>
    </row>
    <row r="585" spans="1:18" x14ac:dyDescent="0.25">
      <c r="A585" s="104" t="s">
        <v>1481</v>
      </c>
      <c r="B585" s="35" t="s">
        <v>712</v>
      </c>
      <c r="C585" s="36">
        <v>0</v>
      </c>
      <c r="D585" s="36">
        <v>5</v>
      </c>
      <c r="E585" s="35" t="s">
        <v>699</v>
      </c>
      <c r="F585" s="35" t="s">
        <v>634</v>
      </c>
      <c r="G585" s="37">
        <v>45926.649907407409</v>
      </c>
      <c r="H585" s="37" t="str">
        <f>INDEX(_xlfn.TEXTSPLIT(mvtst[[#This Row],[QR Suivis]],"_"),1,1)</f>
        <v>CA250009-7</v>
      </c>
      <c r="I585" s="35" t="str">
        <f>_xlfn.TEXTBEFORE(mvtst[[#This Row],[Num Suivis]],"-",,,1)</f>
        <v>CA250009</v>
      </c>
      <c r="J585" s="36">
        <f>SUMIF(mvtst[QR Suivis],mvtst[[#This Row],[QR Suivis]],mvtst[QTE SORTIS])-SUMIF(mvtst[QR Suivis],mvtst[[#This Row],[QR Suivis]],mvtst[QTE RETOUR])</f>
        <v>0</v>
      </c>
      <c r="K585" s="35" t="str">
        <f t="shared" si="9"/>
        <v>Usine</v>
      </c>
      <c r="L585" s="35" t="str">
        <f>_xlfn.XLOOKUP(mvtst[[#This Row],[Sous Traitant]],coordonnee_st[Identification],coordonnee_st[SERVICE],"Non Trouvé")</f>
        <v>Frange</v>
      </c>
      <c r="M585" s="35" t="str">
        <f>INDEX(_xlfn.TEXTSPLIT(mvtst[[#This Row],[QR Suivis]],"_"),1,2)</f>
        <v>All by Fouta</v>
      </c>
      <c r="N585" s="35" t="str">
        <f>INDEX(_xlfn.TEXTSPLIT(mvtst[[#This Row],[QR Suivis]],"_"),1,3)</f>
        <v>Stock</v>
      </c>
      <c r="O585" s="35" t="str">
        <f>INDEX(_xlfn.TEXTSPLIT(mvtst[[#This Row],[QR Suivis]],"_"),1,4)</f>
        <v>UNS1020-17</v>
      </c>
      <c r="P585" s="35" t="str">
        <f>INDEX(_xlfn.TEXTSPLIT(mvtst[[#This Row],[QR Suivis]],"_"),1,5)</f>
        <v>UNI SURPIQUE</v>
      </c>
      <c r="Q585" s="35" t="str">
        <f>_xlfn.TEXTAFTER(mvtst[[#This Row],[QR Suivis]],"_",5)</f>
        <v>1020</v>
      </c>
      <c r="R585" s="84" t="str">
        <f>IF(
   COUNTIFS($A$2:A585,A585,
             $B$2:B585,B585,
             $C$2:C585,C585,
             $D$2:D585,D585,
             $G$2:G585,G585)&gt;1,
   "Doublon",
   "Correcte"
)</f>
        <v>Correcte</v>
      </c>
    </row>
    <row r="586" spans="1:18" x14ac:dyDescent="0.25">
      <c r="A586" s="104" t="s">
        <v>1482</v>
      </c>
      <c r="B586" s="35" t="s">
        <v>712</v>
      </c>
      <c r="C586" s="36">
        <v>0</v>
      </c>
      <c r="D586" s="36">
        <v>3</v>
      </c>
      <c r="E586" s="35" t="s">
        <v>699</v>
      </c>
      <c r="F586" s="35" t="s">
        <v>634</v>
      </c>
      <c r="G586" s="37">
        <v>45926.650543981479</v>
      </c>
      <c r="H586" s="37" t="str">
        <f>INDEX(_xlfn.TEXTSPLIT(mvtst[[#This Row],[QR Suivis]],"_"),1,1)</f>
        <v>CA250009-12</v>
      </c>
      <c r="I586" s="35" t="str">
        <f>_xlfn.TEXTBEFORE(mvtst[[#This Row],[Num Suivis]],"-",,,1)</f>
        <v>CA250009</v>
      </c>
      <c r="J586" s="36">
        <f>SUMIF(mvtst[QR Suivis],mvtst[[#This Row],[QR Suivis]],mvtst[QTE SORTIS])-SUMIF(mvtst[QR Suivis],mvtst[[#This Row],[QR Suivis]],mvtst[QTE RETOUR])</f>
        <v>0</v>
      </c>
      <c r="K586" s="35" t="str">
        <f t="shared" si="9"/>
        <v>Usine</v>
      </c>
      <c r="L586" s="35" t="str">
        <f>_xlfn.XLOOKUP(mvtst[[#This Row],[Sous Traitant]],coordonnee_st[Identification],coordonnee_st[SERVICE],"Non Trouvé")</f>
        <v>Frange</v>
      </c>
      <c r="M586" s="35" t="str">
        <f>INDEX(_xlfn.TEXTSPLIT(mvtst[[#This Row],[QR Suivis]],"_"),1,2)</f>
        <v>All by Fouta</v>
      </c>
      <c r="N586" s="35" t="str">
        <f>INDEX(_xlfn.TEXTSPLIT(mvtst[[#This Row],[QR Suivis]],"_"),1,3)</f>
        <v>Stock</v>
      </c>
      <c r="O586" s="35" t="str">
        <f>INDEX(_xlfn.TEXTSPLIT(mvtst[[#This Row],[QR Suivis]],"_"),1,4)</f>
        <v>UNS1020-17</v>
      </c>
      <c r="P586" s="35" t="str">
        <f>INDEX(_xlfn.TEXTSPLIT(mvtst[[#This Row],[QR Suivis]],"_"),1,5)</f>
        <v>UNI SURPIQUE</v>
      </c>
      <c r="Q586" s="35" t="str">
        <f>_xlfn.TEXTAFTER(mvtst[[#This Row],[QR Suivis]],"_",5)</f>
        <v>1020</v>
      </c>
      <c r="R586" s="84" t="str">
        <f>IF(
   COUNTIFS($A$2:A586,A586,
             $B$2:B586,B586,
             $C$2:C586,C586,
             $D$2:D586,D586,
             $G$2:G586,G586)&gt;1,
   "Doublon",
   "Correcte"
)</f>
        <v>Correcte</v>
      </c>
    </row>
    <row r="587" spans="1:18" x14ac:dyDescent="0.25">
      <c r="A587" s="104" t="s">
        <v>1483</v>
      </c>
      <c r="B587" s="35" t="s">
        <v>712</v>
      </c>
      <c r="C587" s="36">
        <v>0</v>
      </c>
      <c r="D587" s="36">
        <v>2</v>
      </c>
      <c r="E587" s="35" t="s">
        <v>699</v>
      </c>
      <c r="F587" s="35" t="s">
        <v>634</v>
      </c>
      <c r="G587" s="37">
        <v>45926.650833333333</v>
      </c>
      <c r="H587" s="37" t="str">
        <f>INDEX(_xlfn.TEXTSPLIT(mvtst[[#This Row],[QR Suivis]],"_"),1,1)</f>
        <v>CA250009-13</v>
      </c>
      <c r="I587" s="35" t="str">
        <f>_xlfn.TEXTBEFORE(mvtst[[#This Row],[Num Suivis]],"-",,,1)</f>
        <v>CA250009</v>
      </c>
      <c r="J587" s="36">
        <f>SUMIF(mvtst[QR Suivis],mvtst[[#This Row],[QR Suivis]],mvtst[QTE SORTIS])-SUMIF(mvtst[QR Suivis],mvtst[[#This Row],[QR Suivis]],mvtst[QTE RETOUR])</f>
        <v>0</v>
      </c>
      <c r="K587" s="35" t="str">
        <f t="shared" si="9"/>
        <v>Usine</v>
      </c>
      <c r="L587" s="35" t="str">
        <f>_xlfn.XLOOKUP(mvtst[[#This Row],[Sous Traitant]],coordonnee_st[Identification],coordonnee_st[SERVICE],"Non Trouvé")</f>
        <v>Frange</v>
      </c>
      <c r="M587" s="35" t="str">
        <f>INDEX(_xlfn.TEXTSPLIT(mvtst[[#This Row],[QR Suivis]],"_"),1,2)</f>
        <v>All by Fouta</v>
      </c>
      <c r="N587" s="35" t="str">
        <f>INDEX(_xlfn.TEXTSPLIT(mvtst[[#This Row],[QR Suivis]],"_"),1,3)</f>
        <v>Stock</v>
      </c>
      <c r="O587" s="35" t="str">
        <f>INDEX(_xlfn.TEXTSPLIT(mvtst[[#This Row],[QR Suivis]],"_"),1,4)</f>
        <v>UNS1020-17</v>
      </c>
      <c r="P587" s="35" t="str">
        <f>INDEX(_xlfn.TEXTSPLIT(mvtst[[#This Row],[QR Suivis]],"_"),1,5)</f>
        <v>UNI SURPIQUE</v>
      </c>
      <c r="Q587" s="35" t="str">
        <f>_xlfn.TEXTAFTER(mvtst[[#This Row],[QR Suivis]],"_",5)</f>
        <v>1020</v>
      </c>
      <c r="R587" s="84" t="str">
        <f>IF(
   COUNTIFS($A$2:A587,A587,
             $B$2:B587,B587,
             $C$2:C587,C587,
             $D$2:D587,D587,
             $G$2:G587,G587)&gt;1,
   "Doublon",
   "Correcte"
)</f>
        <v>Correcte</v>
      </c>
    </row>
    <row r="588" spans="1:18" x14ac:dyDescent="0.25">
      <c r="A588" s="104" t="s">
        <v>1484</v>
      </c>
      <c r="B588" s="35" t="s">
        <v>712</v>
      </c>
      <c r="C588" s="36">
        <v>0</v>
      </c>
      <c r="D588" s="36">
        <v>5</v>
      </c>
      <c r="E588" s="35" t="s">
        <v>699</v>
      </c>
      <c r="F588" s="35" t="s">
        <v>634</v>
      </c>
      <c r="G588" s="37">
        <v>45926.65115740741</v>
      </c>
      <c r="H588" s="37" t="str">
        <f>INDEX(_xlfn.TEXTSPLIT(mvtst[[#This Row],[QR Suivis]],"_"),1,1)</f>
        <v>CA250009-4</v>
      </c>
      <c r="I588" s="35" t="str">
        <f>_xlfn.TEXTBEFORE(mvtst[[#This Row],[Num Suivis]],"-",,,1)</f>
        <v>CA250009</v>
      </c>
      <c r="J588" s="36">
        <f>SUMIF(mvtst[QR Suivis],mvtst[[#This Row],[QR Suivis]],mvtst[QTE SORTIS])-SUMIF(mvtst[QR Suivis],mvtst[[#This Row],[QR Suivis]],mvtst[QTE RETOUR])</f>
        <v>0</v>
      </c>
      <c r="K588" s="35" t="str">
        <f t="shared" si="9"/>
        <v>Usine</v>
      </c>
      <c r="L588" s="35" t="str">
        <f>_xlfn.XLOOKUP(mvtst[[#This Row],[Sous Traitant]],coordonnee_st[Identification],coordonnee_st[SERVICE],"Non Trouvé")</f>
        <v>Frange</v>
      </c>
      <c r="M588" s="35" t="str">
        <f>INDEX(_xlfn.TEXTSPLIT(mvtst[[#This Row],[QR Suivis]],"_"),1,2)</f>
        <v>All by Fouta</v>
      </c>
      <c r="N588" s="35" t="str">
        <f>INDEX(_xlfn.TEXTSPLIT(mvtst[[#This Row],[QR Suivis]],"_"),1,3)</f>
        <v>Stock</v>
      </c>
      <c r="O588" s="35" t="str">
        <f>INDEX(_xlfn.TEXTSPLIT(mvtst[[#This Row],[QR Suivis]],"_"),1,4)</f>
        <v>UNS1020-17</v>
      </c>
      <c r="P588" s="35" t="str">
        <f>INDEX(_xlfn.TEXTSPLIT(mvtst[[#This Row],[QR Suivis]],"_"),1,5)</f>
        <v>UNI SURPIQUE</v>
      </c>
      <c r="Q588" s="35" t="str">
        <f>_xlfn.TEXTAFTER(mvtst[[#This Row],[QR Suivis]],"_",5)</f>
        <v>1020</v>
      </c>
      <c r="R588" s="84" t="str">
        <f>IF(
   COUNTIFS($A$2:A588,A588,
             $B$2:B588,B588,
             $C$2:C588,C588,
             $D$2:D588,D588,
             $G$2:G588,G588)&gt;1,
   "Doublon",
   "Correcte"
)</f>
        <v>Correcte</v>
      </c>
    </row>
    <row r="589" spans="1:18" x14ac:dyDescent="0.25">
      <c r="A589" s="104" t="s">
        <v>1485</v>
      </c>
      <c r="B589" s="35" t="s">
        <v>712</v>
      </c>
      <c r="C589" s="36">
        <v>0</v>
      </c>
      <c r="D589" s="36">
        <v>5</v>
      </c>
      <c r="E589" s="35" t="s">
        <v>699</v>
      </c>
      <c r="F589" s="35" t="s">
        <v>634</v>
      </c>
      <c r="G589" s="37">
        <v>45926.651435185187</v>
      </c>
      <c r="H589" s="37" t="str">
        <f>INDEX(_xlfn.TEXTSPLIT(mvtst[[#This Row],[QR Suivis]],"_"),1,1)</f>
        <v>CA250009-1</v>
      </c>
      <c r="I589" s="35" t="str">
        <f>_xlfn.TEXTBEFORE(mvtst[[#This Row],[Num Suivis]],"-",,,1)</f>
        <v>CA250009</v>
      </c>
      <c r="J589" s="36">
        <f>SUMIF(mvtst[QR Suivis],mvtst[[#This Row],[QR Suivis]],mvtst[QTE SORTIS])-SUMIF(mvtst[QR Suivis],mvtst[[#This Row],[QR Suivis]],mvtst[QTE RETOUR])</f>
        <v>0</v>
      </c>
      <c r="K589" s="35" t="str">
        <f t="shared" si="9"/>
        <v>Usine</v>
      </c>
      <c r="L589" s="35" t="str">
        <f>_xlfn.XLOOKUP(mvtst[[#This Row],[Sous Traitant]],coordonnee_st[Identification],coordonnee_st[SERVICE],"Non Trouvé")</f>
        <v>Frange</v>
      </c>
      <c r="M589" s="35" t="str">
        <f>INDEX(_xlfn.TEXTSPLIT(mvtst[[#This Row],[QR Suivis]],"_"),1,2)</f>
        <v>All by Fouta</v>
      </c>
      <c r="N589" s="35" t="str">
        <f>INDEX(_xlfn.TEXTSPLIT(mvtst[[#This Row],[QR Suivis]],"_"),1,3)</f>
        <v>Stock</v>
      </c>
      <c r="O589" s="35" t="str">
        <f>INDEX(_xlfn.TEXTSPLIT(mvtst[[#This Row],[QR Suivis]],"_"),1,4)</f>
        <v>UNS1020-17</v>
      </c>
      <c r="P589" s="35" t="str">
        <f>INDEX(_xlfn.TEXTSPLIT(mvtst[[#This Row],[QR Suivis]],"_"),1,5)</f>
        <v>UNI SURPIQUE</v>
      </c>
      <c r="Q589" s="35" t="str">
        <f>_xlfn.TEXTAFTER(mvtst[[#This Row],[QR Suivis]],"_",5)</f>
        <v>1020</v>
      </c>
      <c r="R589" s="84" t="str">
        <f>IF(
   COUNTIFS($A$2:A589,A589,
             $B$2:B589,B589,
             $C$2:C589,C589,
             $D$2:D589,D589,
             $G$2:G589,G589)&gt;1,
   "Doublon",
   "Correcte"
)</f>
        <v>Correcte</v>
      </c>
    </row>
    <row r="590" spans="1:18" x14ac:dyDescent="0.25">
      <c r="A590" s="104" t="s">
        <v>1486</v>
      </c>
      <c r="B590" s="35" t="s">
        <v>712</v>
      </c>
      <c r="C590" s="36">
        <v>0</v>
      </c>
      <c r="D590" s="36">
        <v>5</v>
      </c>
      <c r="E590" s="35" t="s">
        <v>699</v>
      </c>
      <c r="F590" s="35" t="s">
        <v>634</v>
      </c>
      <c r="G590" s="37">
        <v>45926.652060185188</v>
      </c>
      <c r="H590" s="37" t="str">
        <f>INDEX(_xlfn.TEXTSPLIT(mvtst[[#This Row],[QR Suivis]],"_"),1,1)</f>
        <v>CA250009-3</v>
      </c>
      <c r="I590" s="35" t="str">
        <f>_xlfn.TEXTBEFORE(mvtst[[#This Row],[Num Suivis]],"-",,,1)</f>
        <v>CA250009</v>
      </c>
      <c r="J590" s="36">
        <f>SUMIF(mvtst[QR Suivis],mvtst[[#This Row],[QR Suivis]],mvtst[QTE SORTIS])-SUMIF(mvtst[QR Suivis],mvtst[[#This Row],[QR Suivis]],mvtst[QTE RETOUR])</f>
        <v>0</v>
      </c>
      <c r="K590" s="35" t="str">
        <f t="shared" si="9"/>
        <v>Usine</v>
      </c>
      <c r="L590" s="35" t="str">
        <f>_xlfn.XLOOKUP(mvtst[[#This Row],[Sous Traitant]],coordonnee_st[Identification],coordonnee_st[SERVICE],"Non Trouvé")</f>
        <v>Frange</v>
      </c>
      <c r="M590" s="35" t="str">
        <f>INDEX(_xlfn.TEXTSPLIT(mvtst[[#This Row],[QR Suivis]],"_"),1,2)</f>
        <v>All by Fouta</v>
      </c>
      <c r="N590" s="35" t="str">
        <f>INDEX(_xlfn.TEXTSPLIT(mvtst[[#This Row],[QR Suivis]],"_"),1,3)</f>
        <v>Stock</v>
      </c>
      <c r="O590" s="35" t="str">
        <f>INDEX(_xlfn.TEXTSPLIT(mvtst[[#This Row],[QR Suivis]],"_"),1,4)</f>
        <v>UNS1020-17</v>
      </c>
      <c r="P590" s="35" t="str">
        <f>INDEX(_xlfn.TEXTSPLIT(mvtst[[#This Row],[QR Suivis]],"_"),1,5)</f>
        <v>UNI SURPIQUE</v>
      </c>
      <c r="Q590" s="35" t="str">
        <f>_xlfn.TEXTAFTER(mvtst[[#This Row],[QR Suivis]],"_",5)</f>
        <v>1020</v>
      </c>
      <c r="R590" s="84" t="str">
        <f>IF(
   COUNTIFS($A$2:A590,A590,
             $B$2:B590,B590,
             $C$2:C590,C590,
             $D$2:D590,D590,
             $G$2:G590,G590)&gt;1,
   "Doublon",
   "Correcte"
)</f>
        <v>Correcte</v>
      </c>
    </row>
    <row r="591" spans="1:18" x14ac:dyDescent="0.25">
      <c r="A591" s="104" t="s">
        <v>1424</v>
      </c>
      <c r="B591" s="35" t="s">
        <v>712</v>
      </c>
      <c r="C591" s="36">
        <v>0</v>
      </c>
      <c r="D591" s="36">
        <v>5</v>
      </c>
      <c r="E591" s="35" t="s">
        <v>699</v>
      </c>
      <c r="F591" s="35" t="s">
        <v>634</v>
      </c>
      <c r="G591" s="37">
        <v>45926.652604166666</v>
      </c>
      <c r="H591" s="37" t="str">
        <f>INDEX(_xlfn.TEXTSPLIT(mvtst[[#This Row],[QR Suivis]],"_"),1,1)</f>
        <v>CA250004-9</v>
      </c>
      <c r="I591" s="35" t="str">
        <f>_xlfn.TEXTBEFORE(mvtst[[#This Row],[Num Suivis]],"-",,,1)</f>
        <v>CA250004</v>
      </c>
      <c r="J591" s="36">
        <f>SUMIF(mvtst[QR Suivis],mvtst[[#This Row],[QR Suivis]],mvtst[QTE SORTIS])-SUMIF(mvtst[QR Suivis],mvtst[[#This Row],[QR Suivis]],mvtst[QTE RETOUR])</f>
        <v>0</v>
      </c>
      <c r="K591" s="35" t="str">
        <f t="shared" si="9"/>
        <v>Usine</v>
      </c>
      <c r="L591" s="35" t="str">
        <f>_xlfn.XLOOKUP(mvtst[[#This Row],[Sous Traitant]],coordonnee_st[Identification],coordonnee_st[SERVICE],"Non Trouvé")</f>
        <v>Frange</v>
      </c>
      <c r="M591" s="35" t="str">
        <f>INDEX(_xlfn.TEXTSPLIT(mvtst[[#This Row],[QR Suivis]],"_"),1,2)</f>
        <v>All by Fouta</v>
      </c>
      <c r="N591" s="35" t="str">
        <f>INDEX(_xlfn.TEXTSPLIT(mvtst[[#This Row],[QR Suivis]],"_"),1,3)</f>
        <v>Stock</v>
      </c>
      <c r="O591" s="35" t="str">
        <f>INDEX(_xlfn.TEXTSPLIT(mvtst[[#This Row],[QR Suivis]],"_"),1,4)</f>
        <v>UNS1020-09</v>
      </c>
      <c r="P591" s="35" t="str">
        <f>INDEX(_xlfn.TEXTSPLIT(mvtst[[#This Row],[QR Suivis]],"_"),1,5)</f>
        <v>UNI SURPIQUE</v>
      </c>
      <c r="Q591" s="35" t="str">
        <f>_xlfn.TEXTAFTER(mvtst[[#This Row],[QR Suivis]],"_",5)</f>
        <v>1020</v>
      </c>
      <c r="R591" s="84" t="str">
        <f>IF(
   COUNTIFS($A$2:A591,A591,
             $B$2:B591,B591,
             $C$2:C591,C591,
             $D$2:D591,D591,
             $G$2:G591,G591)&gt;1,
   "Doublon",
   "Correcte"
)</f>
        <v>Correcte</v>
      </c>
    </row>
    <row r="592" spans="1:18" x14ac:dyDescent="0.25">
      <c r="A592" s="104" t="s">
        <v>1425</v>
      </c>
      <c r="B592" s="35" t="s">
        <v>712</v>
      </c>
      <c r="C592" s="36">
        <v>0</v>
      </c>
      <c r="D592" s="36">
        <v>5</v>
      </c>
      <c r="E592" s="35" t="s">
        <v>699</v>
      </c>
      <c r="F592" s="35" t="s">
        <v>634</v>
      </c>
      <c r="G592" s="37">
        <v>45926.653020833335</v>
      </c>
      <c r="H592" s="37" t="str">
        <f>INDEX(_xlfn.TEXTSPLIT(mvtst[[#This Row],[QR Suivis]],"_"),1,1)</f>
        <v>CA250004-5</v>
      </c>
      <c r="I592" s="35" t="str">
        <f>_xlfn.TEXTBEFORE(mvtst[[#This Row],[Num Suivis]],"-",,,1)</f>
        <v>CA250004</v>
      </c>
      <c r="J592" s="36">
        <f>SUMIF(mvtst[QR Suivis],mvtst[[#This Row],[QR Suivis]],mvtst[QTE SORTIS])-SUMIF(mvtst[QR Suivis],mvtst[[#This Row],[QR Suivis]],mvtst[QTE RETOUR])</f>
        <v>0</v>
      </c>
      <c r="K592" s="35" t="str">
        <f t="shared" si="9"/>
        <v>Usine</v>
      </c>
      <c r="L592" s="35" t="str">
        <f>_xlfn.XLOOKUP(mvtst[[#This Row],[Sous Traitant]],coordonnee_st[Identification],coordonnee_st[SERVICE],"Non Trouvé")</f>
        <v>Frange</v>
      </c>
      <c r="M592" s="35" t="str">
        <f>INDEX(_xlfn.TEXTSPLIT(mvtst[[#This Row],[QR Suivis]],"_"),1,2)</f>
        <v>All by Fouta</v>
      </c>
      <c r="N592" s="35" t="str">
        <f>INDEX(_xlfn.TEXTSPLIT(mvtst[[#This Row],[QR Suivis]],"_"),1,3)</f>
        <v>Stock</v>
      </c>
      <c r="O592" s="35" t="str">
        <f>INDEX(_xlfn.TEXTSPLIT(mvtst[[#This Row],[QR Suivis]],"_"),1,4)</f>
        <v>UNS1020-09</v>
      </c>
      <c r="P592" s="35" t="str">
        <f>INDEX(_xlfn.TEXTSPLIT(mvtst[[#This Row],[QR Suivis]],"_"),1,5)</f>
        <v>UNI SURPIQUE</v>
      </c>
      <c r="Q592" s="35" t="str">
        <f>_xlfn.TEXTAFTER(mvtst[[#This Row],[QR Suivis]],"_",5)</f>
        <v>1020</v>
      </c>
      <c r="R592" s="84" t="str">
        <f>IF(
   COUNTIFS($A$2:A592,A592,
             $B$2:B592,B592,
             $C$2:C592,C592,
             $D$2:D592,D592,
             $G$2:G592,G592)&gt;1,
   "Doublon",
   "Correcte"
)</f>
        <v>Correcte</v>
      </c>
    </row>
    <row r="593" spans="1:18" x14ac:dyDescent="0.25">
      <c r="A593" s="104" t="s">
        <v>1426</v>
      </c>
      <c r="B593" s="35" t="s">
        <v>712</v>
      </c>
      <c r="C593" s="36">
        <v>0</v>
      </c>
      <c r="D593" s="36">
        <v>5</v>
      </c>
      <c r="E593" s="35" t="s">
        <v>699</v>
      </c>
      <c r="F593" s="35" t="s">
        <v>634</v>
      </c>
      <c r="G593" s="37">
        <v>45926.654293981483</v>
      </c>
      <c r="H593" s="37" t="str">
        <f>INDEX(_xlfn.TEXTSPLIT(mvtst[[#This Row],[QR Suivis]],"_"),1,1)</f>
        <v>CA250004-12</v>
      </c>
      <c r="I593" s="35" t="str">
        <f>_xlfn.TEXTBEFORE(mvtst[[#This Row],[Num Suivis]],"-",,,1)</f>
        <v>CA250004</v>
      </c>
      <c r="J593" s="36">
        <f>SUMIF(mvtst[QR Suivis],mvtst[[#This Row],[QR Suivis]],mvtst[QTE SORTIS])-SUMIF(mvtst[QR Suivis],mvtst[[#This Row],[QR Suivis]],mvtst[QTE RETOUR])</f>
        <v>0</v>
      </c>
      <c r="K593" s="35" t="str">
        <f t="shared" si="9"/>
        <v>Usine</v>
      </c>
      <c r="L593" s="35" t="str">
        <f>_xlfn.XLOOKUP(mvtst[[#This Row],[Sous Traitant]],coordonnee_st[Identification],coordonnee_st[SERVICE],"Non Trouvé")</f>
        <v>Frange</v>
      </c>
      <c r="M593" s="35" t="str">
        <f>INDEX(_xlfn.TEXTSPLIT(mvtst[[#This Row],[QR Suivis]],"_"),1,2)</f>
        <v>All by Fouta</v>
      </c>
      <c r="N593" s="35" t="str">
        <f>INDEX(_xlfn.TEXTSPLIT(mvtst[[#This Row],[QR Suivis]],"_"),1,3)</f>
        <v>Stock</v>
      </c>
      <c r="O593" s="35" t="str">
        <f>INDEX(_xlfn.TEXTSPLIT(mvtst[[#This Row],[QR Suivis]],"_"),1,4)</f>
        <v>UNS1020-09</v>
      </c>
      <c r="P593" s="35" t="str">
        <f>INDEX(_xlfn.TEXTSPLIT(mvtst[[#This Row],[QR Suivis]],"_"),1,5)</f>
        <v>UNI SURPIQUE</v>
      </c>
      <c r="Q593" s="35" t="str">
        <f>_xlfn.TEXTAFTER(mvtst[[#This Row],[QR Suivis]],"_",5)</f>
        <v>1020</v>
      </c>
      <c r="R593" s="84" t="str">
        <f>IF(
   COUNTIFS($A$2:A593,A593,
             $B$2:B593,B593,
             $C$2:C593,C593,
             $D$2:D593,D593,
             $G$2:G593,G593)&gt;1,
   "Doublon",
   "Correcte"
)</f>
        <v>Correcte</v>
      </c>
    </row>
    <row r="594" spans="1:18" x14ac:dyDescent="0.25">
      <c r="A594" s="104" t="s">
        <v>1427</v>
      </c>
      <c r="B594" s="35" t="s">
        <v>712</v>
      </c>
      <c r="C594" s="36">
        <v>0</v>
      </c>
      <c r="D594" s="36">
        <v>5</v>
      </c>
      <c r="E594" s="35" t="s">
        <v>699</v>
      </c>
      <c r="F594" s="35" t="s">
        <v>634</v>
      </c>
      <c r="G594" s="37">
        <v>45926.65452546296</v>
      </c>
      <c r="H594" s="37" t="str">
        <f>INDEX(_xlfn.TEXTSPLIT(mvtst[[#This Row],[QR Suivis]],"_"),1,1)</f>
        <v>CA250004-4</v>
      </c>
      <c r="I594" s="35" t="str">
        <f>_xlfn.TEXTBEFORE(mvtst[[#This Row],[Num Suivis]],"-",,,1)</f>
        <v>CA250004</v>
      </c>
      <c r="J594" s="36">
        <f>SUMIF(mvtst[QR Suivis],mvtst[[#This Row],[QR Suivis]],mvtst[QTE SORTIS])-SUMIF(mvtst[QR Suivis],mvtst[[#This Row],[QR Suivis]],mvtst[QTE RETOUR])</f>
        <v>0</v>
      </c>
      <c r="K594" s="35" t="str">
        <f t="shared" si="9"/>
        <v>Usine</v>
      </c>
      <c r="L594" s="35" t="str">
        <f>_xlfn.XLOOKUP(mvtst[[#This Row],[Sous Traitant]],coordonnee_st[Identification],coordonnee_st[SERVICE],"Non Trouvé")</f>
        <v>Frange</v>
      </c>
      <c r="M594" s="35" t="str">
        <f>INDEX(_xlfn.TEXTSPLIT(mvtst[[#This Row],[QR Suivis]],"_"),1,2)</f>
        <v>All by Fouta</v>
      </c>
      <c r="N594" s="35" t="str">
        <f>INDEX(_xlfn.TEXTSPLIT(mvtst[[#This Row],[QR Suivis]],"_"),1,3)</f>
        <v>Stock</v>
      </c>
      <c r="O594" s="35" t="str">
        <f>INDEX(_xlfn.TEXTSPLIT(mvtst[[#This Row],[QR Suivis]],"_"),1,4)</f>
        <v>UNS1020-09</v>
      </c>
      <c r="P594" s="35" t="str">
        <f>INDEX(_xlfn.TEXTSPLIT(mvtst[[#This Row],[QR Suivis]],"_"),1,5)</f>
        <v>UNI SURPIQUE</v>
      </c>
      <c r="Q594" s="35" t="str">
        <f>_xlfn.TEXTAFTER(mvtst[[#This Row],[QR Suivis]],"_",5)</f>
        <v>1020</v>
      </c>
      <c r="R594" s="84" t="str">
        <f>IF(
   COUNTIFS($A$2:A594,A594,
             $B$2:B594,B594,
             $C$2:C594,C594,
             $D$2:D594,D594,
             $G$2:G594,G594)&gt;1,
   "Doublon",
   "Correcte"
)</f>
        <v>Correcte</v>
      </c>
    </row>
    <row r="595" spans="1:18" x14ac:dyDescent="0.25">
      <c r="A595" s="104" t="s">
        <v>1528</v>
      </c>
      <c r="B595" s="35" t="s">
        <v>712</v>
      </c>
      <c r="C595" s="36">
        <v>0</v>
      </c>
      <c r="D595" s="36">
        <v>5</v>
      </c>
      <c r="E595" s="35" t="s">
        <v>699</v>
      </c>
      <c r="F595" s="35" t="s">
        <v>634</v>
      </c>
      <c r="G595" s="37">
        <v>45926.654942129629</v>
      </c>
      <c r="H595" s="37" t="str">
        <f>INDEX(_xlfn.TEXTSPLIT(mvtst[[#This Row],[QR Suivis]],"_"),1,1)</f>
        <v>CA250013-3</v>
      </c>
      <c r="I595" s="35" t="str">
        <f>_xlfn.TEXTBEFORE(mvtst[[#This Row],[Num Suivis]],"-",,,1)</f>
        <v>CA250013</v>
      </c>
      <c r="J595" s="36">
        <f>SUMIF(mvtst[QR Suivis],mvtst[[#This Row],[QR Suivis]],mvtst[QTE SORTIS])-SUMIF(mvtst[QR Suivis],mvtst[[#This Row],[QR Suivis]],mvtst[QTE RETOUR])</f>
        <v>0</v>
      </c>
      <c r="K595" s="35" t="str">
        <f t="shared" si="9"/>
        <v>Usine</v>
      </c>
      <c r="L595" s="35" t="str">
        <f>_xlfn.XLOOKUP(mvtst[[#This Row],[Sous Traitant]],coordonnee_st[Identification],coordonnee_st[SERVICE],"Non Trouvé")</f>
        <v>Frange</v>
      </c>
      <c r="M595" s="35" t="str">
        <f>INDEX(_xlfn.TEXTSPLIT(mvtst[[#This Row],[QR Suivis]],"_"),1,2)</f>
        <v>All by Fouta</v>
      </c>
      <c r="N595" s="35" t="str">
        <f>INDEX(_xlfn.TEXTSPLIT(mvtst[[#This Row],[QR Suivis]],"_"),1,3)</f>
        <v>Stock</v>
      </c>
      <c r="O595" s="35" t="str">
        <f>INDEX(_xlfn.TEXTSPLIT(mvtst[[#This Row],[QR Suivis]],"_"),1,4)</f>
        <v>UNS1020-23</v>
      </c>
      <c r="P595" s="35" t="str">
        <f>INDEX(_xlfn.TEXTSPLIT(mvtst[[#This Row],[QR Suivis]],"_"),1,5)</f>
        <v>UNI SURPIQUE</v>
      </c>
      <c r="Q595" s="35" t="str">
        <f>_xlfn.TEXTAFTER(mvtst[[#This Row],[QR Suivis]],"_",5)</f>
        <v>1020</v>
      </c>
      <c r="R595" s="84" t="str">
        <f>IF(
   COUNTIFS($A$2:A595,A595,
             $B$2:B595,B595,
             $C$2:C595,C595,
             $D$2:D595,D595,
             $G$2:G595,G595)&gt;1,
   "Doublon",
   "Correcte"
)</f>
        <v>Correcte</v>
      </c>
    </row>
    <row r="596" spans="1:18" x14ac:dyDescent="0.25">
      <c r="A596" s="104" t="s">
        <v>1529</v>
      </c>
      <c r="B596" s="35" t="s">
        <v>712</v>
      </c>
      <c r="C596" s="36">
        <v>0</v>
      </c>
      <c r="D596" s="36">
        <v>5</v>
      </c>
      <c r="E596" s="35" t="s">
        <v>699</v>
      </c>
      <c r="F596" s="35" t="s">
        <v>634</v>
      </c>
      <c r="G596" s="37">
        <v>45926.655462962961</v>
      </c>
      <c r="H596" s="37" t="str">
        <f>INDEX(_xlfn.TEXTSPLIT(mvtst[[#This Row],[QR Suivis]],"_"),1,1)</f>
        <v>CA250013-2</v>
      </c>
      <c r="I596" s="35" t="str">
        <f>_xlfn.TEXTBEFORE(mvtst[[#This Row],[Num Suivis]],"-",,,1)</f>
        <v>CA250013</v>
      </c>
      <c r="J596" s="36">
        <f>SUMIF(mvtst[QR Suivis],mvtst[[#This Row],[QR Suivis]],mvtst[QTE SORTIS])-SUMIF(mvtst[QR Suivis],mvtst[[#This Row],[QR Suivis]],mvtst[QTE RETOUR])</f>
        <v>0</v>
      </c>
      <c r="K596" s="35" t="str">
        <f t="shared" si="9"/>
        <v>Usine</v>
      </c>
      <c r="L596" s="35" t="str">
        <f>_xlfn.XLOOKUP(mvtst[[#This Row],[Sous Traitant]],coordonnee_st[Identification],coordonnee_st[SERVICE],"Non Trouvé")</f>
        <v>Frange</v>
      </c>
      <c r="M596" s="35" t="str">
        <f>INDEX(_xlfn.TEXTSPLIT(mvtst[[#This Row],[QR Suivis]],"_"),1,2)</f>
        <v>All by Fouta</v>
      </c>
      <c r="N596" s="35" t="str">
        <f>INDEX(_xlfn.TEXTSPLIT(mvtst[[#This Row],[QR Suivis]],"_"),1,3)</f>
        <v>Stock</v>
      </c>
      <c r="O596" s="35" t="str">
        <f>INDEX(_xlfn.TEXTSPLIT(mvtst[[#This Row],[QR Suivis]],"_"),1,4)</f>
        <v>UNS1020-23</v>
      </c>
      <c r="P596" s="35" t="str">
        <f>INDEX(_xlfn.TEXTSPLIT(mvtst[[#This Row],[QR Suivis]],"_"),1,5)</f>
        <v>UNI SURPIQUE</v>
      </c>
      <c r="Q596" s="35" t="str">
        <f>_xlfn.TEXTAFTER(mvtst[[#This Row],[QR Suivis]],"_",5)</f>
        <v>1020</v>
      </c>
      <c r="R596" s="84" t="str">
        <f>IF(
   COUNTIFS($A$2:A596,A596,
             $B$2:B596,B596,
             $C$2:C596,C596,
             $D$2:D596,D596,
             $G$2:G596,G596)&gt;1,
   "Doublon",
   "Correcte"
)</f>
        <v>Correcte</v>
      </c>
    </row>
    <row r="597" spans="1:18" x14ac:dyDescent="0.25">
      <c r="A597" s="104" t="s">
        <v>1530</v>
      </c>
      <c r="B597" s="35" t="s">
        <v>712</v>
      </c>
      <c r="C597" s="36">
        <v>0</v>
      </c>
      <c r="D597" s="36">
        <v>5</v>
      </c>
      <c r="E597" s="35" t="s">
        <v>699</v>
      </c>
      <c r="F597" s="35" t="s">
        <v>634</v>
      </c>
      <c r="G597" s="37">
        <v>45926.656111111108</v>
      </c>
      <c r="H597" s="37" t="str">
        <f>INDEX(_xlfn.TEXTSPLIT(mvtst[[#This Row],[QR Suivis]],"_"),1,1)</f>
        <v>CA250013-5</v>
      </c>
      <c r="I597" s="35" t="str">
        <f>_xlfn.TEXTBEFORE(mvtst[[#This Row],[Num Suivis]],"-",,,1)</f>
        <v>CA250013</v>
      </c>
      <c r="J597" s="36">
        <f>SUMIF(mvtst[QR Suivis],mvtst[[#This Row],[QR Suivis]],mvtst[QTE SORTIS])-SUMIF(mvtst[QR Suivis],mvtst[[#This Row],[QR Suivis]],mvtst[QTE RETOUR])</f>
        <v>0</v>
      </c>
      <c r="K597" s="35" t="str">
        <f t="shared" si="9"/>
        <v>Usine</v>
      </c>
      <c r="L597" s="35" t="str">
        <f>_xlfn.XLOOKUP(mvtst[[#This Row],[Sous Traitant]],coordonnee_st[Identification],coordonnee_st[SERVICE],"Non Trouvé")</f>
        <v>Frange</v>
      </c>
      <c r="M597" s="35" t="str">
        <f>INDEX(_xlfn.TEXTSPLIT(mvtst[[#This Row],[QR Suivis]],"_"),1,2)</f>
        <v>All by Fouta</v>
      </c>
      <c r="N597" s="35" t="str">
        <f>INDEX(_xlfn.TEXTSPLIT(mvtst[[#This Row],[QR Suivis]],"_"),1,3)</f>
        <v>Stock</v>
      </c>
      <c r="O597" s="35" t="str">
        <f>INDEX(_xlfn.TEXTSPLIT(mvtst[[#This Row],[QR Suivis]],"_"),1,4)</f>
        <v>UNS1020-23</v>
      </c>
      <c r="P597" s="35" t="str">
        <f>INDEX(_xlfn.TEXTSPLIT(mvtst[[#This Row],[QR Suivis]],"_"),1,5)</f>
        <v>UNI SURPIQUE</v>
      </c>
      <c r="Q597" s="35" t="str">
        <f>_xlfn.TEXTAFTER(mvtst[[#This Row],[QR Suivis]],"_",5)</f>
        <v>1020</v>
      </c>
      <c r="R597" s="84" t="str">
        <f>IF(
   COUNTIFS($A$2:A597,A597,
             $B$2:B597,B597,
             $C$2:C597,C597,
             $D$2:D597,D597,
             $G$2:G597,G597)&gt;1,
   "Doublon",
   "Correcte"
)</f>
        <v>Correcte</v>
      </c>
    </row>
    <row r="598" spans="1:18" x14ac:dyDescent="0.25">
      <c r="A598" s="104" t="s">
        <v>1531</v>
      </c>
      <c r="B598" s="35" t="s">
        <v>712</v>
      </c>
      <c r="C598" s="36">
        <v>0</v>
      </c>
      <c r="D598" s="36">
        <v>5</v>
      </c>
      <c r="E598" s="35" t="s">
        <v>699</v>
      </c>
      <c r="F598" s="35" t="s">
        <v>634</v>
      </c>
      <c r="G598" s="37">
        <v>45926.65662037037</v>
      </c>
      <c r="H598" s="37" t="str">
        <f>INDEX(_xlfn.TEXTSPLIT(mvtst[[#This Row],[QR Suivis]],"_"),1,1)</f>
        <v>CA250013-9</v>
      </c>
      <c r="I598" s="35" t="str">
        <f>_xlfn.TEXTBEFORE(mvtst[[#This Row],[Num Suivis]],"-",,,1)</f>
        <v>CA250013</v>
      </c>
      <c r="J598" s="36">
        <f>SUMIF(mvtst[QR Suivis],mvtst[[#This Row],[QR Suivis]],mvtst[QTE SORTIS])-SUMIF(mvtst[QR Suivis],mvtst[[#This Row],[QR Suivis]],mvtst[QTE RETOUR])</f>
        <v>0</v>
      </c>
      <c r="K598" s="35" t="str">
        <f t="shared" si="9"/>
        <v>Usine</v>
      </c>
      <c r="L598" s="35" t="str">
        <f>_xlfn.XLOOKUP(mvtst[[#This Row],[Sous Traitant]],coordonnee_st[Identification],coordonnee_st[SERVICE],"Non Trouvé")</f>
        <v>Frange</v>
      </c>
      <c r="M598" s="35" t="str">
        <f>INDEX(_xlfn.TEXTSPLIT(mvtst[[#This Row],[QR Suivis]],"_"),1,2)</f>
        <v>All by Fouta</v>
      </c>
      <c r="N598" s="35" t="str">
        <f>INDEX(_xlfn.TEXTSPLIT(mvtst[[#This Row],[QR Suivis]],"_"),1,3)</f>
        <v>Stock</v>
      </c>
      <c r="O598" s="35" t="str">
        <f>INDEX(_xlfn.TEXTSPLIT(mvtst[[#This Row],[QR Suivis]],"_"),1,4)</f>
        <v>UNS1020-23</v>
      </c>
      <c r="P598" s="35" t="str">
        <f>INDEX(_xlfn.TEXTSPLIT(mvtst[[#This Row],[QR Suivis]],"_"),1,5)</f>
        <v>UNI SURPIQUE</v>
      </c>
      <c r="Q598" s="35" t="str">
        <f>_xlfn.TEXTAFTER(mvtst[[#This Row],[QR Suivis]],"_",5)</f>
        <v>1020</v>
      </c>
      <c r="R598" s="84" t="str">
        <f>IF(
   COUNTIFS($A$2:A598,A598,
             $B$2:B598,B598,
             $C$2:C598,C598,
             $D$2:D598,D598,
             $G$2:G598,G598)&gt;1,
   "Doublon",
   "Correcte"
)</f>
        <v>Correcte</v>
      </c>
    </row>
    <row r="599" spans="1:18" x14ac:dyDescent="0.25">
      <c r="A599" s="104" t="s">
        <v>1532</v>
      </c>
      <c r="B599" s="35" t="s">
        <v>712</v>
      </c>
      <c r="C599" s="36">
        <v>0</v>
      </c>
      <c r="D599" s="36">
        <v>5</v>
      </c>
      <c r="E599" s="35" t="s">
        <v>699</v>
      </c>
      <c r="F599" s="35" t="s">
        <v>634</v>
      </c>
      <c r="G599" s="37">
        <v>45926.657141203701</v>
      </c>
      <c r="H599" s="37" t="str">
        <f>INDEX(_xlfn.TEXTSPLIT(mvtst[[#This Row],[QR Suivis]],"_"),1,1)</f>
        <v>CA250013-12</v>
      </c>
      <c r="I599" s="35" t="str">
        <f>_xlfn.TEXTBEFORE(mvtst[[#This Row],[Num Suivis]],"-",,,1)</f>
        <v>CA250013</v>
      </c>
      <c r="J599" s="36">
        <f>SUMIF(mvtst[QR Suivis],mvtst[[#This Row],[QR Suivis]],mvtst[QTE SORTIS])-SUMIF(mvtst[QR Suivis],mvtst[[#This Row],[QR Suivis]],mvtst[QTE RETOUR])</f>
        <v>0</v>
      </c>
      <c r="K599" s="35" t="str">
        <f t="shared" si="9"/>
        <v>Usine</v>
      </c>
      <c r="L599" s="35" t="str">
        <f>_xlfn.XLOOKUP(mvtst[[#This Row],[Sous Traitant]],coordonnee_st[Identification],coordonnee_st[SERVICE],"Non Trouvé")</f>
        <v>Frange</v>
      </c>
      <c r="M599" s="35" t="str">
        <f>INDEX(_xlfn.TEXTSPLIT(mvtst[[#This Row],[QR Suivis]],"_"),1,2)</f>
        <v>All by Fouta</v>
      </c>
      <c r="N599" s="35" t="str">
        <f>INDEX(_xlfn.TEXTSPLIT(mvtst[[#This Row],[QR Suivis]],"_"),1,3)</f>
        <v>Stock</v>
      </c>
      <c r="O599" s="35" t="str">
        <f>INDEX(_xlfn.TEXTSPLIT(mvtst[[#This Row],[QR Suivis]],"_"),1,4)</f>
        <v>UNS1020-23</v>
      </c>
      <c r="P599" s="35" t="str">
        <f>INDEX(_xlfn.TEXTSPLIT(mvtst[[#This Row],[QR Suivis]],"_"),1,5)</f>
        <v>UNI SURPIQUE</v>
      </c>
      <c r="Q599" s="35" t="str">
        <f>_xlfn.TEXTAFTER(mvtst[[#This Row],[QR Suivis]],"_",5)</f>
        <v>1020</v>
      </c>
      <c r="R599" s="84" t="str">
        <f>IF(
   COUNTIFS($A$2:A599,A599,
             $B$2:B599,B599,
             $C$2:C599,C599,
             $D$2:D599,D599,
             $G$2:G599,G599)&gt;1,
   "Doublon",
   "Correcte"
)</f>
        <v>Correcte</v>
      </c>
    </row>
    <row r="600" spans="1:18" x14ac:dyDescent="0.25">
      <c r="A600" s="104" t="s">
        <v>1428</v>
      </c>
      <c r="B600" s="35" t="s">
        <v>712</v>
      </c>
      <c r="C600" s="36">
        <v>0</v>
      </c>
      <c r="D600" s="36">
        <v>5</v>
      </c>
      <c r="E600" s="35" t="s">
        <v>699</v>
      </c>
      <c r="F600" s="35" t="s">
        <v>634</v>
      </c>
      <c r="G600" s="37">
        <v>45926.657511574071</v>
      </c>
      <c r="H600" s="37" t="str">
        <f>INDEX(_xlfn.TEXTSPLIT(mvtst[[#This Row],[QR Suivis]],"_"),1,1)</f>
        <v>CA250004-8</v>
      </c>
      <c r="I600" s="35" t="str">
        <f>_xlfn.TEXTBEFORE(mvtst[[#This Row],[Num Suivis]],"-",,,1)</f>
        <v>CA250004</v>
      </c>
      <c r="J600" s="36">
        <f>SUMIF(mvtst[QR Suivis],mvtst[[#This Row],[QR Suivis]],mvtst[QTE SORTIS])-SUMIF(mvtst[QR Suivis],mvtst[[#This Row],[QR Suivis]],mvtst[QTE RETOUR])</f>
        <v>0</v>
      </c>
      <c r="K600" s="35" t="str">
        <f t="shared" si="9"/>
        <v>Usine</v>
      </c>
      <c r="L600" s="35" t="str">
        <f>_xlfn.XLOOKUP(mvtst[[#This Row],[Sous Traitant]],coordonnee_st[Identification],coordonnee_st[SERVICE],"Non Trouvé")</f>
        <v>Frange</v>
      </c>
      <c r="M600" s="35" t="str">
        <f>INDEX(_xlfn.TEXTSPLIT(mvtst[[#This Row],[QR Suivis]],"_"),1,2)</f>
        <v>All by Fouta</v>
      </c>
      <c r="N600" s="35" t="str">
        <f>INDEX(_xlfn.TEXTSPLIT(mvtst[[#This Row],[QR Suivis]],"_"),1,3)</f>
        <v>Stock</v>
      </c>
      <c r="O600" s="35" t="str">
        <f>INDEX(_xlfn.TEXTSPLIT(mvtst[[#This Row],[QR Suivis]],"_"),1,4)</f>
        <v>UNS1020-09</v>
      </c>
      <c r="P600" s="35" t="str">
        <f>INDEX(_xlfn.TEXTSPLIT(mvtst[[#This Row],[QR Suivis]],"_"),1,5)</f>
        <v>UNI SURPIQUE</v>
      </c>
      <c r="Q600" s="35" t="str">
        <f>_xlfn.TEXTAFTER(mvtst[[#This Row],[QR Suivis]],"_",5)</f>
        <v>1020</v>
      </c>
      <c r="R600" s="84" t="str">
        <f>IF(
   COUNTIFS($A$2:A600,A600,
             $B$2:B600,B600,
             $C$2:C600,C600,
             $D$2:D600,D600,
             $G$2:G600,G600)&gt;1,
   "Doublon",
   "Correcte"
)</f>
        <v>Correcte</v>
      </c>
    </row>
    <row r="601" spans="1:18" x14ac:dyDescent="0.25">
      <c r="A601" s="104" t="s">
        <v>1533</v>
      </c>
      <c r="B601" s="35" t="s">
        <v>712</v>
      </c>
      <c r="C601" s="36">
        <v>0</v>
      </c>
      <c r="D601" s="36">
        <v>5</v>
      </c>
      <c r="E601" s="35" t="s">
        <v>699</v>
      </c>
      <c r="F601" s="35" t="s">
        <v>634</v>
      </c>
      <c r="G601" s="37">
        <v>45926.65828703704</v>
      </c>
      <c r="H601" s="37" t="str">
        <f>INDEX(_xlfn.TEXTSPLIT(mvtst[[#This Row],[QR Suivis]],"_"),1,1)</f>
        <v>CA250013-11</v>
      </c>
      <c r="I601" s="35" t="str">
        <f>_xlfn.TEXTBEFORE(mvtst[[#This Row],[Num Suivis]],"-",,,1)</f>
        <v>CA250013</v>
      </c>
      <c r="J601" s="36">
        <f>SUMIF(mvtst[QR Suivis],mvtst[[#This Row],[QR Suivis]],mvtst[QTE SORTIS])-SUMIF(mvtst[QR Suivis],mvtst[[#This Row],[QR Suivis]],mvtst[QTE RETOUR])</f>
        <v>0</v>
      </c>
      <c r="K601" s="35" t="str">
        <f t="shared" si="9"/>
        <v>Usine</v>
      </c>
      <c r="L601" s="35" t="str">
        <f>_xlfn.XLOOKUP(mvtst[[#This Row],[Sous Traitant]],coordonnee_st[Identification],coordonnee_st[SERVICE],"Non Trouvé")</f>
        <v>Frange</v>
      </c>
      <c r="M601" s="35" t="str">
        <f>INDEX(_xlfn.TEXTSPLIT(mvtst[[#This Row],[QR Suivis]],"_"),1,2)</f>
        <v>All by Fouta</v>
      </c>
      <c r="N601" s="35" t="str">
        <f>INDEX(_xlfn.TEXTSPLIT(mvtst[[#This Row],[QR Suivis]],"_"),1,3)</f>
        <v>Stock</v>
      </c>
      <c r="O601" s="35" t="str">
        <f>INDEX(_xlfn.TEXTSPLIT(mvtst[[#This Row],[QR Suivis]],"_"),1,4)</f>
        <v>UNS1020-23</v>
      </c>
      <c r="P601" s="35" t="str">
        <f>INDEX(_xlfn.TEXTSPLIT(mvtst[[#This Row],[QR Suivis]],"_"),1,5)</f>
        <v>UNI SURPIQUE</v>
      </c>
      <c r="Q601" s="35" t="str">
        <f>_xlfn.TEXTAFTER(mvtst[[#This Row],[QR Suivis]],"_",5)</f>
        <v>1020</v>
      </c>
      <c r="R601" s="84" t="str">
        <f>IF(
   COUNTIFS($A$2:A601,A601,
             $B$2:B601,B601,
             $C$2:C601,C601,
             $D$2:D601,D601,
             $G$2:G601,G601)&gt;1,
   "Doublon",
   "Correcte"
)</f>
        <v>Correcte</v>
      </c>
    </row>
    <row r="602" spans="1:18" x14ac:dyDescent="0.25">
      <c r="A602" s="104" t="s">
        <v>1309</v>
      </c>
      <c r="B602" s="35" t="s">
        <v>712</v>
      </c>
      <c r="C602" s="36">
        <v>0</v>
      </c>
      <c r="D602" s="36">
        <v>5</v>
      </c>
      <c r="E602" s="35" t="s">
        <v>699</v>
      </c>
      <c r="F602" s="35" t="s">
        <v>634</v>
      </c>
      <c r="G602" s="37">
        <v>45926.658761574072</v>
      </c>
      <c r="H602" s="37" t="str">
        <f>INDEX(_xlfn.TEXTSPLIT(mvtst[[#This Row],[QR Suivis]],"_"),1,1)</f>
        <v>CA250013</v>
      </c>
      <c r="I602" s="35" t="str">
        <f>_xlfn.TEXTBEFORE(mvtst[[#This Row],[Num Suivis]],"-",,,1)</f>
        <v>CA250013</v>
      </c>
      <c r="J602" s="36">
        <f>SUMIF(mvtst[QR Suivis],mvtst[[#This Row],[QR Suivis]],mvtst[QTE SORTIS])-SUMIF(mvtst[QR Suivis],mvtst[[#This Row],[QR Suivis]],mvtst[QTE RETOUR])</f>
        <v>0</v>
      </c>
      <c r="K602" s="35" t="str">
        <f t="shared" si="9"/>
        <v>Usine</v>
      </c>
      <c r="L602" s="35" t="str">
        <f>_xlfn.XLOOKUP(mvtst[[#This Row],[Sous Traitant]],coordonnee_st[Identification],coordonnee_st[SERVICE],"Non Trouvé")</f>
        <v>Frange</v>
      </c>
      <c r="M602" s="35" t="str">
        <f>INDEX(_xlfn.TEXTSPLIT(mvtst[[#This Row],[QR Suivis]],"_"),1,2)</f>
        <v>All by Fouta</v>
      </c>
      <c r="N602" s="35" t="str">
        <f>INDEX(_xlfn.TEXTSPLIT(mvtst[[#This Row],[QR Suivis]],"_"),1,3)</f>
        <v>Stock</v>
      </c>
      <c r="O602" s="35" t="str">
        <f>INDEX(_xlfn.TEXTSPLIT(mvtst[[#This Row],[QR Suivis]],"_"),1,4)</f>
        <v>UNS1020-23</v>
      </c>
      <c r="P602" s="35" t="str">
        <f>INDEX(_xlfn.TEXTSPLIT(mvtst[[#This Row],[QR Suivis]],"_"),1,5)</f>
        <v>UNI SURPIQUE</v>
      </c>
      <c r="Q602" s="35" t="str">
        <f>_xlfn.TEXTAFTER(mvtst[[#This Row],[QR Suivis]],"_",5)</f>
        <v>1020</v>
      </c>
      <c r="R602" s="84" t="str">
        <f>IF(
   COUNTIFS($A$2:A602,A602,
             $B$2:B602,B602,
             $C$2:C602,C602,
             $D$2:D602,D602,
             $G$2:G602,G602)&gt;1,
   "Doublon",
   "Correcte"
)</f>
        <v>Correcte</v>
      </c>
    </row>
    <row r="603" spans="1:18" x14ac:dyDescent="0.25">
      <c r="A603" s="104" t="s">
        <v>1534</v>
      </c>
      <c r="B603" s="35" t="s">
        <v>712</v>
      </c>
      <c r="C603" s="36">
        <v>0</v>
      </c>
      <c r="D603" s="36">
        <v>5</v>
      </c>
      <c r="E603" s="35" t="s">
        <v>699</v>
      </c>
      <c r="F603" s="35" t="s">
        <v>634</v>
      </c>
      <c r="G603" s="37">
        <v>45926.659178240741</v>
      </c>
      <c r="H603" s="37" t="str">
        <f>INDEX(_xlfn.TEXTSPLIT(mvtst[[#This Row],[QR Suivis]],"_"),1,1)</f>
        <v>CA250013-7</v>
      </c>
      <c r="I603" s="35" t="str">
        <f>_xlfn.TEXTBEFORE(mvtst[[#This Row],[Num Suivis]],"-",,,1)</f>
        <v>CA250013</v>
      </c>
      <c r="J603" s="36">
        <f>SUMIF(mvtst[QR Suivis],mvtst[[#This Row],[QR Suivis]],mvtst[QTE SORTIS])-SUMIF(mvtst[QR Suivis],mvtst[[#This Row],[QR Suivis]],mvtst[QTE RETOUR])</f>
        <v>0</v>
      </c>
      <c r="K603" s="35" t="str">
        <f t="shared" si="9"/>
        <v>Usine</v>
      </c>
      <c r="L603" s="35" t="str">
        <f>_xlfn.XLOOKUP(mvtst[[#This Row],[Sous Traitant]],coordonnee_st[Identification],coordonnee_st[SERVICE],"Non Trouvé")</f>
        <v>Frange</v>
      </c>
      <c r="M603" s="35" t="str">
        <f>INDEX(_xlfn.TEXTSPLIT(mvtst[[#This Row],[QR Suivis]],"_"),1,2)</f>
        <v>All by Fouta</v>
      </c>
      <c r="N603" s="35" t="str">
        <f>INDEX(_xlfn.TEXTSPLIT(mvtst[[#This Row],[QR Suivis]],"_"),1,3)</f>
        <v>Stock</v>
      </c>
      <c r="O603" s="35" t="str">
        <f>INDEX(_xlfn.TEXTSPLIT(mvtst[[#This Row],[QR Suivis]],"_"),1,4)</f>
        <v>UNS1020-23</v>
      </c>
      <c r="P603" s="35" t="str">
        <f>INDEX(_xlfn.TEXTSPLIT(mvtst[[#This Row],[QR Suivis]],"_"),1,5)</f>
        <v>UNI SURPIQUE</v>
      </c>
      <c r="Q603" s="35" t="str">
        <f>_xlfn.TEXTAFTER(mvtst[[#This Row],[QR Suivis]],"_",5)</f>
        <v>1020</v>
      </c>
      <c r="R603" s="84" t="str">
        <f>IF(
   COUNTIFS($A$2:A603,A603,
             $B$2:B603,B603,
             $C$2:C603,C603,
             $D$2:D603,D603,
             $G$2:G603,G603)&gt;1,
   "Doublon",
   "Correcte"
)</f>
        <v>Correcte</v>
      </c>
    </row>
    <row r="604" spans="1:18" x14ac:dyDescent="0.25">
      <c r="A604" s="104" t="s">
        <v>1535</v>
      </c>
      <c r="B604" s="35" t="s">
        <v>712</v>
      </c>
      <c r="C604" s="36">
        <v>0</v>
      </c>
      <c r="D604" s="36">
        <v>5</v>
      </c>
      <c r="E604" s="35" t="s">
        <v>699</v>
      </c>
      <c r="F604" s="35" t="s">
        <v>634</v>
      </c>
      <c r="G604" s="37">
        <v>45926.659409722219</v>
      </c>
      <c r="H604" s="37" t="str">
        <f>INDEX(_xlfn.TEXTSPLIT(mvtst[[#This Row],[QR Suivis]],"_"),1,1)</f>
        <v>CA250013-8</v>
      </c>
      <c r="I604" s="35" t="str">
        <f>_xlfn.TEXTBEFORE(mvtst[[#This Row],[Num Suivis]],"-",,,1)</f>
        <v>CA250013</v>
      </c>
      <c r="J604" s="36">
        <f>SUMIF(mvtst[QR Suivis],mvtst[[#This Row],[QR Suivis]],mvtst[QTE SORTIS])-SUMIF(mvtst[QR Suivis],mvtst[[#This Row],[QR Suivis]],mvtst[QTE RETOUR])</f>
        <v>0</v>
      </c>
      <c r="K604" s="35" t="str">
        <f t="shared" si="9"/>
        <v>Usine</v>
      </c>
      <c r="L604" s="35" t="str">
        <f>_xlfn.XLOOKUP(mvtst[[#This Row],[Sous Traitant]],coordonnee_st[Identification],coordonnee_st[SERVICE],"Non Trouvé")</f>
        <v>Frange</v>
      </c>
      <c r="M604" s="35" t="str">
        <f>INDEX(_xlfn.TEXTSPLIT(mvtst[[#This Row],[QR Suivis]],"_"),1,2)</f>
        <v>All by Fouta</v>
      </c>
      <c r="N604" s="35" t="str">
        <f>INDEX(_xlfn.TEXTSPLIT(mvtst[[#This Row],[QR Suivis]],"_"),1,3)</f>
        <v>Stock</v>
      </c>
      <c r="O604" s="35" t="str">
        <f>INDEX(_xlfn.TEXTSPLIT(mvtst[[#This Row],[QR Suivis]],"_"),1,4)</f>
        <v>UNS1020-23</v>
      </c>
      <c r="P604" s="35" t="str">
        <f>INDEX(_xlfn.TEXTSPLIT(mvtst[[#This Row],[QR Suivis]],"_"),1,5)</f>
        <v>UNI SURPIQUE</v>
      </c>
      <c r="Q604" s="35" t="str">
        <f>_xlfn.TEXTAFTER(mvtst[[#This Row],[QR Suivis]],"_",5)</f>
        <v>1020</v>
      </c>
      <c r="R604" s="84" t="str">
        <f>IF(
   COUNTIFS($A$2:A604,A604,
             $B$2:B604,B604,
             $C$2:C604,C604,
             $D$2:D604,D604,
             $G$2:G604,G604)&gt;1,
   "Doublon",
   "Correcte"
)</f>
        <v>Correcte</v>
      </c>
    </row>
    <row r="605" spans="1:18" x14ac:dyDescent="0.25">
      <c r="A605" s="104" t="s">
        <v>1536</v>
      </c>
      <c r="B605" s="35" t="s">
        <v>712</v>
      </c>
      <c r="C605" s="36">
        <v>0</v>
      </c>
      <c r="D605" s="36">
        <v>4</v>
      </c>
      <c r="E605" s="35" t="s">
        <v>699</v>
      </c>
      <c r="F605" s="35" t="s">
        <v>634</v>
      </c>
      <c r="G605" s="37">
        <v>45926.659884259258</v>
      </c>
      <c r="H605" s="37" t="str">
        <f>INDEX(_xlfn.TEXTSPLIT(mvtst[[#This Row],[QR Suivis]],"_"),1,1)</f>
        <v>CA250013-13</v>
      </c>
      <c r="I605" s="35" t="str">
        <f>_xlfn.TEXTBEFORE(mvtst[[#This Row],[Num Suivis]],"-",,,1)</f>
        <v>CA250013</v>
      </c>
      <c r="J605" s="36">
        <f>SUMIF(mvtst[QR Suivis],mvtst[[#This Row],[QR Suivis]],mvtst[QTE SORTIS])-SUMIF(mvtst[QR Suivis],mvtst[[#This Row],[QR Suivis]],mvtst[QTE RETOUR])</f>
        <v>0</v>
      </c>
      <c r="K605" s="35" t="str">
        <f t="shared" si="9"/>
        <v>Usine</v>
      </c>
      <c r="L605" s="35" t="str">
        <f>_xlfn.XLOOKUP(mvtst[[#This Row],[Sous Traitant]],coordonnee_st[Identification],coordonnee_st[SERVICE],"Non Trouvé")</f>
        <v>Frange</v>
      </c>
      <c r="M605" s="35" t="str">
        <f>INDEX(_xlfn.TEXTSPLIT(mvtst[[#This Row],[QR Suivis]],"_"),1,2)</f>
        <v>All by Fouta</v>
      </c>
      <c r="N605" s="35" t="str">
        <f>INDEX(_xlfn.TEXTSPLIT(mvtst[[#This Row],[QR Suivis]],"_"),1,3)</f>
        <v>Stock</v>
      </c>
      <c r="O605" s="35" t="str">
        <f>INDEX(_xlfn.TEXTSPLIT(mvtst[[#This Row],[QR Suivis]],"_"),1,4)</f>
        <v>UNS1020-23</v>
      </c>
      <c r="P605" s="35" t="str">
        <f>INDEX(_xlfn.TEXTSPLIT(mvtst[[#This Row],[QR Suivis]],"_"),1,5)</f>
        <v>UNI SURPIQUE</v>
      </c>
      <c r="Q605" s="35" t="str">
        <f>_xlfn.TEXTAFTER(mvtst[[#This Row],[QR Suivis]],"_",5)</f>
        <v>1020</v>
      </c>
      <c r="R605" s="84" t="str">
        <f>IF(
   COUNTIFS($A$2:A605,A605,
             $B$2:B605,B605,
             $C$2:C605,C605,
             $D$2:D605,D605,
             $G$2:G605,G605)&gt;1,
   "Doublon",
   "Correcte"
)</f>
        <v>Correcte</v>
      </c>
    </row>
    <row r="606" spans="1:18" x14ac:dyDescent="0.25">
      <c r="A606" s="104" t="s">
        <v>1537</v>
      </c>
      <c r="B606" s="35" t="s">
        <v>712</v>
      </c>
      <c r="C606" s="36">
        <v>0</v>
      </c>
      <c r="D606" s="36">
        <v>5</v>
      </c>
      <c r="E606" s="35" t="s">
        <v>699</v>
      </c>
      <c r="F606" s="35" t="s">
        <v>634</v>
      </c>
      <c r="G606" s="37">
        <v>45926.660370370373</v>
      </c>
      <c r="H606" s="37" t="str">
        <f>INDEX(_xlfn.TEXTSPLIT(mvtst[[#This Row],[QR Suivis]],"_"),1,1)</f>
        <v>CA250013-10</v>
      </c>
      <c r="I606" s="35" t="str">
        <f>_xlfn.TEXTBEFORE(mvtst[[#This Row],[Num Suivis]],"-",,,1)</f>
        <v>CA250013</v>
      </c>
      <c r="J606" s="36">
        <f>SUMIF(mvtst[QR Suivis],mvtst[[#This Row],[QR Suivis]],mvtst[QTE SORTIS])-SUMIF(mvtst[QR Suivis],mvtst[[#This Row],[QR Suivis]],mvtst[QTE RETOUR])</f>
        <v>0</v>
      </c>
      <c r="K606" s="35" t="str">
        <f t="shared" si="9"/>
        <v>Usine</v>
      </c>
      <c r="L606" s="35" t="str">
        <f>_xlfn.XLOOKUP(mvtst[[#This Row],[Sous Traitant]],coordonnee_st[Identification],coordonnee_st[SERVICE],"Non Trouvé")</f>
        <v>Frange</v>
      </c>
      <c r="M606" s="35" t="str">
        <f>INDEX(_xlfn.TEXTSPLIT(mvtst[[#This Row],[QR Suivis]],"_"),1,2)</f>
        <v>All by Fouta</v>
      </c>
      <c r="N606" s="35" t="str">
        <f>INDEX(_xlfn.TEXTSPLIT(mvtst[[#This Row],[QR Suivis]],"_"),1,3)</f>
        <v>Stock</v>
      </c>
      <c r="O606" s="35" t="str">
        <f>INDEX(_xlfn.TEXTSPLIT(mvtst[[#This Row],[QR Suivis]],"_"),1,4)</f>
        <v>UNS1020-23</v>
      </c>
      <c r="P606" s="35" t="str">
        <f>INDEX(_xlfn.TEXTSPLIT(mvtst[[#This Row],[QR Suivis]],"_"),1,5)</f>
        <v>UNI SURPIQUE</v>
      </c>
      <c r="Q606" s="35" t="str">
        <f>_xlfn.TEXTAFTER(mvtst[[#This Row],[QR Suivis]],"_",5)</f>
        <v>1020</v>
      </c>
      <c r="R606" s="84" t="str">
        <f>IF(
   COUNTIFS($A$2:A606,A606,
             $B$2:B606,B606,
             $C$2:C606,C606,
             $D$2:D606,D606,
             $G$2:G606,G606)&gt;1,
   "Doublon",
   "Correcte"
)</f>
        <v>Correcte</v>
      </c>
    </row>
    <row r="607" spans="1:18" x14ac:dyDescent="0.25">
      <c r="A607" s="104" t="s">
        <v>1538</v>
      </c>
      <c r="B607" s="35" t="s">
        <v>712</v>
      </c>
      <c r="C607" s="36">
        <v>0</v>
      </c>
      <c r="D607" s="36">
        <v>5</v>
      </c>
      <c r="E607" s="35" t="s">
        <v>699</v>
      </c>
      <c r="F607" s="35" t="s">
        <v>634</v>
      </c>
      <c r="G607" s="37">
        <v>45926.660810185182</v>
      </c>
      <c r="H607" s="37" t="str">
        <f>INDEX(_xlfn.TEXTSPLIT(mvtst[[#This Row],[QR Suivis]],"_"),1,1)</f>
        <v>CA250013-6</v>
      </c>
      <c r="I607" s="35" t="str">
        <f>_xlfn.TEXTBEFORE(mvtst[[#This Row],[Num Suivis]],"-",,,1)</f>
        <v>CA250013</v>
      </c>
      <c r="J607" s="36">
        <f>SUMIF(mvtst[QR Suivis],mvtst[[#This Row],[QR Suivis]],mvtst[QTE SORTIS])-SUMIF(mvtst[QR Suivis],mvtst[[#This Row],[QR Suivis]],mvtst[QTE RETOUR])</f>
        <v>0</v>
      </c>
      <c r="K607" s="35" t="str">
        <f t="shared" si="9"/>
        <v>Usine</v>
      </c>
      <c r="L607" s="35" t="str">
        <f>_xlfn.XLOOKUP(mvtst[[#This Row],[Sous Traitant]],coordonnee_st[Identification],coordonnee_st[SERVICE],"Non Trouvé")</f>
        <v>Frange</v>
      </c>
      <c r="M607" s="35" t="str">
        <f>INDEX(_xlfn.TEXTSPLIT(mvtst[[#This Row],[QR Suivis]],"_"),1,2)</f>
        <v>All by Fouta</v>
      </c>
      <c r="N607" s="35" t="str">
        <f>INDEX(_xlfn.TEXTSPLIT(mvtst[[#This Row],[QR Suivis]],"_"),1,3)</f>
        <v>Stock</v>
      </c>
      <c r="O607" s="35" t="str">
        <f>INDEX(_xlfn.TEXTSPLIT(mvtst[[#This Row],[QR Suivis]],"_"),1,4)</f>
        <v>UNS1020-23</v>
      </c>
      <c r="P607" s="35" t="str">
        <f>INDEX(_xlfn.TEXTSPLIT(mvtst[[#This Row],[QR Suivis]],"_"),1,5)</f>
        <v>UNI SURPIQUE</v>
      </c>
      <c r="Q607" s="35" t="str">
        <f>_xlfn.TEXTAFTER(mvtst[[#This Row],[QR Suivis]],"_",5)</f>
        <v>1020</v>
      </c>
      <c r="R607" s="84" t="str">
        <f>IF(
   COUNTIFS($A$2:A607,A607,
             $B$2:B607,B607,
             $C$2:C607,C607,
             $D$2:D607,D607,
             $G$2:G607,G607)&gt;1,
   "Doublon",
   "Correcte"
)</f>
        <v>Correcte</v>
      </c>
    </row>
    <row r="608" spans="1:18" x14ac:dyDescent="0.25">
      <c r="A608" s="104" t="s">
        <v>1429</v>
      </c>
      <c r="B608" s="35" t="s">
        <v>712</v>
      </c>
      <c r="C608" s="36">
        <v>0</v>
      </c>
      <c r="D608" s="36">
        <v>5</v>
      </c>
      <c r="E608" s="35" t="s">
        <v>699</v>
      </c>
      <c r="F608" s="35" t="s">
        <v>634</v>
      </c>
      <c r="G608" s="37">
        <v>45926.66134259259</v>
      </c>
      <c r="H608" s="37" t="str">
        <f>INDEX(_xlfn.TEXTSPLIT(mvtst[[#This Row],[QR Suivis]],"_"),1,1)</f>
        <v>CA250004-10</v>
      </c>
      <c r="I608" s="35" t="str">
        <f>_xlfn.TEXTBEFORE(mvtst[[#This Row],[Num Suivis]],"-",,,1)</f>
        <v>CA250004</v>
      </c>
      <c r="J608" s="36">
        <f>SUMIF(mvtst[QR Suivis],mvtst[[#This Row],[QR Suivis]],mvtst[QTE SORTIS])-SUMIF(mvtst[QR Suivis],mvtst[[#This Row],[QR Suivis]],mvtst[QTE RETOUR])</f>
        <v>0</v>
      </c>
      <c r="K608" s="35" t="str">
        <f t="shared" si="9"/>
        <v>Usine</v>
      </c>
      <c r="L608" s="35" t="str">
        <f>_xlfn.XLOOKUP(mvtst[[#This Row],[Sous Traitant]],coordonnee_st[Identification],coordonnee_st[SERVICE],"Non Trouvé")</f>
        <v>Frange</v>
      </c>
      <c r="M608" s="35" t="str">
        <f>INDEX(_xlfn.TEXTSPLIT(mvtst[[#This Row],[QR Suivis]],"_"),1,2)</f>
        <v>All by Fouta</v>
      </c>
      <c r="N608" s="35" t="str">
        <f>INDEX(_xlfn.TEXTSPLIT(mvtst[[#This Row],[QR Suivis]],"_"),1,3)</f>
        <v>Stock</v>
      </c>
      <c r="O608" s="35" t="str">
        <f>INDEX(_xlfn.TEXTSPLIT(mvtst[[#This Row],[QR Suivis]],"_"),1,4)</f>
        <v>UNS1020-09</v>
      </c>
      <c r="P608" s="35" t="str">
        <f>INDEX(_xlfn.TEXTSPLIT(mvtst[[#This Row],[QR Suivis]],"_"),1,5)</f>
        <v>UNI SURPIQUE</v>
      </c>
      <c r="Q608" s="35" t="str">
        <f>_xlfn.TEXTAFTER(mvtst[[#This Row],[QR Suivis]],"_",5)</f>
        <v>1020</v>
      </c>
      <c r="R608" s="84" t="str">
        <f>IF(
   COUNTIFS($A$2:A608,A608,
             $B$2:B608,B608,
             $C$2:C608,C608,
             $D$2:D608,D608,
             $G$2:G608,G608)&gt;1,
   "Doublon",
   "Correcte"
)</f>
        <v>Correcte</v>
      </c>
    </row>
    <row r="609" spans="1:18" x14ac:dyDescent="0.25">
      <c r="A609" s="104" t="s">
        <v>1430</v>
      </c>
      <c r="B609" s="35" t="s">
        <v>712</v>
      </c>
      <c r="C609" s="36">
        <v>0</v>
      </c>
      <c r="D609" s="36">
        <v>5</v>
      </c>
      <c r="E609" s="35" t="s">
        <v>699</v>
      </c>
      <c r="F609" s="35" t="s">
        <v>634</v>
      </c>
      <c r="G609" s="37">
        <v>45926.66170138889</v>
      </c>
      <c r="H609" s="37" t="str">
        <f>INDEX(_xlfn.TEXTSPLIT(mvtst[[#This Row],[QR Suivis]],"_"),1,1)</f>
        <v>CA250004-3</v>
      </c>
      <c r="I609" s="35" t="str">
        <f>_xlfn.TEXTBEFORE(mvtst[[#This Row],[Num Suivis]],"-",,,1)</f>
        <v>CA250004</v>
      </c>
      <c r="J609" s="36">
        <f>SUMIF(mvtst[QR Suivis],mvtst[[#This Row],[QR Suivis]],mvtst[QTE SORTIS])-SUMIF(mvtst[QR Suivis],mvtst[[#This Row],[QR Suivis]],mvtst[QTE RETOUR])</f>
        <v>0</v>
      </c>
      <c r="K609" s="35" t="str">
        <f t="shared" si="9"/>
        <v>Usine</v>
      </c>
      <c r="L609" s="35" t="str">
        <f>_xlfn.XLOOKUP(mvtst[[#This Row],[Sous Traitant]],coordonnee_st[Identification],coordonnee_st[SERVICE],"Non Trouvé")</f>
        <v>Frange</v>
      </c>
      <c r="M609" s="35" t="str">
        <f>INDEX(_xlfn.TEXTSPLIT(mvtst[[#This Row],[QR Suivis]],"_"),1,2)</f>
        <v>All by Fouta</v>
      </c>
      <c r="N609" s="35" t="str">
        <f>INDEX(_xlfn.TEXTSPLIT(mvtst[[#This Row],[QR Suivis]],"_"),1,3)</f>
        <v>Stock</v>
      </c>
      <c r="O609" s="35" t="str">
        <f>INDEX(_xlfn.TEXTSPLIT(mvtst[[#This Row],[QR Suivis]],"_"),1,4)</f>
        <v>UNS1020-09</v>
      </c>
      <c r="P609" s="35" t="str">
        <f>INDEX(_xlfn.TEXTSPLIT(mvtst[[#This Row],[QR Suivis]],"_"),1,5)</f>
        <v>UNI SURPIQUE</v>
      </c>
      <c r="Q609" s="35" t="str">
        <f>_xlfn.TEXTAFTER(mvtst[[#This Row],[QR Suivis]],"_",5)</f>
        <v>1020</v>
      </c>
      <c r="R609" s="84" t="str">
        <f>IF(
   COUNTIFS($A$2:A609,A609,
             $B$2:B609,B609,
             $C$2:C609,C609,
             $D$2:D609,D609,
             $G$2:G609,G609)&gt;1,
   "Doublon",
   "Correcte"
)</f>
        <v>Correcte</v>
      </c>
    </row>
    <row r="610" spans="1:18" x14ac:dyDescent="0.25">
      <c r="A610" s="104" t="s">
        <v>1491</v>
      </c>
      <c r="B610" s="35" t="s">
        <v>712</v>
      </c>
      <c r="C610" s="36">
        <v>0</v>
      </c>
      <c r="D610" s="36">
        <v>5</v>
      </c>
      <c r="E610" s="35" t="s">
        <v>699</v>
      </c>
      <c r="F610" s="35" t="s">
        <v>634</v>
      </c>
      <c r="G610" s="37">
        <v>45926.662060185183</v>
      </c>
      <c r="H610" s="37" t="str">
        <f>INDEX(_xlfn.TEXTSPLIT(mvtst[[#This Row],[QR Suivis]],"_"),1,1)</f>
        <v>CA250010-1</v>
      </c>
      <c r="I610" s="35" t="str">
        <f>_xlfn.TEXTBEFORE(mvtst[[#This Row],[Num Suivis]],"-",,,1)</f>
        <v>CA250010</v>
      </c>
      <c r="J610" s="36">
        <f>SUMIF(mvtst[QR Suivis],mvtst[[#This Row],[QR Suivis]],mvtst[QTE SORTIS])-SUMIF(mvtst[QR Suivis],mvtst[[#This Row],[QR Suivis]],mvtst[QTE RETOUR])</f>
        <v>0</v>
      </c>
      <c r="K610" s="35" t="str">
        <f t="shared" si="9"/>
        <v>Usine</v>
      </c>
      <c r="L610" s="35" t="str">
        <f>_xlfn.XLOOKUP(mvtst[[#This Row],[Sous Traitant]],coordonnee_st[Identification],coordonnee_st[SERVICE],"Non Trouvé")</f>
        <v>Frange</v>
      </c>
      <c r="M610" s="35" t="str">
        <f>INDEX(_xlfn.TEXTSPLIT(mvtst[[#This Row],[QR Suivis]],"_"),1,2)</f>
        <v>All by Fouta</v>
      </c>
      <c r="N610" s="35" t="str">
        <f>INDEX(_xlfn.TEXTSPLIT(mvtst[[#This Row],[QR Suivis]],"_"),1,3)</f>
        <v>Stock</v>
      </c>
      <c r="O610" s="35" t="str">
        <f>INDEX(_xlfn.TEXTSPLIT(mvtst[[#This Row],[QR Suivis]],"_"),1,4)</f>
        <v>UNS1020-18</v>
      </c>
      <c r="P610" s="35" t="str">
        <f>INDEX(_xlfn.TEXTSPLIT(mvtst[[#This Row],[QR Suivis]],"_"),1,5)</f>
        <v>UNI SURPIQUE</v>
      </c>
      <c r="Q610" s="35" t="str">
        <f>_xlfn.TEXTAFTER(mvtst[[#This Row],[QR Suivis]],"_",5)</f>
        <v>1020</v>
      </c>
      <c r="R610" s="84" t="str">
        <f>IF(
   COUNTIFS($A$2:A610,A610,
             $B$2:B610,B610,
             $C$2:C610,C610,
             $D$2:D610,D610,
             $G$2:G610,G610)&gt;1,
   "Doublon",
   "Correcte"
)</f>
        <v>Correcte</v>
      </c>
    </row>
    <row r="611" spans="1:18" x14ac:dyDescent="0.25">
      <c r="A611" s="104" t="s">
        <v>1492</v>
      </c>
      <c r="B611" s="35" t="s">
        <v>712</v>
      </c>
      <c r="C611" s="36">
        <v>0</v>
      </c>
      <c r="D611" s="36">
        <v>5</v>
      </c>
      <c r="E611" s="35" t="s">
        <v>699</v>
      </c>
      <c r="F611" s="35" t="s">
        <v>634</v>
      </c>
      <c r="G611" s="37">
        <v>45926.662546296298</v>
      </c>
      <c r="H611" s="37" t="str">
        <f>INDEX(_xlfn.TEXTSPLIT(mvtst[[#This Row],[QR Suivis]],"_"),1,1)</f>
        <v>CA250010-2</v>
      </c>
      <c r="I611" s="35" t="str">
        <f>_xlfn.TEXTBEFORE(mvtst[[#This Row],[Num Suivis]],"-",,,1)</f>
        <v>CA250010</v>
      </c>
      <c r="J611" s="36">
        <f>SUMIF(mvtst[QR Suivis],mvtst[[#This Row],[QR Suivis]],mvtst[QTE SORTIS])-SUMIF(mvtst[QR Suivis],mvtst[[#This Row],[QR Suivis]],mvtst[QTE RETOUR])</f>
        <v>0</v>
      </c>
      <c r="K611" s="35" t="str">
        <f t="shared" si="9"/>
        <v>Usine</v>
      </c>
      <c r="L611" s="35" t="str">
        <f>_xlfn.XLOOKUP(mvtst[[#This Row],[Sous Traitant]],coordonnee_st[Identification],coordonnee_st[SERVICE],"Non Trouvé")</f>
        <v>Frange</v>
      </c>
      <c r="M611" s="35" t="str">
        <f>INDEX(_xlfn.TEXTSPLIT(mvtst[[#This Row],[QR Suivis]],"_"),1,2)</f>
        <v>All by Fouta</v>
      </c>
      <c r="N611" s="35" t="str">
        <f>INDEX(_xlfn.TEXTSPLIT(mvtst[[#This Row],[QR Suivis]],"_"),1,3)</f>
        <v>Stock</v>
      </c>
      <c r="O611" s="35" t="str">
        <f>INDEX(_xlfn.TEXTSPLIT(mvtst[[#This Row],[QR Suivis]],"_"),1,4)</f>
        <v>UNS1020-18</v>
      </c>
      <c r="P611" s="35" t="str">
        <f>INDEX(_xlfn.TEXTSPLIT(mvtst[[#This Row],[QR Suivis]],"_"),1,5)</f>
        <v>UNI SURPIQUE</v>
      </c>
      <c r="Q611" s="35" t="str">
        <f>_xlfn.TEXTAFTER(mvtst[[#This Row],[QR Suivis]],"_",5)</f>
        <v>1020</v>
      </c>
      <c r="R611" s="84" t="str">
        <f>IF(
   COUNTIFS($A$2:A611,A611,
             $B$2:B611,B611,
             $C$2:C611,C611,
             $D$2:D611,D611,
             $G$2:G611,G611)&gt;1,
   "Doublon",
   "Correcte"
)</f>
        <v>Correcte</v>
      </c>
    </row>
    <row r="612" spans="1:18" x14ac:dyDescent="0.25">
      <c r="A612" s="104" t="s">
        <v>1493</v>
      </c>
      <c r="B612" s="35" t="s">
        <v>712</v>
      </c>
      <c r="C612" s="36">
        <v>0</v>
      </c>
      <c r="D612" s="36">
        <v>5</v>
      </c>
      <c r="E612" s="35" t="s">
        <v>699</v>
      </c>
      <c r="F612" s="35" t="s">
        <v>634</v>
      </c>
      <c r="G612" s="37">
        <v>45926.662939814814</v>
      </c>
      <c r="H612" s="37" t="str">
        <f>INDEX(_xlfn.TEXTSPLIT(mvtst[[#This Row],[QR Suivis]],"_"),1,1)</f>
        <v>CA250010-4</v>
      </c>
      <c r="I612" s="35" t="str">
        <f>_xlfn.TEXTBEFORE(mvtst[[#This Row],[Num Suivis]],"-",,,1)</f>
        <v>CA250010</v>
      </c>
      <c r="J612" s="36">
        <f>SUMIF(mvtst[QR Suivis],mvtst[[#This Row],[QR Suivis]],mvtst[QTE SORTIS])-SUMIF(mvtst[QR Suivis],mvtst[[#This Row],[QR Suivis]],mvtst[QTE RETOUR])</f>
        <v>0</v>
      </c>
      <c r="K612" s="35" t="str">
        <f t="shared" si="9"/>
        <v>Usine</v>
      </c>
      <c r="L612" s="35" t="str">
        <f>_xlfn.XLOOKUP(mvtst[[#This Row],[Sous Traitant]],coordonnee_st[Identification],coordonnee_st[SERVICE],"Non Trouvé")</f>
        <v>Frange</v>
      </c>
      <c r="M612" s="35" t="str">
        <f>INDEX(_xlfn.TEXTSPLIT(mvtst[[#This Row],[QR Suivis]],"_"),1,2)</f>
        <v>All by Fouta</v>
      </c>
      <c r="N612" s="35" t="str">
        <f>INDEX(_xlfn.TEXTSPLIT(mvtst[[#This Row],[QR Suivis]],"_"),1,3)</f>
        <v>Stock</v>
      </c>
      <c r="O612" s="35" t="str">
        <f>INDEX(_xlfn.TEXTSPLIT(mvtst[[#This Row],[QR Suivis]],"_"),1,4)</f>
        <v>UNS1020-18</v>
      </c>
      <c r="P612" s="35" t="str">
        <f>INDEX(_xlfn.TEXTSPLIT(mvtst[[#This Row],[QR Suivis]],"_"),1,5)</f>
        <v>UNI SURPIQUE</v>
      </c>
      <c r="Q612" s="35" t="str">
        <f>_xlfn.TEXTAFTER(mvtst[[#This Row],[QR Suivis]],"_",5)</f>
        <v>1020</v>
      </c>
      <c r="R612" s="84" t="str">
        <f>IF(
   COUNTIFS($A$2:A612,A612,
             $B$2:B612,B612,
             $C$2:C612,C612,
             $D$2:D612,D612,
             $G$2:G612,G612)&gt;1,
   "Doublon",
   "Correcte"
)</f>
        <v>Correcte</v>
      </c>
    </row>
    <row r="613" spans="1:18" x14ac:dyDescent="0.25">
      <c r="A613" s="104" t="s">
        <v>1494</v>
      </c>
      <c r="B613" s="35" t="s">
        <v>712</v>
      </c>
      <c r="C613" s="36">
        <v>0</v>
      </c>
      <c r="D613" s="36">
        <v>5</v>
      </c>
      <c r="E613" s="35" t="s">
        <v>699</v>
      </c>
      <c r="F613" s="35" t="s">
        <v>634</v>
      </c>
      <c r="G613" s="37">
        <v>45926.663402777776</v>
      </c>
      <c r="H613" s="37" t="str">
        <f>INDEX(_xlfn.TEXTSPLIT(mvtst[[#This Row],[QR Suivis]],"_"),1,1)</f>
        <v>CA250010-8</v>
      </c>
      <c r="I613" s="35" t="str">
        <f>_xlfn.TEXTBEFORE(mvtst[[#This Row],[Num Suivis]],"-",,,1)</f>
        <v>CA250010</v>
      </c>
      <c r="J613" s="36">
        <f>SUMIF(mvtst[QR Suivis],mvtst[[#This Row],[QR Suivis]],mvtst[QTE SORTIS])-SUMIF(mvtst[QR Suivis],mvtst[[#This Row],[QR Suivis]],mvtst[QTE RETOUR])</f>
        <v>0</v>
      </c>
      <c r="K613" s="35" t="str">
        <f t="shared" si="9"/>
        <v>Usine</v>
      </c>
      <c r="L613" s="35" t="str">
        <f>_xlfn.XLOOKUP(mvtst[[#This Row],[Sous Traitant]],coordonnee_st[Identification],coordonnee_st[SERVICE],"Non Trouvé")</f>
        <v>Frange</v>
      </c>
      <c r="M613" s="35" t="str">
        <f>INDEX(_xlfn.TEXTSPLIT(mvtst[[#This Row],[QR Suivis]],"_"),1,2)</f>
        <v>All by Fouta</v>
      </c>
      <c r="N613" s="35" t="str">
        <f>INDEX(_xlfn.TEXTSPLIT(mvtst[[#This Row],[QR Suivis]],"_"),1,3)</f>
        <v>Stock</v>
      </c>
      <c r="O613" s="35" t="str">
        <f>INDEX(_xlfn.TEXTSPLIT(mvtst[[#This Row],[QR Suivis]],"_"),1,4)</f>
        <v>UNS1020-18</v>
      </c>
      <c r="P613" s="35" t="str">
        <f>INDEX(_xlfn.TEXTSPLIT(mvtst[[#This Row],[QR Suivis]],"_"),1,5)</f>
        <v>UNI SURPIQUE</v>
      </c>
      <c r="Q613" s="35" t="str">
        <f>_xlfn.TEXTAFTER(mvtst[[#This Row],[QR Suivis]],"_",5)</f>
        <v>1020</v>
      </c>
      <c r="R613" s="84" t="str">
        <f>IF(
   COUNTIFS($A$2:A613,A613,
             $B$2:B613,B613,
             $C$2:C613,C613,
             $D$2:D613,D613,
             $G$2:G613,G613)&gt;1,
   "Doublon",
   "Correcte"
)</f>
        <v>Correcte</v>
      </c>
    </row>
    <row r="614" spans="1:18" x14ac:dyDescent="0.25">
      <c r="A614" s="104" t="s">
        <v>1564</v>
      </c>
      <c r="B614" s="35" t="s">
        <v>712</v>
      </c>
      <c r="C614" s="36">
        <v>0</v>
      </c>
      <c r="D614" s="36">
        <v>5</v>
      </c>
      <c r="E614" s="35" t="s">
        <v>699</v>
      </c>
      <c r="F614" s="35" t="s">
        <v>634</v>
      </c>
      <c r="G614" s="37">
        <v>45926.663703703707</v>
      </c>
      <c r="H614" s="37" t="str">
        <f>INDEX(_xlfn.TEXTSPLIT(mvtst[[#This Row],[QR Suivis]],"_"),1,1)</f>
        <v>CA250018-1</v>
      </c>
      <c r="I614" s="35" t="str">
        <f>_xlfn.TEXTBEFORE(mvtst[[#This Row],[Num Suivis]],"-",,,1)</f>
        <v>CA250018</v>
      </c>
      <c r="J614" s="36">
        <f>SUMIF(mvtst[QR Suivis],mvtst[[#This Row],[QR Suivis]],mvtst[QTE SORTIS])-SUMIF(mvtst[QR Suivis],mvtst[[#This Row],[QR Suivis]],mvtst[QTE RETOUR])</f>
        <v>0</v>
      </c>
      <c r="K614" s="35" t="str">
        <f t="shared" si="9"/>
        <v>Usine</v>
      </c>
      <c r="L614" s="35" t="str">
        <f>_xlfn.XLOOKUP(mvtst[[#This Row],[Sous Traitant]],coordonnee_st[Identification],coordonnee_st[SERVICE],"Non Trouvé")</f>
        <v>Frange</v>
      </c>
      <c r="M614" s="35" t="str">
        <f>INDEX(_xlfn.TEXTSPLIT(mvtst[[#This Row],[QR Suivis]],"_"),1,2)</f>
        <v>All by Fouta</v>
      </c>
      <c r="N614" s="35" t="str">
        <f>INDEX(_xlfn.TEXTSPLIT(mvtst[[#This Row],[QR Suivis]],"_"),1,3)</f>
        <v>Stock</v>
      </c>
      <c r="O614" s="35" t="str">
        <f>INDEX(_xlfn.TEXTSPLIT(mvtst[[#This Row],[QR Suivis]],"_"),1,4)</f>
        <v>UNS1020-31</v>
      </c>
      <c r="P614" s="35" t="str">
        <f>INDEX(_xlfn.TEXTSPLIT(mvtst[[#This Row],[QR Suivis]],"_"),1,5)</f>
        <v>UNI SURPIQUE</v>
      </c>
      <c r="Q614" s="35" t="str">
        <f>_xlfn.TEXTAFTER(mvtst[[#This Row],[QR Suivis]],"_",5)</f>
        <v>1020</v>
      </c>
      <c r="R614" s="84" t="str">
        <f>IF(
   COUNTIFS($A$2:A614,A614,
             $B$2:B614,B614,
             $C$2:C614,C614,
             $D$2:D614,D614,
             $G$2:G614,G614)&gt;1,
   "Doublon",
   "Correcte"
)</f>
        <v>Correcte</v>
      </c>
    </row>
    <row r="615" spans="1:18" x14ac:dyDescent="0.25">
      <c r="A615" s="104" t="s">
        <v>1565</v>
      </c>
      <c r="B615" s="35" t="s">
        <v>712</v>
      </c>
      <c r="C615" s="36">
        <v>0</v>
      </c>
      <c r="D615" s="36">
        <v>5</v>
      </c>
      <c r="E615" s="35" t="s">
        <v>699</v>
      </c>
      <c r="F615" s="35" t="s">
        <v>634</v>
      </c>
      <c r="G615" s="37">
        <v>45926.664085648146</v>
      </c>
      <c r="H615" s="37" t="str">
        <f>INDEX(_xlfn.TEXTSPLIT(mvtst[[#This Row],[QR Suivis]],"_"),1,1)</f>
        <v>CA250018-2</v>
      </c>
      <c r="I615" s="35" t="str">
        <f>_xlfn.TEXTBEFORE(mvtst[[#This Row],[Num Suivis]],"-",,,1)</f>
        <v>CA250018</v>
      </c>
      <c r="J615" s="36">
        <f>SUMIF(mvtst[QR Suivis],mvtst[[#This Row],[QR Suivis]],mvtst[QTE SORTIS])-SUMIF(mvtst[QR Suivis],mvtst[[#This Row],[QR Suivis]],mvtst[QTE RETOUR])</f>
        <v>0</v>
      </c>
      <c r="K615" s="35" t="str">
        <f t="shared" si="9"/>
        <v>Usine</v>
      </c>
      <c r="L615" s="35" t="str">
        <f>_xlfn.XLOOKUP(mvtst[[#This Row],[Sous Traitant]],coordonnee_st[Identification],coordonnee_st[SERVICE],"Non Trouvé")</f>
        <v>Frange</v>
      </c>
      <c r="M615" s="35" t="str">
        <f>INDEX(_xlfn.TEXTSPLIT(mvtst[[#This Row],[QR Suivis]],"_"),1,2)</f>
        <v>All by Fouta</v>
      </c>
      <c r="N615" s="35" t="str">
        <f>INDEX(_xlfn.TEXTSPLIT(mvtst[[#This Row],[QR Suivis]],"_"),1,3)</f>
        <v>Stock</v>
      </c>
      <c r="O615" s="35" t="str">
        <f>INDEX(_xlfn.TEXTSPLIT(mvtst[[#This Row],[QR Suivis]],"_"),1,4)</f>
        <v>UNS1020-31</v>
      </c>
      <c r="P615" s="35" t="str">
        <f>INDEX(_xlfn.TEXTSPLIT(mvtst[[#This Row],[QR Suivis]],"_"),1,5)</f>
        <v>UNI SURPIQUE</v>
      </c>
      <c r="Q615" s="35" t="str">
        <f>_xlfn.TEXTAFTER(mvtst[[#This Row],[QR Suivis]],"_",5)</f>
        <v>1020</v>
      </c>
      <c r="R615" s="84" t="str">
        <f>IF(
   COUNTIFS($A$2:A615,A615,
             $B$2:B615,B615,
             $C$2:C615,C615,
             $D$2:D615,D615,
             $G$2:G615,G615)&gt;1,
   "Doublon",
   "Correcte"
)</f>
        <v>Correcte</v>
      </c>
    </row>
    <row r="616" spans="1:18" x14ac:dyDescent="0.25">
      <c r="A616" s="104" t="s">
        <v>1495</v>
      </c>
      <c r="B616" s="35" t="s">
        <v>712</v>
      </c>
      <c r="C616" s="36">
        <v>0</v>
      </c>
      <c r="D616" s="36">
        <v>5</v>
      </c>
      <c r="E616" s="35" t="s">
        <v>699</v>
      </c>
      <c r="F616" s="35" t="s">
        <v>634</v>
      </c>
      <c r="G616" s="37">
        <v>45926.664872685185</v>
      </c>
      <c r="H616" s="37" t="str">
        <f>INDEX(_xlfn.TEXTSPLIT(mvtst[[#This Row],[QR Suivis]],"_"),1,1)</f>
        <v>CA250010-7</v>
      </c>
      <c r="I616" s="35" t="str">
        <f>_xlfn.TEXTBEFORE(mvtst[[#This Row],[Num Suivis]],"-",,,1)</f>
        <v>CA250010</v>
      </c>
      <c r="J616" s="36">
        <f>SUMIF(mvtst[QR Suivis],mvtst[[#This Row],[QR Suivis]],mvtst[QTE SORTIS])-SUMIF(mvtst[QR Suivis],mvtst[[#This Row],[QR Suivis]],mvtst[QTE RETOUR])</f>
        <v>0</v>
      </c>
      <c r="K616" s="35" t="str">
        <f t="shared" si="9"/>
        <v>Usine</v>
      </c>
      <c r="L616" s="35" t="str">
        <f>_xlfn.XLOOKUP(mvtst[[#This Row],[Sous Traitant]],coordonnee_st[Identification],coordonnee_st[SERVICE],"Non Trouvé")</f>
        <v>Frange</v>
      </c>
      <c r="M616" s="35" t="str">
        <f>INDEX(_xlfn.TEXTSPLIT(mvtst[[#This Row],[QR Suivis]],"_"),1,2)</f>
        <v>All by Fouta</v>
      </c>
      <c r="N616" s="35" t="str">
        <f>INDEX(_xlfn.TEXTSPLIT(mvtst[[#This Row],[QR Suivis]],"_"),1,3)</f>
        <v>Stock</v>
      </c>
      <c r="O616" s="35" t="str">
        <f>INDEX(_xlfn.TEXTSPLIT(mvtst[[#This Row],[QR Suivis]],"_"),1,4)</f>
        <v>UNS1020-18</v>
      </c>
      <c r="P616" s="35" t="str">
        <f>INDEX(_xlfn.TEXTSPLIT(mvtst[[#This Row],[QR Suivis]],"_"),1,5)</f>
        <v>UNI SURPIQUE</v>
      </c>
      <c r="Q616" s="35" t="str">
        <f>_xlfn.TEXTAFTER(mvtst[[#This Row],[QR Suivis]],"_",5)</f>
        <v>1020</v>
      </c>
      <c r="R616" s="84" t="str">
        <f>IF(
   COUNTIFS($A$2:A616,A616,
             $B$2:B616,B616,
             $C$2:C616,C616,
             $D$2:D616,D616,
             $G$2:G616,G616)&gt;1,
   "Doublon",
   "Correcte"
)</f>
        <v>Correcte</v>
      </c>
    </row>
    <row r="617" spans="1:18" x14ac:dyDescent="0.25">
      <c r="A617" s="104" t="s">
        <v>1496</v>
      </c>
      <c r="B617" s="35" t="s">
        <v>712</v>
      </c>
      <c r="C617" s="36">
        <v>0</v>
      </c>
      <c r="D617" s="36">
        <v>5</v>
      </c>
      <c r="E617" s="35" t="s">
        <v>699</v>
      </c>
      <c r="F617" s="35" t="s">
        <v>634</v>
      </c>
      <c r="G617" s="37">
        <v>45926.665173611109</v>
      </c>
      <c r="H617" s="37" t="str">
        <f>INDEX(_xlfn.TEXTSPLIT(mvtst[[#This Row],[QR Suivis]],"_"),1,1)</f>
        <v>CA250010-9</v>
      </c>
      <c r="I617" s="35" t="str">
        <f>_xlfn.TEXTBEFORE(mvtst[[#This Row],[Num Suivis]],"-",,,1)</f>
        <v>CA250010</v>
      </c>
      <c r="J617" s="36">
        <f>SUMIF(mvtst[QR Suivis],mvtst[[#This Row],[QR Suivis]],mvtst[QTE SORTIS])-SUMIF(mvtst[QR Suivis],mvtst[[#This Row],[QR Suivis]],mvtst[QTE RETOUR])</f>
        <v>0</v>
      </c>
      <c r="K617" s="35" t="str">
        <f t="shared" si="9"/>
        <v>Usine</v>
      </c>
      <c r="L617" s="35" t="str">
        <f>_xlfn.XLOOKUP(mvtst[[#This Row],[Sous Traitant]],coordonnee_st[Identification],coordonnee_st[SERVICE],"Non Trouvé")</f>
        <v>Frange</v>
      </c>
      <c r="M617" s="35" t="str">
        <f>INDEX(_xlfn.TEXTSPLIT(mvtst[[#This Row],[QR Suivis]],"_"),1,2)</f>
        <v>All by Fouta</v>
      </c>
      <c r="N617" s="35" t="str">
        <f>INDEX(_xlfn.TEXTSPLIT(mvtst[[#This Row],[QR Suivis]],"_"),1,3)</f>
        <v>Stock</v>
      </c>
      <c r="O617" s="35" t="str">
        <f>INDEX(_xlfn.TEXTSPLIT(mvtst[[#This Row],[QR Suivis]],"_"),1,4)</f>
        <v>UNS1020-18</v>
      </c>
      <c r="P617" s="35" t="str">
        <f>INDEX(_xlfn.TEXTSPLIT(mvtst[[#This Row],[QR Suivis]],"_"),1,5)</f>
        <v>UNI SURPIQUE</v>
      </c>
      <c r="Q617" s="35" t="str">
        <f>_xlfn.TEXTAFTER(mvtst[[#This Row],[QR Suivis]],"_",5)</f>
        <v>1020</v>
      </c>
      <c r="R617" s="84" t="str">
        <f>IF(
   COUNTIFS($A$2:A617,A617,
             $B$2:B617,B617,
             $C$2:C617,C617,
             $D$2:D617,D617,
             $G$2:G617,G617)&gt;1,
   "Doublon",
   "Correcte"
)</f>
        <v>Correcte</v>
      </c>
    </row>
    <row r="618" spans="1:18" x14ac:dyDescent="0.25">
      <c r="A618" s="104" t="s">
        <v>1497</v>
      </c>
      <c r="B618" s="35" t="s">
        <v>712</v>
      </c>
      <c r="C618" s="36">
        <v>0</v>
      </c>
      <c r="D618" s="36">
        <v>5</v>
      </c>
      <c r="E618" s="35" t="s">
        <v>699</v>
      </c>
      <c r="F618" s="35" t="s">
        <v>634</v>
      </c>
      <c r="G618" s="37">
        <v>45926.665682870371</v>
      </c>
      <c r="H618" s="37" t="str">
        <f>INDEX(_xlfn.TEXTSPLIT(mvtst[[#This Row],[QR Suivis]],"_"),1,1)</f>
        <v>CA250010-12</v>
      </c>
      <c r="I618" s="35" t="str">
        <f>_xlfn.TEXTBEFORE(mvtst[[#This Row],[Num Suivis]],"-",,,1)</f>
        <v>CA250010</v>
      </c>
      <c r="J618" s="36">
        <f>SUMIF(mvtst[QR Suivis],mvtst[[#This Row],[QR Suivis]],mvtst[QTE SORTIS])-SUMIF(mvtst[QR Suivis],mvtst[[#This Row],[QR Suivis]],mvtst[QTE RETOUR])</f>
        <v>0</v>
      </c>
      <c r="K618" s="35" t="str">
        <f t="shared" si="9"/>
        <v>Usine</v>
      </c>
      <c r="L618" s="35" t="str">
        <f>_xlfn.XLOOKUP(mvtst[[#This Row],[Sous Traitant]],coordonnee_st[Identification],coordonnee_st[SERVICE],"Non Trouvé")</f>
        <v>Frange</v>
      </c>
      <c r="M618" s="35" t="str">
        <f>INDEX(_xlfn.TEXTSPLIT(mvtst[[#This Row],[QR Suivis]],"_"),1,2)</f>
        <v>All by Fouta</v>
      </c>
      <c r="N618" s="35" t="str">
        <f>INDEX(_xlfn.TEXTSPLIT(mvtst[[#This Row],[QR Suivis]],"_"),1,3)</f>
        <v>Stock</v>
      </c>
      <c r="O618" s="35" t="str">
        <f>INDEX(_xlfn.TEXTSPLIT(mvtst[[#This Row],[QR Suivis]],"_"),1,4)</f>
        <v>UNS1020-18</v>
      </c>
      <c r="P618" s="35" t="str">
        <f>INDEX(_xlfn.TEXTSPLIT(mvtst[[#This Row],[QR Suivis]],"_"),1,5)</f>
        <v>UNI SURPIQUE</v>
      </c>
      <c r="Q618" s="35" t="str">
        <f>_xlfn.TEXTAFTER(mvtst[[#This Row],[QR Suivis]],"_",5)</f>
        <v>1020</v>
      </c>
      <c r="R618" s="84" t="str">
        <f>IF(
   COUNTIFS($A$2:A618,A618,
             $B$2:B618,B618,
             $C$2:C618,C618,
             $D$2:D618,D618,
             $G$2:G618,G618)&gt;1,
   "Doublon",
   "Correcte"
)</f>
        <v>Correcte</v>
      </c>
    </row>
    <row r="619" spans="1:18" x14ac:dyDescent="0.25">
      <c r="A619" s="104" t="s">
        <v>1498</v>
      </c>
      <c r="B619" s="35" t="s">
        <v>712</v>
      </c>
      <c r="C619" s="36">
        <v>0</v>
      </c>
      <c r="D619" s="36">
        <v>5</v>
      </c>
      <c r="E619" s="35" t="s">
        <v>699</v>
      </c>
      <c r="F619" s="35" t="s">
        <v>634</v>
      </c>
      <c r="G619" s="37">
        <v>45926.66611111111</v>
      </c>
      <c r="H619" s="37" t="str">
        <f>INDEX(_xlfn.TEXTSPLIT(mvtst[[#This Row],[QR Suivis]],"_"),1,1)</f>
        <v>CA250010-10</v>
      </c>
      <c r="I619" s="35" t="str">
        <f>_xlfn.TEXTBEFORE(mvtst[[#This Row],[Num Suivis]],"-",,,1)</f>
        <v>CA250010</v>
      </c>
      <c r="J619" s="36">
        <f>SUMIF(mvtst[QR Suivis],mvtst[[#This Row],[QR Suivis]],mvtst[QTE SORTIS])-SUMIF(mvtst[QR Suivis],mvtst[[#This Row],[QR Suivis]],mvtst[QTE RETOUR])</f>
        <v>0</v>
      </c>
      <c r="K619" s="35" t="str">
        <f t="shared" si="9"/>
        <v>Usine</v>
      </c>
      <c r="L619" s="35" t="str">
        <f>_xlfn.XLOOKUP(mvtst[[#This Row],[Sous Traitant]],coordonnee_st[Identification],coordonnee_st[SERVICE],"Non Trouvé")</f>
        <v>Frange</v>
      </c>
      <c r="M619" s="35" t="str">
        <f>INDEX(_xlfn.TEXTSPLIT(mvtst[[#This Row],[QR Suivis]],"_"),1,2)</f>
        <v>All by Fouta</v>
      </c>
      <c r="N619" s="35" t="str">
        <f>INDEX(_xlfn.TEXTSPLIT(mvtst[[#This Row],[QR Suivis]],"_"),1,3)</f>
        <v>Stock</v>
      </c>
      <c r="O619" s="35" t="str">
        <f>INDEX(_xlfn.TEXTSPLIT(mvtst[[#This Row],[QR Suivis]],"_"),1,4)</f>
        <v>UNS1020-18</v>
      </c>
      <c r="P619" s="35" t="str">
        <f>INDEX(_xlfn.TEXTSPLIT(mvtst[[#This Row],[QR Suivis]],"_"),1,5)</f>
        <v>UNI SURPIQUE</v>
      </c>
      <c r="Q619" s="35" t="str">
        <f>_xlfn.TEXTAFTER(mvtst[[#This Row],[QR Suivis]],"_",5)</f>
        <v>1020</v>
      </c>
      <c r="R619" s="84" t="str">
        <f>IF(
   COUNTIFS($A$2:A619,A619,
             $B$2:B619,B619,
             $C$2:C619,C619,
             $D$2:D619,D619,
             $G$2:G619,G619)&gt;1,
   "Doublon",
   "Correcte"
)</f>
        <v>Correcte</v>
      </c>
    </row>
    <row r="620" spans="1:18" x14ac:dyDescent="0.25">
      <c r="A620" s="104" t="s">
        <v>1499</v>
      </c>
      <c r="B620" s="35" t="s">
        <v>712</v>
      </c>
      <c r="C620" s="36">
        <v>0</v>
      </c>
      <c r="D620" s="36">
        <v>5</v>
      </c>
      <c r="E620" s="35" t="s">
        <v>699</v>
      </c>
      <c r="F620" s="35" t="s">
        <v>634</v>
      </c>
      <c r="G620" s="37">
        <v>45926.666504629633</v>
      </c>
      <c r="H620" s="37" t="str">
        <f>INDEX(_xlfn.TEXTSPLIT(mvtst[[#This Row],[QR Suivis]],"_"),1,1)</f>
        <v>CA250010-11</v>
      </c>
      <c r="I620" s="35" t="str">
        <f>_xlfn.TEXTBEFORE(mvtst[[#This Row],[Num Suivis]],"-",,,1)</f>
        <v>CA250010</v>
      </c>
      <c r="J620" s="36">
        <f>SUMIF(mvtst[QR Suivis],mvtst[[#This Row],[QR Suivis]],mvtst[QTE SORTIS])-SUMIF(mvtst[QR Suivis],mvtst[[#This Row],[QR Suivis]],mvtst[QTE RETOUR])</f>
        <v>0</v>
      </c>
      <c r="K620" s="35" t="str">
        <f t="shared" si="9"/>
        <v>Usine</v>
      </c>
      <c r="L620" s="35" t="str">
        <f>_xlfn.XLOOKUP(mvtst[[#This Row],[Sous Traitant]],coordonnee_st[Identification],coordonnee_st[SERVICE],"Non Trouvé")</f>
        <v>Frange</v>
      </c>
      <c r="M620" s="35" t="str">
        <f>INDEX(_xlfn.TEXTSPLIT(mvtst[[#This Row],[QR Suivis]],"_"),1,2)</f>
        <v>All by Fouta</v>
      </c>
      <c r="N620" s="35" t="str">
        <f>INDEX(_xlfn.TEXTSPLIT(mvtst[[#This Row],[QR Suivis]],"_"),1,3)</f>
        <v>Stock</v>
      </c>
      <c r="O620" s="35" t="str">
        <f>INDEX(_xlfn.TEXTSPLIT(mvtst[[#This Row],[QR Suivis]],"_"),1,4)</f>
        <v>UNS1020-18</v>
      </c>
      <c r="P620" s="35" t="str">
        <f>INDEX(_xlfn.TEXTSPLIT(mvtst[[#This Row],[QR Suivis]],"_"),1,5)</f>
        <v>UNI SURPIQUE</v>
      </c>
      <c r="Q620" s="35" t="str">
        <f>_xlfn.TEXTAFTER(mvtst[[#This Row],[QR Suivis]],"_",5)</f>
        <v>1020</v>
      </c>
      <c r="R620" s="84" t="str">
        <f>IF(
   COUNTIFS($A$2:A620,A620,
             $B$2:B620,B620,
             $C$2:C620,C620,
             $D$2:D620,D620,
             $G$2:G620,G620)&gt;1,
   "Doublon",
   "Correcte"
)</f>
        <v>Correcte</v>
      </c>
    </row>
    <row r="621" spans="1:18" x14ac:dyDescent="0.25">
      <c r="A621" s="104" t="s">
        <v>1500</v>
      </c>
      <c r="B621" s="35" t="s">
        <v>712</v>
      </c>
      <c r="C621" s="36">
        <v>0</v>
      </c>
      <c r="D621" s="36">
        <v>5</v>
      </c>
      <c r="E621" s="35" t="s">
        <v>699</v>
      </c>
      <c r="F621" s="35" t="s">
        <v>634</v>
      </c>
      <c r="G621" s="37">
        <v>45926.666701388887</v>
      </c>
      <c r="H621" s="37" t="str">
        <f>INDEX(_xlfn.TEXTSPLIT(mvtst[[#This Row],[QR Suivis]],"_"),1,1)</f>
        <v>CA250010-3</v>
      </c>
      <c r="I621" s="35" t="str">
        <f>_xlfn.TEXTBEFORE(mvtst[[#This Row],[Num Suivis]],"-",,,1)</f>
        <v>CA250010</v>
      </c>
      <c r="J621" s="36">
        <f>SUMIF(mvtst[QR Suivis],mvtst[[#This Row],[QR Suivis]],mvtst[QTE SORTIS])-SUMIF(mvtst[QR Suivis],mvtst[[#This Row],[QR Suivis]],mvtst[QTE RETOUR])</f>
        <v>0</v>
      </c>
      <c r="K621" s="35" t="str">
        <f t="shared" si="9"/>
        <v>Usine</v>
      </c>
      <c r="L621" s="35" t="str">
        <f>_xlfn.XLOOKUP(mvtst[[#This Row],[Sous Traitant]],coordonnee_st[Identification],coordonnee_st[SERVICE],"Non Trouvé")</f>
        <v>Frange</v>
      </c>
      <c r="M621" s="35" t="str">
        <f>INDEX(_xlfn.TEXTSPLIT(mvtst[[#This Row],[QR Suivis]],"_"),1,2)</f>
        <v>All by Fouta</v>
      </c>
      <c r="N621" s="35" t="str">
        <f>INDEX(_xlfn.TEXTSPLIT(mvtst[[#This Row],[QR Suivis]],"_"),1,3)</f>
        <v>Stock</v>
      </c>
      <c r="O621" s="35" t="str">
        <f>INDEX(_xlfn.TEXTSPLIT(mvtst[[#This Row],[QR Suivis]],"_"),1,4)</f>
        <v>UNS1020-18</v>
      </c>
      <c r="P621" s="35" t="str">
        <f>INDEX(_xlfn.TEXTSPLIT(mvtst[[#This Row],[QR Suivis]],"_"),1,5)</f>
        <v>UNI SURPIQUE</v>
      </c>
      <c r="Q621" s="35" t="str">
        <f>_xlfn.TEXTAFTER(mvtst[[#This Row],[QR Suivis]],"_",5)</f>
        <v>1020</v>
      </c>
      <c r="R621" s="84" t="str">
        <f>IF(
   COUNTIFS($A$2:A621,A621,
             $B$2:B621,B621,
             $C$2:C621,C621,
             $D$2:D621,D621,
             $G$2:G621,G621)&gt;1,
   "Doublon",
   "Correcte"
)</f>
        <v>Correcte</v>
      </c>
    </row>
    <row r="622" spans="1:18" x14ac:dyDescent="0.25">
      <c r="A622" s="104" t="s">
        <v>1554</v>
      </c>
      <c r="B622" s="35" t="s">
        <v>712</v>
      </c>
      <c r="C622" s="36">
        <v>0</v>
      </c>
      <c r="D622" s="36">
        <v>5</v>
      </c>
      <c r="E622" s="35" t="s">
        <v>699</v>
      </c>
      <c r="F622" s="35" t="s">
        <v>634</v>
      </c>
      <c r="G622" s="37">
        <v>45926.66710648148</v>
      </c>
      <c r="H622" s="37" t="str">
        <f>INDEX(_xlfn.TEXTSPLIT(mvtst[[#This Row],[QR Suivis]],"_"),1,1)</f>
        <v>CA250079-1</v>
      </c>
      <c r="I622" s="35" t="str">
        <f>_xlfn.TEXTBEFORE(mvtst[[#This Row],[Num Suivis]],"-",,,1)</f>
        <v>CA250079</v>
      </c>
      <c r="J622" s="36">
        <f>SUMIF(mvtst[QR Suivis],mvtst[[#This Row],[QR Suivis]],mvtst[QTE SORTIS])-SUMIF(mvtst[QR Suivis],mvtst[[#This Row],[QR Suivis]],mvtst[QTE RETOUR])</f>
        <v>0</v>
      </c>
      <c r="K622" s="35" t="str">
        <f t="shared" si="9"/>
        <v>Usine</v>
      </c>
      <c r="L622" s="35" t="str">
        <f>_xlfn.XLOOKUP(mvtst[[#This Row],[Sous Traitant]],coordonnee_st[Identification],coordonnee_st[SERVICE],"Non Trouvé")</f>
        <v>Frange</v>
      </c>
      <c r="M622" s="35" t="str">
        <f>INDEX(_xlfn.TEXTSPLIT(mvtst[[#This Row],[QR Suivis]],"_"),1,2)</f>
        <v>All by Fouta</v>
      </c>
      <c r="N622" s="35" t="str">
        <f>INDEX(_xlfn.TEXTSPLIT(mvtst[[#This Row],[QR Suivis]],"_"),1,3)</f>
        <v>Stock</v>
      </c>
      <c r="O622" s="35" t="str">
        <f>INDEX(_xlfn.TEXTSPLIT(mvtst[[#This Row],[QR Suivis]],"_"),1,4)</f>
        <v>UNS2030-32</v>
      </c>
      <c r="P622" s="35" t="str">
        <f>INDEX(_xlfn.TEXTSPLIT(mvtst[[#This Row],[QR Suivis]],"_"),1,5)</f>
        <v>UNI SURPIQUE</v>
      </c>
      <c r="Q622" s="35" t="str">
        <f>_xlfn.TEXTAFTER(mvtst[[#This Row],[QR Suivis]],"_",5)</f>
        <v>2030</v>
      </c>
      <c r="R622" s="84" t="str">
        <f>IF(
   COUNTIFS($A$2:A622,A622,
             $B$2:B622,B622,
             $C$2:C622,C622,
             $D$2:D622,D622,
             $G$2:G622,G622)&gt;1,
   "Doublon",
   "Correcte"
)</f>
        <v>Correcte</v>
      </c>
    </row>
    <row r="623" spans="1:18" x14ac:dyDescent="0.25">
      <c r="A623" s="104" t="s">
        <v>1555</v>
      </c>
      <c r="B623" s="35" t="s">
        <v>712</v>
      </c>
      <c r="C623" s="36">
        <v>0</v>
      </c>
      <c r="D623" s="36">
        <v>5</v>
      </c>
      <c r="E623" s="35" t="s">
        <v>699</v>
      </c>
      <c r="F623" s="35" t="s">
        <v>634</v>
      </c>
      <c r="G623" s="37">
        <v>45926.667557870373</v>
      </c>
      <c r="H623" s="37" t="str">
        <f>INDEX(_xlfn.TEXTSPLIT(mvtst[[#This Row],[QR Suivis]],"_"),1,1)</f>
        <v>CA250079-2</v>
      </c>
      <c r="I623" s="35" t="str">
        <f>_xlfn.TEXTBEFORE(mvtst[[#This Row],[Num Suivis]],"-",,,1)</f>
        <v>CA250079</v>
      </c>
      <c r="J623" s="36">
        <f>SUMIF(mvtst[QR Suivis],mvtst[[#This Row],[QR Suivis]],mvtst[QTE SORTIS])-SUMIF(mvtst[QR Suivis],mvtst[[#This Row],[QR Suivis]],mvtst[QTE RETOUR])</f>
        <v>0</v>
      </c>
      <c r="K623" s="35" t="str">
        <f t="shared" si="9"/>
        <v>Usine</v>
      </c>
      <c r="L623" s="35" t="str">
        <f>_xlfn.XLOOKUP(mvtst[[#This Row],[Sous Traitant]],coordonnee_st[Identification],coordonnee_st[SERVICE],"Non Trouvé")</f>
        <v>Frange</v>
      </c>
      <c r="M623" s="35" t="str">
        <f>INDEX(_xlfn.TEXTSPLIT(mvtst[[#This Row],[QR Suivis]],"_"),1,2)</f>
        <v>All by Fouta</v>
      </c>
      <c r="N623" s="35" t="str">
        <f>INDEX(_xlfn.TEXTSPLIT(mvtst[[#This Row],[QR Suivis]],"_"),1,3)</f>
        <v>Stock</v>
      </c>
      <c r="O623" s="35" t="str">
        <f>INDEX(_xlfn.TEXTSPLIT(mvtst[[#This Row],[QR Suivis]],"_"),1,4)</f>
        <v>UNS2030-32</v>
      </c>
      <c r="P623" s="35" t="str">
        <f>INDEX(_xlfn.TEXTSPLIT(mvtst[[#This Row],[QR Suivis]],"_"),1,5)</f>
        <v>UNI SURPIQUE</v>
      </c>
      <c r="Q623" s="35" t="str">
        <f>_xlfn.TEXTAFTER(mvtst[[#This Row],[QR Suivis]],"_",5)</f>
        <v>2030</v>
      </c>
      <c r="R623" s="84" t="str">
        <f>IF(
   COUNTIFS($A$2:A623,A623,
             $B$2:B623,B623,
             $C$2:C623,C623,
             $D$2:D623,D623,
             $G$2:G623,G623)&gt;1,
   "Doublon",
   "Correcte"
)</f>
        <v>Correcte</v>
      </c>
    </row>
    <row r="624" spans="1:18" x14ac:dyDescent="0.25">
      <c r="A624" s="104" t="s">
        <v>1487</v>
      </c>
      <c r="B624" s="35" t="s">
        <v>712</v>
      </c>
      <c r="C624" s="36">
        <v>0</v>
      </c>
      <c r="D624" s="36">
        <v>5</v>
      </c>
      <c r="E624" s="35" t="s">
        <v>699</v>
      </c>
      <c r="F624" s="35" t="s">
        <v>634</v>
      </c>
      <c r="G624" s="37">
        <v>45926.66814814815</v>
      </c>
      <c r="H624" s="37" t="str">
        <f>INDEX(_xlfn.TEXTSPLIT(mvtst[[#This Row],[QR Suivis]],"_"),1,1)</f>
        <v>CA250009-5</v>
      </c>
      <c r="I624" s="35" t="str">
        <f>_xlfn.TEXTBEFORE(mvtst[[#This Row],[Num Suivis]],"-",,,1)</f>
        <v>CA250009</v>
      </c>
      <c r="J624" s="36">
        <f>SUMIF(mvtst[QR Suivis],mvtst[[#This Row],[QR Suivis]],mvtst[QTE SORTIS])-SUMIF(mvtst[QR Suivis],mvtst[[#This Row],[QR Suivis]],mvtst[QTE RETOUR])</f>
        <v>0</v>
      </c>
      <c r="K624" s="35" t="str">
        <f t="shared" si="9"/>
        <v>Usine</v>
      </c>
      <c r="L624" s="35" t="str">
        <f>_xlfn.XLOOKUP(mvtst[[#This Row],[Sous Traitant]],coordonnee_st[Identification],coordonnee_st[SERVICE],"Non Trouvé")</f>
        <v>Frange</v>
      </c>
      <c r="M624" s="35" t="str">
        <f>INDEX(_xlfn.TEXTSPLIT(mvtst[[#This Row],[QR Suivis]],"_"),1,2)</f>
        <v>All by Fouta</v>
      </c>
      <c r="N624" s="35" t="str">
        <f>INDEX(_xlfn.TEXTSPLIT(mvtst[[#This Row],[QR Suivis]],"_"),1,3)</f>
        <v>Stock</v>
      </c>
      <c r="O624" s="35" t="str">
        <f>INDEX(_xlfn.TEXTSPLIT(mvtst[[#This Row],[QR Suivis]],"_"),1,4)</f>
        <v>UNS1020-17</v>
      </c>
      <c r="P624" s="35" t="str">
        <f>INDEX(_xlfn.TEXTSPLIT(mvtst[[#This Row],[QR Suivis]],"_"),1,5)</f>
        <v>UNI SURPIQUE</v>
      </c>
      <c r="Q624" s="35" t="str">
        <f>_xlfn.TEXTAFTER(mvtst[[#This Row],[QR Suivis]],"_",5)</f>
        <v>1020</v>
      </c>
      <c r="R624" s="84" t="str">
        <f>IF(
   COUNTIFS($A$2:A624,A624,
             $B$2:B624,B624,
             $C$2:C624,C624,
             $D$2:D624,D624,
             $G$2:G624,G624)&gt;1,
   "Doublon",
   "Correcte"
)</f>
        <v>Correcte</v>
      </c>
    </row>
    <row r="625" spans="1:18" x14ac:dyDescent="0.25">
      <c r="A625" s="104" t="s">
        <v>1488</v>
      </c>
      <c r="B625" s="35" t="s">
        <v>712</v>
      </c>
      <c r="C625" s="36">
        <v>0</v>
      </c>
      <c r="D625" s="36">
        <v>5</v>
      </c>
      <c r="E625" s="35" t="s">
        <v>699</v>
      </c>
      <c r="F625" s="35" t="s">
        <v>634</v>
      </c>
      <c r="G625" s="37">
        <v>45926.668657407405</v>
      </c>
      <c r="H625" s="37" t="str">
        <f>INDEX(_xlfn.TEXTSPLIT(mvtst[[#This Row],[QR Suivis]],"_"),1,1)</f>
        <v>CA250009-10</v>
      </c>
      <c r="I625" s="35" t="str">
        <f>_xlfn.TEXTBEFORE(mvtst[[#This Row],[Num Suivis]],"-",,,1)</f>
        <v>CA250009</v>
      </c>
      <c r="J625" s="36">
        <f>SUMIF(mvtst[QR Suivis],mvtst[[#This Row],[QR Suivis]],mvtst[QTE SORTIS])-SUMIF(mvtst[QR Suivis],mvtst[[#This Row],[QR Suivis]],mvtst[QTE RETOUR])</f>
        <v>0</v>
      </c>
      <c r="K625" s="35" t="str">
        <f t="shared" si="9"/>
        <v>Usine</v>
      </c>
      <c r="L625" s="35" t="str">
        <f>_xlfn.XLOOKUP(mvtst[[#This Row],[Sous Traitant]],coordonnee_st[Identification],coordonnee_st[SERVICE],"Non Trouvé")</f>
        <v>Frange</v>
      </c>
      <c r="M625" s="35" t="str">
        <f>INDEX(_xlfn.TEXTSPLIT(mvtst[[#This Row],[QR Suivis]],"_"),1,2)</f>
        <v>All by Fouta</v>
      </c>
      <c r="N625" s="35" t="str">
        <f>INDEX(_xlfn.TEXTSPLIT(mvtst[[#This Row],[QR Suivis]],"_"),1,3)</f>
        <v>Stock</v>
      </c>
      <c r="O625" s="35" t="str">
        <f>INDEX(_xlfn.TEXTSPLIT(mvtst[[#This Row],[QR Suivis]],"_"),1,4)</f>
        <v>UNS1020-17</v>
      </c>
      <c r="P625" s="35" t="str">
        <f>INDEX(_xlfn.TEXTSPLIT(mvtst[[#This Row],[QR Suivis]],"_"),1,5)</f>
        <v>UNI SURPIQUE</v>
      </c>
      <c r="Q625" s="35" t="str">
        <f>_xlfn.TEXTAFTER(mvtst[[#This Row],[QR Suivis]],"_",5)</f>
        <v>1020</v>
      </c>
      <c r="R625" s="84" t="str">
        <f>IF(
   COUNTIFS($A$2:A625,A625,
             $B$2:B625,B625,
             $C$2:C625,C625,
             $D$2:D625,D625,
             $G$2:G625,G625)&gt;1,
   "Doublon",
   "Correcte"
)</f>
        <v>Correcte</v>
      </c>
    </row>
    <row r="626" spans="1:18" x14ac:dyDescent="0.25">
      <c r="A626" s="104" t="s">
        <v>1489</v>
      </c>
      <c r="B626" s="35" t="s">
        <v>712</v>
      </c>
      <c r="C626" s="36">
        <v>0</v>
      </c>
      <c r="D626" s="36">
        <v>5</v>
      </c>
      <c r="E626" s="35" t="s">
        <v>699</v>
      </c>
      <c r="F626" s="35" t="s">
        <v>634</v>
      </c>
      <c r="G626" s="37">
        <v>45926.669016203705</v>
      </c>
      <c r="H626" s="37" t="str">
        <f>INDEX(_xlfn.TEXTSPLIT(mvtst[[#This Row],[QR Suivis]],"_"),1,1)</f>
        <v>CA250009-8</v>
      </c>
      <c r="I626" s="35" t="str">
        <f>_xlfn.TEXTBEFORE(mvtst[[#This Row],[Num Suivis]],"-",,,1)</f>
        <v>CA250009</v>
      </c>
      <c r="J626" s="36">
        <f>SUMIF(mvtst[QR Suivis],mvtst[[#This Row],[QR Suivis]],mvtst[QTE SORTIS])-SUMIF(mvtst[QR Suivis],mvtst[[#This Row],[QR Suivis]],mvtst[QTE RETOUR])</f>
        <v>0</v>
      </c>
      <c r="K626" s="35" t="str">
        <f t="shared" si="9"/>
        <v>Usine</v>
      </c>
      <c r="L626" s="35" t="str">
        <f>_xlfn.XLOOKUP(mvtst[[#This Row],[Sous Traitant]],coordonnee_st[Identification],coordonnee_st[SERVICE],"Non Trouvé")</f>
        <v>Frange</v>
      </c>
      <c r="M626" s="35" t="str">
        <f>INDEX(_xlfn.TEXTSPLIT(mvtst[[#This Row],[QR Suivis]],"_"),1,2)</f>
        <v>All by Fouta</v>
      </c>
      <c r="N626" s="35" t="str">
        <f>INDEX(_xlfn.TEXTSPLIT(mvtst[[#This Row],[QR Suivis]],"_"),1,3)</f>
        <v>Stock</v>
      </c>
      <c r="O626" s="35" t="str">
        <f>INDEX(_xlfn.TEXTSPLIT(mvtst[[#This Row],[QR Suivis]],"_"),1,4)</f>
        <v>UNS1020-17</v>
      </c>
      <c r="P626" s="35" t="str">
        <f>INDEX(_xlfn.TEXTSPLIT(mvtst[[#This Row],[QR Suivis]],"_"),1,5)</f>
        <v>UNI SURPIQUE</v>
      </c>
      <c r="Q626" s="35" t="str">
        <f>_xlfn.TEXTAFTER(mvtst[[#This Row],[QR Suivis]],"_",5)</f>
        <v>1020</v>
      </c>
      <c r="R626" s="84" t="str">
        <f>IF(
   COUNTIFS($A$2:A626,A626,
             $B$2:B626,B626,
             $C$2:C626,C626,
             $D$2:D626,D626,
             $G$2:G626,G626)&gt;1,
   "Doublon",
   "Correcte"
)</f>
        <v>Correcte</v>
      </c>
    </row>
    <row r="627" spans="1:18" x14ac:dyDescent="0.25">
      <c r="A627" s="104" t="s">
        <v>1490</v>
      </c>
      <c r="B627" s="35" t="s">
        <v>712</v>
      </c>
      <c r="C627" s="36">
        <v>0</v>
      </c>
      <c r="D627" s="36">
        <v>5</v>
      </c>
      <c r="E627" s="35" t="s">
        <v>699</v>
      </c>
      <c r="F627" s="35" t="s">
        <v>634</v>
      </c>
      <c r="G627" s="37">
        <v>45926.669374999998</v>
      </c>
      <c r="H627" s="37" t="str">
        <f>INDEX(_xlfn.TEXTSPLIT(mvtst[[#This Row],[QR Suivis]],"_"),1,1)</f>
        <v>CA250009-11</v>
      </c>
      <c r="I627" s="35" t="str">
        <f>_xlfn.TEXTBEFORE(mvtst[[#This Row],[Num Suivis]],"-",,,1)</f>
        <v>CA250009</v>
      </c>
      <c r="J627" s="36">
        <f>SUMIF(mvtst[QR Suivis],mvtst[[#This Row],[QR Suivis]],mvtst[QTE SORTIS])-SUMIF(mvtst[QR Suivis],mvtst[[#This Row],[QR Suivis]],mvtst[QTE RETOUR])</f>
        <v>0</v>
      </c>
      <c r="K627" s="35" t="str">
        <f t="shared" si="9"/>
        <v>Usine</v>
      </c>
      <c r="L627" s="35" t="str">
        <f>_xlfn.XLOOKUP(mvtst[[#This Row],[Sous Traitant]],coordonnee_st[Identification],coordonnee_st[SERVICE],"Non Trouvé")</f>
        <v>Frange</v>
      </c>
      <c r="M627" s="35" t="str">
        <f>INDEX(_xlfn.TEXTSPLIT(mvtst[[#This Row],[QR Suivis]],"_"),1,2)</f>
        <v>All by Fouta</v>
      </c>
      <c r="N627" s="35" t="str">
        <f>INDEX(_xlfn.TEXTSPLIT(mvtst[[#This Row],[QR Suivis]],"_"),1,3)</f>
        <v>Stock</v>
      </c>
      <c r="O627" s="35" t="str">
        <f>INDEX(_xlfn.TEXTSPLIT(mvtst[[#This Row],[QR Suivis]],"_"),1,4)</f>
        <v>UNS1020-17</v>
      </c>
      <c r="P627" s="35" t="str">
        <f>INDEX(_xlfn.TEXTSPLIT(mvtst[[#This Row],[QR Suivis]],"_"),1,5)</f>
        <v>UNI SURPIQUE</v>
      </c>
      <c r="Q627" s="35" t="str">
        <f>_xlfn.TEXTAFTER(mvtst[[#This Row],[QR Suivis]],"_",5)</f>
        <v>1020</v>
      </c>
      <c r="R627" s="84" t="str">
        <f>IF(
   COUNTIFS($A$2:A627,A627,
             $B$2:B627,B627,
             $C$2:C627,C627,
             $D$2:D627,D627,
             $G$2:G627,G627)&gt;1,
   "Doublon",
   "Correcte"
)</f>
        <v>Correcte</v>
      </c>
    </row>
    <row r="628" spans="1:18" x14ac:dyDescent="0.25">
      <c r="A628" s="104" t="s">
        <v>1444</v>
      </c>
      <c r="B628" s="35" t="s">
        <v>712</v>
      </c>
      <c r="C628" s="36">
        <v>0</v>
      </c>
      <c r="D628" s="36">
        <v>5</v>
      </c>
      <c r="E628" s="35" t="s">
        <v>699</v>
      </c>
      <c r="F628" s="35" t="s">
        <v>634</v>
      </c>
      <c r="G628" s="37">
        <v>45926.669895833336</v>
      </c>
      <c r="H628" s="37" t="str">
        <f>INDEX(_xlfn.TEXTSPLIT(mvtst[[#This Row],[QR Suivis]],"_"),1,1)</f>
        <v>CA250006-1</v>
      </c>
      <c r="I628" s="35" t="str">
        <f>_xlfn.TEXTBEFORE(mvtst[[#This Row],[Num Suivis]],"-",,,1)</f>
        <v>CA250006</v>
      </c>
      <c r="J628" s="36">
        <f>SUMIF(mvtst[QR Suivis],mvtst[[#This Row],[QR Suivis]],mvtst[QTE SORTIS])-SUMIF(mvtst[QR Suivis],mvtst[[#This Row],[QR Suivis]],mvtst[QTE RETOUR])</f>
        <v>0</v>
      </c>
      <c r="K628" s="35" t="str">
        <f t="shared" si="9"/>
        <v>Usine</v>
      </c>
      <c r="L628" s="35" t="str">
        <f>_xlfn.XLOOKUP(mvtst[[#This Row],[Sous Traitant]],coordonnee_st[Identification],coordonnee_st[SERVICE],"Non Trouvé")</f>
        <v>Frange</v>
      </c>
      <c r="M628" s="35" t="str">
        <f>INDEX(_xlfn.TEXTSPLIT(mvtst[[#This Row],[QR Suivis]],"_"),1,2)</f>
        <v>All by Fouta</v>
      </c>
      <c r="N628" s="35" t="str">
        <f>INDEX(_xlfn.TEXTSPLIT(mvtst[[#This Row],[QR Suivis]],"_"),1,3)</f>
        <v>Stock</v>
      </c>
      <c r="O628" s="35" t="str">
        <f>INDEX(_xlfn.TEXTSPLIT(mvtst[[#This Row],[QR Suivis]],"_"),1,4)</f>
        <v>UNS1020-12</v>
      </c>
      <c r="P628" s="35" t="str">
        <f>INDEX(_xlfn.TEXTSPLIT(mvtst[[#This Row],[QR Suivis]],"_"),1,5)</f>
        <v>UNI SURPIQUE</v>
      </c>
      <c r="Q628" s="35" t="str">
        <f>_xlfn.TEXTAFTER(mvtst[[#This Row],[QR Suivis]],"_",5)</f>
        <v>1020</v>
      </c>
      <c r="R628" s="84" t="str">
        <f>IF(
   COUNTIFS($A$2:A628,A628,
             $B$2:B628,B628,
             $C$2:C628,C628,
             $D$2:D628,D628,
             $G$2:G628,G628)&gt;1,
   "Doublon",
   "Correcte"
)</f>
        <v>Correcte</v>
      </c>
    </row>
    <row r="629" spans="1:18" x14ac:dyDescent="0.25">
      <c r="A629" s="104" t="s">
        <v>1445</v>
      </c>
      <c r="B629" s="35" t="s">
        <v>712</v>
      </c>
      <c r="C629" s="36">
        <v>0</v>
      </c>
      <c r="D629" s="36">
        <v>5</v>
      </c>
      <c r="E629" s="35" t="s">
        <v>699</v>
      </c>
      <c r="F629" s="35" t="s">
        <v>634</v>
      </c>
      <c r="G629" s="37">
        <v>45926.670254629629</v>
      </c>
      <c r="H629" s="37" t="str">
        <f>INDEX(_xlfn.TEXTSPLIT(mvtst[[#This Row],[QR Suivis]],"_"),1,1)</f>
        <v>CA250006-12</v>
      </c>
      <c r="I629" s="35" t="str">
        <f>_xlfn.TEXTBEFORE(mvtst[[#This Row],[Num Suivis]],"-",,,1)</f>
        <v>CA250006</v>
      </c>
      <c r="J629" s="36">
        <f>SUMIF(mvtst[QR Suivis],mvtst[[#This Row],[QR Suivis]],mvtst[QTE SORTIS])-SUMIF(mvtst[QR Suivis],mvtst[[#This Row],[QR Suivis]],mvtst[QTE RETOUR])</f>
        <v>0</v>
      </c>
      <c r="K629" s="35" t="str">
        <f t="shared" si="9"/>
        <v>Usine</v>
      </c>
      <c r="L629" s="35" t="str">
        <f>_xlfn.XLOOKUP(mvtst[[#This Row],[Sous Traitant]],coordonnee_st[Identification],coordonnee_st[SERVICE],"Non Trouvé")</f>
        <v>Frange</v>
      </c>
      <c r="M629" s="35" t="str">
        <f>INDEX(_xlfn.TEXTSPLIT(mvtst[[#This Row],[QR Suivis]],"_"),1,2)</f>
        <v>All by Fouta</v>
      </c>
      <c r="N629" s="35" t="str">
        <f>INDEX(_xlfn.TEXTSPLIT(mvtst[[#This Row],[QR Suivis]],"_"),1,3)</f>
        <v>Stock</v>
      </c>
      <c r="O629" s="35" t="str">
        <f>INDEX(_xlfn.TEXTSPLIT(mvtst[[#This Row],[QR Suivis]],"_"),1,4)</f>
        <v>UNS1020-12</v>
      </c>
      <c r="P629" s="35" t="str">
        <f>INDEX(_xlfn.TEXTSPLIT(mvtst[[#This Row],[QR Suivis]],"_"),1,5)</f>
        <v>UNI SURPIQUE</v>
      </c>
      <c r="Q629" s="35" t="str">
        <f>_xlfn.TEXTAFTER(mvtst[[#This Row],[QR Suivis]],"_",5)</f>
        <v>1020</v>
      </c>
      <c r="R629" s="84" t="str">
        <f>IF(
   COUNTIFS($A$2:A629,A629,
             $B$2:B629,B629,
             $C$2:C629,C629,
             $D$2:D629,D629,
             $G$2:G629,G629)&gt;1,
   "Doublon",
   "Correcte"
)</f>
        <v>Correcte</v>
      </c>
    </row>
    <row r="630" spans="1:18" x14ac:dyDescent="0.25">
      <c r="A630" s="104" t="s">
        <v>1446</v>
      </c>
      <c r="B630" s="35" t="s">
        <v>712</v>
      </c>
      <c r="C630" s="36">
        <v>0</v>
      </c>
      <c r="D630" s="36">
        <v>5</v>
      </c>
      <c r="E630" s="35" t="s">
        <v>699</v>
      </c>
      <c r="F630" s="35" t="s">
        <v>634</v>
      </c>
      <c r="G630" s="37">
        <v>45926.670659722222</v>
      </c>
      <c r="H630" s="37" t="str">
        <f>INDEX(_xlfn.TEXTSPLIT(mvtst[[#This Row],[QR Suivis]],"_"),1,1)</f>
        <v>CA250006-2</v>
      </c>
      <c r="I630" s="35" t="str">
        <f>_xlfn.TEXTBEFORE(mvtst[[#This Row],[Num Suivis]],"-",,,1)</f>
        <v>CA250006</v>
      </c>
      <c r="J630" s="36">
        <f>SUMIF(mvtst[QR Suivis],mvtst[[#This Row],[QR Suivis]],mvtst[QTE SORTIS])-SUMIF(mvtst[QR Suivis],mvtst[[#This Row],[QR Suivis]],mvtst[QTE RETOUR])</f>
        <v>0</v>
      </c>
      <c r="K630" s="35" t="str">
        <f t="shared" si="9"/>
        <v>Usine</v>
      </c>
      <c r="L630" s="35" t="str">
        <f>_xlfn.XLOOKUP(mvtst[[#This Row],[Sous Traitant]],coordonnee_st[Identification],coordonnee_st[SERVICE],"Non Trouvé")</f>
        <v>Frange</v>
      </c>
      <c r="M630" s="35" t="str">
        <f>INDEX(_xlfn.TEXTSPLIT(mvtst[[#This Row],[QR Suivis]],"_"),1,2)</f>
        <v>All by Fouta</v>
      </c>
      <c r="N630" s="35" t="str">
        <f>INDEX(_xlfn.TEXTSPLIT(mvtst[[#This Row],[QR Suivis]],"_"),1,3)</f>
        <v>Stock</v>
      </c>
      <c r="O630" s="35" t="str">
        <f>INDEX(_xlfn.TEXTSPLIT(mvtst[[#This Row],[QR Suivis]],"_"),1,4)</f>
        <v>UNS1020-12</v>
      </c>
      <c r="P630" s="35" t="str">
        <f>INDEX(_xlfn.TEXTSPLIT(mvtst[[#This Row],[QR Suivis]],"_"),1,5)</f>
        <v>UNI SURPIQUE</v>
      </c>
      <c r="Q630" s="35" t="str">
        <f>_xlfn.TEXTAFTER(mvtst[[#This Row],[QR Suivis]],"_",5)</f>
        <v>1020</v>
      </c>
      <c r="R630" s="84" t="str">
        <f>IF(
   COUNTIFS($A$2:A630,A630,
             $B$2:B630,B630,
             $C$2:C630,C630,
             $D$2:D630,D630,
             $G$2:G630,G630)&gt;1,
   "Doublon",
   "Correcte"
)</f>
        <v>Correcte</v>
      </c>
    </row>
    <row r="631" spans="1:18" x14ac:dyDescent="0.25">
      <c r="A631" s="104" t="s">
        <v>1447</v>
      </c>
      <c r="B631" s="35" t="s">
        <v>712</v>
      </c>
      <c r="C631" s="36">
        <v>0</v>
      </c>
      <c r="D631" s="36">
        <v>5</v>
      </c>
      <c r="E631" s="35" t="s">
        <v>699</v>
      </c>
      <c r="F631" s="35" t="s">
        <v>634</v>
      </c>
      <c r="G631" s="37">
        <v>45926.671041666668</v>
      </c>
      <c r="H631" s="37" t="str">
        <f>INDEX(_xlfn.TEXTSPLIT(mvtst[[#This Row],[QR Suivis]],"_"),1,1)</f>
        <v>CA250006-4</v>
      </c>
      <c r="I631" s="35" t="str">
        <f>_xlfn.TEXTBEFORE(mvtst[[#This Row],[Num Suivis]],"-",,,1)</f>
        <v>CA250006</v>
      </c>
      <c r="J631" s="36">
        <f>SUMIF(mvtst[QR Suivis],mvtst[[#This Row],[QR Suivis]],mvtst[QTE SORTIS])-SUMIF(mvtst[QR Suivis],mvtst[[#This Row],[QR Suivis]],mvtst[QTE RETOUR])</f>
        <v>0</v>
      </c>
      <c r="K631" s="35" t="str">
        <f t="shared" si="9"/>
        <v>Usine</v>
      </c>
      <c r="L631" s="35" t="str">
        <f>_xlfn.XLOOKUP(mvtst[[#This Row],[Sous Traitant]],coordonnee_st[Identification],coordonnee_st[SERVICE],"Non Trouvé")</f>
        <v>Frange</v>
      </c>
      <c r="M631" s="35" t="str">
        <f>INDEX(_xlfn.TEXTSPLIT(mvtst[[#This Row],[QR Suivis]],"_"),1,2)</f>
        <v>All by Fouta</v>
      </c>
      <c r="N631" s="35" t="str">
        <f>INDEX(_xlfn.TEXTSPLIT(mvtst[[#This Row],[QR Suivis]],"_"),1,3)</f>
        <v>Stock</v>
      </c>
      <c r="O631" s="35" t="str">
        <f>INDEX(_xlfn.TEXTSPLIT(mvtst[[#This Row],[QR Suivis]],"_"),1,4)</f>
        <v>UNS1020-12</v>
      </c>
      <c r="P631" s="35" t="str">
        <f>INDEX(_xlfn.TEXTSPLIT(mvtst[[#This Row],[QR Suivis]],"_"),1,5)</f>
        <v>UNI SURPIQUE</v>
      </c>
      <c r="Q631" s="35" t="str">
        <f>_xlfn.TEXTAFTER(mvtst[[#This Row],[QR Suivis]],"_",5)</f>
        <v>1020</v>
      </c>
      <c r="R631" s="84" t="str">
        <f>IF(
   COUNTIFS($A$2:A631,A631,
             $B$2:B631,B631,
             $C$2:C631,C631,
             $D$2:D631,D631,
             $G$2:G631,G631)&gt;1,
   "Doublon",
   "Correcte"
)</f>
        <v>Correcte</v>
      </c>
    </row>
    <row r="632" spans="1:18" x14ac:dyDescent="0.25">
      <c r="A632" s="104" t="s">
        <v>1448</v>
      </c>
      <c r="B632" s="35" t="s">
        <v>712</v>
      </c>
      <c r="C632" s="36">
        <v>0</v>
      </c>
      <c r="D632" s="36">
        <v>5</v>
      </c>
      <c r="E632" s="35" t="s">
        <v>699</v>
      </c>
      <c r="F632" s="35" t="s">
        <v>634</v>
      </c>
      <c r="G632" s="37">
        <v>45926.671365740738</v>
      </c>
      <c r="H632" s="37" t="str">
        <f>INDEX(_xlfn.TEXTSPLIT(mvtst[[#This Row],[QR Suivis]],"_"),1,1)</f>
        <v>CA250006-8</v>
      </c>
      <c r="I632" s="35" t="str">
        <f>_xlfn.TEXTBEFORE(mvtst[[#This Row],[Num Suivis]],"-",,,1)</f>
        <v>CA250006</v>
      </c>
      <c r="J632" s="36">
        <f>SUMIF(mvtst[QR Suivis],mvtst[[#This Row],[QR Suivis]],mvtst[QTE SORTIS])-SUMIF(mvtst[QR Suivis],mvtst[[#This Row],[QR Suivis]],mvtst[QTE RETOUR])</f>
        <v>0</v>
      </c>
      <c r="K632" s="35" t="str">
        <f t="shared" si="9"/>
        <v>Usine</v>
      </c>
      <c r="L632" s="35" t="str">
        <f>_xlfn.XLOOKUP(mvtst[[#This Row],[Sous Traitant]],coordonnee_st[Identification],coordonnee_st[SERVICE],"Non Trouvé")</f>
        <v>Frange</v>
      </c>
      <c r="M632" s="35" t="str">
        <f>INDEX(_xlfn.TEXTSPLIT(mvtst[[#This Row],[QR Suivis]],"_"),1,2)</f>
        <v>All by Fouta</v>
      </c>
      <c r="N632" s="35" t="str">
        <f>INDEX(_xlfn.TEXTSPLIT(mvtst[[#This Row],[QR Suivis]],"_"),1,3)</f>
        <v>Stock</v>
      </c>
      <c r="O632" s="35" t="str">
        <f>INDEX(_xlfn.TEXTSPLIT(mvtst[[#This Row],[QR Suivis]],"_"),1,4)</f>
        <v>UNS1020-12</v>
      </c>
      <c r="P632" s="35" t="str">
        <f>INDEX(_xlfn.TEXTSPLIT(mvtst[[#This Row],[QR Suivis]],"_"),1,5)</f>
        <v>UNI SURPIQUE</v>
      </c>
      <c r="Q632" s="35" t="str">
        <f>_xlfn.TEXTAFTER(mvtst[[#This Row],[QR Suivis]],"_",5)</f>
        <v>1020</v>
      </c>
      <c r="R632" s="84" t="str">
        <f>IF(
   COUNTIFS($A$2:A632,A632,
             $B$2:B632,B632,
             $C$2:C632,C632,
             $D$2:D632,D632,
             $G$2:G632,G632)&gt;1,
   "Doublon",
   "Correcte"
)</f>
        <v>Correcte</v>
      </c>
    </row>
    <row r="633" spans="1:18" x14ac:dyDescent="0.25">
      <c r="A633" s="104" t="s">
        <v>1449</v>
      </c>
      <c r="B633" s="35" t="s">
        <v>712</v>
      </c>
      <c r="C633" s="36">
        <v>0</v>
      </c>
      <c r="D633" s="36">
        <v>5</v>
      </c>
      <c r="E633" s="35" t="s">
        <v>699</v>
      </c>
      <c r="F633" s="35" t="s">
        <v>634</v>
      </c>
      <c r="G633" s="37">
        <v>45926.671550925923</v>
      </c>
      <c r="H633" s="37" t="str">
        <f>INDEX(_xlfn.TEXTSPLIT(mvtst[[#This Row],[QR Suivis]],"_"),1,1)</f>
        <v>CA250006-3</v>
      </c>
      <c r="I633" s="35" t="str">
        <f>_xlfn.TEXTBEFORE(mvtst[[#This Row],[Num Suivis]],"-",,,1)</f>
        <v>CA250006</v>
      </c>
      <c r="J633" s="36">
        <f>SUMIF(mvtst[QR Suivis],mvtst[[#This Row],[QR Suivis]],mvtst[QTE SORTIS])-SUMIF(mvtst[QR Suivis],mvtst[[#This Row],[QR Suivis]],mvtst[QTE RETOUR])</f>
        <v>0</v>
      </c>
      <c r="K633" s="35" t="str">
        <f t="shared" si="9"/>
        <v>Usine</v>
      </c>
      <c r="L633" s="35" t="str">
        <f>_xlfn.XLOOKUP(mvtst[[#This Row],[Sous Traitant]],coordonnee_st[Identification],coordonnee_st[SERVICE],"Non Trouvé")</f>
        <v>Frange</v>
      </c>
      <c r="M633" s="35" t="str">
        <f>INDEX(_xlfn.TEXTSPLIT(mvtst[[#This Row],[QR Suivis]],"_"),1,2)</f>
        <v>All by Fouta</v>
      </c>
      <c r="N633" s="35" t="str">
        <f>INDEX(_xlfn.TEXTSPLIT(mvtst[[#This Row],[QR Suivis]],"_"),1,3)</f>
        <v>Stock</v>
      </c>
      <c r="O633" s="35" t="str">
        <f>INDEX(_xlfn.TEXTSPLIT(mvtst[[#This Row],[QR Suivis]],"_"),1,4)</f>
        <v>UNS1020-12</v>
      </c>
      <c r="P633" s="35" t="str">
        <f>INDEX(_xlfn.TEXTSPLIT(mvtst[[#This Row],[QR Suivis]],"_"),1,5)</f>
        <v>UNI SURPIQUE</v>
      </c>
      <c r="Q633" s="35" t="str">
        <f>_xlfn.TEXTAFTER(mvtst[[#This Row],[QR Suivis]],"_",5)</f>
        <v>1020</v>
      </c>
      <c r="R633" s="84" t="str">
        <f>IF(
   COUNTIFS($A$2:A633,A633,
             $B$2:B633,B633,
             $C$2:C633,C633,
             $D$2:D633,D633,
             $G$2:G633,G633)&gt;1,
   "Doublon",
   "Correcte"
)</f>
        <v>Correcte</v>
      </c>
    </row>
    <row r="634" spans="1:18" x14ac:dyDescent="0.25">
      <c r="A634" s="104" t="s">
        <v>1450</v>
      </c>
      <c r="B634" s="35" t="s">
        <v>712</v>
      </c>
      <c r="C634" s="36">
        <v>0</v>
      </c>
      <c r="D634" s="36">
        <v>5</v>
      </c>
      <c r="E634" s="35" t="s">
        <v>699</v>
      </c>
      <c r="F634" s="35" t="s">
        <v>634</v>
      </c>
      <c r="G634" s="37">
        <v>45926.672002314815</v>
      </c>
      <c r="H634" s="37" t="str">
        <f>INDEX(_xlfn.TEXTSPLIT(mvtst[[#This Row],[QR Suivis]],"_"),1,1)</f>
        <v>CA250006-9</v>
      </c>
      <c r="I634" s="35" t="str">
        <f>_xlfn.TEXTBEFORE(mvtst[[#This Row],[Num Suivis]],"-",,,1)</f>
        <v>CA250006</v>
      </c>
      <c r="J634" s="36">
        <f>SUMIF(mvtst[QR Suivis],mvtst[[#This Row],[QR Suivis]],mvtst[QTE SORTIS])-SUMIF(mvtst[QR Suivis],mvtst[[#This Row],[QR Suivis]],mvtst[QTE RETOUR])</f>
        <v>0</v>
      </c>
      <c r="K634" s="35" t="str">
        <f t="shared" si="9"/>
        <v>Usine</v>
      </c>
      <c r="L634" s="35" t="str">
        <f>_xlfn.XLOOKUP(mvtst[[#This Row],[Sous Traitant]],coordonnee_st[Identification],coordonnee_st[SERVICE],"Non Trouvé")</f>
        <v>Frange</v>
      </c>
      <c r="M634" s="35" t="str">
        <f>INDEX(_xlfn.TEXTSPLIT(mvtst[[#This Row],[QR Suivis]],"_"),1,2)</f>
        <v>All by Fouta</v>
      </c>
      <c r="N634" s="35" t="str">
        <f>INDEX(_xlfn.TEXTSPLIT(mvtst[[#This Row],[QR Suivis]],"_"),1,3)</f>
        <v>Stock</v>
      </c>
      <c r="O634" s="35" t="str">
        <f>INDEX(_xlfn.TEXTSPLIT(mvtst[[#This Row],[QR Suivis]],"_"),1,4)</f>
        <v>UNS1020-12</v>
      </c>
      <c r="P634" s="35" t="str">
        <f>INDEX(_xlfn.TEXTSPLIT(mvtst[[#This Row],[QR Suivis]],"_"),1,5)</f>
        <v>UNI SURPIQUE</v>
      </c>
      <c r="Q634" s="35" t="str">
        <f>_xlfn.TEXTAFTER(mvtst[[#This Row],[QR Suivis]],"_",5)</f>
        <v>1020</v>
      </c>
      <c r="R634" s="84" t="str">
        <f>IF(
   COUNTIFS($A$2:A634,A634,
             $B$2:B634,B634,
             $C$2:C634,C634,
             $D$2:D634,D634,
             $G$2:G634,G634)&gt;1,
   "Doublon",
   "Correcte"
)</f>
        <v>Correcte</v>
      </c>
    </row>
    <row r="635" spans="1:18" x14ac:dyDescent="0.25">
      <c r="A635" s="104" t="s">
        <v>1441</v>
      </c>
      <c r="B635" s="35" t="s">
        <v>712</v>
      </c>
      <c r="C635" s="36">
        <v>0</v>
      </c>
      <c r="D635" s="36">
        <v>5</v>
      </c>
      <c r="E635" s="35" t="s">
        <v>699</v>
      </c>
      <c r="F635" s="35" t="s">
        <v>634</v>
      </c>
      <c r="G635" s="37">
        <v>45926.672337962962</v>
      </c>
      <c r="H635" s="37" t="str">
        <f>INDEX(_xlfn.TEXTSPLIT(mvtst[[#This Row],[QR Suivis]],"_"),1,1)</f>
        <v>CA250005-6</v>
      </c>
      <c r="I635" s="35" t="str">
        <f>_xlfn.TEXTBEFORE(mvtst[[#This Row],[Num Suivis]],"-",,,1)</f>
        <v>CA250005</v>
      </c>
      <c r="J635" s="36">
        <f>SUMIF(mvtst[QR Suivis],mvtst[[#This Row],[QR Suivis]],mvtst[QTE SORTIS])-SUMIF(mvtst[QR Suivis],mvtst[[#This Row],[QR Suivis]],mvtst[QTE RETOUR])</f>
        <v>0</v>
      </c>
      <c r="K635" s="35" t="str">
        <f t="shared" si="9"/>
        <v>Usine</v>
      </c>
      <c r="L635" s="35" t="str">
        <f>_xlfn.XLOOKUP(mvtst[[#This Row],[Sous Traitant]],coordonnee_st[Identification],coordonnee_st[SERVICE],"Non Trouvé")</f>
        <v>Frange</v>
      </c>
      <c r="M635" s="35" t="str">
        <f>INDEX(_xlfn.TEXTSPLIT(mvtst[[#This Row],[QR Suivis]],"_"),1,2)</f>
        <v>All by Fouta</v>
      </c>
      <c r="N635" s="35" t="str">
        <f>INDEX(_xlfn.TEXTSPLIT(mvtst[[#This Row],[QR Suivis]],"_"),1,3)</f>
        <v>Stock</v>
      </c>
      <c r="O635" s="35" t="str">
        <f>INDEX(_xlfn.TEXTSPLIT(mvtst[[#This Row],[QR Suivis]],"_"),1,4)</f>
        <v>UNS1020-10</v>
      </c>
      <c r="P635" s="35" t="str">
        <f>INDEX(_xlfn.TEXTSPLIT(mvtst[[#This Row],[QR Suivis]],"_"),1,5)</f>
        <v>UNI SURPIQUE</v>
      </c>
      <c r="Q635" s="35" t="str">
        <f>_xlfn.TEXTAFTER(mvtst[[#This Row],[QR Suivis]],"_",5)</f>
        <v>1020</v>
      </c>
      <c r="R635" s="84" t="str">
        <f>IF(
   COUNTIFS($A$2:A635,A635,
             $B$2:B635,B635,
             $C$2:C635,C635,
             $D$2:D635,D635,
             $G$2:G635,G635)&gt;1,
   "Doublon",
   "Correcte"
)</f>
        <v>Correcte</v>
      </c>
    </row>
    <row r="636" spans="1:18" x14ac:dyDescent="0.25">
      <c r="A636" s="104" t="s">
        <v>1451</v>
      </c>
      <c r="B636" s="35" t="s">
        <v>712</v>
      </c>
      <c r="C636" s="36">
        <v>0</v>
      </c>
      <c r="D636" s="36">
        <v>5</v>
      </c>
      <c r="E636" s="35" t="s">
        <v>699</v>
      </c>
      <c r="F636" s="35" t="s">
        <v>634</v>
      </c>
      <c r="G636" s="37">
        <v>45926.672743055555</v>
      </c>
      <c r="H636" s="37" t="str">
        <f>INDEX(_xlfn.TEXTSPLIT(mvtst[[#This Row],[QR Suivis]],"_"),1,1)</f>
        <v>CA250006-5</v>
      </c>
      <c r="I636" s="35" t="str">
        <f>_xlfn.TEXTBEFORE(mvtst[[#This Row],[Num Suivis]],"-",,,1)</f>
        <v>CA250006</v>
      </c>
      <c r="J636" s="36">
        <f>SUMIF(mvtst[QR Suivis],mvtst[[#This Row],[QR Suivis]],mvtst[QTE SORTIS])-SUMIF(mvtst[QR Suivis],mvtst[[#This Row],[QR Suivis]],mvtst[QTE RETOUR])</f>
        <v>0</v>
      </c>
      <c r="K636" s="35" t="str">
        <f t="shared" si="9"/>
        <v>Usine</v>
      </c>
      <c r="L636" s="35" t="str">
        <f>_xlfn.XLOOKUP(mvtst[[#This Row],[Sous Traitant]],coordonnee_st[Identification],coordonnee_st[SERVICE],"Non Trouvé")</f>
        <v>Frange</v>
      </c>
      <c r="M636" s="35" t="str">
        <f>INDEX(_xlfn.TEXTSPLIT(mvtst[[#This Row],[QR Suivis]],"_"),1,2)</f>
        <v>All by Fouta</v>
      </c>
      <c r="N636" s="35" t="str">
        <f>INDEX(_xlfn.TEXTSPLIT(mvtst[[#This Row],[QR Suivis]],"_"),1,3)</f>
        <v>Stock</v>
      </c>
      <c r="O636" s="35" t="str">
        <f>INDEX(_xlfn.TEXTSPLIT(mvtst[[#This Row],[QR Suivis]],"_"),1,4)</f>
        <v>UNS1020-12</v>
      </c>
      <c r="P636" s="35" t="str">
        <f>INDEX(_xlfn.TEXTSPLIT(mvtst[[#This Row],[QR Suivis]],"_"),1,5)</f>
        <v>UNI SURPIQUE</v>
      </c>
      <c r="Q636" s="35" t="str">
        <f>_xlfn.TEXTAFTER(mvtst[[#This Row],[QR Suivis]],"_",5)</f>
        <v>1020</v>
      </c>
      <c r="R636" s="84" t="str">
        <f>IF(
   COUNTIFS($A$2:A636,A636,
             $B$2:B636,B636,
             $C$2:C636,C636,
             $D$2:D636,D636,
             $G$2:G636,G636)&gt;1,
   "Doublon",
   "Correcte"
)</f>
        <v>Correcte</v>
      </c>
    </row>
    <row r="637" spans="1:18" x14ac:dyDescent="0.25">
      <c r="A637" s="104" t="s">
        <v>1431</v>
      </c>
      <c r="B637" s="35" t="s">
        <v>712</v>
      </c>
      <c r="C637" s="36">
        <v>0</v>
      </c>
      <c r="D637" s="36">
        <v>5</v>
      </c>
      <c r="E637" s="35" t="s">
        <v>699</v>
      </c>
      <c r="F637" s="35" t="s">
        <v>634</v>
      </c>
      <c r="G637" s="37">
        <v>45926.672986111109</v>
      </c>
      <c r="H637" s="37" t="str">
        <f>INDEX(_xlfn.TEXTSPLIT(mvtst[[#This Row],[QR Suivis]],"_"),1,1)</f>
        <v>CA250005-3</v>
      </c>
      <c r="I637" s="35" t="str">
        <f>_xlfn.TEXTBEFORE(mvtst[[#This Row],[Num Suivis]],"-",,,1)</f>
        <v>CA250005</v>
      </c>
      <c r="J637" s="36">
        <f>SUMIF(mvtst[QR Suivis],mvtst[[#This Row],[QR Suivis]],mvtst[QTE SORTIS])-SUMIF(mvtst[QR Suivis],mvtst[[#This Row],[QR Suivis]],mvtst[QTE RETOUR])</f>
        <v>0</v>
      </c>
      <c r="K637" s="35" t="str">
        <f t="shared" si="9"/>
        <v>Usine</v>
      </c>
      <c r="L637" s="35" t="str">
        <f>_xlfn.XLOOKUP(mvtst[[#This Row],[Sous Traitant]],coordonnee_st[Identification],coordonnee_st[SERVICE],"Non Trouvé")</f>
        <v>Frange</v>
      </c>
      <c r="M637" s="35" t="str">
        <f>INDEX(_xlfn.TEXTSPLIT(mvtst[[#This Row],[QR Suivis]],"_"),1,2)</f>
        <v>All by Fouta</v>
      </c>
      <c r="N637" s="35" t="str">
        <f>INDEX(_xlfn.TEXTSPLIT(mvtst[[#This Row],[QR Suivis]],"_"),1,3)</f>
        <v>Stock</v>
      </c>
      <c r="O637" s="35" t="str">
        <f>INDEX(_xlfn.TEXTSPLIT(mvtst[[#This Row],[QR Suivis]],"_"),1,4)</f>
        <v>UNS1020-10</v>
      </c>
      <c r="P637" s="35" t="str">
        <f>INDEX(_xlfn.TEXTSPLIT(mvtst[[#This Row],[QR Suivis]],"_"),1,5)</f>
        <v>UNI SURPIQUE</v>
      </c>
      <c r="Q637" s="35" t="str">
        <f>_xlfn.TEXTAFTER(mvtst[[#This Row],[QR Suivis]],"_",5)</f>
        <v>1020</v>
      </c>
      <c r="R637" s="84" t="str">
        <f>IF(
   COUNTIFS($A$2:A637,A637,
             $B$2:B637,B637,
             $C$2:C637,C637,
             $D$2:D637,D637,
             $G$2:G637,G637)&gt;1,
   "Doublon",
   "Correcte"
)</f>
        <v>Correcte</v>
      </c>
    </row>
    <row r="638" spans="1:18" x14ac:dyDescent="0.25">
      <c r="A638" s="104" t="s">
        <v>1452</v>
      </c>
      <c r="B638" s="35" t="s">
        <v>712</v>
      </c>
      <c r="C638" s="36">
        <v>0</v>
      </c>
      <c r="D638" s="36">
        <v>1</v>
      </c>
      <c r="E638" s="35" t="s">
        <v>699</v>
      </c>
      <c r="F638" s="35" t="s">
        <v>634</v>
      </c>
      <c r="G638" s="37">
        <v>45926.673298611109</v>
      </c>
      <c r="H638" s="37" t="str">
        <f>INDEX(_xlfn.TEXTSPLIT(mvtst[[#This Row],[QR Suivis]],"_"),1,1)</f>
        <v>CA250006-13</v>
      </c>
      <c r="I638" s="35" t="str">
        <f>_xlfn.TEXTBEFORE(mvtst[[#This Row],[Num Suivis]],"-",,,1)</f>
        <v>CA250006</v>
      </c>
      <c r="J638" s="36">
        <f>SUMIF(mvtst[QR Suivis],mvtst[[#This Row],[QR Suivis]],mvtst[QTE SORTIS])-SUMIF(mvtst[QR Suivis],mvtst[[#This Row],[QR Suivis]],mvtst[QTE RETOUR])</f>
        <v>0</v>
      </c>
      <c r="K638" s="35" t="str">
        <f t="shared" si="9"/>
        <v>Usine</v>
      </c>
      <c r="L638" s="35" t="str">
        <f>_xlfn.XLOOKUP(mvtst[[#This Row],[Sous Traitant]],coordonnee_st[Identification],coordonnee_st[SERVICE],"Non Trouvé")</f>
        <v>Frange</v>
      </c>
      <c r="M638" s="35" t="str">
        <f>INDEX(_xlfn.TEXTSPLIT(mvtst[[#This Row],[QR Suivis]],"_"),1,2)</f>
        <v>All by Fouta</v>
      </c>
      <c r="N638" s="35" t="str">
        <f>INDEX(_xlfn.TEXTSPLIT(mvtst[[#This Row],[QR Suivis]],"_"),1,3)</f>
        <v>Stock</v>
      </c>
      <c r="O638" s="35" t="str">
        <f>INDEX(_xlfn.TEXTSPLIT(mvtst[[#This Row],[QR Suivis]],"_"),1,4)</f>
        <v>UNS1020-12</v>
      </c>
      <c r="P638" s="35" t="str">
        <f>INDEX(_xlfn.TEXTSPLIT(mvtst[[#This Row],[QR Suivis]],"_"),1,5)</f>
        <v>UNI SURPIQUE</v>
      </c>
      <c r="Q638" s="35" t="str">
        <f>_xlfn.TEXTAFTER(mvtst[[#This Row],[QR Suivis]],"_",5)</f>
        <v>1020</v>
      </c>
      <c r="R638" s="84" t="str">
        <f>IF(
   COUNTIFS($A$2:A638,A638,
             $B$2:B638,B638,
             $C$2:C638,C638,
             $D$2:D638,D638,
             $G$2:G638,G638)&gt;1,
   "Doublon",
   "Correcte"
)</f>
        <v>Correcte</v>
      </c>
    </row>
    <row r="639" spans="1:18" x14ac:dyDescent="0.25">
      <c r="A639" s="104" t="s">
        <v>1453</v>
      </c>
      <c r="B639" s="35" t="s">
        <v>712</v>
      </c>
      <c r="C639" s="36">
        <v>0</v>
      </c>
      <c r="D639" s="36">
        <v>5</v>
      </c>
      <c r="E639" s="35" t="s">
        <v>699</v>
      </c>
      <c r="F639" s="35" t="s">
        <v>634</v>
      </c>
      <c r="G639" s="37">
        <v>45926.673726851855</v>
      </c>
      <c r="H639" s="37" t="str">
        <f>INDEX(_xlfn.TEXTSPLIT(mvtst[[#This Row],[QR Suivis]],"_"),1,1)</f>
        <v>CA250006-6</v>
      </c>
      <c r="I639" s="35" t="str">
        <f>_xlfn.TEXTBEFORE(mvtst[[#This Row],[Num Suivis]],"-",,,1)</f>
        <v>CA250006</v>
      </c>
      <c r="J639" s="36">
        <f>SUMIF(mvtst[QR Suivis],mvtst[[#This Row],[QR Suivis]],mvtst[QTE SORTIS])-SUMIF(mvtst[QR Suivis],mvtst[[#This Row],[QR Suivis]],mvtst[QTE RETOUR])</f>
        <v>0</v>
      </c>
      <c r="K639" s="35" t="str">
        <f t="shared" si="9"/>
        <v>Usine</v>
      </c>
      <c r="L639" s="35" t="str">
        <f>_xlfn.XLOOKUP(mvtst[[#This Row],[Sous Traitant]],coordonnee_st[Identification],coordonnee_st[SERVICE],"Non Trouvé")</f>
        <v>Frange</v>
      </c>
      <c r="M639" s="35" t="str">
        <f>INDEX(_xlfn.TEXTSPLIT(mvtst[[#This Row],[QR Suivis]],"_"),1,2)</f>
        <v>All by Fouta</v>
      </c>
      <c r="N639" s="35" t="str">
        <f>INDEX(_xlfn.TEXTSPLIT(mvtst[[#This Row],[QR Suivis]],"_"),1,3)</f>
        <v>Stock</v>
      </c>
      <c r="O639" s="35" t="str">
        <f>INDEX(_xlfn.TEXTSPLIT(mvtst[[#This Row],[QR Suivis]],"_"),1,4)</f>
        <v>UNS1020-12</v>
      </c>
      <c r="P639" s="35" t="str">
        <f>INDEX(_xlfn.TEXTSPLIT(mvtst[[#This Row],[QR Suivis]],"_"),1,5)</f>
        <v>UNI SURPIQUE</v>
      </c>
      <c r="Q639" s="35" t="str">
        <f>_xlfn.TEXTAFTER(mvtst[[#This Row],[QR Suivis]],"_",5)</f>
        <v>1020</v>
      </c>
      <c r="R639" s="84" t="str">
        <f>IF(
   COUNTIFS($A$2:A639,A639,
             $B$2:B639,B639,
             $C$2:C639,C639,
             $D$2:D639,D639,
             $G$2:G639,G639)&gt;1,
   "Doublon",
   "Correcte"
)</f>
        <v>Correcte</v>
      </c>
    </row>
    <row r="640" spans="1:18" x14ac:dyDescent="0.25">
      <c r="A640" s="104" t="s">
        <v>1454</v>
      </c>
      <c r="B640" s="35" t="s">
        <v>712</v>
      </c>
      <c r="C640" s="36">
        <v>0</v>
      </c>
      <c r="D640" s="36">
        <v>5</v>
      </c>
      <c r="E640" s="35" t="s">
        <v>699</v>
      </c>
      <c r="F640" s="35" t="s">
        <v>634</v>
      </c>
      <c r="G640" s="37">
        <v>45926.673946759256</v>
      </c>
      <c r="H640" s="37" t="str">
        <f>INDEX(_xlfn.TEXTSPLIT(mvtst[[#This Row],[QR Suivis]],"_"),1,1)</f>
        <v>CA250006-11</v>
      </c>
      <c r="I640" s="35" t="str">
        <f>_xlfn.TEXTBEFORE(mvtst[[#This Row],[Num Suivis]],"-",,,1)</f>
        <v>CA250006</v>
      </c>
      <c r="J640" s="36">
        <f>SUMIF(mvtst[QR Suivis],mvtst[[#This Row],[QR Suivis]],mvtst[QTE SORTIS])-SUMIF(mvtst[QR Suivis],mvtst[[#This Row],[QR Suivis]],mvtst[QTE RETOUR])</f>
        <v>0</v>
      </c>
      <c r="K640" s="35" t="str">
        <f t="shared" si="9"/>
        <v>Usine</v>
      </c>
      <c r="L640" s="35" t="str">
        <f>_xlfn.XLOOKUP(mvtst[[#This Row],[Sous Traitant]],coordonnee_st[Identification],coordonnee_st[SERVICE],"Non Trouvé")</f>
        <v>Frange</v>
      </c>
      <c r="M640" s="35" t="str">
        <f>INDEX(_xlfn.TEXTSPLIT(mvtst[[#This Row],[QR Suivis]],"_"),1,2)</f>
        <v>All by Fouta</v>
      </c>
      <c r="N640" s="35" t="str">
        <f>INDEX(_xlfn.TEXTSPLIT(mvtst[[#This Row],[QR Suivis]],"_"),1,3)</f>
        <v>Stock</v>
      </c>
      <c r="O640" s="35" t="str">
        <f>INDEX(_xlfn.TEXTSPLIT(mvtst[[#This Row],[QR Suivis]],"_"),1,4)</f>
        <v>UNS1020-12</v>
      </c>
      <c r="P640" s="35" t="str">
        <f>INDEX(_xlfn.TEXTSPLIT(mvtst[[#This Row],[QR Suivis]],"_"),1,5)</f>
        <v>UNI SURPIQUE</v>
      </c>
      <c r="Q640" s="35" t="str">
        <f>_xlfn.TEXTAFTER(mvtst[[#This Row],[QR Suivis]],"_",5)</f>
        <v>1020</v>
      </c>
      <c r="R640" s="84" t="str">
        <f>IF(
   COUNTIFS($A$2:A640,A640,
             $B$2:B640,B640,
             $C$2:C640,C640,
             $D$2:D640,D640,
             $G$2:G640,G640)&gt;1,
   "Doublon",
   "Correcte"
)</f>
        <v>Correcte</v>
      </c>
    </row>
    <row r="641" spans="1:18" x14ac:dyDescent="0.25">
      <c r="A641" s="104" t="s">
        <v>1455</v>
      </c>
      <c r="B641" s="35" t="s">
        <v>712</v>
      </c>
      <c r="C641" s="36">
        <v>0</v>
      </c>
      <c r="D641" s="36">
        <v>5</v>
      </c>
      <c r="E641" s="35" t="s">
        <v>699</v>
      </c>
      <c r="F641" s="35" t="s">
        <v>634</v>
      </c>
      <c r="G641" s="37">
        <v>45926.674270833333</v>
      </c>
      <c r="H641" s="37" t="str">
        <f>INDEX(_xlfn.TEXTSPLIT(mvtst[[#This Row],[QR Suivis]],"_"),1,1)</f>
        <v>CA250006-7</v>
      </c>
      <c r="I641" s="35" t="str">
        <f>_xlfn.TEXTBEFORE(mvtst[[#This Row],[Num Suivis]],"-",,,1)</f>
        <v>CA250006</v>
      </c>
      <c r="J641" s="36">
        <f>SUMIF(mvtst[QR Suivis],mvtst[[#This Row],[QR Suivis]],mvtst[QTE SORTIS])-SUMIF(mvtst[QR Suivis],mvtst[[#This Row],[QR Suivis]],mvtst[QTE RETOUR])</f>
        <v>0</v>
      </c>
      <c r="K641" s="35" t="str">
        <f t="shared" si="9"/>
        <v>Usine</v>
      </c>
      <c r="L641" s="35" t="str">
        <f>_xlfn.XLOOKUP(mvtst[[#This Row],[Sous Traitant]],coordonnee_st[Identification],coordonnee_st[SERVICE],"Non Trouvé")</f>
        <v>Frange</v>
      </c>
      <c r="M641" s="35" t="str">
        <f>INDEX(_xlfn.TEXTSPLIT(mvtst[[#This Row],[QR Suivis]],"_"),1,2)</f>
        <v>All by Fouta</v>
      </c>
      <c r="N641" s="35" t="str">
        <f>INDEX(_xlfn.TEXTSPLIT(mvtst[[#This Row],[QR Suivis]],"_"),1,3)</f>
        <v>Stock</v>
      </c>
      <c r="O641" s="35" t="str">
        <f>INDEX(_xlfn.TEXTSPLIT(mvtst[[#This Row],[QR Suivis]],"_"),1,4)</f>
        <v>UNS1020-12</v>
      </c>
      <c r="P641" s="35" t="str">
        <f>INDEX(_xlfn.TEXTSPLIT(mvtst[[#This Row],[QR Suivis]],"_"),1,5)</f>
        <v>UNI SURPIQUE</v>
      </c>
      <c r="Q641" s="35" t="str">
        <f>_xlfn.TEXTAFTER(mvtst[[#This Row],[QR Suivis]],"_",5)</f>
        <v>1020</v>
      </c>
      <c r="R641" s="84" t="str">
        <f>IF(
   COUNTIFS($A$2:A641,A641,
             $B$2:B641,B641,
             $C$2:C641,C641,
             $D$2:D641,D641,
             $G$2:G641,G641)&gt;1,
   "Doublon",
   "Correcte"
)</f>
        <v>Correcte</v>
      </c>
    </row>
    <row r="642" spans="1:18" x14ac:dyDescent="0.25">
      <c r="A642" s="104" t="s">
        <v>1443</v>
      </c>
      <c r="B642" s="35" t="s">
        <v>712</v>
      </c>
      <c r="C642" s="36">
        <v>0</v>
      </c>
      <c r="D642" s="36">
        <v>5</v>
      </c>
      <c r="E642" s="35" t="s">
        <v>699</v>
      </c>
      <c r="F642" s="35" t="s">
        <v>634</v>
      </c>
      <c r="G642" s="37">
        <v>45926.674571759257</v>
      </c>
      <c r="H642" s="37" t="str">
        <f>INDEX(_xlfn.TEXTSPLIT(mvtst[[#This Row],[QR Suivis]],"_"),1,1)</f>
        <v>CA250005-8</v>
      </c>
      <c r="I642" s="35" t="str">
        <f>_xlfn.TEXTBEFORE(mvtst[[#This Row],[Num Suivis]],"-",,,1)</f>
        <v>CA250005</v>
      </c>
      <c r="J642" s="36">
        <f>SUMIF(mvtst[QR Suivis],mvtst[[#This Row],[QR Suivis]],mvtst[QTE SORTIS])-SUMIF(mvtst[QR Suivis],mvtst[[#This Row],[QR Suivis]],mvtst[QTE RETOUR])</f>
        <v>0</v>
      </c>
      <c r="K642" s="35" t="str">
        <f t="shared" si="9"/>
        <v>Usine</v>
      </c>
      <c r="L642" s="35" t="str">
        <f>_xlfn.XLOOKUP(mvtst[[#This Row],[Sous Traitant]],coordonnee_st[Identification],coordonnee_st[SERVICE],"Non Trouvé")</f>
        <v>Frange</v>
      </c>
      <c r="M642" s="35" t="str">
        <f>INDEX(_xlfn.TEXTSPLIT(mvtst[[#This Row],[QR Suivis]],"_"),1,2)</f>
        <v>All by Fouta</v>
      </c>
      <c r="N642" s="35" t="str">
        <f>INDEX(_xlfn.TEXTSPLIT(mvtst[[#This Row],[QR Suivis]],"_"),1,3)</f>
        <v>Stock</v>
      </c>
      <c r="O642" s="35" t="str">
        <f>INDEX(_xlfn.TEXTSPLIT(mvtst[[#This Row],[QR Suivis]],"_"),1,4)</f>
        <v>UNS1020-10</v>
      </c>
      <c r="P642" s="35" t="str">
        <f>INDEX(_xlfn.TEXTSPLIT(mvtst[[#This Row],[QR Suivis]],"_"),1,5)</f>
        <v>UNI SURPIQUE</v>
      </c>
      <c r="Q642" s="35" t="str">
        <f>_xlfn.TEXTAFTER(mvtst[[#This Row],[QR Suivis]],"_",5)</f>
        <v>1020</v>
      </c>
      <c r="R642" s="84" t="str">
        <f>IF(
   COUNTIFS($A$2:A642,A642,
             $B$2:B642,B642,
             $C$2:C642,C642,
             $D$2:D642,D642,
             $G$2:G642,G642)&gt;1,
   "Doublon",
   "Correcte"
)</f>
        <v>Correcte</v>
      </c>
    </row>
    <row r="643" spans="1:18" x14ac:dyDescent="0.25">
      <c r="A643" s="104" t="s">
        <v>1501</v>
      </c>
      <c r="B643" s="35" t="s">
        <v>712</v>
      </c>
      <c r="C643" s="36">
        <v>0</v>
      </c>
      <c r="D643" s="36">
        <v>5</v>
      </c>
      <c r="E643" s="35" t="s">
        <v>699</v>
      </c>
      <c r="F643" s="35" t="s">
        <v>634</v>
      </c>
      <c r="G643" s="37">
        <v>45926.675173611111</v>
      </c>
      <c r="H643" s="37" t="str">
        <f>INDEX(_xlfn.TEXTSPLIT(mvtst[[#This Row],[QR Suivis]],"_"),1,1)</f>
        <v>CA250010-5</v>
      </c>
      <c r="I643" s="35" t="str">
        <f>_xlfn.TEXTBEFORE(mvtst[[#This Row],[Num Suivis]],"-",,,1)</f>
        <v>CA250010</v>
      </c>
      <c r="J643" s="36">
        <f>SUMIF(mvtst[QR Suivis],mvtst[[#This Row],[QR Suivis]],mvtst[QTE SORTIS])-SUMIF(mvtst[QR Suivis],mvtst[[#This Row],[QR Suivis]],mvtst[QTE RETOUR])</f>
        <v>0</v>
      </c>
      <c r="K643" s="35" t="str">
        <f t="shared" ref="K643:K706" si="10">"Usine"</f>
        <v>Usine</v>
      </c>
      <c r="L643" s="35" t="str">
        <f>_xlfn.XLOOKUP(mvtst[[#This Row],[Sous Traitant]],coordonnee_st[Identification],coordonnee_st[SERVICE],"Non Trouvé")</f>
        <v>Frange</v>
      </c>
      <c r="M643" s="35" t="str">
        <f>INDEX(_xlfn.TEXTSPLIT(mvtst[[#This Row],[QR Suivis]],"_"),1,2)</f>
        <v>All by Fouta</v>
      </c>
      <c r="N643" s="35" t="str">
        <f>INDEX(_xlfn.TEXTSPLIT(mvtst[[#This Row],[QR Suivis]],"_"),1,3)</f>
        <v>Stock</v>
      </c>
      <c r="O643" s="35" t="str">
        <f>INDEX(_xlfn.TEXTSPLIT(mvtst[[#This Row],[QR Suivis]],"_"),1,4)</f>
        <v>UNS1020-18</v>
      </c>
      <c r="P643" s="35" t="str">
        <f>INDEX(_xlfn.TEXTSPLIT(mvtst[[#This Row],[QR Suivis]],"_"),1,5)</f>
        <v>UNI SURPIQUE</v>
      </c>
      <c r="Q643" s="35" t="str">
        <f>_xlfn.TEXTAFTER(mvtst[[#This Row],[QR Suivis]],"_",5)</f>
        <v>1020</v>
      </c>
      <c r="R643" s="84" t="str">
        <f>IF(
   COUNTIFS($A$2:A643,A643,
             $B$2:B643,B643,
             $C$2:C643,C643,
             $D$2:D643,D643,
             $G$2:G643,G643)&gt;1,
   "Doublon",
   "Correcte"
)</f>
        <v>Correcte</v>
      </c>
    </row>
    <row r="644" spans="1:18" x14ac:dyDescent="0.25">
      <c r="A644" s="104" t="s">
        <v>1502</v>
      </c>
      <c r="B644" s="35" t="s">
        <v>712</v>
      </c>
      <c r="C644" s="36">
        <v>0</v>
      </c>
      <c r="D644" s="36">
        <v>5</v>
      </c>
      <c r="E644" s="35" t="s">
        <v>699</v>
      </c>
      <c r="F644" s="35" t="s">
        <v>634</v>
      </c>
      <c r="G644" s="37">
        <v>45926.675370370373</v>
      </c>
      <c r="H644" s="37" t="str">
        <f>INDEX(_xlfn.TEXTSPLIT(mvtst[[#This Row],[QR Suivis]],"_"),1,1)</f>
        <v>CA250010-6</v>
      </c>
      <c r="I644" s="35" t="str">
        <f>_xlfn.TEXTBEFORE(mvtst[[#This Row],[Num Suivis]],"-",,,1)</f>
        <v>CA250010</v>
      </c>
      <c r="J644" s="36">
        <f>SUMIF(mvtst[QR Suivis],mvtst[[#This Row],[QR Suivis]],mvtst[QTE SORTIS])-SUMIF(mvtst[QR Suivis],mvtst[[#This Row],[QR Suivis]],mvtst[QTE RETOUR])</f>
        <v>0</v>
      </c>
      <c r="K644" s="35" t="str">
        <f t="shared" si="10"/>
        <v>Usine</v>
      </c>
      <c r="L644" s="35" t="str">
        <f>_xlfn.XLOOKUP(mvtst[[#This Row],[Sous Traitant]],coordonnee_st[Identification],coordonnee_st[SERVICE],"Non Trouvé")</f>
        <v>Frange</v>
      </c>
      <c r="M644" s="35" t="str">
        <f>INDEX(_xlfn.TEXTSPLIT(mvtst[[#This Row],[QR Suivis]],"_"),1,2)</f>
        <v>All by Fouta</v>
      </c>
      <c r="N644" s="35" t="str">
        <f>INDEX(_xlfn.TEXTSPLIT(mvtst[[#This Row],[QR Suivis]],"_"),1,3)</f>
        <v>Stock</v>
      </c>
      <c r="O644" s="35" t="str">
        <f>INDEX(_xlfn.TEXTSPLIT(mvtst[[#This Row],[QR Suivis]],"_"),1,4)</f>
        <v>UNS1020-18</v>
      </c>
      <c r="P644" s="35" t="str">
        <f>INDEX(_xlfn.TEXTSPLIT(mvtst[[#This Row],[QR Suivis]],"_"),1,5)</f>
        <v>UNI SURPIQUE</v>
      </c>
      <c r="Q644" s="35" t="str">
        <f>_xlfn.TEXTAFTER(mvtst[[#This Row],[QR Suivis]],"_",5)</f>
        <v>1020</v>
      </c>
      <c r="R644" s="84" t="str">
        <f>IF(
   COUNTIFS($A$2:A644,A644,
             $B$2:B644,B644,
             $C$2:C644,C644,
             $D$2:D644,D644,
             $G$2:G644,G644)&gt;1,
   "Doublon",
   "Correcte"
)</f>
        <v>Correcte</v>
      </c>
    </row>
    <row r="645" spans="1:18" x14ac:dyDescent="0.25">
      <c r="A645" s="104" t="s">
        <v>1468</v>
      </c>
      <c r="B645" s="35" t="s">
        <v>712</v>
      </c>
      <c r="C645" s="36">
        <v>0</v>
      </c>
      <c r="D645" s="36">
        <v>5</v>
      </c>
      <c r="E645" s="35" t="s">
        <v>699</v>
      </c>
      <c r="F645" s="35" t="s">
        <v>634</v>
      </c>
      <c r="G645" s="37">
        <v>45926.67560185185</v>
      </c>
      <c r="H645" s="37" t="str">
        <f>INDEX(_xlfn.TEXTSPLIT(mvtst[[#This Row],[QR Suivis]],"_"),1,1)</f>
        <v>CA250011-5</v>
      </c>
      <c r="I645" s="35" t="str">
        <f>_xlfn.TEXTBEFORE(mvtst[[#This Row],[Num Suivis]],"-",,,1)</f>
        <v>CA250011</v>
      </c>
      <c r="J645" s="36">
        <f>SUMIF(mvtst[QR Suivis],mvtst[[#This Row],[QR Suivis]],mvtst[QTE SORTIS])-SUMIF(mvtst[QR Suivis],mvtst[[#This Row],[QR Suivis]],mvtst[QTE RETOUR])</f>
        <v>0</v>
      </c>
      <c r="K645" s="35" t="str">
        <f t="shared" si="10"/>
        <v>Usine</v>
      </c>
      <c r="L645" s="35" t="str">
        <f>_xlfn.XLOOKUP(mvtst[[#This Row],[Sous Traitant]],coordonnee_st[Identification],coordonnee_st[SERVICE],"Non Trouvé")</f>
        <v>Frange</v>
      </c>
      <c r="M645" s="35" t="str">
        <f>INDEX(_xlfn.TEXTSPLIT(mvtst[[#This Row],[QR Suivis]],"_"),1,2)</f>
        <v>All by Fouta</v>
      </c>
      <c r="N645" s="35" t="str">
        <f>INDEX(_xlfn.TEXTSPLIT(mvtst[[#This Row],[QR Suivis]],"_"),1,3)</f>
        <v>Stock</v>
      </c>
      <c r="O645" s="35" t="str">
        <f>INDEX(_xlfn.TEXTSPLIT(mvtst[[#This Row],[QR Suivis]],"_"),1,4)</f>
        <v>UNS1020-19</v>
      </c>
      <c r="P645" s="35" t="str">
        <f>INDEX(_xlfn.TEXTSPLIT(mvtst[[#This Row],[QR Suivis]],"_"),1,5)</f>
        <v>UNI SURPIQUE</v>
      </c>
      <c r="Q645" s="35" t="str">
        <f>_xlfn.TEXTAFTER(mvtst[[#This Row],[QR Suivis]],"_",5)</f>
        <v>1020</v>
      </c>
      <c r="R645" s="84" t="str">
        <f>IF(
   COUNTIFS($A$2:A645,A645,
             $B$2:B645,B645,
             $C$2:C645,C645,
             $D$2:D645,D645,
             $G$2:G645,G645)&gt;1,
   "Doublon",
   "Correcte"
)</f>
        <v>Correcte</v>
      </c>
    </row>
    <row r="646" spans="1:18" x14ac:dyDescent="0.25">
      <c r="A646" s="104" t="s">
        <v>1469</v>
      </c>
      <c r="B646" s="35" t="s">
        <v>712</v>
      </c>
      <c r="C646" s="36">
        <v>0</v>
      </c>
      <c r="D646" s="36">
        <v>5</v>
      </c>
      <c r="E646" s="35" t="s">
        <v>699</v>
      </c>
      <c r="F646" s="35" t="s">
        <v>634</v>
      </c>
      <c r="G646" s="37">
        <v>45926.676134259258</v>
      </c>
      <c r="H646" s="37" t="str">
        <f>INDEX(_xlfn.TEXTSPLIT(mvtst[[#This Row],[QR Suivis]],"_"),1,1)</f>
        <v>CA250011-3</v>
      </c>
      <c r="I646" s="35" t="str">
        <f>_xlfn.TEXTBEFORE(mvtst[[#This Row],[Num Suivis]],"-",,,1)</f>
        <v>CA250011</v>
      </c>
      <c r="J646" s="36">
        <f>SUMIF(mvtst[QR Suivis],mvtst[[#This Row],[QR Suivis]],mvtst[QTE SORTIS])-SUMIF(mvtst[QR Suivis],mvtst[[#This Row],[QR Suivis]],mvtst[QTE RETOUR])</f>
        <v>0</v>
      </c>
      <c r="K646" s="35" t="str">
        <f t="shared" si="10"/>
        <v>Usine</v>
      </c>
      <c r="L646" s="35" t="str">
        <f>_xlfn.XLOOKUP(mvtst[[#This Row],[Sous Traitant]],coordonnee_st[Identification],coordonnee_st[SERVICE],"Non Trouvé")</f>
        <v>Frange</v>
      </c>
      <c r="M646" s="35" t="str">
        <f>INDEX(_xlfn.TEXTSPLIT(mvtst[[#This Row],[QR Suivis]],"_"),1,2)</f>
        <v>All by Fouta</v>
      </c>
      <c r="N646" s="35" t="str">
        <f>INDEX(_xlfn.TEXTSPLIT(mvtst[[#This Row],[QR Suivis]],"_"),1,3)</f>
        <v>Stock</v>
      </c>
      <c r="O646" s="35" t="str">
        <f>INDEX(_xlfn.TEXTSPLIT(mvtst[[#This Row],[QR Suivis]],"_"),1,4)</f>
        <v>UNS1020-19</v>
      </c>
      <c r="P646" s="35" t="str">
        <f>INDEX(_xlfn.TEXTSPLIT(mvtst[[#This Row],[QR Suivis]],"_"),1,5)</f>
        <v>UNI SURPIQUE</v>
      </c>
      <c r="Q646" s="35" t="str">
        <f>_xlfn.TEXTAFTER(mvtst[[#This Row],[QR Suivis]],"_",5)</f>
        <v>1020</v>
      </c>
      <c r="R646" s="84" t="str">
        <f>IF(
   COUNTIFS($A$2:A646,A646,
             $B$2:B646,B646,
             $C$2:C646,C646,
             $D$2:D646,D646,
             $G$2:G646,G646)&gt;1,
   "Doublon",
   "Correcte"
)</f>
        <v>Correcte</v>
      </c>
    </row>
    <row r="647" spans="1:18" x14ac:dyDescent="0.25">
      <c r="A647" s="104" t="s">
        <v>1587</v>
      </c>
      <c r="B647" s="35" t="s">
        <v>712</v>
      </c>
      <c r="C647" s="36">
        <v>0</v>
      </c>
      <c r="D647" s="36">
        <v>5</v>
      </c>
      <c r="E647" s="35" t="s">
        <v>699</v>
      </c>
      <c r="F647" s="35" t="s">
        <v>634</v>
      </c>
      <c r="G647" s="37">
        <v>45926.676504629628</v>
      </c>
      <c r="H647" s="37" t="str">
        <f>INDEX(_xlfn.TEXTSPLIT(mvtst[[#This Row],[QR Suivis]],"_"),1,1)</f>
        <v>CA250071-2</v>
      </c>
      <c r="I647" s="35" t="str">
        <f>_xlfn.TEXTBEFORE(mvtst[[#This Row],[Num Suivis]],"-",,,1)</f>
        <v>CA250071</v>
      </c>
      <c r="J647" s="36">
        <f>SUMIF(mvtst[QR Suivis],mvtst[[#This Row],[QR Suivis]],mvtst[QTE SORTIS])-SUMIF(mvtst[QR Suivis],mvtst[[#This Row],[QR Suivis]],mvtst[QTE RETOUR])</f>
        <v>0</v>
      </c>
      <c r="K647" s="35" t="str">
        <f t="shared" si="10"/>
        <v>Usine</v>
      </c>
      <c r="L647" s="35" t="str">
        <f>_xlfn.XLOOKUP(mvtst[[#This Row],[Sous Traitant]],coordonnee_st[Identification],coordonnee_st[SERVICE],"Non Trouvé")</f>
        <v>Frange</v>
      </c>
      <c r="M647" s="35" t="str">
        <f>INDEX(_xlfn.TEXTSPLIT(mvtst[[#This Row],[QR Suivis]],"_"),1,2)</f>
        <v>All by Fouta</v>
      </c>
      <c r="N647" s="35" t="str">
        <f>INDEX(_xlfn.TEXTSPLIT(mvtst[[#This Row],[QR Suivis]],"_"),1,3)</f>
        <v>Stock</v>
      </c>
      <c r="O647" s="35" t="str">
        <f>INDEX(_xlfn.TEXTSPLIT(mvtst[[#This Row],[QR Suivis]],"_"),1,4)</f>
        <v>UNS2030-19</v>
      </c>
      <c r="P647" s="35" t="str">
        <f>INDEX(_xlfn.TEXTSPLIT(mvtst[[#This Row],[QR Suivis]],"_"),1,5)</f>
        <v>UNI SURPIQUE</v>
      </c>
      <c r="Q647" s="35" t="str">
        <f>_xlfn.TEXTAFTER(mvtst[[#This Row],[QR Suivis]],"_",5)</f>
        <v>2030</v>
      </c>
      <c r="R647" s="84" t="str">
        <f>IF(
   COUNTIFS($A$2:A647,A647,
             $B$2:B647,B647,
             $C$2:C647,C647,
             $D$2:D647,D647,
             $G$2:G647,G647)&gt;1,
   "Doublon",
   "Correcte"
)</f>
        <v>Correcte</v>
      </c>
    </row>
    <row r="648" spans="1:18" x14ac:dyDescent="0.25">
      <c r="A648" s="104" t="s">
        <v>1556</v>
      </c>
      <c r="B648" s="35" t="s">
        <v>712</v>
      </c>
      <c r="C648" s="36">
        <v>0</v>
      </c>
      <c r="D648" s="36">
        <v>5</v>
      </c>
      <c r="E648" s="35" t="s">
        <v>699</v>
      </c>
      <c r="F648" s="35" t="s">
        <v>634</v>
      </c>
      <c r="G648" s="37">
        <v>45926.676759259259</v>
      </c>
      <c r="H648" s="37" t="str">
        <f>INDEX(_xlfn.TEXTSPLIT(mvtst[[#This Row],[QR Suivis]],"_"),1,1)</f>
        <v>CA250076-3</v>
      </c>
      <c r="I648" s="35" t="str">
        <f>_xlfn.TEXTBEFORE(mvtst[[#This Row],[Num Suivis]],"-",,,1)</f>
        <v>CA250076</v>
      </c>
      <c r="J648" s="36">
        <f>SUMIF(mvtst[QR Suivis],mvtst[[#This Row],[QR Suivis]],mvtst[QTE SORTIS])-SUMIF(mvtst[QR Suivis],mvtst[[#This Row],[QR Suivis]],mvtst[QTE RETOUR])</f>
        <v>0</v>
      </c>
      <c r="K648" s="35" t="str">
        <f t="shared" si="10"/>
        <v>Usine</v>
      </c>
      <c r="L648" s="35" t="str">
        <f>_xlfn.XLOOKUP(mvtst[[#This Row],[Sous Traitant]],coordonnee_st[Identification],coordonnee_st[SERVICE],"Non Trouvé")</f>
        <v>Frange</v>
      </c>
      <c r="M648" s="35" t="str">
        <f>INDEX(_xlfn.TEXTSPLIT(mvtst[[#This Row],[QR Suivis]],"_"),1,2)</f>
        <v>All by Fouta</v>
      </c>
      <c r="N648" s="35" t="str">
        <f>INDEX(_xlfn.TEXTSPLIT(mvtst[[#This Row],[QR Suivis]],"_"),1,3)</f>
        <v>Stock</v>
      </c>
      <c r="O648" s="35" t="str">
        <f>INDEX(_xlfn.TEXTSPLIT(mvtst[[#This Row],[QR Suivis]],"_"),1,4)</f>
        <v>UNS2030-27</v>
      </c>
      <c r="P648" s="35" t="str">
        <f>INDEX(_xlfn.TEXTSPLIT(mvtst[[#This Row],[QR Suivis]],"_"),1,5)</f>
        <v>UNI SURPIQUE</v>
      </c>
      <c r="Q648" s="35" t="str">
        <f>_xlfn.TEXTAFTER(mvtst[[#This Row],[QR Suivis]],"_",5)</f>
        <v>2030</v>
      </c>
      <c r="R648" s="84" t="str">
        <f>IF(
   COUNTIFS($A$2:A648,A648,
             $B$2:B648,B648,
             $C$2:C648,C648,
             $D$2:D648,D648,
             $G$2:G648,G648)&gt;1,
   "Doublon",
   "Correcte"
)</f>
        <v>Correcte</v>
      </c>
    </row>
    <row r="649" spans="1:18" x14ac:dyDescent="0.25">
      <c r="A649" s="104" t="s">
        <v>1557</v>
      </c>
      <c r="B649" s="35" t="s">
        <v>712</v>
      </c>
      <c r="C649" s="36">
        <v>0</v>
      </c>
      <c r="D649" s="36">
        <v>5</v>
      </c>
      <c r="E649" s="35" t="s">
        <v>699</v>
      </c>
      <c r="F649" s="35" t="s">
        <v>634</v>
      </c>
      <c r="G649" s="37">
        <v>45926.677037037036</v>
      </c>
      <c r="H649" s="37" t="str">
        <f>INDEX(_xlfn.TEXTSPLIT(mvtst[[#This Row],[QR Suivis]],"_"),1,1)</f>
        <v>CA250076-4</v>
      </c>
      <c r="I649" s="35" t="str">
        <f>_xlfn.TEXTBEFORE(mvtst[[#This Row],[Num Suivis]],"-",,,1)</f>
        <v>CA250076</v>
      </c>
      <c r="J649" s="36">
        <f>SUMIF(mvtst[QR Suivis],mvtst[[#This Row],[QR Suivis]],mvtst[QTE SORTIS])-SUMIF(mvtst[QR Suivis],mvtst[[#This Row],[QR Suivis]],mvtst[QTE RETOUR])</f>
        <v>0</v>
      </c>
      <c r="K649" s="35" t="str">
        <f t="shared" si="10"/>
        <v>Usine</v>
      </c>
      <c r="L649" s="35" t="str">
        <f>_xlfn.XLOOKUP(mvtst[[#This Row],[Sous Traitant]],coordonnee_st[Identification],coordonnee_st[SERVICE],"Non Trouvé")</f>
        <v>Frange</v>
      </c>
      <c r="M649" s="35" t="str">
        <f>INDEX(_xlfn.TEXTSPLIT(mvtst[[#This Row],[QR Suivis]],"_"),1,2)</f>
        <v>All by Fouta</v>
      </c>
      <c r="N649" s="35" t="str">
        <f>INDEX(_xlfn.TEXTSPLIT(mvtst[[#This Row],[QR Suivis]],"_"),1,3)</f>
        <v>Stock</v>
      </c>
      <c r="O649" s="35" t="str">
        <f>INDEX(_xlfn.TEXTSPLIT(mvtst[[#This Row],[QR Suivis]],"_"),1,4)</f>
        <v>UNS2030-27</v>
      </c>
      <c r="P649" s="35" t="str">
        <f>INDEX(_xlfn.TEXTSPLIT(mvtst[[#This Row],[QR Suivis]],"_"),1,5)</f>
        <v>UNI SURPIQUE</v>
      </c>
      <c r="Q649" s="35" t="str">
        <f>_xlfn.TEXTAFTER(mvtst[[#This Row],[QR Suivis]],"_",5)</f>
        <v>2030</v>
      </c>
      <c r="R649" s="84" t="str">
        <f>IF(
   COUNTIFS($A$2:A649,A649,
             $B$2:B649,B649,
             $C$2:C649,C649,
             $D$2:D649,D649,
             $G$2:G649,G649)&gt;1,
   "Doublon",
   "Correcte"
)</f>
        <v>Correcte</v>
      </c>
    </row>
    <row r="650" spans="1:18" x14ac:dyDescent="0.25">
      <c r="A650" s="104" t="s">
        <v>1470</v>
      </c>
      <c r="B650" s="35" t="s">
        <v>712</v>
      </c>
      <c r="C650" s="36">
        <v>0</v>
      </c>
      <c r="D650" s="36">
        <v>5</v>
      </c>
      <c r="E650" s="35" t="s">
        <v>699</v>
      </c>
      <c r="F650" s="35" t="s">
        <v>634</v>
      </c>
      <c r="G650" s="37">
        <v>45926.67732638889</v>
      </c>
      <c r="H650" s="37" t="str">
        <f>INDEX(_xlfn.TEXTSPLIT(mvtst[[#This Row],[QR Suivis]],"_"),1,1)</f>
        <v>CA250011-4</v>
      </c>
      <c r="I650" s="35" t="str">
        <f>_xlfn.TEXTBEFORE(mvtst[[#This Row],[Num Suivis]],"-",,,1)</f>
        <v>CA250011</v>
      </c>
      <c r="J650" s="36">
        <f>SUMIF(mvtst[QR Suivis],mvtst[[#This Row],[QR Suivis]],mvtst[QTE SORTIS])-SUMIF(mvtst[QR Suivis],mvtst[[#This Row],[QR Suivis]],mvtst[QTE RETOUR])</f>
        <v>0</v>
      </c>
      <c r="K650" s="35" t="str">
        <f t="shared" si="10"/>
        <v>Usine</v>
      </c>
      <c r="L650" s="35" t="str">
        <f>_xlfn.XLOOKUP(mvtst[[#This Row],[Sous Traitant]],coordonnee_st[Identification],coordonnee_st[SERVICE],"Non Trouvé")</f>
        <v>Frange</v>
      </c>
      <c r="M650" s="35" t="str">
        <f>INDEX(_xlfn.TEXTSPLIT(mvtst[[#This Row],[QR Suivis]],"_"),1,2)</f>
        <v>All by Fouta</v>
      </c>
      <c r="N650" s="35" t="str">
        <f>INDEX(_xlfn.TEXTSPLIT(mvtst[[#This Row],[QR Suivis]],"_"),1,3)</f>
        <v>Stock</v>
      </c>
      <c r="O650" s="35" t="str">
        <f>INDEX(_xlfn.TEXTSPLIT(mvtst[[#This Row],[QR Suivis]],"_"),1,4)</f>
        <v>UNS1020-19</v>
      </c>
      <c r="P650" s="35" t="str">
        <f>INDEX(_xlfn.TEXTSPLIT(mvtst[[#This Row],[QR Suivis]],"_"),1,5)</f>
        <v>UNI SURPIQUE</v>
      </c>
      <c r="Q650" s="35" t="str">
        <f>_xlfn.TEXTAFTER(mvtst[[#This Row],[QR Suivis]],"_",5)</f>
        <v>1020</v>
      </c>
      <c r="R650" s="84" t="str">
        <f>IF(
   COUNTIFS($A$2:A650,A650,
             $B$2:B650,B650,
             $C$2:C650,C650,
             $D$2:D650,D650,
             $G$2:G650,G650)&gt;1,
   "Doublon",
   "Correcte"
)</f>
        <v>Correcte</v>
      </c>
    </row>
    <row r="651" spans="1:18" x14ac:dyDescent="0.25">
      <c r="A651" s="104" t="s">
        <v>1588</v>
      </c>
      <c r="B651" s="35" t="s">
        <v>712</v>
      </c>
      <c r="C651" s="36">
        <v>0</v>
      </c>
      <c r="D651" s="36">
        <v>5</v>
      </c>
      <c r="E651" s="35" t="s">
        <v>699</v>
      </c>
      <c r="F651" s="35" t="s">
        <v>634</v>
      </c>
      <c r="G651" s="37">
        <v>45926.677731481483</v>
      </c>
      <c r="H651" s="37" t="str">
        <f>INDEX(_xlfn.TEXTSPLIT(mvtst[[#This Row],[QR Suivis]],"_"),1,1)</f>
        <v>CA250071-1</v>
      </c>
      <c r="I651" s="35" t="str">
        <f>_xlfn.TEXTBEFORE(mvtst[[#This Row],[Num Suivis]],"-",,,1)</f>
        <v>CA250071</v>
      </c>
      <c r="J651" s="36">
        <f>SUMIF(mvtst[QR Suivis],mvtst[[#This Row],[QR Suivis]],mvtst[QTE SORTIS])-SUMIF(mvtst[QR Suivis],mvtst[[#This Row],[QR Suivis]],mvtst[QTE RETOUR])</f>
        <v>0</v>
      </c>
      <c r="K651" s="35" t="str">
        <f t="shared" si="10"/>
        <v>Usine</v>
      </c>
      <c r="L651" s="35" t="str">
        <f>_xlfn.XLOOKUP(mvtst[[#This Row],[Sous Traitant]],coordonnee_st[Identification],coordonnee_st[SERVICE],"Non Trouvé")</f>
        <v>Frange</v>
      </c>
      <c r="M651" s="35" t="str">
        <f>INDEX(_xlfn.TEXTSPLIT(mvtst[[#This Row],[QR Suivis]],"_"),1,2)</f>
        <v>All by Fouta</v>
      </c>
      <c r="N651" s="35" t="str">
        <f>INDEX(_xlfn.TEXTSPLIT(mvtst[[#This Row],[QR Suivis]],"_"),1,3)</f>
        <v>Stock</v>
      </c>
      <c r="O651" s="35" t="str">
        <f>INDEX(_xlfn.TEXTSPLIT(mvtst[[#This Row],[QR Suivis]],"_"),1,4)</f>
        <v>UNS2030-19</v>
      </c>
      <c r="P651" s="35" t="str">
        <f>INDEX(_xlfn.TEXTSPLIT(mvtst[[#This Row],[QR Suivis]],"_"),1,5)</f>
        <v>UNI SURPIQUE</v>
      </c>
      <c r="Q651" s="35" t="str">
        <f>_xlfn.TEXTAFTER(mvtst[[#This Row],[QR Suivis]],"_",5)</f>
        <v>2030</v>
      </c>
      <c r="R651" s="84" t="str">
        <f>IF(
   COUNTIFS($A$2:A651,A651,
             $B$2:B651,B651,
             $C$2:C651,C651,
             $D$2:D651,D651,
             $G$2:G651,G651)&gt;1,
   "Doublon",
   "Correcte"
)</f>
        <v>Correcte</v>
      </c>
    </row>
    <row r="652" spans="1:18" x14ac:dyDescent="0.25">
      <c r="A652" s="104" t="s">
        <v>1471</v>
      </c>
      <c r="B652" s="35" t="s">
        <v>712</v>
      </c>
      <c r="C652" s="36">
        <v>0</v>
      </c>
      <c r="D652" s="36">
        <v>5</v>
      </c>
      <c r="E652" s="35" t="s">
        <v>699</v>
      </c>
      <c r="F652" s="35" t="s">
        <v>634</v>
      </c>
      <c r="G652" s="37">
        <v>45926.678113425929</v>
      </c>
      <c r="H652" s="37" t="str">
        <f>INDEX(_xlfn.TEXTSPLIT(mvtst[[#This Row],[QR Suivis]],"_"),1,1)</f>
        <v>CA250011-9</v>
      </c>
      <c r="I652" s="35" t="str">
        <f>_xlfn.TEXTBEFORE(mvtst[[#This Row],[Num Suivis]],"-",,,1)</f>
        <v>CA250011</v>
      </c>
      <c r="J652" s="36">
        <f>SUMIF(mvtst[QR Suivis],mvtst[[#This Row],[QR Suivis]],mvtst[QTE SORTIS])-SUMIF(mvtst[QR Suivis],mvtst[[#This Row],[QR Suivis]],mvtst[QTE RETOUR])</f>
        <v>0</v>
      </c>
      <c r="K652" s="35" t="str">
        <f t="shared" si="10"/>
        <v>Usine</v>
      </c>
      <c r="L652" s="35" t="str">
        <f>_xlfn.XLOOKUP(mvtst[[#This Row],[Sous Traitant]],coordonnee_st[Identification],coordonnee_st[SERVICE],"Non Trouvé")</f>
        <v>Frange</v>
      </c>
      <c r="M652" s="35" t="str">
        <f>INDEX(_xlfn.TEXTSPLIT(mvtst[[#This Row],[QR Suivis]],"_"),1,2)</f>
        <v>All by Fouta</v>
      </c>
      <c r="N652" s="35" t="str">
        <f>INDEX(_xlfn.TEXTSPLIT(mvtst[[#This Row],[QR Suivis]],"_"),1,3)</f>
        <v>Stock</v>
      </c>
      <c r="O652" s="35" t="str">
        <f>INDEX(_xlfn.TEXTSPLIT(mvtst[[#This Row],[QR Suivis]],"_"),1,4)</f>
        <v>UNS1020-19</v>
      </c>
      <c r="P652" s="35" t="str">
        <f>INDEX(_xlfn.TEXTSPLIT(mvtst[[#This Row],[QR Suivis]],"_"),1,5)</f>
        <v>UNI SURPIQUE</v>
      </c>
      <c r="Q652" s="35" t="str">
        <f>_xlfn.TEXTAFTER(mvtst[[#This Row],[QR Suivis]],"_",5)</f>
        <v>1020</v>
      </c>
      <c r="R652" s="84" t="str">
        <f>IF(
   COUNTIFS($A$2:A652,A652,
             $B$2:B652,B652,
             $C$2:C652,C652,
             $D$2:D652,D652,
             $G$2:G652,G652)&gt;1,
   "Doublon",
   "Correcte"
)</f>
        <v>Correcte</v>
      </c>
    </row>
    <row r="653" spans="1:18" x14ac:dyDescent="0.25">
      <c r="A653" s="104" t="s">
        <v>1472</v>
      </c>
      <c r="B653" s="35" t="s">
        <v>712</v>
      </c>
      <c r="C653" s="36">
        <v>0</v>
      </c>
      <c r="D653" s="36">
        <v>5</v>
      </c>
      <c r="E653" s="35" t="s">
        <v>699</v>
      </c>
      <c r="F653" s="35" t="s">
        <v>634</v>
      </c>
      <c r="G653" s="37">
        <v>45926.678460648145</v>
      </c>
      <c r="H653" s="37" t="str">
        <f>INDEX(_xlfn.TEXTSPLIT(mvtst[[#This Row],[QR Suivis]],"_"),1,1)</f>
        <v>CA250011-10</v>
      </c>
      <c r="I653" s="35" t="str">
        <f>_xlfn.TEXTBEFORE(mvtst[[#This Row],[Num Suivis]],"-",,,1)</f>
        <v>CA250011</v>
      </c>
      <c r="J653" s="36">
        <f>SUMIF(mvtst[QR Suivis],mvtst[[#This Row],[QR Suivis]],mvtst[QTE SORTIS])-SUMIF(mvtst[QR Suivis],mvtst[[#This Row],[QR Suivis]],mvtst[QTE RETOUR])</f>
        <v>0</v>
      </c>
      <c r="K653" s="35" t="str">
        <f t="shared" si="10"/>
        <v>Usine</v>
      </c>
      <c r="L653" s="35" t="str">
        <f>_xlfn.XLOOKUP(mvtst[[#This Row],[Sous Traitant]],coordonnee_st[Identification],coordonnee_st[SERVICE],"Non Trouvé")</f>
        <v>Frange</v>
      </c>
      <c r="M653" s="35" t="str">
        <f>INDEX(_xlfn.TEXTSPLIT(mvtst[[#This Row],[QR Suivis]],"_"),1,2)</f>
        <v>All by Fouta</v>
      </c>
      <c r="N653" s="35" t="str">
        <f>INDEX(_xlfn.TEXTSPLIT(mvtst[[#This Row],[QR Suivis]],"_"),1,3)</f>
        <v>Stock</v>
      </c>
      <c r="O653" s="35" t="str">
        <f>INDEX(_xlfn.TEXTSPLIT(mvtst[[#This Row],[QR Suivis]],"_"),1,4)</f>
        <v>UNS1020-19</v>
      </c>
      <c r="P653" s="35" t="str">
        <f>INDEX(_xlfn.TEXTSPLIT(mvtst[[#This Row],[QR Suivis]],"_"),1,5)</f>
        <v>UNI SURPIQUE</v>
      </c>
      <c r="Q653" s="35" t="str">
        <f>_xlfn.TEXTAFTER(mvtst[[#This Row],[QR Suivis]],"_",5)</f>
        <v>1020</v>
      </c>
      <c r="R653" s="84" t="str">
        <f>IF(
   COUNTIFS($A$2:A653,A653,
             $B$2:B653,B653,
             $C$2:C653,C653,
             $D$2:D653,D653,
             $G$2:G653,G653)&gt;1,
   "Doublon",
   "Correcte"
)</f>
        <v>Correcte</v>
      </c>
    </row>
    <row r="654" spans="1:18" x14ac:dyDescent="0.25">
      <c r="A654" s="104" t="s">
        <v>1473</v>
      </c>
      <c r="B654" s="35" t="s">
        <v>712</v>
      </c>
      <c r="C654" s="36">
        <v>0</v>
      </c>
      <c r="D654" s="36">
        <v>4</v>
      </c>
      <c r="E654" s="35" t="s">
        <v>699</v>
      </c>
      <c r="F654" s="35" t="s">
        <v>634</v>
      </c>
      <c r="G654" s="37">
        <v>45926.678819444445</v>
      </c>
      <c r="H654" s="37" t="str">
        <f>INDEX(_xlfn.TEXTSPLIT(mvtst[[#This Row],[QR Suivis]],"_"),1,1)</f>
        <v>CA250011-12</v>
      </c>
      <c r="I654" s="35" t="str">
        <f>_xlfn.TEXTBEFORE(mvtst[[#This Row],[Num Suivis]],"-",,,1)</f>
        <v>CA250011</v>
      </c>
      <c r="J654" s="36">
        <f>SUMIF(mvtst[QR Suivis],mvtst[[#This Row],[QR Suivis]],mvtst[QTE SORTIS])-SUMIF(mvtst[QR Suivis],mvtst[[#This Row],[QR Suivis]],mvtst[QTE RETOUR])</f>
        <v>0</v>
      </c>
      <c r="K654" s="35" t="str">
        <f t="shared" si="10"/>
        <v>Usine</v>
      </c>
      <c r="L654" s="35" t="str">
        <f>_xlfn.XLOOKUP(mvtst[[#This Row],[Sous Traitant]],coordonnee_st[Identification],coordonnee_st[SERVICE],"Non Trouvé")</f>
        <v>Frange</v>
      </c>
      <c r="M654" s="35" t="str">
        <f>INDEX(_xlfn.TEXTSPLIT(mvtst[[#This Row],[QR Suivis]],"_"),1,2)</f>
        <v>All by Fouta</v>
      </c>
      <c r="N654" s="35" t="str">
        <f>INDEX(_xlfn.TEXTSPLIT(mvtst[[#This Row],[QR Suivis]],"_"),1,3)</f>
        <v>Stock</v>
      </c>
      <c r="O654" s="35" t="str">
        <f>INDEX(_xlfn.TEXTSPLIT(mvtst[[#This Row],[QR Suivis]],"_"),1,4)</f>
        <v>UNS1020-19</v>
      </c>
      <c r="P654" s="35" t="str">
        <f>INDEX(_xlfn.TEXTSPLIT(mvtst[[#This Row],[QR Suivis]],"_"),1,5)</f>
        <v>UNI SURPIQUE</v>
      </c>
      <c r="Q654" s="35" t="str">
        <f>_xlfn.TEXTAFTER(mvtst[[#This Row],[QR Suivis]],"_",5)</f>
        <v>1020</v>
      </c>
      <c r="R654" s="84" t="str">
        <f>IF(
   COUNTIFS($A$2:A654,A654,
             $B$2:B654,B654,
             $C$2:C654,C654,
             $D$2:D654,D654,
             $G$2:G654,G654)&gt;1,
   "Doublon",
   "Correcte"
)</f>
        <v>Correcte</v>
      </c>
    </row>
    <row r="655" spans="1:18" x14ac:dyDescent="0.25">
      <c r="A655" s="104" t="s">
        <v>1474</v>
      </c>
      <c r="B655" s="35" t="s">
        <v>712</v>
      </c>
      <c r="C655" s="36">
        <v>0</v>
      </c>
      <c r="D655" s="36">
        <v>5</v>
      </c>
      <c r="E655" s="35" t="s">
        <v>699</v>
      </c>
      <c r="F655" s="35" t="s">
        <v>634</v>
      </c>
      <c r="G655" s="37">
        <v>45926.679131944446</v>
      </c>
      <c r="H655" s="37" t="str">
        <f>INDEX(_xlfn.TEXTSPLIT(mvtst[[#This Row],[QR Suivis]],"_"),1,1)</f>
        <v>CA250011-8</v>
      </c>
      <c r="I655" s="35" t="str">
        <f>_xlfn.TEXTBEFORE(mvtst[[#This Row],[Num Suivis]],"-",,,1)</f>
        <v>CA250011</v>
      </c>
      <c r="J655" s="36">
        <f>SUMIF(mvtst[QR Suivis],mvtst[[#This Row],[QR Suivis]],mvtst[QTE SORTIS])-SUMIF(mvtst[QR Suivis],mvtst[[#This Row],[QR Suivis]],mvtst[QTE RETOUR])</f>
        <v>0</v>
      </c>
      <c r="K655" s="35" t="str">
        <f t="shared" si="10"/>
        <v>Usine</v>
      </c>
      <c r="L655" s="35" t="str">
        <f>_xlfn.XLOOKUP(mvtst[[#This Row],[Sous Traitant]],coordonnee_st[Identification],coordonnee_st[SERVICE],"Non Trouvé")</f>
        <v>Frange</v>
      </c>
      <c r="M655" s="35" t="str">
        <f>INDEX(_xlfn.TEXTSPLIT(mvtst[[#This Row],[QR Suivis]],"_"),1,2)</f>
        <v>All by Fouta</v>
      </c>
      <c r="N655" s="35" t="str">
        <f>INDEX(_xlfn.TEXTSPLIT(mvtst[[#This Row],[QR Suivis]],"_"),1,3)</f>
        <v>Stock</v>
      </c>
      <c r="O655" s="35" t="str">
        <f>INDEX(_xlfn.TEXTSPLIT(mvtst[[#This Row],[QR Suivis]],"_"),1,4)</f>
        <v>UNS1020-19</v>
      </c>
      <c r="P655" s="35" t="str">
        <f>INDEX(_xlfn.TEXTSPLIT(mvtst[[#This Row],[QR Suivis]],"_"),1,5)</f>
        <v>UNI SURPIQUE</v>
      </c>
      <c r="Q655" s="35" t="str">
        <f>_xlfn.TEXTAFTER(mvtst[[#This Row],[QR Suivis]],"_",5)</f>
        <v>1020</v>
      </c>
      <c r="R655" s="84" t="str">
        <f>IF(
   COUNTIFS($A$2:A655,A655,
             $B$2:B655,B655,
             $C$2:C655,C655,
             $D$2:D655,D655,
             $G$2:G655,G655)&gt;1,
   "Doublon",
   "Correcte"
)</f>
        <v>Correcte</v>
      </c>
    </row>
    <row r="656" spans="1:18" x14ac:dyDescent="0.25">
      <c r="A656" s="104" t="s">
        <v>1475</v>
      </c>
      <c r="B656" s="35" t="s">
        <v>712</v>
      </c>
      <c r="C656" s="36">
        <v>0</v>
      </c>
      <c r="D656" s="36">
        <v>5</v>
      </c>
      <c r="E656" s="35" t="s">
        <v>699</v>
      </c>
      <c r="F656" s="35" t="s">
        <v>634</v>
      </c>
      <c r="G656" s="37">
        <v>45926.679293981484</v>
      </c>
      <c r="H656" s="37" t="str">
        <f>INDEX(_xlfn.TEXTSPLIT(mvtst[[#This Row],[QR Suivis]],"_"),1,1)</f>
        <v>CA250011-1</v>
      </c>
      <c r="I656" s="35" t="str">
        <f>_xlfn.TEXTBEFORE(mvtst[[#This Row],[Num Suivis]],"-",,,1)</f>
        <v>CA250011</v>
      </c>
      <c r="J656" s="36">
        <f>SUMIF(mvtst[QR Suivis],mvtst[[#This Row],[QR Suivis]],mvtst[QTE SORTIS])-SUMIF(mvtst[QR Suivis],mvtst[[#This Row],[QR Suivis]],mvtst[QTE RETOUR])</f>
        <v>0</v>
      </c>
      <c r="K656" s="35" t="str">
        <f t="shared" si="10"/>
        <v>Usine</v>
      </c>
      <c r="L656" s="35" t="str">
        <f>_xlfn.XLOOKUP(mvtst[[#This Row],[Sous Traitant]],coordonnee_st[Identification],coordonnee_st[SERVICE],"Non Trouvé")</f>
        <v>Frange</v>
      </c>
      <c r="M656" s="35" t="str">
        <f>INDEX(_xlfn.TEXTSPLIT(mvtst[[#This Row],[QR Suivis]],"_"),1,2)</f>
        <v>All by Fouta</v>
      </c>
      <c r="N656" s="35" t="str">
        <f>INDEX(_xlfn.TEXTSPLIT(mvtst[[#This Row],[QR Suivis]],"_"),1,3)</f>
        <v>Stock</v>
      </c>
      <c r="O656" s="35" t="str">
        <f>INDEX(_xlfn.TEXTSPLIT(mvtst[[#This Row],[QR Suivis]],"_"),1,4)</f>
        <v>UNS1020-19</v>
      </c>
      <c r="P656" s="35" t="str">
        <f>INDEX(_xlfn.TEXTSPLIT(mvtst[[#This Row],[QR Suivis]],"_"),1,5)</f>
        <v>UNI SURPIQUE</v>
      </c>
      <c r="Q656" s="35" t="str">
        <f>_xlfn.TEXTAFTER(mvtst[[#This Row],[QR Suivis]],"_",5)</f>
        <v>1020</v>
      </c>
      <c r="R656" s="84" t="str">
        <f>IF(
   COUNTIFS($A$2:A656,A656,
             $B$2:B656,B656,
             $C$2:C656,C656,
             $D$2:D656,D656,
             $G$2:G656,G656)&gt;1,
   "Doublon",
   "Correcte"
)</f>
        <v>Correcte</v>
      </c>
    </row>
    <row r="657" spans="1:18" x14ac:dyDescent="0.25">
      <c r="A657" s="104" t="s">
        <v>1416</v>
      </c>
      <c r="B657" s="35" t="s">
        <v>712</v>
      </c>
      <c r="C657" s="36">
        <v>0</v>
      </c>
      <c r="D657" s="36">
        <v>5</v>
      </c>
      <c r="E657" s="35" t="s">
        <v>699</v>
      </c>
      <c r="F657" s="35" t="s">
        <v>634</v>
      </c>
      <c r="G657" s="37">
        <v>45926.679664351854</v>
      </c>
      <c r="H657" s="37" t="str">
        <f>INDEX(_xlfn.TEXTSPLIT(mvtst[[#This Row],[QR Suivis]],"_"),1,1)</f>
        <v>CA250002-10</v>
      </c>
      <c r="I657" s="35" t="str">
        <f>_xlfn.TEXTBEFORE(mvtst[[#This Row],[Num Suivis]],"-",,,1)</f>
        <v>CA250002</v>
      </c>
      <c r="J657" s="36">
        <f>SUMIF(mvtst[QR Suivis],mvtst[[#This Row],[QR Suivis]],mvtst[QTE SORTIS])-SUMIF(mvtst[QR Suivis],mvtst[[#This Row],[QR Suivis]],mvtst[QTE RETOUR])</f>
        <v>0</v>
      </c>
      <c r="K657" s="35" t="str">
        <f t="shared" si="10"/>
        <v>Usine</v>
      </c>
      <c r="L657" s="35" t="str">
        <f>_xlfn.XLOOKUP(mvtst[[#This Row],[Sous Traitant]],coordonnee_st[Identification],coordonnee_st[SERVICE],"Non Trouvé")</f>
        <v>Frange</v>
      </c>
      <c r="M657" s="35" t="str">
        <f>INDEX(_xlfn.TEXTSPLIT(mvtst[[#This Row],[QR Suivis]],"_"),1,2)</f>
        <v>All by Fouta</v>
      </c>
      <c r="N657" s="35" t="str">
        <f>INDEX(_xlfn.TEXTSPLIT(mvtst[[#This Row],[QR Suivis]],"_"),1,3)</f>
        <v>Stock</v>
      </c>
      <c r="O657" s="35" t="str">
        <f>INDEX(_xlfn.TEXTSPLIT(mvtst[[#This Row],[QR Suivis]],"_"),1,4)</f>
        <v>UNS1020-04</v>
      </c>
      <c r="P657" s="35" t="str">
        <f>INDEX(_xlfn.TEXTSPLIT(mvtst[[#This Row],[QR Suivis]],"_"),1,5)</f>
        <v>UNI SURPIQUE</v>
      </c>
      <c r="Q657" s="35" t="str">
        <f>_xlfn.TEXTAFTER(mvtst[[#This Row],[QR Suivis]],"_",5)</f>
        <v>1020</v>
      </c>
      <c r="R657" s="84" t="str">
        <f>IF(
   COUNTIFS($A$2:A657,A657,
             $B$2:B657,B657,
             $C$2:C657,C657,
             $D$2:D657,D657,
             $G$2:G657,G657)&gt;1,
   "Doublon",
   "Correcte"
)</f>
        <v>Correcte</v>
      </c>
    </row>
    <row r="658" spans="1:18" x14ac:dyDescent="0.25">
      <c r="A658" s="104" t="s">
        <v>1417</v>
      </c>
      <c r="B658" s="35" t="s">
        <v>712</v>
      </c>
      <c r="C658" s="36">
        <v>0</v>
      </c>
      <c r="D658" s="36">
        <v>5</v>
      </c>
      <c r="E658" s="35" t="s">
        <v>699</v>
      </c>
      <c r="F658" s="35" t="s">
        <v>634</v>
      </c>
      <c r="G658" s="37">
        <v>45926.679965277777</v>
      </c>
      <c r="H658" s="37" t="str">
        <f>INDEX(_xlfn.TEXTSPLIT(mvtst[[#This Row],[QR Suivis]],"_"),1,1)</f>
        <v>CA250002-11</v>
      </c>
      <c r="I658" s="35" t="str">
        <f>_xlfn.TEXTBEFORE(mvtst[[#This Row],[Num Suivis]],"-",,,1)</f>
        <v>CA250002</v>
      </c>
      <c r="J658" s="36">
        <f>SUMIF(mvtst[QR Suivis],mvtst[[#This Row],[QR Suivis]],mvtst[QTE SORTIS])-SUMIF(mvtst[QR Suivis],mvtst[[#This Row],[QR Suivis]],mvtst[QTE RETOUR])</f>
        <v>0</v>
      </c>
      <c r="K658" s="35" t="str">
        <f t="shared" si="10"/>
        <v>Usine</v>
      </c>
      <c r="L658" s="35" t="str">
        <f>_xlfn.XLOOKUP(mvtst[[#This Row],[Sous Traitant]],coordonnee_st[Identification],coordonnee_st[SERVICE],"Non Trouvé")</f>
        <v>Frange</v>
      </c>
      <c r="M658" s="35" t="str">
        <f>INDEX(_xlfn.TEXTSPLIT(mvtst[[#This Row],[QR Suivis]],"_"),1,2)</f>
        <v>All by Fouta</v>
      </c>
      <c r="N658" s="35" t="str">
        <f>INDEX(_xlfn.TEXTSPLIT(mvtst[[#This Row],[QR Suivis]],"_"),1,3)</f>
        <v>Stock</v>
      </c>
      <c r="O658" s="35" t="str">
        <f>INDEX(_xlfn.TEXTSPLIT(mvtst[[#This Row],[QR Suivis]],"_"),1,4)</f>
        <v>UNS1020-04</v>
      </c>
      <c r="P658" s="35" t="str">
        <f>INDEX(_xlfn.TEXTSPLIT(mvtst[[#This Row],[QR Suivis]],"_"),1,5)</f>
        <v>UNI SURPIQUE</v>
      </c>
      <c r="Q658" s="35" t="str">
        <f>_xlfn.TEXTAFTER(mvtst[[#This Row],[QR Suivis]],"_",5)</f>
        <v>1020</v>
      </c>
      <c r="R658" s="84" t="str">
        <f>IF(
   COUNTIFS($A$2:A658,A658,
             $B$2:B658,B658,
             $C$2:C658,C658,
             $D$2:D658,D658,
             $G$2:G658,G658)&gt;1,
   "Doublon",
   "Correcte"
)</f>
        <v>Correcte</v>
      </c>
    </row>
    <row r="659" spans="1:18" x14ac:dyDescent="0.25">
      <c r="A659" s="104" t="s">
        <v>1418</v>
      </c>
      <c r="B659" s="35" t="s">
        <v>712</v>
      </c>
      <c r="C659" s="36">
        <v>0</v>
      </c>
      <c r="D659" s="36">
        <v>5</v>
      </c>
      <c r="E659" s="35" t="s">
        <v>699</v>
      </c>
      <c r="F659" s="35" t="s">
        <v>634</v>
      </c>
      <c r="G659" s="37">
        <v>45926.680462962962</v>
      </c>
      <c r="H659" s="37" t="str">
        <f>INDEX(_xlfn.TEXTSPLIT(mvtst[[#This Row],[QR Suivis]],"_"),1,1)</f>
        <v>CA250002-12</v>
      </c>
      <c r="I659" s="35" t="str">
        <f>_xlfn.TEXTBEFORE(mvtst[[#This Row],[Num Suivis]],"-",,,1)</f>
        <v>CA250002</v>
      </c>
      <c r="J659" s="36">
        <f>SUMIF(mvtst[QR Suivis],mvtst[[#This Row],[QR Suivis]],mvtst[QTE SORTIS])-SUMIF(mvtst[QR Suivis],mvtst[[#This Row],[QR Suivis]],mvtst[QTE RETOUR])</f>
        <v>0</v>
      </c>
      <c r="K659" s="35" t="str">
        <f t="shared" si="10"/>
        <v>Usine</v>
      </c>
      <c r="L659" s="35" t="str">
        <f>_xlfn.XLOOKUP(mvtst[[#This Row],[Sous Traitant]],coordonnee_st[Identification],coordonnee_st[SERVICE],"Non Trouvé")</f>
        <v>Frange</v>
      </c>
      <c r="M659" s="35" t="str">
        <f>INDEX(_xlfn.TEXTSPLIT(mvtst[[#This Row],[QR Suivis]],"_"),1,2)</f>
        <v>All by Fouta</v>
      </c>
      <c r="N659" s="35" t="str">
        <f>INDEX(_xlfn.TEXTSPLIT(mvtst[[#This Row],[QR Suivis]],"_"),1,3)</f>
        <v>Stock</v>
      </c>
      <c r="O659" s="35" t="str">
        <f>INDEX(_xlfn.TEXTSPLIT(mvtst[[#This Row],[QR Suivis]],"_"),1,4)</f>
        <v>UNS1020-04</v>
      </c>
      <c r="P659" s="35" t="str">
        <f>INDEX(_xlfn.TEXTSPLIT(mvtst[[#This Row],[QR Suivis]],"_"),1,5)</f>
        <v>UNI SURPIQUE</v>
      </c>
      <c r="Q659" s="35" t="str">
        <f>_xlfn.TEXTAFTER(mvtst[[#This Row],[QR Suivis]],"_",5)</f>
        <v>1020</v>
      </c>
      <c r="R659" s="84" t="str">
        <f>IF(
   COUNTIFS($A$2:A659,A659,
             $B$2:B659,B659,
             $C$2:C659,C659,
             $D$2:D659,D659,
             $G$2:G659,G659)&gt;1,
   "Doublon",
   "Correcte"
)</f>
        <v>Correcte</v>
      </c>
    </row>
    <row r="660" spans="1:18" x14ac:dyDescent="0.25">
      <c r="A660" s="104" t="s">
        <v>1419</v>
      </c>
      <c r="B660" s="35" t="s">
        <v>712</v>
      </c>
      <c r="C660" s="36">
        <v>0</v>
      </c>
      <c r="D660" s="36">
        <v>5</v>
      </c>
      <c r="E660" s="35" t="s">
        <v>699</v>
      </c>
      <c r="F660" s="35" t="s">
        <v>634</v>
      </c>
      <c r="G660" s="37">
        <v>45926.680949074071</v>
      </c>
      <c r="H660" s="37" t="str">
        <f>INDEX(_xlfn.TEXTSPLIT(mvtst[[#This Row],[QR Suivis]],"_"),1,1)</f>
        <v>CA250002-9</v>
      </c>
      <c r="I660" s="35" t="str">
        <f>_xlfn.TEXTBEFORE(mvtst[[#This Row],[Num Suivis]],"-",,,1)</f>
        <v>CA250002</v>
      </c>
      <c r="J660" s="36">
        <f>SUMIF(mvtst[QR Suivis],mvtst[[#This Row],[QR Suivis]],mvtst[QTE SORTIS])-SUMIF(mvtst[QR Suivis],mvtst[[#This Row],[QR Suivis]],mvtst[QTE RETOUR])</f>
        <v>0</v>
      </c>
      <c r="K660" s="35" t="str">
        <f t="shared" si="10"/>
        <v>Usine</v>
      </c>
      <c r="L660" s="35" t="str">
        <f>_xlfn.XLOOKUP(mvtst[[#This Row],[Sous Traitant]],coordonnee_st[Identification],coordonnee_st[SERVICE],"Non Trouvé")</f>
        <v>Frange</v>
      </c>
      <c r="M660" s="35" t="str">
        <f>INDEX(_xlfn.TEXTSPLIT(mvtst[[#This Row],[QR Suivis]],"_"),1,2)</f>
        <v>All by Fouta</v>
      </c>
      <c r="N660" s="35" t="str">
        <f>INDEX(_xlfn.TEXTSPLIT(mvtst[[#This Row],[QR Suivis]],"_"),1,3)</f>
        <v>Stock</v>
      </c>
      <c r="O660" s="35" t="str">
        <f>INDEX(_xlfn.TEXTSPLIT(mvtst[[#This Row],[QR Suivis]],"_"),1,4)</f>
        <v>UNS1020-04</v>
      </c>
      <c r="P660" s="35" t="str">
        <f>INDEX(_xlfn.TEXTSPLIT(mvtst[[#This Row],[QR Suivis]],"_"),1,5)</f>
        <v>UNI SURPIQUE</v>
      </c>
      <c r="Q660" s="35" t="str">
        <f>_xlfn.TEXTAFTER(mvtst[[#This Row],[QR Suivis]],"_",5)</f>
        <v>1020</v>
      </c>
      <c r="R660" s="84" t="str">
        <f>IF(
   COUNTIFS($A$2:A660,A660,
             $B$2:B660,B660,
             $C$2:C660,C660,
             $D$2:D660,D660,
             $G$2:G660,G660)&gt;1,
   "Doublon",
   "Correcte"
)</f>
        <v>Correcte</v>
      </c>
    </row>
    <row r="661" spans="1:18" x14ac:dyDescent="0.25">
      <c r="A661" s="104" t="s">
        <v>1476</v>
      </c>
      <c r="B661" s="35" t="s">
        <v>712</v>
      </c>
      <c r="C661" s="36">
        <v>0</v>
      </c>
      <c r="D661" s="36">
        <v>5</v>
      </c>
      <c r="E661" s="35" t="s">
        <v>699</v>
      </c>
      <c r="F661" s="35" t="s">
        <v>634</v>
      </c>
      <c r="G661" s="37">
        <v>45926.681377314817</v>
      </c>
      <c r="H661" s="37" t="str">
        <f>INDEX(_xlfn.TEXTSPLIT(mvtst[[#This Row],[QR Suivis]],"_"),1,1)</f>
        <v>CA250011-7</v>
      </c>
      <c r="I661" s="35" t="str">
        <f>_xlfn.TEXTBEFORE(mvtst[[#This Row],[Num Suivis]],"-",,,1)</f>
        <v>CA250011</v>
      </c>
      <c r="J661" s="36">
        <f>SUMIF(mvtst[QR Suivis],mvtst[[#This Row],[QR Suivis]],mvtst[QTE SORTIS])-SUMIF(mvtst[QR Suivis],mvtst[[#This Row],[QR Suivis]],mvtst[QTE RETOUR])</f>
        <v>0</v>
      </c>
      <c r="K661" s="35" t="str">
        <f t="shared" si="10"/>
        <v>Usine</v>
      </c>
      <c r="L661" s="35" t="str">
        <f>_xlfn.XLOOKUP(mvtst[[#This Row],[Sous Traitant]],coordonnee_st[Identification],coordonnee_st[SERVICE],"Non Trouvé")</f>
        <v>Frange</v>
      </c>
      <c r="M661" s="35" t="str">
        <f>INDEX(_xlfn.TEXTSPLIT(mvtst[[#This Row],[QR Suivis]],"_"),1,2)</f>
        <v>All by Fouta</v>
      </c>
      <c r="N661" s="35" t="str">
        <f>INDEX(_xlfn.TEXTSPLIT(mvtst[[#This Row],[QR Suivis]],"_"),1,3)</f>
        <v>Stock</v>
      </c>
      <c r="O661" s="35" t="str">
        <f>INDEX(_xlfn.TEXTSPLIT(mvtst[[#This Row],[QR Suivis]],"_"),1,4)</f>
        <v>UNS1020-19</v>
      </c>
      <c r="P661" s="35" t="str">
        <f>INDEX(_xlfn.TEXTSPLIT(mvtst[[#This Row],[QR Suivis]],"_"),1,5)</f>
        <v>UNI SURPIQUE</v>
      </c>
      <c r="Q661" s="35" t="str">
        <f>_xlfn.TEXTAFTER(mvtst[[#This Row],[QR Suivis]],"_",5)</f>
        <v>1020</v>
      </c>
      <c r="R661" s="84" t="str">
        <f>IF(
   COUNTIFS($A$2:A661,A661,
             $B$2:B661,B661,
             $C$2:C661,C661,
             $D$2:D661,D661,
             $G$2:G661,G661)&gt;1,
   "Doublon",
   "Correcte"
)</f>
        <v>Correcte</v>
      </c>
    </row>
    <row r="662" spans="1:18" x14ac:dyDescent="0.25">
      <c r="A662" s="104" t="s">
        <v>1589</v>
      </c>
      <c r="B662" s="35" t="s">
        <v>712</v>
      </c>
      <c r="C662" s="36">
        <v>0</v>
      </c>
      <c r="D662" s="36">
        <v>5</v>
      </c>
      <c r="E662" s="35" t="s">
        <v>699</v>
      </c>
      <c r="F662" s="35" t="s">
        <v>634</v>
      </c>
      <c r="G662" s="37">
        <v>45926.681747685187</v>
      </c>
      <c r="H662" s="37" t="str">
        <f>INDEX(_xlfn.TEXTSPLIT(mvtst[[#This Row],[QR Suivis]],"_"),1,1)</f>
        <v>CA250071-3</v>
      </c>
      <c r="I662" s="35" t="str">
        <f>_xlfn.TEXTBEFORE(mvtst[[#This Row],[Num Suivis]],"-",,,1)</f>
        <v>CA250071</v>
      </c>
      <c r="J662" s="36">
        <f>SUMIF(mvtst[QR Suivis],mvtst[[#This Row],[QR Suivis]],mvtst[QTE SORTIS])-SUMIF(mvtst[QR Suivis],mvtst[[#This Row],[QR Suivis]],mvtst[QTE RETOUR])</f>
        <v>0</v>
      </c>
      <c r="K662" s="35" t="str">
        <f t="shared" si="10"/>
        <v>Usine</v>
      </c>
      <c r="L662" s="35" t="str">
        <f>_xlfn.XLOOKUP(mvtst[[#This Row],[Sous Traitant]],coordonnee_st[Identification],coordonnee_st[SERVICE],"Non Trouvé")</f>
        <v>Frange</v>
      </c>
      <c r="M662" s="35" t="str">
        <f>INDEX(_xlfn.TEXTSPLIT(mvtst[[#This Row],[QR Suivis]],"_"),1,2)</f>
        <v>All by Fouta</v>
      </c>
      <c r="N662" s="35" t="str">
        <f>INDEX(_xlfn.TEXTSPLIT(mvtst[[#This Row],[QR Suivis]],"_"),1,3)</f>
        <v>Stock</v>
      </c>
      <c r="O662" s="35" t="str">
        <f>INDEX(_xlfn.TEXTSPLIT(mvtst[[#This Row],[QR Suivis]],"_"),1,4)</f>
        <v>UNS2030-19</v>
      </c>
      <c r="P662" s="35" t="str">
        <f>INDEX(_xlfn.TEXTSPLIT(mvtst[[#This Row],[QR Suivis]],"_"),1,5)</f>
        <v>UNI SURPIQUE</v>
      </c>
      <c r="Q662" s="35" t="str">
        <f>_xlfn.TEXTAFTER(mvtst[[#This Row],[QR Suivis]],"_",5)</f>
        <v>2030</v>
      </c>
      <c r="R662" s="84" t="str">
        <f>IF(
   COUNTIFS($A$2:A662,A662,
             $B$2:B662,B662,
             $C$2:C662,C662,
             $D$2:D662,D662,
             $G$2:G662,G662)&gt;1,
   "Doublon",
   "Correcte"
)</f>
        <v>Correcte</v>
      </c>
    </row>
    <row r="663" spans="1:18" x14ac:dyDescent="0.25">
      <c r="A663" s="104" t="s">
        <v>1477</v>
      </c>
      <c r="B663" s="35" t="s">
        <v>712</v>
      </c>
      <c r="C663" s="36">
        <v>0</v>
      </c>
      <c r="D663" s="36">
        <v>5</v>
      </c>
      <c r="E663" s="35" t="s">
        <v>699</v>
      </c>
      <c r="F663" s="35" t="s">
        <v>634</v>
      </c>
      <c r="G663" s="37">
        <v>45926.68209490741</v>
      </c>
      <c r="H663" s="37" t="str">
        <f>INDEX(_xlfn.TEXTSPLIT(mvtst[[#This Row],[QR Suivis]],"_"),1,1)</f>
        <v>CA250011-11</v>
      </c>
      <c r="I663" s="35" t="str">
        <f>_xlfn.TEXTBEFORE(mvtst[[#This Row],[Num Suivis]],"-",,,1)</f>
        <v>CA250011</v>
      </c>
      <c r="J663" s="36">
        <f>SUMIF(mvtst[QR Suivis],mvtst[[#This Row],[QR Suivis]],mvtst[QTE SORTIS])-SUMIF(mvtst[QR Suivis],mvtst[[#This Row],[QR Suivis]],mvtst[QTE RETOUR])</f>
        <v>0</v>
      </c>
      <c r="K663" s="35" t="str">
        <f t="shared" si="10"/>
        <v>Usine</v>
      </c>
      <c r="L663" s="35" t="str">
        <f>_xlfn.XLOOKUP(mvtst[[#This Row],[Sous Traitant]],coordonnee_st[Identification],coordonnee_st[SERVICE],"Non Trouvé")</f>
        <v>Frange</v>
      </c>
      <c r="M663" s="35" t="str">
        <f>INDEX(_xlfn.TEXTSPLIT(mvtst[[#This Row],[QR Suivis]],"_"),1,2)</f>
        <v>All by Fouta</v>
      </c>
      <c r="N663" s="35" t="str">
        <f>INDEX(_xlfn.TEXTSPLIT(mvtst[[#This Row],[QR Suivis]],"_"),1,3)</f>
        <v>Stock</v>
      </c>
      <c r="O663" s="35" t="str">
        <f>INDEX(_xlfn.TEXTSPLIT(mvtst[[#This Row],[QR Suivis]],"_"),1,4)</f>
        <v>UNS1020-19</v>
      </c>
      <c r="P663" s="35" t="str">
        <f>INDEX(_xlfn.TEXTSPLIT(mvtst[[#This Row],[QR Suivis]],"_"),1,5)</f>
        <v>UNI SURPIQUE</v>
      </c>
      <c r="Q663" s="35" t="str">
        <f>_xlfn.TEXTAFTER(mvtst[[#This Row],[QR Suivis]],"_",5)</f>
        <v>1020</v>
      </c>
      <c r="R663" s="84" t="str">
        <f>IF(
   COUNTIFS($A$2:A663,A663,
             $B$2:B663,B663,
             $C$2:C663,C663,
             $D$2:D663,D663,
             $G$2:G663,G663)&gt;1,
   "Doublon",
   "Correcte"
)</f>
        <v>Correcte</v>
      </c>
    </row>
    <row r="664" spans="1:18" x14ac:dyDescent="0.25">
      <c r="A664" s="104" t="s">
        <v>1590</v>
      </c>
      <c r="B664" s="35" t="s">
        <v>712</v>
      </c>
      <c r="C664" s="36">
        <v>0</v>
      </c>
      <c r="D664" s="36">
        <v>2</v>
      </c>
      <c r="E664" s="35" t="s">
        <v>699</v>
      </c>
      <c r="F664" s="35" t="s">
        <v>634</v>
      </c>
      <c r="G664" s="37">
        <v>45926.682442129626</v>
      </c>
      <c r="H664" s="37" t="str">
        <f>INDEX(_xlfn.TEXTSPLIT(mvtst[[#This Row],[QR Suivis]],"_"),1,1)</f>
        <v>CA250071-5</v>
      </c>
      <c r="I664" s="35" t="str">
        <f>_xlfn.TEXTBEFORE(mvtst[[#This Row],[Num Suivis]],"-",,,1)</f>
        <v>CA250071</v>
      </c>
      <c r="J664" s="36">
        <f>SUMIF(mvtst[QR Suivis],mvtst[[#This Row],[QR Suivis]],mvtst[QTE SORTIS])-SUMIF(mvtst[QR Suivis],mvtst[[#This Row],[QR Suivis]],mvtst[QTE RETOUR])</f>
        <v>0</v>
      </c>
      <c r="K664" s="35" t="str">
        <f t="shared" si="10"/>
        <v>Usine</v>
      </c>
      <c r="L664" s="35" t="str">
        <f>_xlfn.XLOOKUP(mvtst[[#This Row],[Sous Traitant]],coordonnee_st[Identification],coordonnee_st[SERVICE],"Non Trouvé")</f>
        <v>Frange</v>
      </c>
      <c r="M664" s="35" t="str">
        <f>INDEX(_xlfn.TEXTSPLIT(mvtst[[#This Row],[QR Suivis]],"_"),1,2)</f>
        <v>All by Fouta</v>
      </c>
      <c r="N664" s="35" t="str">
        <f>INDEX(_xlfn.TEXTSPLIT(mvtst[[#This Row],[QR Suivis]],"_"),1,3)</f>
        <v>Stock</v>
      </c>
      <c r="O664" s="35" t="str">
        <f>INDEX(_xlfn.TEXTSPLIT(mvtst[[#This Row],[QR Suivis]],"_"),1,4)</f>
        <v>UNS2030-19</v>
      </c>
      <c r="P664" s="35" t="str">
        <f>INDEX(_xlfn.TEXTSPLIT(mvtst[[#This Row],[QR Suivis]],"_"),1,5)</f>
        <v>UNI SURPIQUE</v>
      </c>
      <c r="Q664" s="35" t="str">
        <f>_xlfn.TEXTAFTER(mvtst[[#This Row],[QR Suivis]],"_",5)</f>
        <v>2030</v>
      </c>
      <c r="R664" s="84" t="str">
        <f>IF(
   COUNTIFS($A$2:A664,A664,
             $B$2:B664,B664,
             $C$2:C664,C664,
             $D$2:D664,D664,
             $G$2:G664,G664)&gt;1,
   "Doublon",
   "Correcte"
)</f>
        <v>Correcte</v>
      </c>
    </row>
    <row r="665" spans="1:18" x14ac:dyDescent="0.25">
      <c r="A665" s="104" t="s">
        <v>1575</v>
      </c>
      <c r="B665" s="35" t="s">
        <v>712</v>
      </c>
      <c r="C665" s="36">
        <v>0</v>
      </c>
      <c r="D665" s="36">
        <v>5</v>
      </c>
      <c r="E665" s="35" t="s">
        <v>699</v>
      </c>
      <c r="F665" s="35" t="s">
        <v>634</v>
      </c>
      <c r="G665" s="37">
        <v>45926.682766203703</v>
      </c>
      <c r="H665" s="37" t="str">
        <f>INDEX(_xlfn.TEXTSPLIT(mvtst[[#This Row],[QR Suivis]],"_"),1,1)</f>
        <v>CA250017-5</v>
      </c>
      <c r="I665" s="35" t="str">
        <f>_xlfn.TEXTBEFORE(mvtst[[#This Row],[Num Suivis]],"-",,,1)</f>
        <v>CA250017</v>
      </c>
      <c r="J665" s="36">
        <f>SUMIF(mvtst[QR Suivis],mvtst[[#This Row],[QR Suivis]],mvtst[QTE SORTIS])-SUMIF(mvtst[QR Suivis],mvtst[[#This Row],[QR Suivis]],mvtst[QTE RETOUR])</f>
        <v>0</v>
      </c>
      <c r="K665" s="35" t="str">
        <f t="shared" si="10"/>
        <v>Usine</v>
      </c>
      <c r="L665" s="35" t="str">
        <f>_xlfn.XLOOKUP(mvtst[[#This Row],[Sous Traitant]],coordonnee_st[Identification],coordonnee_st[SERVICE],"Non Trouvé")</f>
        <v>Frange</v>
      </c>
      <c r="M665" s="35" t="str">
        <f>INDEX(_xlfn.TEXTSPLIT(mvtst[[#This Row],[QR Suivis]],"_"),1,2)</f>
        <v>All by Fouta</v>
      </c>
      <c r="N665" s="35" t="str">
        <f>INDEX(_xlfn.TEXTSPLIT(mvtst[[#This Row],[QR Suivis]],"_"),1,3)</f>
        <v>Stock</v>
      </c>
      <c r="O665" s="35" t="str">
        <f>INDEX(_xlfn.TEXTSPLIT(mvtst[[#This Row],[QR Suivis]],"_"),1,4)</f>
        <v>UNS1020-30</v>
      </c>
      <c r="P665" s="35" t="str">
        <f>INDEX(_xlfn.TEXTSPLIT(mvtst[[#This Row],[QR Suivis]],"_"),1,5)</f>
        <v>UNI SURPIQUE</v>
      </c>
      <c r="Q665" s="35" t="str">
        <f>_xlfn.TEXTAFTER(mvtst[[#This Row],[QR Suivis]],"_",5)</f>
        <v>1020</v>
      </c>
      <c r="R665" s="84" t="str">
        <f>IF(
   COUNTIFS($A$2:A665,A665,
             $B$2:B665,B665,
             $C$2:C665,C665,
             $D$2:D665,D665,
             $G$2:G665,G665)&gt;1,
   "Doublon",
   "Correcte"
)</f>
        <v>Correcte</v>
      </c>
    </row>
    <row r="666" spans="1:18" x14ac:dyDescent="0.25">
      <c r="A666" s="104" t="s">
        <v>1576</v>
      </c>
      <c r="B666" s="35" t="s">
        <v>712</v>
      </c>
      <c r="C666" s="36">
        <v>0</v>
      </c>
      <c r="D666" s="36">
        <v>5</v>
      </c>
      <c r="E666" s="35" t="s">
        <v>699</v>
      </c>
      <c r="F666" s="35" t="s">
        <v>634</v>
      </c>
      <c r="G666" s="37">
        <v>45926.683078703703</v>
      </c>
      <c r="H666" s="37" t="str">
        <f>INDEX(_xlfn.TEXTSPLIT(mvtst[[#This Row],[QR Suivis]],"_"),1,1)</f>
        <v>CA250017-2</v>
      </c>
      <c r="I666" s="35" t="str">
        <f>_xlfn.TEXTBEFORE(mvtst[[#This Row],[Num Suivis]],"-",,,1)</f>
        <v>CA250017</v>
      </c>
      <c r="J666" s="36">
        <f>SUMIF(mvtst[QR Suivis],mvtst[[#This Row],[QR Suivis]],mvtst[QTE SORTIS])-SUMIF(mvtst[QR Suivis],mvtst[[#This Row],[QR Suivis]],mvtst[QTE RETOUR])</f>
        <v>0</v>
      </c>
      <c r="K666" s="35" t="str">
        <f t="shared" si="10"/>
        <v>Usine</v>
      </c>
      <c r="L666" s="35" t="str">
        <f>_xlfn.XLOOKUP(mvtst[[#This Row],[Sous Traitant]],coordonnee_st[Identification],coordonnee_st[SERVICE],"Non Trouvé")</f>
        <v>Frange</v>
      </c>
      <c r="M666" s="35" t="str">
        <f>INDEX(_xlfn.TEXTSPLIT(mvtst[[#This Row],[QR Suivis]],"_"),1,2)</f>
        <v>All by Fouta</v>
      </c>
      <c r="N666" s="35" t="str">
        <f>INDEX(_xlfn.TEXTSPLIT(mvtst[[#This Row],[QR Suivis]],"_"),1,3)</f>
        <v>Stock</v>
      </c>
      <c r="O666" s="35" t="str">
        <f>INDEX(_xlfn.TEXTSPLIT(mvtst[[#This Row],[QR Suivis]],"_"),1,4)</f>
        <v>UNS1020-30</v>
      </c>
      <c r="P666" s="35" t="str">
        <f>INDEX(_xlfn.TEXTSPLIT(mvtst[[#This Row],[QR Suivis]],"_"),1,5)</f>
        <v>UNI SURPIQUE</v>
      </c>
      <c r="Q666" s="35" t="str">
        <f>_xlfn.TEXTAFTER(mvtst[[#This Row],[QR Suivis]],"_",5)</f>
        <v>1020</v>
      </c>
      <c r="R666" s="84" t="str">
        <f>IF(
   COUNTIFS($A$2:A666,A666,
             $B$2:B666,B666,
             $C$2:C666,C666,
             $D$2:D666,D666,
             $G$2:G666,G666)&gt;1,
   "Doublon",
   "Correcte"
)</f>
        <v>Correcte</v>
      </c>
    </row>
    <row r="667" spans="1:18" x14ac:dyDescent="0.25">
      <c r="A667" s="104" t="s">
        <v>1577</v>
      </c>
      <c r="B667" s="35" t="s">
        <v>712</v>
      </c>
      <c r="C667" s="36">
        <v>0</v>
      </c>
      <c r="D667" s="36">
        <v>5</v>
      </c>
      <c r="E667" s="35" t="s">
        <v>699</v>
      </c>
      <c r="F667" s="35" t="s">
        <v>634</v>
      </c>
      <c r="G667" s="37">
        <v>45926.68346064815</v>
      </c>
      <c r="H667" s="37" t="str">
        <f>INDEX(_xlfn.TEXTSPLIT(mvtst[[#This Row],[QR Suivis]],"_"),1,1)</f>
        <v>CA250017-8</v>
      </c>
      <c r="I667" s="35" t="str">
        <f>_xlfn.TEXTBEFORE(mvtst[[#This Row],[Num Suivis]],"-",,,1)</f>
        <v>CA250017</v>
      </c>
      <c r="J667" s="36">
        <f>SUMIF(mvtst[QR Suivis],mvtst[[#This Row],[QR Suivis]],mvtst[QTE SORTIS])-SUMIF(mvtst[QR Suivis],mvtst[[#This Row],[QR Suivis]],mvtst[QTE RETOUR])</f>
        <v>0</v>
      </c>
      <c r="K667" s="35" t="str">
        <f t="shared" si="10"/>
        <v>Usine</v>
      </c>
      <c r="L667" s="35" t="str">
        <f>_xlfn.XLOOKUP(mvtst[[#This Row],[Sous Traitant]],coordonnee_st[Identification],coordonnee_st[SERVICE],"Non Trouvé")</f>
        <v>Frange</v>
      </c>
      <c r="M667" s="35" t="str">
        <f>INDEX(_xlfn.TEXTSPLIT(mvtst[[#This Row],[QR Suivis]],"_"),1,2)</f>
        <v>All by Fouta</v>
      </c>
      <c r="N667" s="35" t="str">
        <f>INDEX(_xlfn.TEXTSPLIT(mvtst[[#This Row],[QR Suivis]],"_"),1,3)</f>
        <v>Stock</v>
      </c>
      <c r="O667" s="35" t="str">
        <f>INDEX(_xlfn.TEXTSPLIT(mvtst[[#This Row],[QR Suivis]],"_"),1,4)</f>
        <v>UNS1020-30</v>
      </c>
      <c r="P667" s="35" t="str">
        <f>INDEX(_xlfn.TEXTSPLIT(mvtst[[#This Row],[QR Suivis]],"_"),1,5)</f>
        <v>UNI SURPIQUE</v>
      </c>
      <c r="Q667" s="35" t="str">
        <f>_xlfn.TEXTAFTER(mvtst[[#This Row],[QR Suivis]],"_",5)</f>
        <v>1020</v>
      </c>
      <c r="R667" s="84" t="str">
        <f>IF(
   COUNTIFS($A$2:A667,A667,
             $B$2:B667,B667,
             $C$2:C667,C667,
             $D$2:D667,D667,
             $G$2:G667,G667)&gt;1,
   "Doublon",
   "Correcte"
)</f>
        <v>Correcte</v>
      </c>
    </row>
    <row r="668" spans="1:18" x14ac:dyDescent="0.25">
      <c r="A668" s="104" t="s">
        <v>1578</v>
      </c>
      <c r="B668" s="35" t="s">
        <v>712</v>
      </c>
      <c r="C668" s="36">
        <v>0</v>
      </c>
      <c r="D668" s="36">
        <v>5</v>
      </c>
      <c r="E668" s="35" t="s">
        <v>699</v>
      </c>
      <c r="F668" s="35" t="s">
        <v>634</v>
      </c>
      <c r="G668" s="37">
        <v>45926.683692129627</v>
      </c>
      <c r="H668" s="37" t="str">
        <f>INDEX(_xlfn.TEXTSPLIT(mvtst[[#This Row],[QR Suivis]],"_"),1,1)</f>
        <v>CA250017-4</v>
      </c>
      <c r="I668" s="35" t="str">
        <f>_xlfn.TEXTBEFORE(mvtst[[#This Row],[Num Suivis]],"-",,,1)</f>
        <v>CA250017</v>
      </c>
      <c r="J668" s="36">
        <f>SUMIF(mvtst[QR Suivis],mvtst[[#This Row],[QR Suivis]],mvtst[QTE SORTIS])-SUMIF(mvtst[QR Suivis],mvtst[[#This Row],[QR Suivis]],mvtst[QTE RETOUR])</f>
        <v>0</v>
      </c>
      <c r="K668" s="35" t="str">
        <f t="shared" si="10"/>
        <v>Usine</v>
      </c>
      <c r="L668" s="35" t="str">
        <f>_xlfn.XLOOKUP(mvtst[[#This Row],[Sous Traitant]],coordonnee_st[Identification],coordonnee_st[SERVICE],"Non Trouvé")</f>
        <v>Frange</v>
      </c>
      <c r="M668" s="35" t="str">
        <f>INDEX(_xlfn.TEXTSPLIT(mvtst[[#This Row],[QR Suivis]],"_"),1,2)</f>
        <v>All by Fouta</v>
      </c>
      <c r="N668" s="35" t="str">
        <f>INDEX(_xlfn.TEXTSPLIT(mvtst[[#This Row],[QR Suivis]],"_"),1,3)</f>
        <v>Stock</v>
      </c>
      <c r="O668" s="35" t="str">
        <f>INDEX(_xlfn.TEXTSPLIT(mvtst[[#This Row],[QR Suivis]],"_"),1,4)</f>
        <v>UNS1020-30</v>
      </c>
      <c r="P668" s="35" t="str">
        <f>INDEX(_xlfn.TEXTSPLIT(mvtst[[#This Row],[QR Suivis]],"_"),1,5)</f>
        <v>UNI SURPIQUE</v>
      </c>
      <c r="Q668" s="35" t="str">
        <f>_xlfn.TEXTAFTER(mvtst[[#This Row],[QR Suivis]],"_",5)</f>
        <v>1020</v>
      </c>
      <c r="R668" s="84" t="str">
        <f>IF(
   COUNTIFS($A$2:A668,A668,
             $B$2:B668,B668,
             $C$2:C668,C668,
             $D$2:D668,D668,
             $G$2:G668,G668)&gt;1,
   "Doublon",
   "Correcte"
)</f>
        <v>Correcte</v>
      </c>
    </row>
    <row r="669" spans="1:18" x14ac:dyDescent="0.25">
      <c r="A669" s="104" t="s">
        <v>1579</v>
      </c>
      <c r="B669" s="35" t="s">
        <v>712</v>
      </c>
      <c r="C669" s="36">
        <v>0</v>
      </c>
      <c r="D669" s="36">
        <v>5</v>
      </c>
      <c r="E669" s="35" t="s">
        <v>699</v>
      </c>
      <c r="F669" s="35" t="s">
        <v>634</v>
      </c>
      <c r="G669" s="37">
        <v>45926.683935185189</v>
      </c>
      <c r="H669" s="37" t="str">
        <f>INDEX(_xlfn.TEXTSPLIT(mvtst[[#This Row],[QR Suivis]],"_"),1,1)</f>
        <v>CA250017-3</v>
      </c>
      <c r="I669" s="35" t="str">
        <f>_xlfn.TEXTBEFORE(mvtst[[#This Row],[Num Suivis]],"-",,,1)</f>
        <v>CA250017</v>
      </c>
      <c r="J669" s="36">
        <f>SUMIF(mvtst[QR Suivis],mvtst[[#This Row],[QR Suivis]],mvtst[QTE SORTIS])-SUMIF(mvtst[QR Suivis],mvtst[[#This Row],[QR Suivis]],mvtst[QTE RETOUR])</f>
        <v>0</v>
      </c>
      <c r="K669" s="35" t="str">
        <f t="shared" si="10"/>
        <v>Usine</v>
      </c>
      <c r="L669" s="35" t="str">
        <f>_xlfn.XLOOKUP(mvtst[[#This Row],[Sous Traitant]],coordonnee_st[Identification],coordonnee_st[SERVICE],"Non Trouvé")</f>
        <v>Frange</v>
      </c>
      <c r="M669" s="35" t="str">
        <f>INDEX(_xlfn.TEXTSPLIT(mvtst[[#This Row],[QR Suivis]],"_"),1,2)</f>
        <v>All by Fouta</v>
      </c>
      <c r="N669" s="35" t="str">
        <f>INDEX(_xlfn.TEXTSPLIT(mvtst[[#This Row],[QR Suivis]],"_"),1,3)</f>
        <v>Stock</v>
      </c>
      <c r="O669" s="35" t="str">
        <f>INDEX(_xlfn.TEXTSPLIT(mvtst[[#This Row],[QR Suivis]],"_"),1,4)</f>
        <v>UNS1020-30</v>
      </c>
      <c r="P669" s="35" t="str">
        <f>INDEX(_xlfn.TEXTSPLIT(mvtst[[#This Row],[QR Suivis]],"_"),1,5)</f>
        <v>UNI SURPIQUE</v>
      </c>
      <c r="Q669" s="35" t="str">
        <f>_xlfn.TEXTAFTER(mvtst[[#This Row],[QR Suivis]],"_",5)</f>
        <v>1020</v>
      </c>
      <c r="R669" s="84" t="str">
        <f>IF(
   COUNTIFS($A$2:A669,A669,
             $B$2:B669,B669,
             $C$2:C669,C669,
             $D$2:D669,D669,
             $G$2:G669,G669)&gt;1,
   "Doublon",
   "Correcte"
)</f>
        <v>Correcte</v>
      </c>
    </row>
    <row r="670" spans="1:18" x14ac:dyDescent="0.25">
      <c r="A670" s="104" t="s">
        <v>1580</v>
      </c>
      <c r="B670" s="35" t="s">
        <v>712</v>
      </c>
      <c r="C670" s="36">
        <v>0</v>
      </c>
      <c r="D670" s="36">
        <v>5</v>
      </c>
      <c r="E670" s="35" t="s">
        <v>699</v>
      </c>
      <c r="F670" s="35" t="s">
        <v>634</v>
      </c>
      <c r="G670" s="37">
        <v>45926.684166666666</v>
      </c>
      <c r="H670" s="37" t="str">
        <f>INDEX(_xlfn.TEXTSPLIT(mvtst[[#This Row],[QR Suivis]],"_"),1,1)</f>
        <v>CA250017-7</v>
      </c>
      <c r="I670" s="35" t="str">
        <f>_xlfn.TEXTBEFORE(mvtst[[#This Row],[Num Suivis]],"-",,,1)</f>
        <v>CA250017</v>
      </c>
      <c r="J670" s="36">
        <f>SUMIF(mvtst[QR Suivis],mvtst[[#This Row],[QR Suivis]],mvtst[QTE SORTIS])-SUMIF(mvtst[QR Suivis],mvtst[[#This Row],[QR Suivis]],mvtst[QTE RETOUR])</f>
        <v>0</v>
      </c>
      <c r="K670" s="35" t="str">
        <f t="shared" si="10"/>
        <v>Usine</v>
      </c>
      <c r="L670" s="35" t="str">
        <f>_xlfn.XLOOKUP(mvtst[[#This Row],[Sous Traitant]],coordonnee_st[Identification],coordonnee_st[SERVICE],"Non Trouvé")</f>
        <v>Frange</v>
      </c>
      <c r="M670" s="35" t="str">
        <f>INDEX(_xlfn.TEXTSPLIT(mvtst[[#This Row],[QR Suivis]],"_"),1,2)</f>
        <v>All by Fouta</v>
      </c>
      <c r="N670" s="35" t="str">
        <f>INDEX(_xlfn.TEXTSPLIT(mvtst[[#This Row],[QR Suivis]],"_"),1,3)</f>
        <v>Stock</v>
      </c>
      <c r="O670" s="35" t="str">
        <f>INDEX(_xlfn.TEXTSPLIT(mvtst[[#This Row],[QR Suivis]],"_"),1,4)</f>
        <v>UNS1020-30</v>
      </c>
      <c r="P670" s="35" t="str">
        <f>INDEX(_xlfn.TEXTSPLIT(mvtst[[#This Row],[QR Suivis]],"_"),1,5)</f>
        <v>UNI SURPIQUE</v>
      </c>
      <c r="Q670" s="35" t="str">
        <f>_xlfn.TEXTAFTER(mvtst[[#This Row],[QR Suivis]],"_",5)</f>
        <v>1020</v>
      </c>
      <c r="R670" s="84" t="str">
        <f>IF(
   COUNTIFS($A$2:A670,A670,
             $B$2:B670,B670,
             $C$2:C670,C670,
             $D$2:D670,D670,
             $G$2:G670,G670)&gt;1,
   "Doublon",
   "Correcte"
)</f>
        <v>Correcte</v>
      </c>
    </row>
    <row r="671" spans="1:18" x14ac:dyDescent="0.25">
      <c r="A671" s="104" t="s">
        <v>1581</v>
      </c>
      <c r="B671" s="35" t="s">
        <v>712</v>
      </c>
      <c r="C671" s="36">
        <v>0</v>
      </c>
      <c r="D671" s="36">
        <v>5</v>
      </c>
      <c r="E671" s="35" t="s">
        <v>699</v>
      </c>
      <c r="F671" s="35" t="s">
        <v>634</v>
      </c>
      <c r="G671" s="37">
        <v>45926.684421296297</v>
      </c>
      <c r="H671" s="37" t="str">
        <f>INDEX(_xlfn.TEXTSPLIT(mvtst[[#This Row],[QR Suivis]],"_"),1,1)</f>
        <v>CA250017-1</v>
      </c>
      <c r="I671" s="35" t="str">
        <f>_xlfn.TEXTBEFORE(mvtst[[#This Row],[Num Suivis]],"-",,,1)</f>
        <v>CA250017</v>
      </c>
      <c r="J671" s="36">
        <f>SUMIF(mvtst[QR Suivis],mvtst[[#This Row],[QR Suivis]],mvtst[QTE SORTIS])-SUMIF(mvtst[QR Suivis],mvtst[[#This Row],[QR Suivis]],mvtst[QTE RETOUR])</f>
        <v>0</v>
      </c>
      <c r="K671" s="35" t="str">
        <f t="shared" si="10"/>
        <v>Usine</v>
      </c>
      <c r="L671" s="35" t="str">
        <f>_xlfn.XLOOKUP(mvtst[[#This Row],[Sous Traitant]],coordonnee_st[Identification],coordonnee_st[SERVICE],"Non Trouvé")</f>
        <v>Frange</v>
      </c>
      <c r="M671" s="35" t="str">
        <f>INDEX(_xlfn.TEXTSPLIT(mvtst[[#This Row],[QR Suivis]],"_"),1,2)</f>
        <v>All by Fouta</v>
      </c>
      <c r="N671" s="35" t="str">
        <f>INDEX(_xlfn.TEXTSPLIT(mvtst[[#This Row],[QR Suivis]],"_"),1,3)</f>
        <v>Stock</v>
      </c>
      <c r="O671" s="35" t="str">
        <f>INDEX(_xlfn.TEXTSPLIT(mvtst[[#This Row],[QR Suivis]],"_"),1,4)</f>
        <v>UNS1020-30</v>
      </c>
      <c r="P671" s="35" t="str">
        <f>INDEX(_xlfn.TEXTSPLIT(mvtst[[#This Row],[QR Suivis]],"_"),1,5)</f>
        <v>UNI SURPIQUE</v>
      </c>
      <c r="Q671" s="35" t="str">
        <f>_xlfn.TEXTAFTER(mvtst[[#This Row],[QR Suivis]],"_",5)</f>
        <v>1020</v>
      </c>
      <c r="R671" s="84" t="str">
        <f>IF(
   COUNTIFS($A$2:A671,A671,
             $B$2:B671,B671,
             $C$2:C671,C671,
             $D$2:D671,D671,
             $G$2:G671,G671)&gt;1,
   "Doublon",
   "Correcte"
)</f>
        <v>Correcte</v>
      </c>
    </row>
    <row r="672" spans="1:18" x14ac:dyDescent="0.25">
      <c r="A672" s="104" t="s">
        <v>1582</v>
      </c>
      <c r="B672" s="35" t="s">
        <v>712</v>
      </c>
      <c r="C672" s="36">
        <v>0</v>
      </c>
      <c r="D672" s="36">
        <v>5</v>
      </c>
      <c r="E672" s="35" t="s">
        <v>699</v>
      </c>
      <c r="F672" s="35" t="s">
        <v>634</v>
      </c>
      <c r="G672" s="37">
        <v>45926.684733796297</v>
      </c>
      <c r="H672" s="37" t="str">
        <f>INDEX(_xlfn.TEXTSPLIT(mvtst[[#This Row],[QR Suivis]],"_"),1,1)</f>
        <v>CA250017-12</v>
      </c>
      <c r="I672" s="35" t="str">
        <f>_xlfn.TEXTBEFORE(mvtst[[#This Row],[Num Suivis]],"-",,,1)</f>
        <v>CA250017</v>
      </c>
      <c r="J672" s="36">
        <f>SUMIF(mvtst[QR Suivis],mvtst[[#This Row],[QR Suivis]],mvtst[QTE SORTIS])-SUMIF(mvtst[QR Suivis],mvtst[[#This Row],[QR Suivis]],mvtst[QTE RETOUR])</f>
        <v>0</v>
      </c>
      <c r="K672" s="35" t="str">
        <f t="shared" si="10"/>
        <v>Usine</v>
      </c>
      <c r="L672" s="35" t="str">
        <f>_xlfn.XLOOKUP(mvtst[[#This Row],[Sous Traitant]],coordonnee_st[Identification],coordonnee_st[SERVICE],"Non Trouvé")</f>
        <v>Frange</v>
      </c>
      <c r="M672" s="35" t="str">
        <f>INDEX(_xlfn.TEXTSPLIT(mvtst[[#This Row],[QR Suivis]],"_"),1,2)</f>
        <v>All by Fouta</v>
      </c>
      <c r="N672" s="35" t="str">
        <f>INDEX(_xlfn.TEXTSPLIT(mvtst[[#This Row],[QR Suivis]],"_"),1,3)</f>
        <v>Stock</v>
      </c>
      <c r="O672" s="35" t="str">
        <f>INDEX(_xlfn.TEXTSPLIT(mvtst[[#This Row],[QR Suivis]],"_"),1,4)</f>
        <v>UNS1020-30</v>
      </c>
      <c r="P672" s="35" t="str">
        <f>INDEX(_xlfn.TEXTSPLIT(mvtst[[#This Row],[QR Suivis]],"_"),1,5)</f>
        <v>UNI SURPIQUE</v>
      </c>
      <c r="Q672" s="35" t="str">
        <f>_xlfn.TEXTAFTER(mvtst[[#This Row],[QR Suivis]],"_",5)</f>
        <v>1020</v>
      </c>
      <c r="R672" s="84" t="str">
        <f>IF(
   COUNTIFS($A$2:A672,A672,
             $B$2:B672,B672,
             $C$2:C672,C672,
             $D$2:D672,D672,
             $G$2:G672,G672)&gt;1,
   "Doublon",
   "Correcte"
)</f>
        <v>Correcte</v>
      </c>
    </row>
    <row r="673" spans="1:18" x14ac:dyDescent="0.25">
      <c r="A673" s="104" t="s">
        <v>1583</v>
      </c>
      <c r="B673" s="35" t="s">
        <v>712</v>
      </c>
      <c r="C673" s="36">
        <v>0</v>
      </c>
      <c r="D673" s="36">
        <v>5</v>
      </c>
      <c r="E673" s="35" t="s">
        <v>699</v>
      </c>
      <c r="F673" s="35" t="s">
        <v>634</v>
      </c>
      <c r="G673" s="37">
        <v>45926.685115740744</v>
      </c>
      <c r="H673" s="37" t="str">
        <f>INDEX(_xlfn.TEXTSPLIT(mvtst[[#This Row],[QR Suivis]],"_"),1,1)</f>
        <v>CA250017-11</v>
      </c>
      <c r="I673" s="35" t="str">
        <f>_xlfn.TEXTBEFORE(mvtst[[#This Row],[Num Suivis]],"-",,,1)</f>
        <v>CA250017</v>
      </c>
      <c r="J673" s="36">
        <f>SUMIF(mvtst[QR Suivis],mvtst[[#This Row],[QR Suivis]],mvtst[QTE SORTIS])-SUMIF(mvtst[QR Suivis],mvtst[[#This Row],[QR Suivis]],mvtst[QTE RETOUR])</f>
        <v>0</v>
      </c>
      <c r="K673" s="35" t="str">
        <f t="shared" si="10"/>
        <v>Usine</v>
      </c>
      <c r="L673" s="35" t="str">
        <f>_xlfn.XLOOKUP(mvtst[[#This Row],[Sous Traitant]],coordonnee_st[Identification],coordonnee_st[SERVICE],"Non Trouvé")</f>
        <v>Frange</v>
      </c>
      <c r="M673" s="35" t="str">
        <f>INDEX(_xlfn.TEXTSPLIT(mvtst[[#This Row],[QR Suivis]],"_"),1,2)</f>
        <v>All by Fouta</v>
      </c>
      <c r="N673" s="35" t="str">
        <f>INDEX(_xlfn.TEXTSPLIT(mvtst[[#This Row],[QR Suivis]],"_"),1,3)</f>
        <v>Stock</v>
      </c>
      <c r="O673" s="35" t="str">
        <f>INDEX(_xlfn.TEXTSPLIT(mvtst[[#This Row],[QR Suivis]],"_"),1,4)</f>
        <v>UNS1020-30</v>
      </c>
      <c r="P673" s="35" t="str">
        <f>INDEX(_xlfn.TEXTSPLIT(mvtst[[#This Row],[QR Suivis]],"_"),1,5)</f>
        <v>UNI SURPIQUE</v>
      </c>
      <c r="Q673" s="35" t="str">
        <f>_xlfn.TEXTAFTER(mvtst[[#This Row],[QR Suivis]],"_",5)</f>
        <v>1020</v>
      </c>
      <c r="R673" s="84" t="str">
        <f>IF(
   COUNTIFS($A$2:A673,A673,
             $B$2:B673,B673,
             $C$2:C673,C673,
             $D$2:D673,D673,
             $G$2:G673,G673)&gt;1,
   "Doublon",
   "Correcte"
)</f>
        <v>Correcte</v>
      </c>
    </row>
    <row r="674" spans="1:18" x14ac:dyDescent="0.25">
      <c r="A674" s="104" t="s">
        <v>1584</v>
      </c>
      <c r="B674" s="35" t="s">
        <v>712</v>
      </c>
      <c r="C674" s="36">
        <v>0</v>
      </c>
      <c r="D674" s="36">
        <v>5</v>
      </c>
      <c r="E674" s="35" t="s">
        <v>699</v>
      </c>
      <c r="F674" s="35" t="s">
        <v>634</v>
      </c>
      <c r="G674" s="37">
        <v>45926.68545138889</v>
      </c>
      <c r="H674" s="37" t="str">
        <f>INDEX(_xlfn.TEXTSPLIT(mvtst[[#This Row],[QR Suivis]],"_"),1,1)</f>
        <v>CA250017-6</v>
      </c>
      <c r="I674" s="35" t="str">
        <f>_xlfn.TEXTBEFORE(mvtst[[#This Row],[Num Suivis]],"-",,,1)</f>
        <v>CA250017</v>
      </c>
      <c r="J674" s="36">
        <f>SUMIF(mvtst[QR Suivis],mvtst[[#This Row],[QR Suivis]],mvtst[QTE SORTIS])-SUMIF(mvtst[QR Suivis],mvtst[[#This Row],[QR Suivis]],mvtst[QTE RETOUR])</f>
        <v>0</v>
      </c>
      <c r="K674" s="35" t="str">
        <f t="shared" si="10"/>
        <v>Usine</v>
      </c>
      <c r="L674" s="35" t="str">
        <f>_xlfn.XLOOKUP(mvtst[[#This Row],[Sous Traitant]],coordonnee_st[Identification],coordonnee_st[SERVICE],"Non Trouvé")</f>
        <v>Frange</v>
      </c>
      <c r="M674" s="35" t="str">
        <f>INDEX(_xlfn.TEXTSPLIT(mvtst[[#This Row],[QR Suivis]],"_"),1,2)</f>
        <v>All by Fouta</v>
      </c>
      <c r="N674" s="35" t="str">
        <f>INDEX(_xlfn.TEXTSPLIT(mvtst[[#This Row],[QR Suivis]],"_"),1,3)</f>
        <v>Stock</v>
      </c>
      <c r="O674" s="35" t="str">
        <f>INDEX(_xlfn.TEXTSPLIT(mvtst[[#This Row],[QR Suivis]],"_"),1,4)</f>
        <v>UNS1020-30</v>
      </c>
      <c r="P674" s="35" t="str">
        <f>INDEX(_xlfn.TEXTSPLIT(mvtst[[#This Row],[QR Suivis]],"_"),1,5)</f>
        <v>UNI SURPIQUE</v>
      </c>
      <c r="Q674" s="35" t="str">
        <f>_xlfn.TEXTAFTER(mvtst[[#This Row],[QR Suivis]],"_",5)</f>
        <v>1020</v>
      </c>
      <c r="R674" s="84" t="str">
        <f>IF(
   COUNTIFS($A$2:A674,A674,
             $B$2:B674,B674,
             $C$2:C674,C674,
             $D$2:D674,D674,
             $G$2:G674,G674)&gt;1,
   "Doublon",
   "Correcte"
)</f>
        <v>Correcte</v>
      </c>
    </row>
    <row r="675" spans="1:18" x14ac:dyDescent="0.25">
      <c r="A675" s="104" t="s">
        <v>1585</v>
      </c>
      <c r="B675" s="35" t="s">
        <v>712</v>
      </c>
      <c r="C675" s="36">
        <v>0</v>
      </c>
      <c r="D675" s="36">
        <v>5</v>
      </c>
      <c r="E675" s="35" t="s">
        <v>699</v>
      </c>
      <c r="F675" s="35" t="s">
        <v>634</v>
      </c>
      <c r="G675" s="37">
        <v>45926.685787037037</v>
      </c>
      <c r="H675" s="37" t="str">
        <f>INDEX(_xlfn.TEXTSPLIT(mvtst[[#This Row],[QR Suivis]],"_"),1,1)</f>
        <v>CA250017-9</v>
      </c>
      <c r="I675" s="35" t="str">
        <f>_xlfn.TEXTBEFORE(mvtst[[#This Row],[Num Suivis]],"-",,,1)</f>
        <v>CA250017</v>
      </c>
      <c r="J675" s="36">
        <f>SUMIF(mvtst[QR Suivis],mvtst[[#This Row],[QR Suivis]],mvtst[QTE SORTIS])-SUMIF(mvtst[QR Suivis],mvtst[[#This Row],[QR Suivis]],mvtst[QTE RETOUR])</f>
        <v>0</v>
      </c>
      <c r="K675" s="35" t="str">
        <f t="shared" si="10"/>
        <v>Usine</v>
      </c>
      <c r="L675" s="35" t="str">
        <f>_xlfn.XLOOKUP(mvtst[[#This Row],[Sous Traitant]],coordonnee_st[Identification],coordonnee_st[SERVICE],"Non Trouvé")</f>
        <v>Frange</v>
      </c>
      <c r="M675" s="35" t="str">
        <f>INDEX(_xlfn.TEXTSPLIT(mvtst[[#This Row],[QR Suivis]],"_"),1,2)</f>
        <v>All by Fouta</v>
      </c>
      <c r="N675" s="35" t="str">
        <f>INDEX(_xlfn.TEXTSPLIT(mvtst[[#This Row],[QR Suivis]],"_"),1,3)</f>
        <v>Stock</v>
      </c>
      <c r="O675" s="35" t="str">
        <f>INDEX(_xlfn.TEXTSPLIT(mvtst[[#This Row],[QR Suivis]],"_"),1,4)</f>
        <v>UNS1020-30</v>
      </c>
      <c r="P675" s="35" t="str">
        <f>INDEX(_xlfn.TEXTSPLIT(mvtst[[#This Row],[QR Suivis]],"_"),1,5)</f>
        <v>UNI SURPIQUE</v>
      </c>
      <c r="Q675" s="35" t="str">
        <f>_xlfn.TEXTAFTER(mvtst[[#This Row],[QR Suivis]],"_",5)</f>
        <v>1020</v>
      </c>
      <c r="R675" s="84" t="str">
        <f>IF(
   COUNTIFS($A$2:A675,A675,
             $B$2:B675,B675,
             $C$2:C675,C675,
             $D$2:D675,D675,
             $G$2:G675,G675)&gt;1,
   "Doublon",
   "Correcte"
)</f>
        <v>Correcte</v>
      </c>
    </row>
    <row r="676" spans="1:18" x14ac:dyDescent="0.25">
      <c r="A676" s="104" t="s">
        <v>1586</v>
      </c>
      <c r="B676" s="35" t="s">
        <v>712</v>
      </c>
      <c r="C676" s="36">
        <v>0</v>
      </c>
      <c r="D676" s="36">
        <v>5</v>
      </c>
      <c r="E676" s="35" t="s">
        <v>699</v>
      </c>
      <c r="F676" s="35" t="s">
        <v>634</v>
      </c>
      <c r="G676" s="37">
        <v>45926.686076388891</v>
      </c>
      <c r="H676" s="37" t="str">
        <f>INDEX(_xlfn.TEXTSPLIT(mvtst[[#This Row],[QR Suivis]],"_"),1,1)</f>
        <v>CA250017-10</v>
      </c>
      <c r="I676" s="35" t="str">
        <f>_xlfn.TEXTBEFORE(mvtst[[#This Row],[Num Suivis]],"-",,,1)</f>
        <v>CA250017</v>
      </c>
      <c r="J676" s="36">
        <f>SUMIF(mvtst[QR Suivis],mvtst[[#This Row],[QR Suivis]],mvtst[QTE SORTIS])-SUMIF(mvtst[QR Suivis],mvtst[[#This Row],[QR Suivis]],mvtst[QTE RETOUR])</f>
        <v>0</v>
      </c>
      <c r="K676" s="35" t="str">
        <f t="shared" si="10"/>
        <v>Usine</v>
      </c>
      <c r="L676" s="35" t="str">
        <f>_xlfn.XLOOKUP(mvtst[[#This Row],[Sous Traitant]],coordonnee_st[Identification],coordonnee_st[SERVICE],"Non Trouvé")</f>
        <v>Frange</v>
      </c>
      <c r="M676" s="35" t="str">
        <f>INDEX(_xlfn.TEXTSPLIT(mvtst[[#This Row],[QR Suivis]],"_"),1,2)</f>
        <v>All by Fouta</v>
      </c>
      <c r="N676" s="35" t="str">
        <f>INDEX(_xlfn.TEXTSPLIT(mvtst[[#This Row],[QR Suivis]],"_"),1,3)</f>
        <v>Stock</v>
      </c>
      <c r="O676" s="35" t="str">
        <f>INDEX(_xlfn.TEXTSPLIT(mvtst[[#This Row],[QR Suivis]],"_"),1,4)</f>
        <v>UNS1020-30</v>
      </c>
      <c r="P676" s="35" t="str">
        <f>INDEX(_xlfn.TEXTSPLIT(mvtst[[#This Row],[QR Suivis]],"_"),1,5)</f>
        <v>UNI SURPIQUE</v>
      </c>
      <c r="Q676" s="35" t="str">
        <f>_xlfn.TEXTAFTER(mvtst[[#This Row],[QR Suivis]],"_",5)</f>
        <v>1020</v>
      </c>
      <c r="R676" s="84" t="str">
        <f>IF(
   COUNTIFS($A$2:A676,A676,
             $B$2:B676,B676,
             $C$2:C676,C676,
             $D$2:D676,D676,
             $G$2:G676,G676)&gt;1,
   "Doublon",
   "Correcte"
)</f>
        <v>Correcte</v>
      </c>
    </row>
    <row r="677" spans="1:18" x14ac:dyDescent="0.25">
      <c r="A677" s="104" t="s">
        <v>1552</v>
      </c>
      <c r="B677" s="35" t="s">
        <v>713</v>
      </c>
      <c r="C677" s="36">
        <v>0</v>
      </c>
      <c r="D677" s="36">
        <v>40</v>
      </c>
      <c r="E677" s="35"/>
      <c r="F677" s="35" t="s">
        <v>634</v>
      </c>
      <c r="G677" s="37">
        <v>45927.421875</v>
      </c>
      <c r="H677" s="37" t="str">
        <f>INDEX(_xlfn.TEXTSPLIT(mvtst[[#This Row],[QR Suivis]],"_"),1,1)</f>
        <v>OF246516</v>
      </c>
      <c r="I677" s="35" t="str">
        <f>_xlfn.TEXTBEFORE(mvtst[[#This Row],[Num Suivis]],"-",,,1)</f>
        <v>OF246516</v>
      </c>
      <c r="J677" s="36">
        <f>SUMIF(mvtst[QR Suivis],mvtst[[#This Row],[QR Suivis]],mvtst[QTE SORTIS])-SUMIF(mvtst[QR Suivis],mvtst[[#This Row],[QR Suivis]],mvtst[QTE RETOUR])</f>
        <v>0</v>
      </c>
      <c r="K677" s="35" t="str">
        <f t="shared" si="10"/>
        <v>Usine</v>
      </c>
      <c r="L677" s="35" t="str">
        <f>_xlfn.XLOOKUP(mvtst[[#This Row],[Sous Traitant]],coordonnee_st[Identification],coordonnee_st[SERVICE],"Non Trouvé")</f>
        <v>Couture</v>
      </c>
      <c r="M677" s="35" t="str">
        <f>INDEX(_xlfn.TEXTSPLIT(mvtst[[#This Row],[QR Suivis]],"_"),1,2)</f>
        <v>CL00296</v>
      </c>
      <c r="N677" s="35" t="str">
        <f>INDEX(_xlfn.TEXTSPLIT(mvtst[[#This Row],[QR Suivis]],"_"),1,3)</f>
        <v>CM-FT0108</v>
      </c>
      <c r="O677" s="35" t="str">
        <f>INDEX(_xlfn.TEXTSPLIT(mvtst[[#This Row],[QR Suivis]],"_"),1,4)</f>
        <v>SACF0507-12</v>
      </c>
      <c r="P677" s="35" t="str">
        <f>INDEX(_xlfn.TEXTSPLIT(mvtst[[#This Row],[QR Suivis]],"_"),1,5)</f>
        <v>SAC FOUTA</v>
      </c>
      <c r="Q677" s="35" t="str">
        <f>_xlfn.TEXTAFTER(mvtst[[#This Row],[QR Suivis]],"_",5)</f>
        <v>0507</v>
      </c>
      <c r="R677" s="84" t="str">
        <f>IF(
   COUNTIFS($A$2:A677,A677,
             $B$2:B677,B677,
             $C$2:C677,C677,
             $D$2:D677,D677,
             $G$2:G677,G677)&gt;1,
   "Doublon",
   "Correcte"
)</f>
        <v>Correcte</v>
      </c>
    </row>
    <row r="678" spans="1:18" x14ac:dyDescent="0.25">
      <c r="A678" s="104" t="s">
        <v>1553</v>
      </c>
      <c r="B678" s="35" t="s">
        <v>713</v>
      </c>
      <c r="C678" s="36">
        <v>0</v>
      </c>
      <c r="D678" s="36">
        <v>40</v>
      </c>
      <c r="E678" s="35" t="s">
        <v>699</v>
      </c>
      <c r="F678" s="35" t="s">
        <v>634</v>
      </c>
      <c r="G678" s="37">
        <v>45927.421875</v>
      </c>
      <c r="H678" s="37" t="str">
        <f>INDEX(_xlfn.TEXTSPLIT(mvtst[[#This Row],[QR Suivis]],"_"),1,1)</f>
        <v>OF246515</v>
      </c>
      <c r="I678" s="35" t="str">
        <f>_xlfn.TEXTBEFORE(mvtst[[#This Row],[Num Suivis]],"-",,,1)</f>
        <v>OF246515</v>
      </c>
      <c r="J678" s="36">
        <f>SUMIF(mvtst[QR Suivis],mvtst[[#This Row],[QR Suivis]],mvtst[QTE SORTIS])-SUMIF(mvtst[QR Suivis],mvtst[[#This Row],[QR Suivis]],mvtst[QTE RETOUR])</f>
        <v>0</v>
      </c>
      <c r="K678" s="35" t="str">
        <f t="shared" si="10"/>
        <v>Usine</v>
      </c>
      <c r="L678" s="35" t="str">
        <f>_xlfn.XLOOKUP(mvtst[[#This Row],[Sous Traitant]],coordonnee_st[Identification],coordonnee_st[SERVICE],"Non Trouvé")</f>
        <v>Couture</v>
      </c>
      <c r="M678" s="35" t="str">
        <f>INDEX(_xlfn.TEXTSPLIT(mvtst[[#This Row],[QR Suivis]],"_"),1,2)</f>
        <v>CL00296</v>
      </c>
      <c r="N678" s="35" t="str">
        <f>INDEX(_xlfn.TEXTSPLIT(mvtst[[#This Row],[QR Suivis]],"_"),1,3)</f>
        <v>CM-FT0108</v>
      </c>
      <c r="O678" s="35" t="str">
        <f>INDEX(_xlfn.TEXTSPLIT(mvtst[[#This Row],[QR Suivis]],"_"),1,4)</f>
        <v>NDL1020-B12-01</v>
      </c>
      <c r="P678" s="35" t="str">
        <f>INDEX(_xlfn.TEXTSPLIT(mvtst[[#This Row],[QR Suivis]],"_"),1,5)</f>
        <v>ND LILI</v>
      </c>
      <c r="Q678" s="35" t="str">
        <f>_xlfn.TEXTAFTER(mvtst[[#This Row],[QR Suivis]],"_",5)</f>
        <v>1020</v>
      </c>
      <c r="R678" s="84" t="str">
        <f>IF(
   COUNTIFS($A$2:A678,A678,
             $B$2:B678,B678,
             $C$2:C678,C678,
             $D$2:D678,D678,
             $G$2:G678,G678)&gt;1,
   "Doublon",
   "Correcte"
)</f>
        <v>Correcte</v>
      </c>
    </row>
    <row r="679" spans="1:18" x14ac:dyDescent="0.25">
      <c r="A679" s="104" t="s">
        <v>1725</v>
      </c>
      <c r="B679" s="35" t="s">
        <v>595</v>
      </c>
      <c r="C679" s="36">
        <v>2</v>
      </c>
      <c r="D679" s="36">
        <v>0</v>
      </c>
      <c r="E679" s="35" t="s">
        <v>699</v>
      </c>
      <c r="F679" s="35" t="s">
        <v>634</v>
      </c>
      <c r="G679" s="37">
        <v>45927.462743055556</v>
      </c>
      <c r="H679" s="37" t="str">
        <f>INDEX(_xlfn.TEXTSPLIT(mvtst[[#This Row],[QR Suivis]],"_"),1,1)</f>
        <v>OF250131-1</v>
      </c>
      <c r="I679" s="35" t="str">
        <f>_xlfn.TEXTBEFORE(mvtst[[#This Row],[Num Suivis]],"-",,,1)</f>
        <v>OF250131</v>
      </c>
      <c r="J679" s="36">
        <f>SUMIF(mvtst[QR Suivis],mvtst[[#This Row],[QR Suivis]],mvtst[QTE SORTIS])-SUMIF(mvtst[QR Suivis],mvtst[[#This Row],[QR Suivis]],mvtst[QTE RETOUR])</f>
        <v>0</v>
      </c>
      <c r="K679" s="35" t="str">
        <f t="shared" si="10"/>
        <v>Usine</v>
      </c>
      <c r="L679" s="35" t="str">
        <f>_xlfn.XLOOKUP(mvtst[[#This Row],[Sous Traitant]],coordonnee_st[Identification],coordonnee_st[SERVICE],"Non Trouvé")</f>
        <v>Frange</v>
      </c>
      <c r="M679" s="35" t="str">
        <f>INDEX(_xlfn.TEXTSPLIT(mvtst[[#This Row],[QR Suivis]],"_"),1,2)</f>
        <v>CL00162</v>
      </c>
      <c r="N679" s="35" t="str">
        <f>INDEX(_xlfn.TEXTSPLIT(mvtst[[#This Row],[QR Suivis]],"_"),1,3)</f>
        <v>CM-FT0130</v>
      </c>
      <c r="O679" s="35" t="str">
        <f>INDEX(_xlfn.TEXTSPLIT(mvtst[[#This Row],[QR Suivis]],"_"),1,4)</f>
        <v>GIN2426-B12-03</v>
      </c>
      <c r="P679" s="35" t="str">
        <f>INDEX(_xlfn.TEXTSPLIT(mvtst[[#This Row],[QR Suivis]],"_"),1,5)</f>
        <v>GINKO</v>
      </c>
      <c r="Q679" s="35" t="str">
        <f>_xlfn.TEXTAFTER(mvtst[[#This Row],[QR Suivis]],"_",5)</f>
        <v>2426</v>
      </c>
      <c r="R679" s="84" t="str">
        <f>IF(
   COUNTIFS($A$2:A679,A679,
             $B$2:B679,B679,
             $C$2:C679,C679,
             $D$2:D679,D679,
             $G$2:G679,G679)&gt;1,
   "Doublon",
   "Correcte"
)</f>
        <v>Correcte</v>
      </c>
    </row>
    <row r="680" spans="1:18" x14ac:dyDescent="0.25">
      <c r="A680" s="104" t="s">
        <v>1726</v>
      </c>
      <c r="B680" s="35" t="s">
        <v>595</v>
      </c>
      <c r="C680" s="36">
        <v>2</v>
      </c>
      <c r="D680" s="36">
        <v>0</v>
      </c>
      <c r="E680" s="35" t="s">
        <v>699</v>
      </c>
      <c r="F680" s="35" t="s">
        <v>634</v>
      </c>
      <c r="G680" s="37">
        <v>45927.463067129633</v>
      </c>
      <c r="H680" s="37" t="str">
        <f>INDEX(_xlfn.TEXTSPLIT(mvtst[[#This Row],[QR Suivis]],"_"),1,1)</f>
        <v>OF250130-2</v>
      </c>
      <c r="I680" s="35" t="str">
        <f>_xlfn.TEXTBEFORE(mvtst[[#This Row],[Num Suivis]],"-",,,1)</f>
        <v>OF250130</v>
      </c>
      <c r="J680" s="36">
        <f>SUMIF(mvtst[QR Suivis],mvtst[[#This Row],[QR Suivis]],mvtst[QTE SORTIS])-SUMIF(mvtst[QR Suivis],mvtst[[#This Row],[QR Suivis]],mvtst[QTE RETOUR])</f>
        <v>0</v>
      </c>
      <c r="K680" s="35" t="str">
        <f t="shared" si="10"/>
        <v>Usine</v>
      </c>
      <c r="L680" s="35" t="str">
        <f>_xlfn.XLOOKUP(mvtst[[#This Row],[Sous Traitant]],coordonnee_st[Identification],coordonnee_st[SERVICE],"Non Trouvé")</f>
        <v>Frange</v>
      </c>
      <c r="M680" s="35" t="str">
        <f>INDEX(_xlfn.TEXTSPLIT(mvtst[[#This Row],[QR Suivis]],"_"),1,2)</f>
        <v>CL00162</v>
      </c>
      <c r="N680" s="35" t="str">
        <f>INDEX(_xlfn.TEXTSPLIT(mvtst[[#This Row],[QR Suivis]],"_"),1,3)</f>
        <v>CM-FT0130</v>
      </c>
      <c r="O680" s="35" t="str">
        <f>INDEX(_xlfn.TEXTSPLIT(mvtst[[#This Row],[QR Suivis]],"_"),1,4)</f>
        <v>GIN2426-B03-02</v>
      </c>
      <c r="P680" s="35" t="str">
        <f>INDEX(_xlfn.TEXTSPLIT(mvtst[[#This Row],[QR Suivis]],"_"),1,5)</f>
        <v>GINKO</v>
      </c>
      <c r="Q680" s="35" t="str">
        <f>_xlfn.TEXTAFTER(mvtst[[#This Row],[QR Suivis]],"_",5)</f>
        <v>2426</v>
      </c>
      <c r="R680" s="84" t="str">
        <f>IF(
   COUNTIFS($A$2:A680,A680,
             $B$2:B680,B680,
             $C$2:C680,C680,
             $D$2:D680,D680,
             $G$2:G680,G680)&gt;1,
   "Doublon",
   "Correcte"
)</f>
        <v>Correcte</v>
      </c>
    </row>
    <row r="681" spans="1:18" x14ac:dyDescent="0.25">
      <c r="A681" s="104" t="s">
        <v>1727</v>
      </c>
      <c r="B681" s="35" t="s">
        <v>595</v>
      </c>
      <c r="C681" s="36">
        <v>1</v>
      </c>
      <c r="D681" s="36">
        <v>0</v>
      </c>
      <c r="E681" s="35" t="s">
        <v>699</v>
      </c>
      <c r="F681" s="35" t="s">
        <v>634</v>
      </c>
      <c r="G681" s="37">
        <v>45927.46329861111</v>
      </c>
      <c r="H681" s="37" t="str">
        <f>INDEX(_xlfn.TEXTSPLIT(mvtst[[#This Row],[QR Suivis]],"_"),1,1)</f>
        <v>OF250130-3</v>
      </c>
      <c r="I681" s="35" t="str">
        <f>_xlfn.TEXTBEFORE(mvtst[[#This Row],[Num Suivis]],"-",,,1)</f>
        <v>OF250130</v>
      </c>
      <c r="J681" s="36">
        <f>SUMIF(mvtst[QR Suivis],mvtst[[#This Row],[QR Suivis]],mvtst[QTE SORTIS])-SUMIF(mvtst[QR Suivis],mvtst[[#This Row],[QR Suivis]],mvtst[QTE RETOUR])</f>
        <v>0</v>
      </c>
      <c r="K681" s="35" t="str">
        <f t="shared" si="10"/>
        <v>Usine</v>
      </c>
      <c r="L681" s="35" t="str">
        <f>_xlfn.XLOOKUP(mvtst[[#This Row],[Sous Traitant]],coordonnee_st[Identification],coordonnee_st[SERVICE],"Non Trouvé")</f>
        <v>Frange</v>
      </c>
      <c r="M681" s="35" t="str">
        <f>INDEX(_xlfn.TEXTSPLIT(mvtst[[#This Row],[QR Suivis]],"_"),1,2)</f>
        <v>CL00162</v>
      </c>
      <c r="N681" s="35" t="str">
        <f>INDEX(_xlfn.TEXTSPLIT(mvtst[[#This Row],[QR Suivis]],"_"),1,3)</f>
        <v>CM-FT0130</v>
      </c>
      <c r="O681" s="35" t="str">
        <f>INDEX(_xlfn.TEXTSPLIT(mvtst[[#This Row],[QR Suivis]],"_"),1,4)</f>
        <v>GIN2426-B03-02</v>
      </c>
      <c r="P681" s="35" t="str">
        <f>INDEX(_xlfn.TEXTSPLIT(mvtst[[#This Row],[QR Suivis]],"_"),1,5)</f>
        <v>GINKO</v>
      </c>
      <c r="Q681" s="35" t="str">
        <f>_xlfn.TEXTAFTER(mvtst[[#This Row],[QR Suivis]],"_",5)</f>
        <v>2426</v>
      </c>
      <c r="R681" s="84" t="str">
        <f>IF(
   COUNTIFS($A$2:A681,A681,
             $B$2:B681,B681,
             $C$2:C681,C681,
             $D$2:D681,D681,
             $G$2:G681,G681)&gt;1,
   "Doublon",
   "Correcte"
)</f>
        <v>Correcte</v>
      </c>
    </row>
    <row r="682" spans="1:18" x14ac:dyDescent="0.25">
      <c r="A682" s="104" t="s">
        <v>1728</v>
      </c>
      <c r="B682" s="35" t="s">
        <v>595</v>
      </c>
      <c r="C682" s="36">
        <v>2</v>
      </c>
      <c r="D682" s="36">
        <v>0</v>
      </c>
      <c r="E682" s="35" t="s">
        <v>699</v>
      </c>
      <c r="F682" s="35" t="s">
        <v>634</v>
      </c>
      <c r="G682" s="37">
        <v>45927.463506944441</v>
      </c>
      <c r="H682" s="37" t="str">
        <f>INDEX(_xlfn.TEXTSPLIT(mvtst[[#This Row],[QR Suivis]],"_"),1,1)</f>
        <v>OF250130-1</v>
      </c>
      <c r="I682" s="35" t="str">
        <f>_xlfn.TEXTBEFORE(mvtst[[#This Row],[Num Suivis]],"-",,,1)</f>
        <v>OF250130</v>
      </c>
      <c r="J682" s="36">
        <f>SUMIF(mvtst[QR Suivis],mvtst[[#This Row],[QR Suivis]],mvtst[QTE SORTIS])-SUMIF(mvtst[QR Suivis],mvtst[[#This Row],[QR Suivis]],mvtst[QTE RETOUR])</f>
        <v>0</v>
      </c>
      <c r="K682" s="35" t="str">
        <f t="shared" si="10"/>
        <v>Usine</v>
      </c>
      <c r="L682" s="35" t="str">
        <f>_xlfn.XLOOKUP(mvtst[[#This Row],[Sous Traitant]],coordonnee_st[Identification],coordonnee_st[SERVICE],"Non Trouvé")</f>
        <v>Frange</v>
      </c>
      <c r="M682" s="35" t="str">
        <f>INDEX(_xlfn.TEXTSPLIT(mvtst[[#This Row],[QR Suivis]],"_"),1,2)</f>
        <v>CL00162</v>
      </c>
      <c r="N682" s="35" t="str">
        <f>INDEX(_xlfn.TEXTSPLIT(mvtst[[#This Row],[QR Suivis]],"_"),1,3)</f>
        <v>CM-FT0130</v>
      </c>
      <c r="O682" s="35" t="str">
        <f>INDEX(_xlfn.TEXTSPLIT(mvtst[[#This Row],[QR Suivis]],"_"),1,4)</f>
        <v>GIN2426-B03-02</v>
      </c>
      <c r="P682" s="35" t="str">
        <f>INDEX(_xlfn.TEXTSPLIT(mvtst[[#This Row],[QR Suivis]],"_"),1,5)</f>
        <v>GINKO</v>
      </c>
      <c r="Q682" s="35" t="str">
        <f>_xlfn.TEXTAFTER(mvtst[[#This Row],[QR Suivis]],"_",5)</f>
        <v>2426</v>
      </c>
      <c r="R682" s="84" t="str">
        <f>IF(
   COUNTIFS($A$2:A682,A682,
             $B$2:B682,B682,
             $C$2:C682,C682,
             $D$2:D682,D682,
             $G$2:G682,G682)&gt;1,
   "Doublon",
   "Correcte"
)</f>
        <v>Correcte</v>
      </c>
    </row>
    <row r="683" spans="1:18" x14ac:dyDescent="0.25">
      <c r="A683" s="104" t="s">
        <v>1686</v>
      </c>
      <c r="B683" s="35" t="s">
        <v>595</v>
      </c>
      <c r="C683" s="36">
        <v>0</v>
      </c>
      <c r="D683" s="36">
        <v>2</v>
      </c>
      <c r="E683" s="35" t="s">
        <v>699</v>
      </c>
      <c r="F683" s="35" t="s">
        <v>634</v>
      </c>
      <c r="G683" s="37">
        <v>45927.484479166669</v>
      </c>
      <c r="H683" s="37" t="str">
        <f>INDEX(_xlfn.TEXTSPLIT(mvtst[[#This Row],[QR Suivis]],"_"),1,1)</f>
        <v>OF250132-2</v>
      </c>
      <c r="I683" s="35" t="str">
        <f>_xlfn.TEXTBEFORE(mvtst[[#This Row],[Num Suivis]],"-",,,1)</f>
        <v>OF250132</v>
      </c>
      <c r="J683" s="36">
        <f>SUMIF(mvtst[QR Suivis],mvtst[[#This Row],[QR Suivis]],mvtst[QTE SORTIS])-SUMIF(mvtst[QR Suivis],mvtst[[#This Row],[QR Suivis]],mvtst[QTE RETOUR])</f>
        <v>0</v>
      </c>
      <c r="K683" s="35" t="str">
        <f t="shared" si="10"/>
        <v>Usine</v>
      </c>
      <c r="L683" s="35" t="str">
        <f>_xlfn.XLOOKUP(mvtst[[#This Row],[Sous Traitant]],coordonnee_st[Identification],coordonnee_st[SERVICE],"Non Trouvé")</f>
        <v>Frange</v>
      </c>
      <c r="M683" s="35" t="str">
        <f>INDEX(_xlfn.TEXTSPLIT(mvtst[[#This Row],[QR Suivis]],"_"),1,2)</f>
        <v>CL00162</v>
      </c>
      <c r="N683" s="35" t="str">
        <f>INDEX(_xlfn.TEXTSPLIT(mvtst[[#This Row],[QR Suivis]],"_"),1,3)</f>
        <v>CM-FT0130</v>
      </c>
      <c r="O683" s="35" t="str">
        <f>INDEX(_xlfn.TEXTSPLIT(mvtst[[#This Row],[QR Suivis]],"_"),1,4)</f>
        <v>GIN2426-B19-03</v>
      </c>
      <c r="P683" s="35" t="str">
        <f>INDEX(_xlfn.TEXTSPLIT(mvtst[[#This Row],[QR Suivis]],"_"),1,5)</f>
        <v>GINKO</v>
      </c>
      <c r="Q683" s="35" t="str">
        <f>_xlfn.TEXTAFTER(mvtst[[#This Row],[QR Suivis]],"_",5)</f>
        <v>2426</v>
      </c>
      <c r="R683" s="84" t="str">
        <f>IF(
   COUNTIFS($A$2:A683,A683,
             $B$2:B683,B683,
             $C$2:C683,C683,
             $D$2:D683,D683,
             $G$2:G683,G683)&gt;1,
   "Doublon",
   "Correcte"
)</f>
        <v>Correcte</v>
      </c>
    </row>
    <row r="684" spans="1:18" x14ac:dyDescent="0.25">
      <c r="A684" s="104" t="s">
        <v>1687</v>
      </c>
      <c r="B684" s="35" t="s">
        <v>595</v>
      </c>
      <c r="C684" s="36">
        <v>0</v>
      </c>
      <c r="D684" s="36">
        <v>2</v>
      </c>
      <c r="E684" s="35" t="s">
        <v>699</v>
      </c>
      <c r="F684" s="35" t="s">
        <v>634</v>
      </c>
      <c r="G684" s="37">
        <v>45927.484768518516</v>
      </c>
      <c r="H684" s="37" t="str">
        <f>INDEX(_xlfn.TEXTSPLIT(mvtst[[#This Row],[QR Suivis]],"_"),1,1)</f>
        <v>OF250132-1</v>
      </c>
      <c r="I684" s="35" t="str">
        <f>_xlfn.TEXTBEFORE(mvtst[[#This Row],[Num Suivis]],"-",,,1)</f>
        <v>OF250132</v>
      </c>
      <c r="J684" s="36">
        <f>SUMIF(mvtst[QR Suivis],mvtst[[#This Row],[QR Suivis]],mvtst[QTE SORTIS])-SUMIF(mvtst[QR Suivis],mvtst[[#This Row],[QR Suivis]],mvtst[QTE RETOUR])</f>
        <v>0</v>
      </c>
      <c r="K684" s="35" t="str">
        <f t="shared" si="10"/>
        <v>Usine</v>
      </c>
      <c r="L684" s="35" t="str">
        <f>_xlfn.XLOOKUP(mvtst[[#This Row],[Sous Traitant]],coordonnee_st[Identification],coordonnee_st[SERVICE],"Non Trouvé")</f>
        <v>Frange</v>
      </c>
      <c r="M684" s="35" t="str">
        <f>INDEX(_xlfn.TEXTSPLIT(mvtst[[#This Row],[QR Suivis]],"_"),1,2)</f>
        <v>CL00162</v>
      </c>
      <c r="N684" s="35" t="str">
        <f>INDEX(_xlfn.TEXTSPLIT(mvtst[[#This Row],[QR Suivis]],"_"),1,3)</f>
        <v>CM-FT0130</v>
      </c>
      <c r="O684" s="35" t="str">
        <f>INDEX(_xlfn.TEXTSPLIT(mvtst[[#This Row],[QR Suivis]],"_"),1,4)</f>
        <v>GIN2426-B19-03</v>
      </c>
      <c r="P684" s="35" t="str">
        <f>INDEX(_xlfn.TEXTSPLIT(mvtst[[#This Row],[QR Suivis]],"_"),1,5)</f>
        <v>GINKO</v>
      </c>
      <c r="Q684" s="35" t="str">
        <f>_xlfn.TEXTAFTER(mvtst[[#This Row],[QR Suivis]],"_",5)</f>
        <v>2426</v>
      </c>
      <c r="R684" s="84" t="str">
        <f>IF(
   COUNTIFS($A$2:A684,A684,
             $B$2:B684,B684,
             $C$2:C684,C684,
             $D$2:D684,D684,
             $G$2:G684,G684)&gt;1,
   "Doublon",
   "Correcte"
)</f>
        <v>Correcte</v>
      </c>
    </row>
    <row r="685" spans="1:18" x14ac:dyDescent="0.25">
      <c r="A685" s="104" t="s">
        <v>1688</v>
      </c>
      <c r="B685" s="35" t="s">
        <v>595</v>
      </c>
      <c r="C685" s="36">
        <v>0</v>
      </c>
      <c r="D685" s="36">
        <v>1</v>
      </c>
      <c r="E685" s="35" t="s">
        <v>699</v>
      </c>
      <c r="F685" s="35" t="s">
        <v>634</v>
      </c>
      <c r="G685" s="37">
        <v>45927.484988425924</v>
      </c>
      <c r="H685" s="37" t="str">
        <f>INDEX(_xlfn.TEXTSPLIT(mvtst[[#This Row],[QR Suivis]],"_"),1,1)</f>
        <v>OF250132-5</v>
      </c>
      <c r="I685" s="35" t="str">
        <f>_xlfn.TEXTBEFORE(mvtst[[#This Row],[Num Suivis]],"-",,,1)</f>
        <v>OF250132</v>
      </c>
      <c r="J685" s="36">
        <f>SUMIF(mvtst[QR Suivis],mvtst[[#This Row],[QR Suivis]],mvtst[QTE SORTIS])-SUMIF(mvtst[QR Suivis],mvtst[[#This Row],[QR Suivis]],mvtst[QTE RETOUR])</f>
        <v>0</v>
      </c>
      <c r="K685" s="35" t="str">
        <f t="shared" si="10"/>
        <v>Usine</v>
      </c>
      <c r="L685" s="35" t="str">
        <f>_xlfn.XLOOKUP(mvtst[[#This Row],[Sous Traitant]],coordonnee_st[Identification],coordonnee_st[SERVICE],"Non Trouvé")</f>
        <v>Frange</v>
      </c>
      <c r="M685" s="35" t="str">
        <f>INDEX(_xlfn.TEXTSPLIT(mvtst[[#This Row],[QR Suivis]],"_"),1,2)</f>
        <v>CL00162</v>
      </c>
      <c r="N685" s="35" t="str">
        <f>INDEX(_xlfn.TEXTSPLIT(mvtst[[#This Row],[QR Suivis]],"_"),1,3)</f>
        <v>CM-FT0130</v>
      </c>
      <c r="O685" s="35" t="str">
        <f>INDEX(_xlfn.TEXTSPLIT(mvtst[[#This Row],[QR Suivis]],"_"),1,4)</f>
        <v>GIN2426-B19-03</v>
      </c>
      <c r="P685" s="35" t="str">
        <f>INDEX(_xlfn.TEXTSPLIT(mvtst[[#This Row],[QR Suivis]],"_"),1,5)</f>
        <v>GINKO</v>
      </c>
      <c r="Q685" s="35" t="str">
        <f>_xlfn.TEXTAFTER(mvtst[[#This Row],[QR Suivis]],"_",5)</f>
        <v>2426</v>
      </c>
      <c r="R685" s="84" t="str">
        <f>IF(
   COUNTIFS($A$2:A685,A685,
             $B$2:B685,B685,
             $C$2:C685,C685,
             $D$2:D685,D685,
             $G$2:G685,G685)&gt;1,
   "Doublon",
   "Correcte"
)</f>
        <v>Correcte</v>
      </c>
    </row>
    <row r="686" spans="1:18" x14ac:dyDescent="0.25">
      <c r="A686" s="104" t="s">
        <v>1685</v>
      </c>
      <c r="B686" s="35" t="s">
        <v>595</v>
      </c>
      <c r="C686" s="36">
        <v>0</v>
      </c>
      <c r="D686" s="36">
        <v>1</v>
      </c>
      <c r="E686" s="35" t="s">
        <v>699</v>
      </c>
      <c r="F686" s="35" t="s">
        <v>634</v>
      </c>
      <c r="G686" s="37">
        <v>45927.48510416667</v>
      </c>
      <c r="H686" s="37" t="str">
        <f>INDEX(_xlfn.TEXTSPLIT(mvtst[[#This Row],[QR Suivis]],"_"),1,1)</f>
        <v>OF250131-5</v>
      </c>
      <c r="I686" s="35" t="str">
        <f>_xlfn.TEXTBEFORE(mvtst[[#This Row],[Num Suivis]],"-",,,1)</f>
        <v>OF250131</v>
      </c>
      <c r="J686" s="36">
        <f>SUMIF(mvtst[QR Suivis],mvtst[[#This Row],[QR Suivis]],mvtst[QTE SORTIS])-SUMIF(mvtst[QR Suivis],mvtst[[#This Row],[QR Suivis]],mvtst[QTE RETOUR])</f>
        <v>0</v>
      </c>
      <c r="K686" s="35" t="str">
        <f t="shared" si="10"/>
        <v>Usine</v>
      </c>
      <c r="L686" s="35" t="str">
        <f>_xlfn.XLOOKUP(mvtst[[#This Row],[Sous Traitant]],coordonnee_st[Identification],coordonnee_st[SERVICE],"Non Trouvé")</f>
        <v>Frange</v>
      </c>
      <c r="M686" s="35" t="str">
        <f>INDEX(_xlfn.TEXTSPLIT(mvtst[[#This Row],[QR Suivis]],"_"),1,2)</f>
        <v>CL00162</v>
      </c>
      <c r="N686" s="35" t="str">
        <f>INDEX(_xlfn.TEXTSPLIT(mvtst[[#This Row],[QR Suivis]],"_"),1,3)</f>
        <v>CM-FT0130</v>
      </c>
      <c r="O686" s="35" t="str">
        <f>INDEX(_xlfn.TEXTSPLIT(mvtst[[#This Row],[QR Suivis]],"_"),1,4)</f>
        <v>GIN2426-B12-03</v>
      </c>
      <c r="P686" s="35" t="str">
        <f>INDEX(_xlfn.TEXTSPLIT(mvtst[[#This Row],[QR Suivis]],"_"),1,5)</f>
        <v>GINKO</v>
      </c>
      <c r="Q686" s="35" t="str">
        <f>_xlfn.TEXTAFTER(mvtst[[#This Row],[QR Suivis]],"_",5)</f>
        <v>2426</v>
      </c>
      <c r="R686" s="84" t="str">
        <f>IF(
   COUNTIFS($A$2:A686,A686,
             $B$2:B686,B686,
             $C$2:C686,C686,
             $D$2:D686,D686,
             $G$2:G686,G686)&gt;1,
   "Doublon",
   "Correcte"
)</f>
        <v>Correcte</v>
      </c>
    </row>
    <row r="687" spans="1:18" x14ac:dyDescent="0.25">
      <c r="A687" s="104" t="s">
        <v>1684</v>
      </c>
      <c r="B687" s="35" t="s">
        <v>595</v>
      </c>
      <c r="C687" s="36">
        <v>0</v>
      </c>
      <c r="D687" s="36">
        <v>2</v>
      </c>
      <c r="E687" s="35" t="s">
        <v>699</v>
      </c>
      <c r="F687" s="35" t="s">
        <v>634</v>
      </c>
      <c r="G687" s="37">
        <v>45927.485358796293</v>
      </c>
      <c r="H687" s="37" t="str">
        <f>INDEX(_xlfn.TEXTSPLIT(mvtst[[#This Row],[QR Suivis]],"_"),1,1)</f>
        <v>OF250131-4</v>
      </c>
      <c r="I687" s="35" t="str">
        <f>_xlfn.TEXTBEFORE(mvtst[[#This Row],[Num Suivis]],"-",,,1)</f>
        <v>OF250131</v>
      </c>
      <c r="J687" s="36">
        <f>SUMIF(mvtst[QR Suivis],mvtst[[#This Row],[QR Suivis]],mvtst[QTE SORTIS])-SUMIF(mvtst[QR Suivis],mvtst[[#This Row],[QR Suivis]],mvtst[QTE RETOUR])</f>
        <v>0</v>
      </c>
      <c r="K687" s="35" t="str">
        <f t="shared" si="10"/>
        <v>Usine</v>
      </c>
      <c r="L687" s="35" t="str">
        <f>_xlfn.XLOOKUP(mvtst[[#This Row],[Sous Traitant]],coordonnee_st[Identification],coordonnee_st[SERVICE],"Non Trouvé")</f>
        <v>Frange</v>
      </c>
      <c r="M687" s="35" t="str">
        <f>INDEX(_xlfn.TEXTSPLIT(mvtst[[#This Row],[QR Suivis]],"_"),1,2)</f>
        <v>CL00162</v>
      </c>
      <c r="N687" s="35" t="str">
        <f>INDEX(_xlfn.TEXTSPLIT(mvtst[[#This Row],[QR Suivis]],"_"),1,3)</f>
        <v>CM-FT0130</v>
      </c>
      <c r="O687" s="35" t="str">
        <f>INDEX(_xlfn.TEXTSPLIT(mvtst[[#This Row],[QR Suivis]],"_"),1,4)</f>
        <v>GIN2426-B12-03</v>
      </c>
      <c r="P687" s="35" t="str">
        <f>INDEX(_xlfn.TEXTSPLIT(mvtst[[#This Row],[QR Suivis]],"_"),1,5)</f>
        <v>GINKO</v>
      </c>
      <c r="Q687" s="35" t="str">
        <f>_xlfn.TEXTAFTER(mvtst[[#This Row],[QR Suivis]],"_",5)</f>
        <v>2426</v>
      </c>
      <c r="R687" s="84" t="str">
        <f>IF(
   COUNTIFS($A$2:A687,A687,
             $B$2:B687,B687,
             $C$2:C687,C687,
             $D$2:D687,D687,
             $G$2:G687,G687)&gt;1,
   "Doublon",
   "Correcte"
)</f>
        <v>Correcte</v>
      </c>
    </row>
    <row r="688" spans="1:18" x14ac:dyDescent="0.25">
      <c r="A688" s="104" t="s">
        <v>1683</v>
      </c>
      <c r="B688" s="35" t="s">
        <v>595</v>
      </c>
      <c r="C688" s="36">
        <v>0</v>
      </c>
      <c r="D688" s="36">
        <v>2</v>
      </c>
      <c r="E688" s="35" t="s">
        <v>699</v>
      </c>
      <c r="F688" s="35" t="s">
        <v>634</v>
      </c>
      <c r="G688" s="37">
        <v>45927.485474537039</v>
      </c>
      <c r="H688" s="37" t="str">
        <f>INDEX(_xlfn.TEXTSPLIT(mvtst[[#This Row],[QR Suivis]],"_"),1,1)</f>
        <v>OF250131-3</v>
      </c>
      <c r="I688" s="35" t="str">
        <f>_xlfn.TEXTBEFORE(mvtst[[#This Row],[Num Suivis]],"-",,,1)</f>
        <v>OF250131</v>
      </c>
      <c r="J688" s="36">
        <f>SUMIF(mvtst[QR Suivis],mvtst[[#This Row],[QR Suivis]],mvtst[QTE SORTIS])-SUMIF(mvtst[QR Suivis],mvtst[[#This Row],[QR Suivis]],mvtst[QTE RETOUR])</f>
        <v>0</v>
      </c>
      <c r="K688" s="35" t="str">
        <f t="shared" si="10"/>
        <v>Usine</v>
      </c>
      <c r="L688" s="35" t="str">
        <f>_xlfn.XLOOKUP(mvtst[[#This Row],[Sous Traitant]],coordonnee_st[Identification],coordonnee_st[SERVICE],"Non Trouvé")</f>
        <v>Frange</v>
      </c>
      <c r="M688" s="35" t="str">
        <f>INDEX(_xlfn.TEXTSPLIT(mvtst[[#This Row],[QR Suivis]],"_"),1,2)</f>
        <v>CL00162</v>
      </c>
      <c r="N688" s="35" t="str">
        <f>INDEX(_xlfn.TEXTSPLIT(mvtst[[#This Row],[QR Suivis]],"_"),1,3)</f>
        <v>CM-FT0130</v>
      </c>
      <c r="O688" s="35" t="str">
        <f>INDEX(_xlfn.TEXTSPLIT(mvtst[[#This Row],[QR Suivis]],"_"),1,4)</f>
        <v>GIN2426-B12-03</v>
      </c>
      <c r="P688" s="35" t="str">
        <f>INDEX(_xlfn.TEXTSPLIT(mvtst[[#This Row],[QR Suivis]],"_"),1,5)</f>
        <v>GINKO</v>
      </c>
      <c r="Q688" s="35" t="str">
        <f>_xlfn.TEXTAFTER(mvtst[[#This Row],[QR Suivis]],"_",5)</f>
        <v>2426</v>
      </c>
      <c r="R688" s="84" t="str">
        <f>IF(
   COUNTIFS($A$2:A688,A688,
             $B$2:B688,B688,
             $C$2:C688,C688,
             $D$2:D688,D688,
             $G$2:G688,G688)&gt;1,
   "Doublon",
   "Correcte"
)</f>
        <v>Correcte</v>
      </c>
    </row>
    <row r="689" spans="1:18" x14ac:dyDescent="0.25">
      <c r="A689" s="104" t="s">
        <v>1729</v>
      </c>
      <c r="B689" s="35" t="s">
        <v>595</v>
      </c>
      <c r="C689" s="36">
        <v>2</v>
      </c>
      <c r="D689" s="36">
        <v>0</v>
      </c>
      <c r="E689" s="35" t="s">
        <v>699</v>
      </c>
      <c r="F689" s="35" t="s">
        <v>634</v>
      </c>
      <c r="G689" s="37">
        <v>45927.52888888889</v>
      </c>
      <c r="H689" s="37" t="str">
        <f>INDEX(_xlfn.TEXTSPLIT(mvtst[[#This Row],[QR Suivis]],"_"),1,1)</f>
        <v>OF246885-4</v>
      </c>
      <c r="I689" s="35" t="str">
        <f>_xlfn.TEXTBEFORE(mvtst[[#This Row],[Num Suivis]],"-",,,1)</f>
        <v>OF246885</v>
      </c>
      <c r="J689" s="36">
        <f>SUMIF(mvtst[QR Suivis],mvtst[[#This Row],[QR Suivis]],mvtst[QTE SORTIS])-SUMIF(mvtst[QR Suivis],mvtst[[#This Row],[QR Suivis]],mvtst[QTE RETOUR])</f>
        <v>0</v>
      </c>
      <c r="K689" s="35" t="str">
        <f t="shared" si="10"/>
        <v>Usine</v>
      </c>
      <c r="L689" s="35" t="str">
        <f>_xlfn.XLOOKUP(mvtst[[#This Row],[Sous Traitant]],coordonnee_st[Identification],coordonnee_st[SERVICE],"Non Trouvé")</f>
        <v>Frange</v>
      </c>
      <c r="M689" s="35" t="str">
        <f>INDEX(_xlfn.TEXTSPLIT(mvtst[[#This Row],[QR Suivis]],"_"),1,2)</f>
        <v>All By Fouta</v>
      </c>
      <c r="N689" s="35" t="str">
        <f>INDEX(_xlfn.TEXTSPLIT(mvtst[[#This Row],[QR Suivis]],"_"),1,3)</f>
        <v>Stock</v>
      </c>
      <c r="O689" s="35" t="str">
        <f>INDEX(_xlfn.TEXTSPLIT(mvtst[[#This Row],[QR Suivis]],"_"),1,4)</f>
        <v>OLI2426-B12-02</v>
      </c>
      <c r="P689" s="35" t="str">
        <f>INDEX(_xlfn.TEXTSPLIT(mvtst[[#This Row],[QR Suivis]],"_"),1,5)</f>
        <v>OLIVIER</v>
      </c>
      <c r="Q689" s="35" t="str">
        <f>_xlfn.TEXTAFTER(mvtst[[#This Row],[QR Suivis]],"_",5)</f>
        <v>2426</v>
      </c>
      <c r="R689" s="84" t="str">
        <f>IF(
   COUNTIFS($A$2:A689,A689,
             $B$2:B689,B689,
             $C$2:C689,C689,
             $D$2:D689,D689,
             $G$2:G689,G689)&gt;1,
   "Doublon",
   "Correcte"
)</f>
        <v>Correcte</v>
      </c>
    </row>
    <row r="690" spans="1:18" x14ac:dyDescent="0.25">
      <c r="A690" s="104" t="s">
        <v>1730</v>
      </c>
      <c r="B690" s="35" t="s">
        <v>595</v>
      </c>
      <c r="C690" s="36">
        <v>1</v>
      </c>
      <c r="D690" s="36">
        <v>0</v>
      </c>
      <c r="E690" s="35" t="s">
        <v>699</v>
      </c>
      <c r="F690" s="35" t="s">
        <v>634</v>
      </c>
      <c r="G690" s="37">
        <v>45927.529074074075</v>
      </c>
      <c r="H690" s="37" t="str">
        <f>INDEX(_xlfn.TEXTSPLIT(mvtst[[#This Row],[QR Suivis]],"_"),1,1)</f>
        <v>OF246888-7</v>
      </c>
      <c r="I690" s="35" t="str">
        <f>_xlfn.TEXTBEFORE(mvtst[[#This Row],[Num Suivis]],"-",,,1)</f>
        <v>OF246888</v>
      </c>
      <c r="J690" s="36">
        <f>SUMIF(mvtst[QR Suivis],mvtst[[#This Row],[QR Suivis]],mvtst[QTE SORTIS])-SUMIF(mvtst[QR Suivis],mvtst[[#This Row],[QR Suivis]],mvtst[QTE RETOUR])</f>
        <v>0</v>
      </c>
      <c r="K690" s="35" t="str">
        <f t="shared" si="10"/>
        <v>Usine</v>
      </c>
      <c r="L690" s="35" t="str">
        <f>_xlfn.XLOOKUP(mvtst[[#This Row],[Sous Traitant]],coordonnee_st[Identification],coordonnee_st[SERVICE],"Non Trouvé")</f>
        <v>Frange</v>
      </c>
      <c r="M690" s="35" t="str">
        <f>INDEX(_xlfn.TEXTSPLIT(mvtst[[#This Row],[QR Suivis]],"_"),1,2)</f>
        <v>All By Fouta</v>
      </c>
      <c r="N690" s="35" t="str">
        <f>INDEX(_xlfn.TEXTSPLIT(mvtst[[#This Row],[QR Suivis]],"_"),1,3)</f>
        <v>Stock</v>
      </c>
      <c r="O690" s="35" t="str">
        <f>INDEX(_xlfn.TEXTSPLIT(mvtst[[#This Row],[QR Suivis]],"_"),1,4)</f>
        <v>OLI2426-B04-02</v>
      </c>
      <c r="P690" s="35" t="str">
        <f>INDEX(_xlfn.TEXTSPLIT(mvtst[[#This Row],[QR Suivis]],"_"),1,5)</f>
        <v>OLIVIER</v>
      </c>
      <c r="Q690" s="35" t="str">
        <f>_xlfn.TEXTAFTER(mvtst[[#This Row],[QR Suivis]],"_",5)</f>
        <v>2426</v>
      </c>
      <c r="R690" s="84" t="str">
        <f>IF(
   COUNTIFS($A$2:A690,A690,
             $B$2:B690,B690,
             $C$2:C690,C690,
             $D$2:D690,D690,
             $G$2:G690,G690)&gt;1,
   "Doublon",
   "Correcte"
)</f>
        <v>Correcte</v>
      </c>
    </row>
    <row r="691" spans="1:18" x14ac:dyDescent="0.25">
      <c r="A691" s="104" t="s">
        <v>1731</v>
      </c>
      <c r="B691" s="35" t="s">
        <v>595</v>
      </c>
      <c r="C691" s="36">
        <v>5</v>
      </c>
      <c r="D691" s="36">
        <v>0</v>
      </c>
      <c r="E691" s="35" t="s">
        <v>699</v>
      </c>
      <c r="F691" s="35" t="s">
        <v>634</v>
      </c>
      <c r="G691" s="37">
        <v>45927.530347222222</v>
      </c>
      <c r="H691" s="37" t="str">
        <f>INDEX(_xlfn.TEXTSPLIT(mvtst[[#This Row],[QR Suivis]],"_"),1,1)</f>
        <v>OF246546-5</v>
      </c>
      <c r="I691" s="35" t="str">
        <f>_xlfn.TEXTBEFORE(mvtst[[#This Row],[Num Suivis]],"-",,,1)</f>
        <v>OF246546</v>
      </c>
      <c r="J691" s="36">
        <f>SUMIF(mvtst[QR Suivis],mvtst[[#This Row],[QR Suivis]],mvtst[QTE SORTIS])-SUMIF(mvtst[QR Suivis],mvtst[[#This Row],[QR Suivis]],mvtst[QTE RETOUR])</f>
        <v>0</v>
      </c>
      <c r="K691" s="35" t="str">
        <f t="shared" si="10"/>
        <v>Usine</v>
      </c>
      <c r="L691" s="35" t="str">
        <f>_xlfn.XLOOKUP(mvtst[[#This Row],[Sous Traitant]],coordonnee_st[Identification],coordonnee_st[SERVICE],"Non Trouvé")</f>
        <v>Frange</v>
      </c>
      <c r="M691" s="35" t="str">
        <f>INDEX(_xlfn.TEXTSPLIT(mvtst[[#This Row],[QR Suivis]],"_"),1,2)</f>
        <v>CL00296</v>
      </c>
      <c r="N691" s="35" t="str">
        <f>INDEX(_xlfn.TEXTSPLIT(mvtst[[#This Row],[QR Suivis]],"_"),1,3)</f>
        <v>CM-FT0108</v>
      </c>
      <c r="O691" s="35" t="str">
        <f>INDEX(_xlfn.TEXTSPLIT(mvtst[[#This Row],[QR Suivis]],"_"),1,4)</f>
        <v>EPMA0919-B29-02</v>
      </c>
      <c r="P691" s="35" t="str">
        <f>INDEX(_xlfn.TEXTSPLIT(mvtst[[#This Row],[QR Suivis]],"_"),1,5)</f>
        <v>MARINIERE</v>
      </c>
      <c r="Q691" s="35" t="str">
        <f>_xlfn.TEXTAFTER(mvtst[[#This Row],[QR Suivis]],"_",5)</f>
        <v>0919</v>
      </c>
      <c r="R691" s="84" t="str">
        <f>IF(
   COUNTIFS($A$2:A691,A691,
             $B$2:B691,B691,
             $C$2:C691,C691,
             $D$2:D691,D691,
             $G$2:G691,G691)&gt;1,
   "Doublon",
   "Correcte"
)</f>
        <v>Correcte</v>
      </c>
    </row>
    <row r="692" spans="1:18" x14ac:dyDescent="0.25">
      <c r="A692" s="104" t="s">
        <v>1732</v>
      </c>
      <c r="B692" s="35" t="s">
        <v>595</v>
      </c>
      <c r="C692" s="36">
        <v>5</v>
      </c>
      <c r="D692" s="36">
        <v>0</v>
      </c>
      <c r="E692" s="35" t="s">
        <v>699</v>
      </c>
      <c r="F692" s="35" t="s">
        <v>634</v>
      </c>
      <c r="G692" s="37">
        <v>45927.530590277776</v>
      </c>
      <c r="H692" s="37" t="str">
        <f>INDEX(_xlfn.TEXTSPLIT(mvtst[[#This Row],[QR Suivis]],"_"),1,1)</f>
        <v>OF246546-3</v>
      </c>
      <c r="I692" s="35" t="str">
        <f>_xlfn.TEXTBEFORE(mvtst[[#This Row],[Num Suivis]],"-",,,1)</f>
        <v>OF246546</v>
      </c>
      <c r="J692" s="36">
        <f>SUMIF(mvtst[QR Suivis],mvtst[[#This Row],[QR Suivis]],mvtst[QTE SORTIS])-SUMIF(mvtst[QR Suivis],mvtst[[#This Row],[QR Suivis]],mvtst[QTE RETOUR])</f>
        <v>0</v>
      </c>
      <c r="K692" s="35" t="str">
        <f t="shared" si="10"/>
        <v>Usine</v>
      </c>
      <c r="L692" s="35" t="str">
        <f>_xlfn.XLOOKUP(mvtst[[#This Row],[Sous Traitant]],coordonnee_st[Identification],coordonnee_st[SERVICE],"Non Trouvé")</f>
        <v>Frange</v>
      </c>
      <c r="M692" s="35" t="str">
        <f>INDEX(_xlfn.TEXTSPLIT(mvtst[[#This Row],[QR Suivis]],"_"),1,2)</f>
        <v>CL00296</v>
      </c>
      <c r="N692" s="35" t="str">
        <f>INDEX(_xlfn.TEXTSPLIT(mvtst[[#This Row],[QR Suivis]],"_"),1,3)</f>
        <v>CM-FT0108</v>
      </c>
      <c r="O692" s="35" t="str">
        <f>INDEX(_xlfn.TEXTSPLIT(mvtst[[#This Row],[QR Suivis]],"_"),1,4)</f>
        <v>EPMA0919-B29-02</v>
      </c>
      <c r="P692" s="35" t="str">
        <f>INDEX(_xlfn.TEXTSPLIT(mvtst[[#This Row],[QR Suivis]],"_"),1,5)</f>
        <v>MARINIERE</v>
      </c>
      <c r="Q692" s="35" t="str">
        <f>_xlfn.TEXTAFTER(mvtst[[#This Row],[QR Suivis]],"_",5)</f>
        <v>0919</v>
      </c>
      <c r="R692" s="84" t="str">
        <f>IF(
   COUNTIFS($A$2:A692,A692,
             $B$2:B692,B692,
             $C$2:C692,C692,
             $D$2:D692,D692,
             $G$2:G692,G692)&gt;1,
   "Doublon",
   "Correcte"
)</f>
        <v>Correcte</v>
      </c>
    </row>
    <row r="693" spans="1:18" x14ac:dyDescent="0.25">
      <c r="A693" s="104" t="s">
        <v>1733</v>
      </c>
      <c r="B693" s="35" t="s">
        <v>595</v>
      </c>
      <c r="C693" s="36">
        <v>5</v>
      </c>
      <c r="D693" s="36">
        <v>0</v>
      </c>
      <c r="E693" s="35" t="s">
        <v>699</v>
      </c>
      <c r="F693" s="35" t="s">
        <v>634</v>
      </c>
      <c r="G693" s="37">
        <v>45927.530787037038</v>
      </c>
      <c r="H693" s="37" t="str">
        <f>INDEX(_xlfn.TEXTSPLIT(mvtst[[#This Row],[QR Suivis]],"_"),1,1)</f>
        <v>OF246546-16</v>
      </c>
      <c r="I693" s="35" t="str">
        <f>_xlfn.TEXTBEFORE(mvtst[[#This Row],[Num Suivis]],"-",,,1)</f>
        <v>OF246546</v>
      </c>
      <c r="J693" s="36">
        <f>SUMIF(mvtst[QR Suivis],mvtst[[#This Row],[QR Suivis]],mvtst[QTE SORTIS])-SUMIF(mvtst[QR Suivis],mvtst[[#This Row],[QR Suivis]],mvtst[QTE RETOUR])</f>
        <v>0</v>
      </c>
      <c r="K693" s="35" t="str">
        <f t="shared" si="10"/>
        <v>Usine</v>
      </c>
      <c r="L693" s="35" t="str">
        <f>_xlfn.XLOOKUP(mvtst[[#This Row],[Sous Traitant]],coordonnee_st[Identification],coordonnee_st[SERVICE],"Non Trouvé")</f>
        <v>Frange</v>
      </c>
      <c r="M693" s="35" t="str">
        <f>INDEX(_xlfn.TEXTSPLIT(mvtst[[#This Row],[QR Suivis]],"_"),1,2)</f>
        <v>CL00296</v>
      </c>
      <c r="N693" s="35" t="str">
        <f>INDEX(_xlfn.TEXTSPLIT(mvtst[[#This Row],[QR Suivis]],"_"),1,3)</f>
        <v>CM-FT0108</v>
      </c>
      <c r="O693" s="35" t="str">
        <f>INDEX(_xlfn.TEXTSPLIT(mvtst[[#This Row],[QR Suivis]],"_"),1,4)</f>
        <v>EPMA0919-B29-02</v>
      </c>
      <c r="P693" s="35" t="str">
        <f>INDEX(_xlfn.TEXTSPLIT(mvtst[[#This Row],[QR Suivis]],"_"),1,5)</f>
        <v>MARINIERE</v>
      </c>
      <c r="Q693" s="35" t="str">
        <f>_xlfn.TEXTAFTER(mvtst[[#This Row],[QR Suivis]],"_",5)</f>
        <v>0919</v>
      </c>
      <c r="R693" s="84" t="str">
        <f>IF(
   COUNTIFS($A$2:A693,A693,
             $B$2:B693,B693,
             $C$2:C693,C693,
             $D$2:D693,D693,
             $G$2:G693,G693)&gt;1,
   "Doublon",
   "Correcte"
)</f>
        <v>Correcte</v>
      </c>
    </row>
    <row r="694" spans="1:18" x14ac:dyDescent="0.25">
      <c r="A694" s="104" t="s">
        <v>1734</v>
      </c>
      <c r="B694" s="35" t="s">
        <v>595</v>
      </c>
      <c r="C694" s="36">
        <v>5</v>
      </c>
      <c r="D694" s="36">
        <v>0</v>
      </c>
      <c r="E694" s="35" t="s">
        <v>699</v>
      </c>
      <c r="F694" s="35" t="s">
        <v>634</v>
      </c>
      <c r="G694" s="37">
        <v>45927.531122685185</v>
      </c>
      <c r="H694" s="37" t="str">
        <f>INDEX(_xlfn.TEXTSPLIT(mvtst[[#This Row],[QR Suivis]],"_"),1,1)</f>
        <v>OF246546-4</v>
      </c>
      <c r="I694" s="35" t="str">
        <f>_xlfn.TEXTBEFORE(mvtst[[#This Row],[Num Suivis]],"-",,,1)</f>
        <v>OF246546</v>
      </c>
      <c r="J694" s="36">
        <f>SUMIF(mvtst[QR Suivis],mvtst[[#This Row],[QR Suivis]],mvtst[QTE SORTIS])-SUMIF(mvtst[QR Suivis],mvtst[[#This Row],[QR Suivis]],mvtst[QTE RETOUR])</f>
        <v>0</v>
      </c>
      <c r="K694" s="35" t="str">
        <f t="shared" si="10"/>
        <v>Usine</v>
      </c>
      <c r="L694" s="35" t="str">
        <f>_xlfn.XLOOKUP(mvtst[[#This Row],[Sous Traitant]],coordonnee_st[Identification],coordonnee_st[SERVICE],"Non Trouvé")</f>
        <v>Frange</v>
      </c>
      <c r="M694" s="35" t="str">
        <f>INDEX(_xlfn.TEXTSPLIT(mvtst[[#This Row],[QR Suivis]],"_"),1,2)</f>
        <v>CL00296</v>
      </c>
      <c r="N694" s="35" t="str">
        <f>INDEX(_xlfn.TEXTSPLIT(mvtst[[#This Row],[QR Suivis]],"_"),1,3)</f>
        <v>CM-FT0108</v>
      </c>
      <c r="O694" s="35" t="str">
        <f>INDEX(_xlfn.TEXTSPLIT(mvtst[[#This Row],[QR Suivis]],"_"),1,4)</f>
        <v>EPMA0919-B29-02</v>
      </c>
      <c r="P694" s="35" t="str">
        <f>INDEX(_xlfn.TEXTSPLIT(mvtst[[#This Row],[QR Suivis]],"_"),1,5)</f>
        <v>MARINIERE</v>
      </c>
      <c r="Q694" s="35" t="str">
        <f>_xlfn.TEXTAFTER(mvtst[[#This Row],[QR Suivis]],"_",5)</f>
        <v>0919</v>
      </c>
      <c r="R694" s="84" t="str">
        <f>IF(
   COUNTIFS($A$2:A694,A694,
             $B$2:B694,B694,
             $C$2:C694,C694,
             $D$2:D694,D694,
             $G$2:G694,G694)&gt;1,
   "Doublon",
   "Correcte"
)</f>
        <v>Correcte</v>
      </c>
    </row>
    <row r="695" spans="1:18" x14ac:dyDescent="0.25">
      <c r="A695" s="104" t="s">
        <v>1735</v>
      </c>
      <c r="B695" s="35" t="s">
        <v>595</v>
      </c>
      <c r="C695" s="36">
        <v>5</v>
      </c>
      <c r="D695" s="36">
        <v>0</v>
      </c>
      <c r="E695" s="35" t="s">
        <v>699</v>
      </c>
      <c r="F695" s="35" t="s">
        <v>634</v>
      </c>
      <c r="G695" s="37">
        <v>45927.531388888892</v>
      </c>
      <c r="H695" s="37" t="str">
        <f>INDEX(_xlfn.TEXTSPLIT(mvtst[[#This Row],[QR Suivis]],"_"),1,1)</f>
        <v>OF246546-17</v>
      </c>
      <c r="I695" s="35" t="str">
        <f>_xlfn.TEXTBEFORE(mvtst[[#This Row],[Num Suivis]],"-",,,1)</f>
        <v>OF246546</v>
      </c>
      <c r="J695" s="36">
        <f>SUMIF(mvtst[QR Suivis],mvtst[[#This Row],[QR Suivis]],mvtst[QTE SORTIS])-SUMIF(mvtst[QR Suivis],mvtst[[#This Row],[QR Suivis]],mvtst[QTE RETOUR])</f>
        <v>0</v>
      </c>
      <c r="K695" s="35" t="str">
        <f t="shared" si="10"/>
        <v>Usine</v>
      </c>
      <c r="L695" s="35" t="str">
        <f>_xlfn.XLOOKUP(mvtst[[#This Row],[Sous Traitant]],coordonnee_st[Identification],coordonnee_st[SERVICE],"Non Trouvé")</f>
        <v>Frange</v>
      </c>
      <c r="M695" s="35" t="str">
        <f>INDEX(_xlfn.TEXTSPLIT(mvtst[[#This Row],[QR Suivis]],"_"),1,2)</f>
        <v>CL00296</v>
      </c>
      <c r="N695" s="35" t="str">
        <f>INDEX(_xlfn.TEXTSPLIT(mvtst[[#This Row],[QR Suivis]],"_"),1,3)</f>
        <v>CM-FT0108</v>
      </c>
      <c r="O695" s="35" t="str">
        <f>INDEX(_xlfn.TEXTSPLIT(mvtst[[#This Row],[QR Suivis]],"_"),1,4)</f>
        <v>EPMA0919-B29-02</v>
      </c>
      <c r="P695" s="35" t="str">
        <f>INDEX(_xlfn.TEXTSPLIT(mvtst[[#This Row],[QR Suivis]],"_"),1,5)</f>
        <v>MARINIERE</v>
      </c>
      <c r="Q695" s="35" t="str">
        <f>_xlfn.TEXTAFTER(mvtst[[#This Row],[QR Suivis]],"_",5)</f>
        <v>0919</v>
      </c>
      <c r="R695" s="84" t="str">
        <f>IF(
   COUNTIFS($A$2:A695,A695,
             $B$2:B695,B695,
             $C$2:C695,C695,
             $D$2:D695,D695,
             $G$2:G695,G695)&gt;1,
   "Doublon",
   "Correcte"
)</f>
        <v>Correcte</v>
      </c>
    </row>
    <row r="696" spans="1:18" x14ac:dyDescent="0.25">
      <c r="A696" s="104" t="s">
        <v>1736</v>
      </c>
      <c r="B696" s="35" t="s">
        <v>595</v>
      </c>
      <c r="C696" s="36">
        <v>5</v>
      </c>
      <c r="D696" s="36">
        <v>0</v>
      </c>
      <c r="E696" s="35" t="s">
        <v>699</v>
      </c>
      <c r="F696" s="35" t="s">
        <v>634</v>
      </c>
      <c r="G696" s="37">
        <v>45927.531678240739</v>
      </c>
      <c r="H696" s="37" t="str">
        <f>INDEX(_xlfn.TEXTSPLIT(mvtst[[#This Row],[QR Suivis]],"_"),1,1)</f>
        <v>OF246546-8</v>
      </c>
      <c r="I696" s="35" t="str">
        <f>_xlfn.TEXTBEFORE(mvtst[[#This Row],[Num Suivis]],"-",,,1)</f>
        <v>OF246546</v>
      </c>
      <c r="J696" s="36">
        <f>SUMIF(mvtst[QR Suivis],mvtst[[#This Row],[QR Suivis]],mvtst[QTE SORTIS])-SUMIF(mvtst[QR Suivis],mvtst[[#This Row],[QR Suivis]],mvtst[QTE RETOUR])</f>
        <v>0</v>
      </c>
      <c r="K696" s="35" t="str">
        <f t="shared" si="10"/>
        <v>Usine</v>
      </c>
      <c r="L696" s="35" t="str">
        <f>_xlfn.XLOOKUP(mvtst[[#This Row],[Sous Traitant]],coordonnee_st[Identification],coordonnee_st[SERVICE],"Non Trouvé")</f>
        <v>Frange</v>
      </c>
      <c r="M696" s="35" t="str">
        <f>INDEX(_xlfn.TEXTSPLIT(mvtst[[#This Row],[QR Suivis]],"_"),1,2)</f>
        <v>CL00296</v>
      </c>
      <c r="N696" s="35" t="str">
        <f>INDEX(_xlfn.TEXTSPLIT(mvtst[[#This Row],[QR Suivis]],"_"),1,3)</f>
        <v>CM-FT0108</v>
      </c>
      <c r="O696" s="35" t="str">
        <f>INDEX(_xlfn.TEXTSPLIT(mvtst[[#This Row],[QR Suivis]],"_"),1,4)</f>
        <v>EPMA0919-B29-02</v>
      </c>
      <c r="P696" s="35" t="str">
        <f>INDEX(_xlfn.TEXTSPLIT(mvtst[[#This Row],[QR Suivis]],"_"),1,5)</f>
        <v>MARINIERE</v>
      </c>
      <c r="Q696" s="35" t="str">
        <f>_xlfn.TEXTAFTER(mvtst[[#This Row],[QR Suivis]],"_",5)</f>
        <v>0919</v>
      </c>
      <c r="R696" s="84" t="str">
        <f>IF(
   COUNTIFS($A$2:A696,A696,
             $B$2:B696,B696,
             $C$2:C696,C696,
             $D$2:D696,D696,
             $G$2:G696,G696)&gt;1,
   "Doublon",
   "Correcte"
)</f>
        <v>Correcte</v>
      </c>
    </row>
    <row r="697" spans="1:18" x14ac:dyDescent="0.25">
      <c r="A697" s="104" t="s">
        <v>1737</v>
      </c>
      <c r="B697" s="35" t="s">
        <v>595</v>
      </c>
      <c r="C697" s="36">
        <v>5</v>
      </c>
      <c r="D697" s="36">
        <v>0</v>
      </c>
      <c r="E697" s="35" t="s">
        <v>699</v>
      </c>
      <c r="F697" s="35" t="s">
        <v>634</v>
      </c>
      <c r="G697" s="37">
        <v>45927.531863425924</v>
      </c>
      <c r="H697" s="37" t="str">
        <f>INDEX(_xlfn.TEXTSPLIT(mvtst[[#This Row],[QR Suivis]],"_"),1,1)</f>
        <v>OF246546-6</v>
      </c>
      <c r="I697" s="35" t="str">
        <f>_xlfn.TEXTBEFORE(mvtst[[#This Row],[Num Suivis]],"-",,,1)</f>
        <v>OF246546</v>
      </c>
      <c r="J697" s="36">
        <f>SUMIF(mvtst[QR Suivis],mvtst[[#This Row],[QR Suivis]],mvtst[QTE SORTIS])-SUMIF(mvtst[QR Suivis],mvtst[[#This Row],[QR Suivis]],mvtst[QTE RETOUR])</f>
        <v>0</v>
      </c>
      <c r="K697" s="35" t="str">
        <f t="shared" si="10"/>
        <v>Usine</v>
      </c>
      <c r="L697" s="35" t="str">
        <f>_xlfn.XLOOKUP(mvtst[[#This Row],[Sous Traitant]],coordonnee_st[Identification],coordonnee_st[SERVICE],"Non Trouvé")</f>
        <v>Frange</v>
      </c>
      <c r="M697" s="35" t="str">
        <f>INDEX(_xlfn.TEXTSPLIT(mvtst[[#This Row],[QR Suivis]],"_"),1,2)</f>
        <v>CL00296</v>
      </c>
      <c r="N697" s="35" t="str">
        <f>INDEX(_xlfn.TEXTSPLIT(mvtst[[#This Row],[QR Suivis]],"_"),1,3)</f>
        <v>CM-FT0108</v>
      </c>
      <c r="O697" s="35" t="str">
        <f>INDEX(_xlfn.TEXTSPLIT(mvtst[[#This Row],[QR Suivis]],"_"),1,4)</f>
        <v>EPMA0919-B29-02</v>
      </c>
      <c r="P697" s="35" t="str">
        <f>INDEX(_xlfn.TEXTSPLIT(mvtst[[#This Row],[QR Suivis]],"_"),1,5)</f>
        <v>MARINIERE</v>
      </c>
      <c r="Q697" s="35" t="str">
        <f>_xlfn.TEXTAFTER(mvtst[[#This Row],[QR Suivis]],"_",5)</f>
        <v>0919</v>
      </c>
      <c r="R697" s="84" t="str">
        <f>IF(
   COUNTIFS($A$2:A697,A697,
             $B$2:B697,B697,
             $C$2:C697,C697,
             $D$2:D697,D697,
             $G$2:G697,G697)&gt;1,
   "Doublon",
   "Correcte"
)</f>
        <v>Correcte</v>
      </c>
    </row>
    <row r="698" spans="1:18" x14ac:dyDescent="0.25">
      <c r="A698" s="104" t="s">
        <v>1738</v>
      </c>
      <c r="B698" s="35" t="s">
        <v>595</v>
      </c>
      <c r="C698" s="36">
        <v>5</v>
      </c>
      <c r="D698" s="36">
        <v>0</v>
      </c>
      <c r="E698" s="35" t="s">
        <v>699</v>
      </c>
      <c r="F698" s="35" t="s">
        <v>634</v>
      </c>
      <c r="G698" s="37">
        <v>45927.532210648147</v>
      </c>
      <c r="H698" s="37" t="str">
        <f>INDEX(_xlfn.TEXTSPLIT(mvtst[[#This Row],[QR Suivis]],"_"),1,1)</f>
        <v>OF246546-13</v>
      </c>
      <c r="I698" s="35" t="str">
        <f>_xlfn.TEXTBEFORE(mvtst[[#This Row],[Num Suivis]],"-",,,1)</f>
        <v>OF246546</v>
      </c>
      <c r="J698" s="36">
        <f>SUMIF(mvtst[QR Suivis],mvtst[[#This Row],[QR Suivis]],mvtst[QTE SORTIS])-SUMIF(mvtst[QR Suivis],mvtst[[#This Row],[QR Suivis]],mvtst[QTE RETOUR])</f>
        <v>0</v>
      </c>
      <c r="K698" s="35" t="str">
        <f t="shared" si="10"/>
        <v>Usine</v>
      </c>
      <c r="L698" s="35" t="str">
        <f>_xlfn.XLOOKUP(mvtst[[#This Row],[Sous Traitant]],coordonnee_st[Identification],coordonnee_st[SERVICE],"Non Trouvé")</f>
        <v>Frange</v>
      </c>
      <c r="M698" s="35" t="str">
        <f>INDEX(_xlfn.TEXTSPLIT(mvtst[[#This Row],[QR Suivis]],"_"),1,2)</f>
        <v>CL00296</v>
      </c>
      <c r="N698" s="35" t="str">
        <f>INDEX(_xlfn.TEXTSPLIT(mvtst[[#This Row],[QR Suivis]],"_"),1,3)</f>
        <v>CM-FT0108</v>
      </c>
      <c r="O698" s="35" t="str">
        <f>INDEX(_xlfn.TEXTSPLIT(mvtst[[#This Row],[QR Suivis]],"_"),1,4)</f>
        <v>EPMA0919-B29-02</v>
      </c>
      <c r="P698" s="35" t="str">
        <f>INDEX(_xlfn.TEXTSPLIT(mvtst[[#This Row],[QR Suivis]],"_"),1,5)</f>
        <v>MARINIERE</v>
      </c>
      <c r="Q698" s="35" t="str">
        <f>_xlfn.TEXTAFTER(mvtst[[#This Row],[QR Suivis]],"_",5)</f>
        <v>0919</v>
      </c>
      <c r="R698" s="84" t="str">
        <f>IF(
   COUNTIFS($A$2:A698,A698,
             $B$2:B698,B698,
             $C$2:C698,C698,
             $D$2:D698,D698,
             $G$2:G698,G698)&gt;1,
   "Doublon",
   "Correcte"
)</f>
        <v>Correcte</v>
      </c>
    </row>
    <row r="699" spans="1:18" x14ac:dyDescent="0.25">
      <c r="A699" s="104" t="s">
        <v>1739</v>
      </c>
      <c r="B699" s="35" t="s">
        <v>595</v>
      </c>
      <c r="C699" s="36">
        <v>5</v>
      </c>
      <c r="D699" s="36">
        <v>0</v>
      </c>
      <c r="E699" s="35" t="s">
        <v>699</v>
      </c>
      <c r="F699" s="35" t="s">
        <v>634</v>
      </c>
      <c r="G699" s="37">
        <v>45927.532407407409</v>
      </c>
      <c r="H699" s="37" t="str">
        <f>INDEX(_xlfn.TEXTSPLIT(mvtst[[#This Row],[QR Suivis]],"_"),1,1)</f>
        <v>OF246546-12</v>
      </c>
      <c r="I699" s="35" t="str">
        <f>_xlfn.TEXTBEFORE(mvtst[[#This Row],[Num Suivis]],"-",,,1)</f>
        <v>OF246546</v>
      </c>
      <c r="J699" s="36">
        <f>SUMIF(mvtst[QR Suivis],mvtst[[#This Row],[QR Suivis]],mvtst[QTE SORTIS])-SUMIF(mvtst[QR Suivis],mvtst[[#This Row],[QR Suivis]],mvtst[QTE RETOUR])</f>
        <v>0</v>
      </c>
      <c r="K699" s="35" t="str">
        <f t="shared" si="10"/>
        <v>Usine</v>
      </c>
      <c r="L699" s="35" t="str">
        <f>_xlfn.XLOOKUP(mvtst[[#This Row],[Sous Traitant]],coordonnee_st[Identification],coordonnee_st[SERVICE],"Non Trouvé")</f>
        <v>Frange</v>
      </c>
      <c r="M699" s="35" t="str">
        <f>INDEX(_xlfn.TEXTSPLIT(mvtst[[#This Row],[QR Suivis]],"_"),1,2)</f>
        <v>CL00296</v>
      </c>
      <c r="N699" s="35" t="str">
        <f>INDEX(_xlfn.TEXTSPLIT(mvtst[[#This Row],[QR Suivis]],"_"),1,3)</f>
        <v>CM-FT0108</v>
      </c>
      <c r="O699" s="35" t="str">
        <f>INDEX(_xlfn.TEXTSPLIT(mvtst[[#This Row],[QR Suivis]],"_"),1,4)</f>
        <v>EPMA0919-B29-02</v>
      </c>
      <c r="P699" s="35" t="str">
        <f>INDEX(_xlfn.TEXTSPLIT(mvtst[[#This Row],[QR Suivis]],"_"),1,5)</f>
        <v>MARINIERE</v>
      </c>
      <c r="Q699" s="35" t="str">
        <f>_xlfn.TEXTAFTER(mvtst[[#This Row],[QR Suivis]],"_",5)</f>
        <v>0919</v>
      </c>
      <c r="R699" s="84" t="str">
        <f>IF(
   COUNTIFS($A$2:A699,A699,
             $B$2:B699,B699,
             $C$2:C699,C699,
             $D$2:D699,D699,
             $G$2:G699,G699)&gt;1,
   "Doublon",
   "Correcte"
)</f>
        <v>Correcte</v>
      </c>
    </row>
    <row r="700" spans="1:18" x14ac:dyDescent="0.25">
      <c r="A700" s="104" t="s">
        <v>1740</v>
      </c>
      <c r="B700" s="35" t="s">
        <v>595</v>
      </c>
      <c r="C700" s="36">
        <v>5</v>
      </c>
      <c r="D700" s="36">
        <v>0</v>
      </c>
      <c r="E700" s="35" t="s">
        <v>699</v>
      </c>
      <c r="F700" s="35" t="s">
        <v>634</v>
      </c>
      <c r="G700" s="37">
        <v>45927.534108796295</v>
      </c>
      <c r="H700" s="37" t="str">
        <f>INDEX(_xlfn.TEXTSPLIT(mvtst[[#This Row],[QR Suivis]],"_"),1,1)</f>
        <v>OF246546-14</v>
      </c>
      <c r="I700" s="35" t="str">
        <f>_xlfn.TEXTBEFORE(mvtst[[#This Row],[Num Suivis]],"-",,,1)</f>
        <v>OF246546</v>
      </c>
      <c r="J700" s="36">
        <f>SUMIF(mvtst[QR Suivis],mvtst[[#This Row],[QR Suivis]],mvtst[QTE SORTIS])-SUMIF(mvtst[QR Suivis],mvtst[[#This Row],[QR Suivis]],mvtst[QTE RETOUR])</f>
        <v>0</v>
      </c>
      <c r="K700" s="35" t="str">
        <f t="shared" si="10"/>
        <v>Usine</v>
      </c>
      <c r="L700" s="35" t="str">
        <f>_xlfn.XLOOKUP(mvtst[[#This Row],[Sous Traitant]],coordonnee_st[Identification],coordonnee_st[SERVICE],"Non Trouvé")</f>
        <v>Frange</v>
      </c>
      <c r="M700" s="35" t="str">
        <f>INDEX(_xlfn.TEXTSPLIT(mvtst[[#This Row],[QR Suivis]],"_"),1,2)</f>
        <v>CL00296</v>
      </c>
      <c r="N700" s="35" t="str">
        <f>INDEX(_xlfn.TEXTSPLIT(mvtst[[#This Row],[QR Suivis]],"_"),1,3)</f>
        <v>CM-FT0108</v>
      </c>
      <c r="O700" s="35" t="str">
        <f>INDEX(_xlfn.TEXTSPLIT(mvtst[[#This Row],[QR Suivis]],"_"),1,4)</f>
        <v>EPMA0919-B29-02</v>
      </c>
      <c r="P700" s="35" t="str">
        <f>INDEX(_xlfn.TEXTSPLIT(mvtst[[#This Row],[QR Suivis]],"_"),1,5)</f>
        <v>MARINIERE</v>
      </c>
      <c r="Q700" s="35" t="str">
        <f>_xlfn.TEXTAFTER(mvtst[[#This Row],[QR Suivis]],"_",5)</f>
        <v>0919</v>
      </c>
      <c r="R700" s="84" t="str">
        <f>IF(
   COUNTIFS($A$2:A700,A700,
             $B$2:B700,B700,
             $C$2:C700,C700,
             $D$2:D700,D700,
             $G$2:G700,G700)&gt;1,
   "Doublon",
   "Correcte"
)</f>
        <v>Correcte</v>
      </c>
    </row>
    <row r="701" spans="1:18" x14ac:dyDescent="0.25">
      <c r="A701" s="104" t="s">
        <v>1725</v>
      </c>
      <c r="B701" s="35" t="s">
        <v>595</v>
      </c>
      <c r="C701" s="36">
        <v>0</v>
      </c>
      <c r="D701" s="36">
        <v>1</v>
      </c>
      <c r="E701" s="35" t="s">
        <v>699</v>
      </c>
      <c r="F701" s="35" t="s">
        <v>634</v>
      </c>
      <c r="G701" s="37">
        <v>45927.566574074073</v>
      </c>
      <c r="H701" s="37" t="str">
        <f>INDEX(_xlfn.TEXTSPLIT(mvtst[[#This Row],[QR Suivis]],"_"),1,1)</f>
        <v>OF250131-1</v>
      </c>
      <c r="I701" s="35" t="str">
        <f>_xlfn.TEXTBEFORE(mvtst[[#This Row],[Num Suivis]],"-",,,1)</f>
        <v>OF250131</v>
      </c>
      <c r="J701" s="36">
        <f>SUMIF(mvtst[QR Suivis],mvtst[[#This Row],[QR Suivis]],mvtst[QTE SORTIS])-SUMIF(mvtst[QR Suivis],mvtst[[#This Row],[QR Suivis]],mvtst[QTE RETOUR])</f>
        <v>0</v>
      </c>
      <c r="K701" s="35" t="str">
        <f t="shared" si="10"/>
        <v>Usine</v>
      </c>
      <c r="L701" s="35" t="str">
        <f>_xlfn.XLOOKUP(mvtst[[#This Row],[Sous Traitant]],coordonnee_st[Identification],coordonnee_st[SERVICE],"Non Trouvé")</f>
        <v>Frange</v>
      </c>
      <c r="M701" s="35" t="str">
        <f>INDEX(_xlfn.TEXTSPLIT(mvtst[[#This Row],[QR Suivis]],"_"),1,2)</f>
        <v>CL00162</v>
      </c>
      <c r="N701" s="35" t="str">
        <f>INDEX(_xlfn.TEXTSPLIT(mvtst[[#This Row],[QR Suivis]],"_"),1,3)</f>
        <v>CM-FT0130</v>
      </c>
      <c r="O701" s="35" t="str">
        <f>INDEX(_xlfn.TEXTSPLIT(mvtst[[#This Row],[QR Suivis]],"_"),1,4)</f>
        <v>GIN2426-B12-03</v>
      </c>
      <c r="P701" s="35" t="str">
        <f>INDEX(_xlfn.TEXTSPLIT(mvtst[[#This Row],[QR Suivis]],"_"),1,5)</f>
        <v>GINKO</v>
      </c>
      <c r="Q701" s="35" t="str">
        <f>_xlfn.TEXTAFTER(mvtst[[#This Row],[QR Suivis]],"_",5)</f>
        <v>2426</v>
      </c>
      <c r="R701" s="84" t="str">
        <f>IF(
   COUNTIFS($A$2:A701,A701,
             $B$2:B701,B701,
             $C$2:C701,C701,
             $D$2:D701,D701,
             $G$2:G701,G701)&gt;1,
   "Doublon",
   "Correcte"
)</f>
        <v>Correcte</v>
      </c>
    </row>
    <row r="702" spans="1:18" x14ac:dyDescent="0.25">
      <c r="A702" s="104" t="s">
        <v>1728</v>
      </c>
      <c r="B702" s="35" t="s">
        <v>595</v>
      </c>
      <c r="C702" s="36">
        <v>0</v>
      </c>
      <c r="D702" s="36">
        <v>2</v>
      </c>
      <c r="E702" s="35" t="s">
        <v>699</v>
      </c>
      <c r="F702" s="35" t="s">
        <v>634</v>
      </c>
      <c r="G702" s="37">
        <v>45927.566863425927</v>
      </c>
      <c r="H702" s="37" t="str">
        <f>INDEX(_xlfn.TEXTSPLIT(mvtst[[#This Row],[QR Suivis]],"_"),1,1)</f>
        <v>OF250130-1</v>
      </c>
      <c r="I702" s="35" t="str">
        <f>_xlfn.TEXTBEFORE(mvtst[[#This Row],[Num Suivis]],"-",,,1)</f>
        <v>OF250130</v>
      </c>
      <c r="J702" s="36">
        <f>SUMIF(mvtst[QR Suivis],mvtst[[#This Row],[QR Suivis]],mvtst[QTE SORTIS])-SUMIF(mvtst[QR Suivis],mvtst[[#This Row],[QR Suivis]],mvtst[QTE RETOUR])</f>
        <v>0</v>
      </c>
      <c r="K702" s="35" t="str">
        <f t="shared" si="10"/>
        <v>Usine</v>
      </c>
      <c r="L702" s="35" t="str">
        <f>_xlfn.XLOOKUP(mvtst[[#This Row],[Sous Traitant]],coordonnee_st[Identification],coordonnee_st[SERVICE],"Non Trouvé")</f>
        <v>Frange</v>
      </c>
      <c r="M702" s="35" t="str">
        <f>INDEX(_xlfn.TEXTSPLIT(mvtst[[#This Row],[QR Suivis]],"_"),1,2)</f>
        <v>CL00162</v>
      </c>
      <c r="N702" s="35" t="str">
        <f>INDEX(_xlfn.TEXTSPLIT(mvtst[[#This Row],[QR Suivis]],"_"),1,3)</f>
        <v>CM-FT0130</v>
      </c>
      <c r="O702" s="35" t="str">
        <f>INDEX(_xlfn.TEXTSPLIT(mvtst[[#This Row],[QR Suivis]],"_"),1,4)</f>
        <v>GIN2426-B03-02</v>
      </c>
      <c r="P702" s="35" t="str">
        <f>INDEX(_xlfn.TEXTSPLIT(mvtst[[#This Row],[QR Suivis]],"_"),1,5)</f>
        <v>GINKO</v>
      </c>
      <c r="Q702" s="35" t="str">
        <f>_xlfn.TEXTAFTER(mvtst[[#This Row],[QR Suivis]],"_",5)</f>
        <v>2426</v>
      </c>
      <c r="R702" s="84" t="str">
        <f>IF(
   COUNTIFS($A$2:A702,A702,
             $B$2:B702,B702,
             $C$2:C702,C702,
             $D$2:D702,D702,
             $G$2:G702,G702)&gt;1,
   "Doublon",
   "Correcte"
)</f>
        <v>Correcte</v>
      </c>
    </row>
    <row r="703" spans="1:18" x14ac:dyDescent="0.25">
      <c r="A703" s="104" t="s">
        <v>1597</v>
      </c>
      <c r="B703" s="35" t="s">
        <v>595</v>
      </c>
      <c r="C703" s="36">
        <v>0</v>
      </c>
      <c r="D703" s="36">
        <v>5</v>
      </c>
      <c r="E703" s="35" t="s">
        <v>699</v>
      </c>
      <c r="F703" s="35" t="s">
        <v>634</v>
      </c>
      <c r="G703" s="37">
        <v>45927.583715277775</v>
      </c>
      <c r="H703" s="37" t="str">
        <f>INDEX(_xlfn.TEXTSPLIT(mvtst[[#This Row],[QR Suivis]],"_"),1,1)</f>
        <v>OF246547-3</v>
      </c>
      <c r="I703" s="35" t="str">
        <f>_xlfn.TEXTBEFORE(mvtst[[#This Row],[Num Suivis]],"-",,,1)</f>
        <v>OF246547</v>
      </c>
      <c r="J703" s="36">
        <f>SUMIF(mvtst[QR Suivis],mvtst[[#This Row],[QR Suivis]],mvtst[QTE SORTIS])-SUMIF(mvtst[QR Suivis],mvtst[[#This Row],[QR Suivis]],mvtst[QTE RETOUR])</f>
        <v>0</v>
      </c>
      <c r="K703" s="35" t="str">
        <f t="shared" si="10"/>
        <v>Usine</v>
      </c>
      <c r="L703" s="35" t="str">
        <f>_xlfn.XLOOKUP(mvtst[[#This Row],[Sous Traitant]],coordonnee_st[Identification],coordonnee_st[SERVICE],"Non Trouvé")</f>
        <v>Frange</v>
      </c>
      <c r="M703" s="35" t="str">
        <f>INDEX(_xlfn.TEXTSPLIT(mvtst[[#This Row],[QR Suivis]],"_"),1,2)</f>
        <v>CL00296</v>
      </c>
      <c r="N703" s="35" t="str">
        <f>INDEX(_xlfn.TEXTSPLIT(mvtst[[#This Row],[QR Suivis]],"_"),1,3)</f>
        <v>CM-FT0108</v>
      </c>
      <c r="O703" s="35" t="str">
        <f>INDEX(_xlfn.TEXTSPLIT(mvtst[[#This Row],[QR Suivis]],"_"),1,4)</f>
        <v>EPMA0919-B11-02</v>
      </c>
      <c r="P703" s="35" t="str">
        <f>INDEX(_xlfn.TEXTSPLIT(mvtst[[#This Row],[QR Suivis]],"_"),1,5)</f>
        <v>MARINIERE</v>
      </c>
      <c r="Q703" s="35" t="str">
        <f>_xlfn.TEXTAFTER(mvtst[[#This Row],[QR Suivis]],"_",5)</f>
        <v>0919</v>
      </c>
      <c r="R703" s="84" t="str">
        <f>IF(
   COUNTIFS($A$2:A703,A703,
             $B$2:B703,B703,
             $C$2:C703,C703,
             $D$2:D703,D703,
             $G$2:G703,G703)&gt;1,
   "Doublon",
   "Correcte"
)</f>
        <v>Correcte</v>
      </c>
    </row>
    <row r="704" spans="1:18" x14ac:dyDescent="0.25">
      <c r="A704" s="104" t="s">
        <v>1659</v>
      </c>
      <c r="B704" s="35" t="s">
        <v>595</v>
      </c>
      <c r="C704" s="36">
        <v>0</v>
      </c>
      <c r="D704" s="36">
        <v>5</v>
      </c>
      <c r="E704" s="35" t="s">
        <v>699</v>
      </c>
      <c r="F704" s="35" t="s">
        <v>634</v>
      </c>
      <c r="G704" s="37">
        <v>45927.583854166667</v>
      </c>
      <c r="H704" s="37" t="str">
        <f>INDEX(_xlfn.TEXTSPLIT(mvtst[[#This Row],[QR Suivis]],"_"),1,1)</f>
        <v>OF246537-12</v>
      </c>
      <c r="I704" s="35" t="str">
        <f>_xlfn.TEXTBEFORE(mvtst[[#This Row],[Num Suivis]],"-",,,1)</f>
        <v>OF246537</v>
      </c>
      <c r="J704" s="36">
        <f>SUMIF(mvtst[QR Suivis],mvtst[[#This Row],[QR Suivis]],mvtst[QTE SORTIS])-SUMIF(mvtst[QR Suivis],mvtst[[#This Row],[QR Suivis]],mvtst[QTE RETOUR])</f>
        <v>0</v>
      </c>
      <c r="K704" s="35" t="str">
        <f t="shared" si="10"/>
        <v>Usine</v>
      </c>
      <c r="L704" s="35" t="str">
        <f>_xlfn.XLOOKUP(mvtst[[#This Row],[Sous Traitant]],coordonnee_st[Identification],coordonnee_st[SERVICE],"Non Trouvé")</f>
        <v>Frange</v>
      </c>
      <c r="M704" s="35" t="str">
        <f>INDEX(_xlfn.TEXTSPLIT(mvtst[[#This Row],[QR Suivis]],"_"),1,2)</f>
        <v>CL00296</v>
      </c>
      <c r="N704" s="35" t="str">
        <f>INDEX(_xlfn.TEXTSPLIT(mvtst[[#This Row],[QR Suivis]],"_"),1,3)</f>
        <v>CM-FT0108</v>
      </c>
      <c r="O704" s="35" t="str">
        <f>INDEX(_xlfn.TEXTSPLIT(mvtst[[#This Row],[QR Suivis]],"_"),1,4)</f>
        <v>EPMA0919-B26-02</v>
      </c>
      <c r="P704" s="35" t="str">
        <f>INDEX(_xlfn.TEXTSPLIT(mvtst[[#This Row],[QR Suivis]],"_"),1,5)</f>
        <v>MARINIERE</v>
      </c>
      <c r="Q704" s="35" t="str">
        <f>_xlfn.TEXTAFTER(mvtst[[#This Row],[QR Suivis]],"_",5)</f>
        <v>0919</v>
      </c>
      <c r="R704" s="84" t="str">
        <f>IF(
   COUNTIFS($A$2:A704,A704,
             $B$2:B704,B704,
             $C$2:C704,C704,
             $D$2:D704,D704,
             $G$2:G704,G704)&gt;1,
   "Doublon",
   "Correcte"
)</f>
        <v>Correcte</v>
      </c>
    </row>
    <row r="705" spans="1:18" x14ac:dyDescent="0.25">
      <c r="A705" s="104" t="s">
        <v>1598</v>
      </c>
      <c r="B705" s="35" t="s">
        <v>595</v>
      </c>
      <c r="C705" s="36">
        <v>0</v>
      </c>
      <c r="D705" s="36">
        <v>5</v>
      </c>
      <c r="E705" s="35" t="s">
        <v>699</v>
      </c>
      <c r="F705" s="35" t="s">
        <v>634</v>
      </c>
      <c r="G705" s="37">
        <v>45927.584074074075</v>
      </c>
      <c r="H705" s="37" t="str">
        <f>INDEX(_xlfn.TEXTSPLIT(mvtst[[#This Row],[QR Suivis]],"_"),1,1)</f>
        <v>OF246547-5</v>
      </c>
      <c r="I705" s="35" t="str">
        <f>_xlfn.TEXTBEFORE(mvtst[[#This Row],[Num Suivis]],"-",,,1)</f>
        <v>OF246547</v>
      </c>
      <c r="J705" s="36">
        <f>SUMIF(mvtst[QR Suivis],mvtst[[#This Row],[QR Suivis]],mvtst[QTE SORTIS])-SUMIF(mvtst[QR Suivis],mvtst[[#This Row],[QR Suivis]],mvtst[QTE RETOUR])</f>
        <v>0</v>
      </c>
      <c r="K705" s="35" t="str">
        <f t="shared" si="10"/>
        <v>Usine</v>
      </c>
      <c r="L705" s="35" t="str">
        <f>_xlfn.XLOOKUP(mvtst[[#This Row],[Sous Traitant]],coordonnee_st[Identification],coordonnee_st[SERVICE],"Non Trouvé")</f>
        <v>Frange</v>
      </c>
      <c r="M705" s="35" t="str">
        <f>INDEX(_xlfn.TEXTSPLIT(mvtst[[#This Row],[QR Suivis]],"_"),1,2)</f>
        <v>CL00296</v>
      </c>
      <c r="N705" s="35" t="str">
        <f>INDEX(_xlfn.TEXTSPLIT(mvtst[[#This Row],[QR Suivis]],"_"),1,3)</f>
        <v>CM-FT0108</v>
      </c>
      <c r="O705" s="35" t="str">
        <f>INDEX(_xlfn.TEXTSPLIT(mvtst[[#This Row],[QR Suivis]],"_"),1,4)</f>
        <v>EPMA0919-B11-02</v>
      </c>
      <c r="P705" s="35" t="str">
        <f>INDEX(_xlfn.TEXTSPLIT(mvtst[[#This Row],[QR Suivis]],"_"),1,5)</f>
        <v>MARINIERE</v>
      </c>
      <c r="Q705" s="35" t="str">
        <f>_xlfn.TEXTAFTER(mvtst[[#This Row],[QR Suivis]],"_",5)</f>
        <v>0919</v>
      </c>
      <c r="R705" s="84" t="str">
        <f>IF(
   COUNTIFS($A$2:A705,A705,
             $B$2:B705,B705,
             $C$2:C705,C705,
             $D$2:D705,D705,
             $G$2:G705,G705)&gt;1,
   "Doublon",
   "Correcte"
)</f>
        <v>Correcte</v>
      </c>
    </row>
    <row r="706" spans="1:18" x14ac:dyDescent="0.25">
      <c r="A706" s="104" t="s">
        <v>1660</v>
      </c>
      <c r="B706" s="35" t="s">
        <v>595</v>
      </c>
      <c r="C706" s="36">
        <v>0</v>
      </c>
      <c r="D706" s="36">
        <v>5</v>
      </c>
      <c r="E706" s="35" t="s">
        <v>699</v>
      </c>
      <c r="F706" s="35" t="s">
        <v>634</v>
      </c>
      <c r="G706" s="37">
        <v>45927.584282407406</v>
      </c>
      <c r="H706" s="37" t="str">
        <f>INDEX(_xlfn.TEXTSPLIT(mvtst[[#This Row],[QR Suivis]],"_"),1,1)</f>
        <v>OF246537-11</v>
      </c>
      <c r="I706" s="35" t="str">
        <f>_xlfn.TEXTBEFORE(mvtst[[#This Row],[Num Suivis]],"-",,,1)</f>
        <v>OF246537</v>
      </c>
      <c r="J706" s="36">
        <f>SUMIF(mvtst[QR Suivis],mvtst[[#This Row],[QR Suivis]],mvtst[QTE SORTIS])-SUMIF(mvtst[QR Suivis],mvtst[[#This Row],[QR Suivis]],mvtst[QTE RETOUR])</f>
        <v>0</v>
      </c>
      <c r="K706" s="35" t="str">
        <f t="shared" si="10"/>
        <v>Usine</v>
      </c>
      <c r="L706" s="35" t="str">
        <f>_xlfn.XLOOKUP(mvtst[[#This Row],[Sous Traitant]],coordonnee_st[Identification],coordonnee_st[SERVICE],"Non Trouvé")</f>
        <v>Frange</v>
      </c>
      <c r="M706" s="35" t="str">
        <f>INDEX(_xlfn.TEXTSPLIT(mvtst[[#This Row],[QR Suivis]],"_"),1,2)</f>
        <v>CL00296</v>
      </c>
      <c r="N706" s="35" t="str">
        <f>INDEX(_xlfn.TEXTSPLIT(mvtst[[#This Row],[QR Suivis]],"_"),1,3)</f>
        <v>CM-FT0108</v>
      </c>
      <c r="O706" s="35" t="str">
        <f>INDEX(_xlfn.TEXTSPLIT(mvtst[[#This Row],[QR Suivis]],"_"),1,4)</f>
        <v>EPMA0919-B26-02</v>
      </c>
      <c r="P706" s="35" t="str">
        <f>INDEX(_xlfn.TEXTSPLIT(mvtst[[#This Row],[QR Suivis]],"_"),1,5)</f>
        <v>MARINIERE</v>
      </c>
      <c r="Q706" s="35" t="str">
        <f>_xlfn.TEXTAFTER(mvtst[[#This Row],[QR Suivis]],"_",5)</f>
        <v>0919</v>
      </c>
      <c r="R706" s="84" t="str">
        <f>IF(
   COUNTIFS($A$2:A706,A706,
             $B$2:B706,B706,
             $C$2:C706,C706,
             $D$2:D706,D706,
             $G$2:G706,G706)&gt;1,
   "Doublon",
   "Correcte"
)</f>
        <v>Correcte</v>
      </c>
    </row>
    <row r="707" spans="1:18" x14ac:dyDescent="0.25">
      <c r="A707" s="104" t="s">
        <v>1661</v>
      </c>
      <c r="B707" s="35" t="s">
        <v>595</v>
      </c>
      <c r="C707" s="36">
        <v>0</v>
      </c>
      <c r="D707" s="36">
        <v>5</v>
      </c>
      <c r="E707" s="35" t="s">
        <v>699</v>
      </c>
      <c r="F707" s="35" t="s">
        <v>634</v>
      </c>
      <c r="G707" s="37">
        <v>45927.584502314814</v>
      </c>
      <c r="H707" s="37" t="str">
        <f>INDEX(_xlfn.TEXTSPLIT(mvtst[[#This Row],[QR Suivis]],"_"),1,1)</f>
        <v>OF246537-15</v>
      </c>
      <c r="I707" s="35" t="str">
        <f>_xlfn.TEXTBEFORE(mvtst[[#This Row],[Num Suivis]],"-",,,1)</f>
        <v>OF246537</v>
      </c>
      <c r="J707" s="36">
        <f>SUMIF(mvtst[QR Suivis],mvtst[[#This Row],[QR Suivis]],mvtst[QTE SORTIS])-SUMIF(mvtst[QR Suivis],mvtst[[#This Row],[QR Suivis]],mvtst[QTE RETOUR])</f>
        <v>0</v>
      </c>
      <c r="K707" s="35" t="str">
        <f t="shared" ref="K707:K770" si="11">"Usine"</f>
        <v>Usine</v>
      </c>
      <c r="L707" s="35" t="str">
        <f>_xlfn.XLOOKUP(mvtst[[#This Row],[Sous Traitant]],coordonnee_st[Identification],coordonnee_st[SERVICE],"Non Trouvé")</f>
        <v>Frange</v>
      </c>
      <c r="M707" s="35" t="str">
        <f>INDEX(_xlfn.TEXTSPLIT(mvtst[[#This Row],[QR Suivis]],"_"),1,2)</f>
        <v>CL00296</v>
      </c>
      <c r="N707" s="35" t="str">
        <f>INDEX(_xlfn.TEXTSPLIT(mvtst[[#This Row],[QR Suivis]],"_"),1,3)</f>
        <v>CM-FT0108</v>
      </c>
      <c r="O707" s="35" t="str">
        <f>INDEX(_xlfn.TEXTSPLIT(mvtst[[#This Row],[QR Suivis]],"_"),1,4)</f>
        <v>EPMA0919-B26-02</v>
      </c>
      <c r="P707" s="35" t="str">
        <f>INDEX(_xlfn.TEXTSPLIT(mvtst[[#This Row],[QR Suivis]],"_"),1,5)</f>
        <v>MARINIERE</v>
      </c>
      <c r="Q707" s="35" t="str">
        <f>_xlfn.TEXTAFTER(mvtst[[#This Row],[QR Suivis]],"_",5)</f>
        <v>0919</v>
      </c>
      <c r="R707" s="84" t="str">
        <f>IF(
   COUNTIFS($A$2:A707,A707,
             $B$2:B707,B707,
             $C$2:C707,C707,
             $D$2:D707,D707,
             $G$2:G707,G707)&gt;1,
   "Doublon",
   "Correcte"
)</f>
        <v>Correcte</v>
      </c>
    </row>
    <row r="708" spans="1:18" x14ac:dyDescent="0.25">
      <c r="A708" s="104" t="s">
        <v>1599</v>
      </c>
      <c r="B708" s="35" t="s">
        <v>595</v>
      </c>
      <c r="C708" s="36">
        <v>0</v>
      </c>
      <c r="D708" s="36">
        <v>5</v>
      </c>
      <c r="E708" s="35" t="s">
        <v>699</v>
      </c>
      <c r="F708" s="35" t="s">
        <v>634</v>
      </c>
      <c r="G708" s="37">
        <v>45927.584687499999</v>
      </c>
      <c r="H708" s="37" t="str">
        <f>INDEX(_xlfn.TEXTSPLIT(mvtst[[#This Row],[QR Suivis]],"_"),1,1)</f>
        <v>OF246547-9</v>
      </c>
      <c r="I708" s="35" t="str">
        <f>_xlfn.TEXTBEFORE(mvtst[[#This Row],[Num Suivis]],"-",,,1)</f>
        <v>OF246547</v>
      </c>
      <c r="J708" s="36">
        <f>SUMIF(mvtst[QR Suivis],mvtst[[#This Row],[QR Suivis]],mvtst[QTE SORTIS])-SUMIF(mvtst[QR Suivis],mvtst[[#This Row],[QR Suivis]],mvtst[QTE RETOUR])</f>
        <v>0</v>
      </c>
      <c r="K708" s="35" t="str">
        <f t="shared" si="11"/>
        <v>Usine</v>
      </c>
      <c r="L708" s="35" t="str">
        <f>_xlfn.XLOOKUP(mvtst[[#This Row],[Sous Traitant]],coordonnee_st[Identification],coordonnee_st[SERVICE],"Non Trouvé")</f>
        <v>Frange</v>
      </c>
      <c r="M708" s="35" t="str">
        <f>INDEX(_xlfn.TEXTSPLIT(mvtst[[#This Row],[QR Suivis]],"_"),1,2)</f>
        <v>CL00296</v>
      </c>
      <c r="N708" s="35" t="str">
        <f>INDEX(_xlfn.TEXTSPLIT(mvtst[[#This Row],[QR Suivis]],"_"),1,3)</f>
        <v>CM-FT0108</v>
      </c>
      <c r="O708" s="35" t="str">
        <f>INDEX(_xlfn.TEXTSPLIT(mvtst[[#This Row],[QR Suivis]],"_"),1,4)</f>
        <v>EPMA0919-B11-02</v>
      </c>
      <c r="P708" s="35" t="str">
        <f>INDEX(_xlfn.TEXTSPLIT(mvtst[[#This Row],[QR Suivis]],"_"),1,5)</f>
        <v>MARINIERE</v>
      </c>
      <c r="Q708" s="35" t="str">
        <f>_xlfn.TEXTAFTER(mvtst[[#This Row],[QR Suivis]],"_",5)</f>
        <v>0919</v>
      </c>
      <c r="R708" s="84" t="str">
        <f>IF(
   COUNTIFS($A$2:A708,A708,
             $B$2:B708,B708,
             $C$2:C708,C708,
             $D$2:D708,D708,
             $G$2:G708,G708)&gt;1,
   "Doublon",
   "Correcte"
)</f>
        <v>Correcte</v>
      </c>
    </row>
    <row r="709" spans="1:18" x14ac:dyDescent="0.25">
      <c r="A709" s="104" t="s">
        <v>1662</v>
      </c>
      <c r="B709" s="35" t="s">
        <v>595</v>
      </c>
      <c r="C709" s="36">
        <v>0</v>
      </c>
      <c r="D709" s="36">
        <v>5</v>
      </c>
      <c r="E709" s="35" t="s">
        <v>699</v>
      </c>
      <c r="F709" s="35" t="s">
        <v>634</v>
      </c>
      <c r="G709" s="37">
        <v>45927.584918981483</v>
      </c>
      <c r="H709" s="37" t="str">
        <f>INDEX(_xlfn.TEXTSPLIT(mvtst[[#This Row],[QR Suivis]],"_"),1,1)</f>
        <v>OF246537-10</v>
      </c>
      <c r="I709" s="35" t="str">
        <f>_xlfn.TEXTBEFORE(mvtst[[#This Row],[Num Suivis]],"-",,,1)</f>
        <v>OF246537</v>
      </c>
      <c r="J709" s="36">
        <f>SUMIF(mvtst[QR Suivis],mvtst[[#This Row],[QR Suivis]],mvtst[QTE SORTIS])-SUMIF(mvtst[QR Suivis],mvtst[[#This Row],[QR Suivis]],mvtst[QTE RETOUR])</f>
        <v>0</v>
      </c>
      <c r="K709" s="35" t="str">
        <f t="shared" si="11"/>
        <v>Usine</v>
      </c>
      <c r="L709" s="35" t="str">
        <f>_xlfn.XLOOKUP(mvtst[[#This Row],[Sous Traitant]],coordonnee_st[Identification],coordonnee_st[SERVICE],"Non Trouvé")</f>
        <v>Frange</v>
      </c>
      <c r="M709" s="35" t="str">
        <f>INDEX(_xlfn.TEXTSPLIT(mvtst[[#This Row],[QR Suivis]],"_"),1,2)</f>
        <v>CL00296</v>
      </c>
      <c r="N709" s="35" t="str">
        <f>INDEX(_xlfn.TEXTSPLIT(mvtst[[#This Row],[QR Suivis]],"_"),1,3)</f>
        <v>CM-FT0108</v>
      </c>
      <c r="O709" s="35" t="str">
        <f>INDEX(_xlfn.TEXTSPLIT(mvtst[[#This Row],[QR Suivis]],"_"),1,4)</f>
        <v>EPMA0919-B26-02</v>
      </c>
      <c r="P709" s="35" t="str">
        <f>INDEX(_xlfn.TEXTSPLIT(mvtst[[#This Row],[QR Suivis]],"_"),1,5)</f>
        <v>MARINIERE</v>
      </c>
      <c r="Q709" s="35" t="str">
        <f>_xlfn.TEXTAFTER(mvtst[[#This Row],[QR Suivis]],"_",5)</f>
        <v>0919</v>
      </c>
      <c r="R709" s="84" t="str">
        <f>IF(
   COUNTIFS($A$2:A709,A709,
             $B$2:B709,B709,
             $C$2:C709,C709,
             $D$2:D709,D709,
             $G$2:G709,G709)&gt;1,
   "Doublon",
   "Correcte"
)</f>
        <v>Correcte</v>
      </c>
    </row>
    <row r="710" spans="1:18" x14ac:dyDescent="0.25">
      <c r="A710" s="104" t="s">
        <v>1725</v>
      </c>
      <c r="B710" s="35" t="s">
        <v>595</v>
      </c>
      <c r="C710" s="36">
        <v>0</v>
      </c>
      <c r="D710" s="36">
        <v>1</v>
      </c>
      <c r="E710" s="35" t="s">
        <v>699</v>
      </c>
      <c r="F710" s="35" t="s">
        <v>634</v>
      </c>
      <c r="G710" s="37">
        <v>45927.621793981481</v>
      </c>
      <c r="H710" s="37" t="str">
        <f>INDEX(_xlfn.TEXTSPLIT(mvtst[[#This Row],[QR Suivis]],"_"),1,1)</f>
        <v>OF250131-1</v>
      </c>
      <c r="I710" s="35" t="str">
        <f>_xlfn.TEXTBEFORE(mvtst[[#This Row],[Num Suivis]],"-",,,1)</f>
        <v>OF250131</v>
      </c>
      <c r="J710" s="36">
        <f>SUMIF(mvtst[QR Suivis],mvtst[[#This Row],[QR Suivis]],mvtst[QTE SORTIS])-SUMIF(mvtst[QR Suivis],mvtst[[#This Row],[QR Suivis]],mvtst[QTE RETOUR])</f>
        <v>0</v>
      </c>
      <c r="K710" s="35" t="str">
        <f t="shared" si="11"/>
        <v>Usine</v>
      </c>
      <c r="L710" s="35" t="str">
        <f>_xlfn.XLOOKUP(mvtst[[#This Row],[Sous Traitant]],coordonnee_st[Identification],coordonnee_st[SERVICE],"Non Trouvé")</f>
        <v>Frange</v>
      </c>
      <c r="M710" s="35" t="str">
        <f>INDEX(_xlfn.TEXTSPLIT(mvtst[[#This Row],[QR Suivis]],"_"),1,2)</f>
        <v>CL00162</v>
      </c>
      <c r="N710" s="35" t="str">
        <f>INDEX(_xlfn.TEXTSPLIT(mvtst[[#This Row],[QR Suivis]],"_"),1,3)</f>
        <v>CM-FT0130</v>
      </c>
      <c r="O710" s="35" t="str">
        <f>INDEX(_xlfn.TEXTSPLIT(mvtst[[#This Row],[QR Suivis]],"_"),1,4)</f>
        <v>GIN2426-B12-03</v>
      </c>
      <c r="P710" s="35" t="str">
        <f>INDEX(_xlfn.TEXTSPLIT(mvtst[[#This Row],[QR Suivis]],"_"),1,5)</f>
        <v>GINKO</v>
      </c>
      <c r="Q710" s="35" t="str">
        <f>_xlfn.TEXTAFTER(mvtst[[#This Row],[QR Suivis]],"_",5)</f>
        <v>2426</v>
      </c>
      <c r="R710" s="84" t="str">
        <f>IF(
   COUNTIFS($A$2:A710,A710,
             $B$2:B710,B710,
             $C$2:C710,C710,
             $D$2:D710,D710,
             $G$2:G710,G710)&gt;1,
   "Doublon",
   "Correcte"
)</f>
        <v>Correcte</v>
      </c>
    </row>
    <row r="711" spans="1:18" x14ac:dyDescent="0.25">
      <c r="A711" s="104" t="s">
        <v>1726</v>
      </c>
      <c r="B711" s="35" t="s">
        <v>595</v>
      </c>
      <c r="C711" s="36">
        <v>0</v>
      </c>
      <c r="D711" s="36">
        <v>2</v>
      </c>
      <c r="E711" s="35" t="s">
        <v>699</v>
      </c>
      <c r="F711" s="35" t="s">
        <v>634</v>
      </c>
      <c r="G711" s="37">
        <v>45927.634259259263</v>
      </c>
      <c r="H711" s="37" t="str">
        <f>INDEX(_xlfn.TEXTSPLIT(mvtst[[#This Row],[QR Suivis]],"_"),1,1)</f>
        <v>OF250130-2</v>
      </c>
      <c r="I711" s="35" t="str">
        <f>_xlfn.TEXTBEFORE(mvtst[[#This Row],[Num Suivis]],"-",,,1)</f>
        <v>OF250130</v>
      </c>
      <c r="J711" s="36">
        <f>SUMIF(mvtst[QR Suivis],mvtst[[#This Row],[QR Suivis]],mvtst[QTE SORTIS])-SUMIF(mvtst[QR Suivis],mvtst[[#This Row],[QR Suivis]],mvtst[QTE RETOUR])</f>
        <v>0</v>
      </c>
      <c r="K711" s="35" t="str">
        <f t="shared" si="11"/>
        <v>Usine</v>
      </c>
      <c r="L711" s="35" t="str">
        <f>_xlfn.XLOOKUP(mvtst[[#This Row],[Sous Traitant]],coordonnee_st[Identification],coordonnee_st[SERVICE],"Non Trouvé")</f>
        <v>Frange</v>
      </c>
      <c r="M711" s="35" t="str">
        <f>INDEX(_xlfn.TEXTSPLIT(mvtst[[#This Row],[QR Suivis]],"_"),1,2)</f>
        <v>CL00162</v>
      </c>
      <c r="N711" s="35" t="str">
        <f>INDEX(_xlfn.TEXTSPLIT(mvtst[[#This Row],[QR Suivis]],"_"),1,3)</f>
        <v>CM-FT0130</v>
      </c>
      <c r="O711" s="35" t="str">
        <f>INDEX(_xlfn.TEXTSPLIT(mvtst[[#This Row],[QR Suivis]],"_"),1,4)</f>
        <v>GIN2426-B03-02</v>
      </c>
      <c r="P711" s="35" t="str">
        <f>INDEX(_xlfn.TEXTSPLIT(mvtst[[#This Row],[QR Suivis]],"_"),1,5)</f>
        <v>GINKO</v>
      </c>
      <c r="Q711" s="35" t="str">
        <f>_xlfn.TEXTAFTER(mvtst[[#This Row],[QR Suivis]],"_",5)</f>
        <v>2426</v>
      </c>
      <c r="R711" s="84" t="str">
        <f>IF(
   COUNTIFS($A$2:A711,A711,
             $B$2:B711,B711,
             $C$2:C711,C711,
             $D$2:D711,D711,
             $G$2:G711,G711)&gt;1,
   "Doublon",
   "Correcte"
)</f>
        <v>Correcte</v>
      </c>
    </row>
    <row r="712" spans="1:18" x14ac:dyDescent="0.25">
      <c r="A712" s="104" t="s">
        <v>1741</v>
      </c>
      <c r="B712" s="35" t="s">
        <v>712</v>
      </c>
      <c r="C712" s="36">
        <v>5</v>
      </c>
      <c r="D712" s="36">
        <v>0</v>
      </c>
      <c r="E712" s="35"/>
      <c r="F712" s="35" t="s">
        <v>664</v>
      </c>
      <c r="G712" s="37">
        <v>45929</v>
      </c>
      <c r="H712" s="37" t="str">
        <f>INDEX(_xlfn.TEXTSPLIT(mvtst[[#This Row],[QR Suivis]],"_"),1,1)</f>
        <v>CA250029-1</v>
      </c>
      <c r="I712" s="35" t="str">
        <f>_xlfn.TEXTBEFORE(mvtst[[#This Row],[Num Suivis]],"-",,,1)</f>
        <v>CA250029</v>
      </c>
      <c r="J712" s="36">
        <f>SUMIF(mvtst[QR Suivis],mvtst[[#This Row],[QR Suivis]],mvtst[QTE SORTIS])-SUMIF(mvtst[QR Suivis],mvtst[[#This Row],[QR Suivis]],mvtst[QTE RETOUR])</f>
        <v>0</v>
      </c>
      <c r="K712" s="35" t="str">
        <f t="shared" si="11"/>
        <v>Usine</v>
      </c>
      <c r="L712" s="35" t="str">
        <f>_xlfn.XLOOKUP(mvtst[[#This Row],[Sous Traitant]],coordonnee_st[Identification],coordonnee_st[SERVICE],"Non Trouvé")</f>
        <v>Frange</v>
      </c>
      <c r="M712" s="35" t="str">
        <f>INDEX(_xlfn.TEXTSPLIT(mvtst[[#This Row],[QR Suivis]],"_"),1,2)</f>
        <v>All by Fouta</v>
      </c>
      <c r="N712" s="35" t="str">
        <f>INDEX(_xlfn.TEXTSPLIT(mvtst[[#This Row],[QR Suivis]],"_"),1,3)</f>
        <v>Stock</v>
      </c>
      <c r="O712" s="35" t="str">
        <f>INDEX(_xlfn.TEXTSPLIT(mvtst[[#This Row],[QR Suivis]],"_"),1,4)</f>
        <v>UNS2020-17</v>
      </c>
      <c r="P712" s="35" t="str">
        <f>INDEX(_xlfn.TEXTSPLIT(mvtst[[#This Row],[QR Suivis]],"_"),1,5)</f>
        <v>UNI SURPIQUE</v>
      </c>
      <c r="Q712" s="35" t="str">
        <f>_xlfn.TEXTAFTER(mvtst[[#This Row],[QR Suivis]],"_",5)</f>
        <v>2020</v>
      </c>
      <c r="R712" s="84" t="str">
        <f>IF(
   COUNTIFS($A$2:A712,A712,
             $B$2:B712,B712,
             $C$2:C712,C712,
             $D$2:D712,D712,
             $G$2:G712,G712)&gt;1,
   "Doublon",
   "Correcte"
)</f>
        <v>Correcte</v>
      </c>
    </row>
    <row r="713" spans="1:18" x14ac:dyDescent="0.25">
      <c r="A713" s="104" t="s">
        <v>1742</v>
      </c>
      <c r="B713" s="35" t="s">
        <v>712</v>
      </c>
      <c r="C713" s="36">
        <v>5</v>
      </c>
      <c r="D713" s="36">
        <v>0</v>
      </c>
      <c r="E713" s="35"/>
      <c r="F713" s="35" t="s">
        <v>664</v>
      </c>
      <c r="G713" s="37">
        <v>45929</v>
      </c>
      <c r="H713" s="37" t="str">
        <f>INDEX(_xlfn.TEXTSPLIT(mvtst[[#This Row],[QR Suivis]],"_"),1,1)</f>
        <v>CA250029-2</v>
      </c>
      <c r="I713" s="35" t="str">
        <f>_xlfn.TEXTBEFORE(mvtst[[#This Row],[Num Suivis]],"-",,,1)</f>
        <v>CA250029</v>
      </c>
      <c r="J713" s="36">
        <f>SUMIF(mvtst[QR Suivis],mvtst[[#This Row],[QR Suivis]],mvtst[QTE SORTIS])-SUMIF(mvtst[QR Suivis],mvtst[[#This Row],[QR Suivis]],mvtst[QTE RETOUR])</f>
        <v>0</v>
      </c>
      <c r="K713" s="35" t="str">
        <f t="shared" si="11"/>
        <v>Usine</v>
      </c>
      <c r="L713" s="35" t="str">
        <f>_xlfn.XLOOKUP(mvtst[[#This Row],[Sous Traitant]],coordonnee_st[Identification],coordonnee_st[SERVICE],"Non Trouvé")</f>
        <v>Frange</v>
      </c>
      <c r="M713" s="35" t="str">
        <f>INDEX(_xlfn.TEXTSPLIT(mvtst[[#This Row],[QR Suivis]],"_"),1,2)</f>
        <v>All by Fouta</v>
      </c>
      <c r="N713" s="35" t="str">
        <f>INDEX(_xlfn.TEXTSPLIT(mvtst[[#This Row],[QR Suivis]],"_"),1,3)</f>
        <v>Stock</v>
      </c>
      <c r="O713" s="35" t="str">
        <f>INDEX(_xlfn.TEXTSPLIT(mvtst[[#This Row],[QR Suivis]],"_"),1,4)</f>
        <v>UNS2020-17</v>
      </c>
      <c r="P713" s="35" t="str">
        <f>INDEX(_xlfn.TEXTSPLIT(mvtst[[#This Row],[QR Suivis]],"_"),1,5)</f>
        <v>UNI SURPIQUE</v>
      </c>
      <c r="Q713" s="35" t="str">
        <f>_xlfn.TEXTAFTER(mvtst[[#This Row],[QR Suivis]],"_",5)</f>
        <v>2020</v>
      </c>
      <c r="R713" s="84" t="str">
        <f>IF(
   COUNTIFS($A$2:A713,A713,
             $B$2:B713,B713,
             $C$2:C713,C713,
             $D$2:D713,D713,
             $G$2:G713,G713)&gt;1,
   "Doublon",
   "Correcte"
)</f>
        <v>Correcte</v>
      </c>
    </row>
    <row r="714" spans="1:18" x14ac:dyDescent="0.25">
      <c r="A714" s="104" t="s">
        <v>1743</v>
      </c>
      <c r="B714" s="35" t="s">
        <v>712</v>
      </c>
      <c r="C714" s="36">
        <v>5</v>
      </c>
      <c r="D714" s="36">
        <v>0</v>
      </c>
      <c r="E714" s="35"/>
      <c r="F714" s="35" t="s">
        <v>664</v>
      </c>
      <c r="G714" s="37">
        <v>45929</v>
      </c>
      <c r="H714" s="37" t="str">
        <f>INDEX(_xlfn.TEXTSPLIT(mvtst[[#This Row],[QR Suivis]],"_"),1,1)</f>
        <v>CA250029-3</v>
      </c>
      <c r="I714" s="35" t="str">
        <f>_xlfn.TEXTBEFORE(mvtst[[#This Row],[Num Suivis]],"-",,,1)</f>
        <v>CA250029</v>
      </c>
      <c r="J714" s="36">
        <f>SUMIF(mvtst[QR Suivis],mvtst[[#This Row],[QR Suivis]],mvtst[QTE SORTIS])-SUMIF(mvtst[QR Suivis],mvtst[[#This Row],[QR Suivis]],mvtst[QTE RETOUR])</f>
        <v>0</v>
      </c>
      <c r="K714" s="35" t="str">
        <f t="shared" si="11"/>
        <v>Usine</v>
      </c>
      <c r="L714" s="35" t="str">
        <f>_xlfn.XLOOKUP(mvtst[[#This Row],[Sous Traitant]],coordonnee_st[Identification],coordonnee_st[SERVICE],"Non Trouvé")</f>
        <v>Frange</v>
      </c>
      <c r="M714" s="35" t="str">
        <f>INDEX(_xlfn.TEXTSPLIT(mvtst[[#This Row],[QR Suivis]],"_"),1,2)</f>
        <v>All by Fouta</v>
      </c>
      <c r="N714" s="35" t="str">
        <f>INDEX(_xlfn.TEXTSPLIT(mvtst[[#This Row],[QR Suivis]],"_"),1,3)</f>
        <v>Stock</v>
      </c>
      <c r="O714" s="35" t="str">
        <f>INDEX(_xlfn.TEXTSPLIT(mvtst[[#This Row],[QR Suivis]],"_"),1,4)</f>
        <v>UNS2020-17</v>
      </c>
      <c r="P714" s="35" t="str">
        <f>INDEX(_xlfn.TEXTSPLIT(mvtst[[#This Row],[QR Suivis]],"_"),1,5)</f>
        <v>UNI SURPIQUE</v>
      </c>
      <c r="Q714" s="35" t="str">
        <f>_xlfn.TEXTAFTER(mvtst[[#This Row],[QR Suivis]],"_",5)</f>
        <v>2020</v>
      </c>
      <c r="R714" s="84" t="str">
        <f>IF(
   COUNTIFS($A$2:A714,A714,
             $B$2:B714,B714,
             $C$2:C714,C714,
             $D$2:D714,D714,
             $G$2:G714,G714)&gt;1,
   "Doublon",
   "Correcte"
)</f>
        <v>Correcte</v>
      </c>
    </row>
    <row r="715" spans="1:18" x14ac:dyDescent="0.25">
      <c r="A715" s="104" t="s">
        <v>1744</v>
      </c>
      <c r="B715" s="35" t="s">
        <v>712</v>
      </c>
      <c r="C715" s="36">
        <v>5</v>
      </c>
      <c r="D715" s="36">
        <v>0</v>
      </c>
      <c r="E715" s="35"/>
      <c r="F715" s="35" t="s">
        <v>664</v>
      </c>
      <c r="G715" s="37">
        <v>45929</v>
      </c>
      <c r="H715" s="37" t="str">
        <f>INDEX(_xlfn.TEXTSPLIT(mvtst[[#This Row],[QR Suivis]],"_"),1,1)</f>
        <v>CA250029-4</v>
      </c>
      <c r="I715" s="35" t="str">
        <f>_xlfn.TEXTBEFORE(mvtst[[#This Row],[Num Suivis]],"-",,,1)</f>
        <v>CA250029</v>
      </c>
      <c r="J715" s="36">
        <f>SUMIF(mvtst[QR Suivis],mvtst[[#This Row],[QR Suivis]],mvtst[QTE SORTIS])-SUMIF(mvtst[QR Suivis],mvtst[[#This Row],[QR Suivis]],mvtst[QTE RETOUR])</f>
        <v>0</v>
      </c>
      <c r="K715" s="35" t="str">
        <f t="shared" si="11"/>
        <v>Usine</v>
      </c>
      <c r="L715" s="35" t="str">
        <f>_xlfn.XLOOKUP(mvtst[[#This Row],[Sous Traitant]],coordonnee_st[Identification],coordonnee_st[SERVICE],"Non Trouvé")</f>
        <v>Frange</v>
      </c>
      <c r="M715" s="35" t="str">
        <f>INDEX(_xlfn.TEXTSPLIT(mvtst[[#This Row],[QR Suivis]],"_"),1,2)</f>
        <v>All by Fouta</v>
      </c>
      <c r="N715" s="35" t="str">
        <f>INDEX(_xlfn.TEXTSPLIT(mvtst[[#This Row],[QR Suivis]],"_"),1,3)</f>
        <v>Stock</v>
      </c>
      <c r="O715" s="35" t="str">
        <f>INDEX(_xlfn.TEXTSPLIT(mvtst[[#This Row],[QR Suivis]],"_"),1,4)</f>
        <v>UNS2020-17</v>
      </c>
      <c r="P715" s="35" t="str">
        <f>INDEX(_xlfn.TEXTSPLIT(mvtst[[#This Row],[QR Suivis]],"_"),1,5)</f>
        <v>UNI SURPIQUE</v>
      </c>
      <c r="Q715" s="35" t="str">
        <f>_xlfn.TEXTAFTER(mvtst[[#This Row],[QR Suivis]],"_",5)</f>
        <v>2020</v>
      </c>
      <c r="R715" s="84" t="str">
        <f>IF(
   COUNTIFS($A$2:A715,A715,
             $B$2:B715,B715,
             $C$2:C715,C715,
             $D$2:D715,D715,
             $G$2:G715,G715)&gt;1,
   "Doublon",
   "Correcte"
)</f>
        <v>Correcte</v>
      </c>
    </row>
    <row r="716" spans="1:18" x14ac:dyDescent="0.25">
      <c r="A716" s="104" t="s">
        <v>1745</v>
      </c>
      <c r="B716" s="35" t="s">
        <v>712</v>
      </c>
      <c r="C716" s="36">
        <v>5</v>
      </c>
      <c r="D716" s="36">
        <v>0</v>
      </c>
      <c r="E716" s="35"/>
      <c r="F716" s="35" t="s">
        <v>664</v>
      </c>
      <c r="G716" s="37">
        <v>45929</v>
      </c>
      <c r="H716" s="37" t="str">
        <f>INDEX(_xlfn.TEXTSPLIT(mvtst[[#This Row],[QR Suivis]],"_"),1,1)</f>
        <v>CA250029-5</v>
      </c>
      <c r="I716" s="35" t="str">
        <f>_xlfn.TEXTBEFORE(mvtst[[#This Row],[Num Suivis]],"-",,,1)</f>
        <v>CA250029</v>
      </c>
      <c r="J716" s="36">
        <f>SUMIF(mvtst[QR Suivis],mvtst[[#This Row],[QR Suivis]],mvtst[QTE SORTIS])-SUMIF(mvtst[QR Suivis],mvtst[[#This Row],[QR Suivis]],mvtst[QTE RETOUR])</f>
        <v>0</v>
      </c>
      <c r="K716" s="35" t="str">
        <f t="shared" si="11"/>
        <v>Usine</v>
      </c>
      <c r="L716" s="35" t="str">
        <f>_xlfn.XLOOKUP(mvtst[[#This Row],[Sous Traitant]],coordonnee_st[Identification],coordonnee_st[SERVICE],"Non Trouvé")</f>
        <v>Frange</v>
      </c>
      <c r="M716" s="35" t="str">
        <f>INDEX(_xlfn.TEXTSPLIT(mvtst[[#This Row],[QR Suivis]],"_"),1,2)</f>
        <v>All by Fouta</v>
      </c>
      <c r="N716" s="35" t="str">
        <f>INDEX(_xlfn.TEXTSPLIT(mvtst[[#This Row],[QR Suivis]],"_"),1,3)</f>
        <v>Stock</v>
      </c>
      <c r="O716" s="35" t="str">
        <f>INDEX(_xlfn.TEXTSPLIT(mvtst[[#This Row],[QR Suivis]],"_"),1,4)</f>
        <v>UNS2020-17</v>
      </c>
      <c r="P716" s="35" t="str">
        <f>INDEX(_xlfn.TEXTSPLIT(mvtst[[#This Row],[QR Suivis]],"_"),1,5)</f>
        <v>UNI SURPIQUE</v>
      </c>
      <c r="Q716" s="35" t="str">
        <f>_xlfn.TEXTAFTER(mvtst[[#This Row],[QR Suivis]],"_",5)</f>
        <v>2020</v>
      </c>
      <c r="R716" s="84" t="str">
        <f>IF(
   COUNTIFS($A$2:A716,A716,
             $B$2:B716,B716,
             $C$2:C716,C716,
             $D$2:D716,D716,
             $G$2:G716,G716)&gt;1,
   "Doublon",
   "Correcte"
)</f>
        <v>Correcte</v>
      </c>
    </row>
    <row r="717" spans="1:18" x14ac:dyDescent="0.25">
      <c r="A717" s="104" t="s">
        <v>1746</v>
      </c>
      <c r="B717" s="35" t="s">
        <v>712</v>
      </c>
      <c r="C717" s="36">
        <v>1</v>
      </c>
      <c r="D717" s="36">
        <v>0</v>
      </c>
      <c r="E717" s="35"/>
      <c r="F717" s="35" t="s">
        <v>664</v>
      </c>
      <c r="G717" s="37">
        <v>45929</v>
      </c>
      <c r="H717" s="37" t="str">
        <f>INDEX(_xlfn.TEXTSPLIT(mvtst[[#This Row],[QR Suivis]],"_"),1,1)</f>
        <v>CA250029-7</v>
      </c>
      <c r="I717" s="35" t="str">
        <f>_xlfn.TEXTBEFORE(mvtst[[#This Row],[Num Suivis]],"-",,,1)</f>
        <v>CA250029</v>
      </c>
      <c r="J717" s="36">
        <f>SUMIF(mvtst[QR Suivis],mvtst[[#This Row],[QR Suivis]],mvtst[QTE SORTIS])-SUMIF(mvtst[QR Suivis],mvtst[[#This Row],[QR Suivis]],mvtst[QTE RETOUR])</f>
        <v>0</v>
      </c>
      <c r="K717" s="35" t="str">
        <f t="shared" si="11"/>
        <v>Usine</v>
      </c>
      <c r="L717" s="35" t="str">
        <f>_xlfn.XLOOKUP(mvtst[[#This Row],[Sous Traitant]],coordonnee_st[Identification],coordonnee_st[SERVICE],"Non Trouvé")</f>
        <v>Frange</v>
      </c>
      <c r="M717" s="35" t="str">
        <f>INDEX(_xlfn.TEXTSPLIT(mvtst[[#This Row],[QR Suivis]],"_"),1,2)</f>
        <v>All by Fouta</v>
      </c>
      <c r="N717" s="35" t="str">
        <f>INDEX(_xlfn.TEXTSPLIT(mvtst[[#This Row],[QR Suivis]],"_"),1,3)</f>
        <v>Stock</v>
      </c>
      <c r="O717" s="35" t="str">
        <f>INDEX(_xlfn.TEXTSPLIT(mvtst[[#This Row],[QR Suivis]],"_"),1,4)</f>
        <v>UNS2020-17</v>
      </c>
      <c r="P717" s="35" t="str">
        <f>INDEX(_xlfn.TEXTSPLIT(mvtst[[#This Row],[QR Suivis]],"_"),1,5)</f>
        <v>UNI SURPIQUE</v>
      </c>
      <c r="Q717" s="35" t="str">
        <f>_xlfn.TEXTAFTER(mvtst[[#This Row],[QR Suivis]],"_",5)</f>
        <v>2020</v>
      </c>
      <c r="R717" s="84" t="str">
        <f>IF(
   COUNTIFS($A$2:A717,A717,
             $B$2:B717,B717,
             $C$2:C717,C717,
             $D$2:D717,D717,
             $G$2:G717,G717)&gt;1,
   "Doublon",
   "Correcte"
)</f>
        <v>Correcte</v>
      </c>
    </row>
    <row r="718" spans="1:18" x14ac:dyDescent="0.25">
      <c r="A718" s="104" t="s">
        <v>1747</v>
      </c>
      <c r="B718" s="35" t="s">
        <v>712</v>
      </c>
      <c r="C718" s="36">
        <v>5</v>
      </c>
      <c r="D718" s="36">
        <v>0</v>
      </c>
      <c r="E718" s="35"/>
      <c r="F718" s="35" t="s">
        <v>664</v>
      </c>
      <c r="G718" s="37">
        <v>45929</v>
      </c>
      <c r="H718" s="37" t="str">
        <f>INDEX(_xlfn.TEXTSPLIT(mvtst[[#This Row],[QR Suivis]],"_"),1,1)</f>
        <v>CA250029-6</v>
      </c>
      <c r="I718" s="35" t="str">
        <f>_xlfn.TEXTBEFORE(mvtst[[#This Row],[Num Suivis]],"-",,,1)</f>
        <v>CA250029</v>
      </c>
      <c r="J718" s="36">
        <f>SUMIF(mvtst[QR Suivis],mvtst[[#This Row],[QR Suivis]],mvtst[QTE SORTIS])-SUMIF(mvtst[QR Suivis],mvtst[[#This Row],[QR Suivis]],mvtst[QTE RETOUR])</f>
        <v>0</v>
      </c>
      <c r="K718" s="35" t="str">
        <f t="shared" si="11"/>
        <v>Usine</v>
      </c>
      <c r="L718" s="35" t="str">
        <f>_xlfn.XLOOKUP(mvtst[[#This Row],[Sous Traitant]],coordonnee_st[Identification],coordonnee_st[SERVICE],"Non Trouvé")</f>
        <v>Frange</v>
      </c>
      <c r="M718" s="35" t="str">
        <f>INDEX(_xlfn.TEXTSPLIT(mvtst[[#This Row],[QR Suivis]],"_"),1,2)</f>
        <v>All by Fouta</v>
      </c>
      <c r="N718" s="35" t="str">
        <f>INDEX(_xlfn.TEXTSPLIT(mvtst[[#This Row],[QR Suivis]],"_"),1,3)</f>
        <v>Stock</v>
      </c>
      <c r="O718" s="35" t="str">
        <f>INDEX(_xlfn.TEXTSPLIT(mvtst[[#This Row],[QR Suivis]],"_"),1,4)</f>
        <v>UNS2020-17</v>
      </c>
      <c r="P718" s="35" t="str">
        <f>INDEX(_xlfn.TEXTSPLIT(mvtst[[#This Row],[QR Suivis]],"_"),1,5)</f>
        <v>UNI SURPIQUE</v>
      </c>
      <c r="Q718" s="35" t="str">
        <f>_xlfn.TEXTAFTER(mvtst[[#This Row],[QR Suivis]],"_",5)</f>
        <v>2020</v>
      </c>
      <c r="R718" s="84" t="str">
        <f>IF(
   COUNTIFS($A$2:A718,A718,
             $B$2:B718,B718,
             $C$2:C718,C718,
             $D$2:D718,D718,
             $G$2:G718,G718)&gt;1,
   "Doublon",
   "Correcte"
)</f>
        <v>Correcte</v>
      </c>
    </row>
    <row r="719" spans="1:18" x14ac:dyDescent="0.25">
      <c r="A719" s="104" t="s">
        <v>1456</v>
      </c>
      <c r="B719" s="35" t="s">
        <v>712</v>
      </c>
      <c r="C719" s="36">
        <v>0</v>
      </c>
      <c r="D719" s="36">
        <v>5</v>
      </c>
      <c r="E719" s="35" t="s">
        <v>699</v>
      </c>
      <c r="F719" s="35" t="s">
        <v>634</v>
      </c>
      <c r="G719" s="37">
        <v>45929.469710590274</v>
      </c>
      <c r="H719" s="37" t="str">
        <f>INDEX(_xlfn.TEXTSPLIT(mvtst[[#This Row],[QR Suivis]],"_"),1,1)</f>
        <v>CA250008-1</v>
      </c>
      <c r="I719" s="35" t="str">
        <f>_xlfn.TEXTBEFORE(mvtst[[#This Row],[Num Suivis]],"-",,,1)</f>
        <v>CA250008</v>
      </c>
      <c r="J719" s="36">
        <f>SUMIF(mvtst[QR Suivis],mvtst[[#This Row],[QR Suivis]],mvtst[QTE SORTIS])-SUMIF(mvtst[QR Suivis],mvtst[[#This Row],[QR Suivis]],mvtst[QTE RETOUR])</f>
        <v>0</v>
      </c>
      <c r="K719" s="35" t="str">
        <f t="shared" si="11"/>
        <v>Usine</v>
      </c>
      <c r="L719" s="35" t="str">
        <f>_xlfn.XLOOKUP(mvtst[[#This Row],[Sous Traitant]],coordonnee_st[Identification],coordonnee_st[SERVICE],"Non Trouvé")</f>
        <v>Frange</v>
      </c>
      <c r="M719" s="35" t="str">
        <f>INDEX(_xlfn.TEXTSPLIT(mvtst[[#This Row],[QR Suivis]],"_"),1,2)</f>
        <v>All by Fouta</v>
      </c>
      <c r="N719" s="35" t="str">
        <f>INDEX(_xlfn.TEXTSPLIT(mvtst[[#This Row],[QR Suivis]],"_"),1,3)</f>
        <v>Stock</v>
      </c>
      <c r="O719" s="35" t="str">
        <f>INDEX(_xlfn.TEXTSPLIT(mvtst[[#This Row],[QR Suivis]],"_"),1,4)</f>
        <v>UNS1020-15</v>
      </c>
      <c r="P719" s="35" t="str">
        <f>INDEX(_xlfn.TEXTSPLIT(mvtst[[#This Row],[QR Suivis]],"_"),1,5)</f>
        <v>UNI SURPIQUE</v>
      </c>
      <c r="Q719" s="35" t="str">
        <f>_xlfn.TEXTAFTER(mvtst[[#This Row],[QR Suivis]],"_",5)</f>
        <v>1020</v>
      </c>
      <c r="R719" s="84" t="str">
        <f>IF(
   COUNTIFS($A$2:A719,A719,
             $B$2:B719,B719,
             $C$2:C719,C719,
             $D$2:D719,D719,
             $G$2:G719,G719)&gt;1,
   "Doublon",
   "Correcte"
)</f>
        <v>Correcte</v>
      </c>
    </row>
    <row r="720" spans="1:18" x14ac:dyDescent="0.25">
      <c r="A720" s="104" t="s">
        <v>1457</v>
      </c>
      <c r="B720" s="35" t="s">
        <v>712</v>
      </c>
      <c r="C720" s="36">
        <v>0</v>
      </c>
      <c r="D720" s="36">
        <v>5</v>
      </c>
      <c r="E720" s="35" t="s">
        <v>699</v>
      </c>
      <c r="F720" s="35" t="s">
        <v>634</v>
      </c>
      <c r="G720" s="37">
        <v>45929.472175925926</v>
      </c>
      <c r="H720" s="37" t="str">
        <f>INDEX(_xlfn.TEXTSPLIT(mvtst[[#This Row],[QR Suivis]],"_"),1,1)</f>
        <v>CA250008-9</v>
      </c>
      <c r="I720" s="35" t="str">
        <f>_xlfn.TEXTBEFORE(mvtst[[#This Row],[Num Suivis]],"-",,,1)</f>
        <v>CA250008</v>
      </c>
      <c r="J720" s="36">
        <f>SUMIF(mvtst[QR Suivis],mvtst[[#This Row],[QR Suivis]],mvtst[QTE SORTIS])-SUMIF(mvtst[QR Suivis],mvtst[[#This Row],[QR Suivis]],mvtst[QTE RETOUR])</f>
        <v>0</v>
      </c>
      <c r="K720" s="35" t="str">
        <f t="shared" si="11"/>
        <v>Usine</v>
      </c>
      <c r="L720" s="35" t="str">
        <f>_xlfn.XLOOKUP(mvtst[[#This Row],[Sous Traitant]],coordonnee_st[Identification],coordonnee_st[SERVICE],"Non Trouvé")</f>
        <v>Frange</v>
      </c>
      <c r="M720" s="35" t="str">
        <f>INDEX(_xlfn.TEXTSPLIT(mvtst[[#This Row],[QR Suivis]],"_"),1,2)</f>
        <v>All by Fouta</v>
      </c>
      <c r="N720" s="35" t="str">
        <f>INDEX(_xlfn.TEXTSPLIT(mvtst[[#This Row],[QR Suivis]],"_"),1,3)</f>
        <v>Stock</v>
      </c>
      <c r="O720" s="35" t="str">
        <f>INDEX(_xlfn.TEXTSPLIT(mvtst[[#This Row],[QR Suivis]],"_"),1,4)</f>
        <v>UNS1020-15</v>
      </c>
      <c r="P720" s="35" t="str">
        <f>INDEX(_xlfn.TEXTSPLIT(mvtst[[#This Row],[QR Suivis]],"_"),1,5)</f>
        <v>UNI SURPIQUE</v>
      </c>
      <c r="Q720" s="35" t="str">
        <f>_xlfn.TEXTAFTER(mvtst[[#This Row],[QR Suivis]],"_",5)</f>
        <v>1020</v>
      </c>
      <c r="R720" s="84" t="str">
        <f>IF(
   COUNTIFS($A$2:A720,A720,
             $B$2:B720,B720,
             $C$2:C720,C720,
             $D$2:D720,D720,
             $G$2:G720,G720)&gt;1,
   "Doublon",
   "Correcte"
)</f>
        <v>Correcte</v>
      </c>
    </row>
    <row r="721" spans="1:18" x14ac:dyDescent="0.25">
      <c r="A721" s="104" t="s">
        <v>1364</v>
      </c>
      <c r="B721" s="35" t="s">
        <v>596</v>
      </c>
      <c r="C721" s="36">
        <v>0</v>
      </c>
      <c r="D721" s="36">
        <v>1</v>
      </c>
      <c r="E721" s="35" t="s">
        <v>699</v>
      </c>
      <c r="F721" s="35" t="s">
        <v>634</v>
      </c>
      <c r="G721" s="37">
        <v>45929.490370370368</v>
      </c>
      <c r="H721" s="37" t="str">
        <f>INDEX(_xlfn.TEXTSPLIT(mvtst[[#This Row],[QR Suivis]],"_"),1,1)</f>
        <v>CA250391-13</v>
      </c>
      <c r="I721" s="35" t="str">
        <f>_xlfn.TEXTBEFORE(mvtst[[#This Row],[Num Suivis]],"-",,,1)</f>
        <v>CA250391</v>
      </c>
      <c r="J721" s="36">
        <f>SUMIF(mvtst[QR Suivis],mvtst[[#This Row],[QR Suivis]],mvtst[QTE SORTIS])-SUMIF(mvtst[QR Suivis],mvtst[[#This Row],[QR Suivis]],mvtst[QTE RETOUR])</f>
        <v>0</v>
      </c>
      <c r="K721" s="35" t="str">
        <f t="shared" si="11"/>
        <v>Usine</v>
      </c>
      <c r="L721" s="35" t="str">
        <f>_xlfn.XLOOKUP(mvtst[[#This Row],[Sous Traitant]],coordonnee_st[Identification],coordonnee_st[SERVICE],"Non Trouvé")</f>
        <v>Frange</v>
      </c>
      <c r="M721" s="35" t="str">
        <f>INDEX(_xlfn.TEXTSPLIT(mvtst[[#This Row],[QR Suivis]],"_"),1,2)</f>
        <v>All by Fouta</v>
      </c>
      <c r="N721" s="35" t="str">
        <f>INDEX(_xlfn.TEXTSPLIT(mvtst[[#This Row],[QR Suivis]],"_"),1,3)</f>
        <v>Stock</v>
      </c>
      <c r="O721" s="35" t="str">
        <f>INDEX(_xlfn.TEXTSPLIT(mvtst[[#This Row],[QR Suivis]],"_"),1,4)</f>
        <v>BE1020-Q04-24-20</v>
      </c>
      <c r="P721" s="35" t="str">
        <f>INDEX(_xlfn.TEXTSPLIT(mvtst[[#This Row],[QR Suivis]],"_"),1,5)</f>
        <v>BERBER</v>
      </c>
      <c r="Q721" s="35" t="str">
        <f>_xlfn.TEXTAFTER(mvtst[[#This Row],[QR Suivis]],"_",5)</f>
        <v>1020</v>
      </c>
      <c r="R721" s="84" t="str">
        <f>IF(
   COUNTIFS($A$2:A721,A721,
             $B$2:B721,B721,
             $C$2:C721,C721,
             $D$2:D721,D721,
             $G$2:G721,G721)&gt;1,
   "Doublon",
   "Correcte"
)</f>
        <v>Correcte</v>
      </c>
    </row>
    <row r="722" spans="1:18" x14ac:dyDescent="0.25">
      <c r="A722" s="104" t="s">
        <v>1355</v>
      </c>
      <c r="B722" s="35" t="s">
        <v>596</v>
      </c>
      <c r="C722" s="36">
        <v>0</v>
      </c>
      <c r="D722" s="36">
        <v>2</v>
      </c>
      <c r="E722" s="35" t="s">
        <v>699</v>
      </c>
      <c r="F722" s="35" t="s">
        <v>634</v>
      </c>
      <c r="G722" s="37">
        <v>45929.490567129629</v>
      </c>
      <c r="H722" s="37" t="str">
        <f>INDEX(_xlfn.TEXTSPLIT(mvtst[[#This Row],[QR Suivis]],"_"),1,1)</f>
        <v>CA250469-13</v>
      </c>
      <c r="I722" s="35" t="str">
        <f>_xlfn.TEXTBEFORE(mvtst[[#This Row],[Num Suivis]],"-",,,1)</f>
        <v>CA250469</v>
      </c>
      <c r="J722" s="36">
        <f>SUMIF(mvtst[QR Suivis],mvtst[[#This Row],[QR Suivis]],mvtst[QTE SORTIS])-SUMIF(mvtst[QR Suivis],mvtst[[#This Row],[QR Suivis]],mvtst[QTE RETOUR])</f>
        <v>0</v>
      </c>
      <c r="K722" s="35" t="str">
        <f t="shared" si="11"/>
        <v>Usine</v>
      </c>
      <c r="L722" s="35" t="str">
        <f>_xlfn.XLOOKUP(mvtst[[#This Row],[Sous Traitant]],coordonnee_st[Identification],coordonnee_st[SERVICE],"Non Trouvé")</f>
        <v>Frange</v>
      </c>
      <c r="M722" s="35" t="str">
        <f>INDEX(_xlfn.TEXTSPLIT(mvtst[[#This Row],[QR Suivis]],"_"),1,2)</f>
        <v>All by Fouta</v>
      </c>
      <c r="N722" s="35" t="str">
        <f>INDEX(_xlfn.TEXTSPLIT(mvtst[[#This Row],[QR Suivis]],"_"),1,3)</f>
        <v>Stock</v>
      </c>
      <c r="O722" s="35" t="str">
        <f>INDEX(_xlfn.TEXTSPLIT(mvtst[[#This Row],[QR Suivis]],"_"),1,4)</f>
        <v>FAF1020-B04-02</v>
      </c>
      <c r="P722" s="35" t="str">
        <f>INDEX(_xlfn.TEXTSPLIT(mvtst[[#This Row],[QR Suivis]],"_"),1,5)</f>
        <v>FIL A FIL</v>
      </c>
      <c r="Q722" s="35" t="str">
        <f>_xlfn.TEXTAFTER(mvtst[[#This Row],[QR Suivis]],"_",5)</f>
        <v>1020</v>
      </c>
      <c r="R722" s="84" t="str">
        <f>IF(
   COUNTIFS($A$2:A722,A722,
             $B$2:B722,B722,
             $C$2:C722,C722,
             $D$2:D722,D722,
             $G$2:G722,G722)&gt;1,
   "Doublon",
   "Correcte"
)</f>
        <v>Correcte</v>
      </c>
    </row>
    <row r="723" spans="1:18" x14ac:dyDescent="0.25">
      <c r="A723" s="104" t="s">
        <v>1329</v>
      </c>
      <c r="B723" s="35" t="s">
        <v>596</v>
      </c>
      <c r="C723" s="36">
        <v>0</v>
      </c>
      <c r="D723" s="36">
        <v>2</v>
      </c>
      <c r="E723" s="35" t="s">
        <v>699</v>
      </c>
      <c r="F723" s="35" t="s">
        <v>634</v>
      </c>
      <c r="G723" s="37">
        <v>45929.490925925929</v>
      </c>
      <c r="H723" s="37" t="str">
        <f>INDEX(_xlfn.TEXTSPLIT(mvtst[[#This Row],[QR Suivis]],"_"),1,1)</f>
        <v>OF249977</v>
      </c>
      <c r="I723" s="35" t="str">
        <f>_xlfn.TEXTBEFORE(mvtst[[#This Row],[Num Suivis]],"-",,,1)</f>
        <v>OF249977</v>
      </c>
      <c r="J723" s="36">
        <f>SUMIF(mvtst[QR Suivis],mvtst[[#This Row],[QR Suivis]],mvtst[QTE SORTIS])-SUMIF(mvtst[QR Suivis],mvtst[[#This Row],[QR Suivis]],mvtst[QTE RETOUR])</f>
        <v>0</v>
      </c>
      <c r="K723" s="35" t="str">
        <f t="shared" si="11"/>
        <v>Usine</v>
      </c>
      <c r="L723" s="35" t="str">
        <f>_xlfn.XLOOKUP(mvtst[[#This Row],[Sous Traitant]],coordonnee_st[Identification],coordonnee_st[SERVICE],"Non Trouvé")</f>
        <v>Frange</v>
      </c>
      <c r="M723" s="35" t="str">
        <f>INDEX(_xlfn.TEXTSPLIT(mvtst[[#This Row],[QR Suivis]],"_"),1,2)</f>
        <v>CL00791</v>
      </c>
      <c r="N723" s="35" t="str">
        <f>INDEX(_xlfn.TEXTSPLIT(mvtst[[#This Row],[QR Suivis]],"_"),1,3)</f>
        <v>CM-FT0104</v>
      </c>
      <c r="O723" s="35" t="str">
        <f>INDEX(_xlfn.TEXTSPLIT(mvtst[[#This Row],[QR Suivis]],"_"),1,4)</f>
        <v>AR1020-B15-25</v>
      </c>
      <c r="P723" s="35" t="str">
        <f>INDEX(_xlfn.TEXTSPLIT(mvtst[[#This Row],[QR Suivis]],"_"),1,5)</f>
        <v>ARTHUR</v>
      </c>
      <c r="Q723" s="35" t="str">
        <f>_xlfn.TEXTAFTER(mvtst[[#This Row],[QR Suivis]],"_",5)</f>
        <v>1020</v>
      </c>
      <c r="R723" s="84" t="str">
        <f>IF(
   COUNTIFS($A$2:A723,A723,
             $B$2:B723,B723,
             $C$2:C723,C723,
             $D$2:D723,D723,
             $G$2:G723,G723)&gt;1,
   "Doublon",
   "Correcte"
)</f>
        <v>Correcte</v>
      </c>
    </row>
    <row r="724" spans="1:18" x14ac:dyDescent="0.25">
      <c r="A724" s="104" t="s">
        <v>1330</v>
      </c>
      <c r="B724" s="35" t="s">
        <v>596</v>
      </c>
      <c r="C724" s="36">
        <v>0</v>
      </c>
      <c r="D724" s="36">
        <v>5</v>
      </c>
      <c r="E724" s="35" t="s">
        <v>699</v>
      </c>
      <c r="F724" s="35" t="s">
        <v>634</v>
      </c>
      <c r="G724" s="37">
        <v>45929.491203703707</v>
      </c>
      <c r="H724" s="37" t="str">
        <f>INDEX(_xlfn.TEXTSPLIT(mvtst[[#This Row],[QR Suivis]],"_"),1,1)</f>
        <v>CA250474-9</v>
      </c>
      <c r="I724" s="35" t="str">
        <f>_xlfn.TEXTBEFORE(mvtst[[#This Row],[Num Suivis]],"-",,,1)</f>
        <v>CA250474</v>
      </c>
      <c r="J724" s="36">
        <f>SUMIF(mvtst[QR Suivis],mvtst[[#This Row],[QR Suivis]],mvtst[QTE SORTIS])-SUMIF(mvtst[QR Suivis],mvtst[[#This Row],[QR Suivis]],mvtst[QTE RETOUR])</f>
        <v>0</v>
      </c>
      <c r="K724" s="35" t="str">
        <f t="shared" si="11"/>
        <v>Usine</v>
      </c>
      <c r="L724" s="35" t="str">
        <f>_xlfn.XLOOKUP(mvtst[[#This Row],[Sous Traitant]],coordonnee_st[Identification],coordonnee_st[SERVICE],"Non Trouvé")</f>
        <v>Frange</v>
      </c>
      <c r="M724" s="35" t="str">
        <f>INDEX(_xlfn.TEXTSPLIT(mvtst[[#This Row],[QR Suivis]],"_"),1,2)</f>
        <v>All by Fouta</v>
      </c>
      <c r="N724" s="35" t="str">
        <f>INDEX(_xlfn.TEXTSPLIT(mvtst[[#This Row],[QR Suivis]],"_"),1,3)</f>
        <v>Stock</v>
      </c>
      <c r="O724" s="35" t="str">
        <f>INDEX(_xlfn.TEXTSPLIT(mvtst[[#This Row],[QR Suivis]],"_"),1,4)</f>
        <v>FAF1020-B06-08</v>
      </c>
      <c r="P724" s="35" t="str">
        <f>INDEX(_xlfn.TEXTSPLIT(mvtst[[#This Row],[QR Suivis]],"_"),1,5)</f>
        <v>FIL A FIL</v>
      </c>
      <c r="Q724" s="35" t="str">
        <f>_xlfn.TEXTAFTER(mvtst[[#This Row],[QR Suivis]],"_",5)</f>
        <v>1020</v>
      </c>
      <c r="R724" s="84" t="str">
        <f>IF(
   COUNTIFS($A$2:A724,A724,
             $B$2:B724,B724,
             $C$2:C724,C724,
             $D$2:D724,D724,
             $G$2:G724,G724)&gt;1,
   "Doublon",
   "Correcte"
)</f>
        <v>Correcte</v>
      </c>
    </row>
    <row r="725" spans="1:18" x14ac:dyDescent="0.25">
      <c r="A725" s="104" t="s">
        <v>1331</v>
      </c>
      <c r="B725" s="35" t="s">
        <v>596</v>
      </c>
      <c r="C725" s="36">
        <v>0</v>
      </c>
      <c r="D725" s="36">
        <v>5</v>
      </c>
      <c r="E725" s="35" t="s">
        <v>699</v>
      </c>
      <c r="F725" s="35" t="s">
        <v>634</v>
      </c>
      <c r="G725" s="37">
        <v>45929.491435185184</v>
      </c>
      <c r="H725" s="37" t="str">
        <f>INDEX(_xlfn.TEXTSPLIT(mvtst[[#This Row],[QR Suivis]],"_"),1,1)</f>
        <v>CA250474-8</v>
      </c>
      <c r="I725" s="35" t="str">
        <f>_xlfn.TEXTBEFORE(mvtst[[#This Row],[Num Suivis]],"-",,,1)</f>
        <v>CA250474</v>
      </c>
      <c r="J725" s="36">
        <f>SUMIF(mvtst[QR Suivis],mvtst[[#This Row],[QR Suivis]],mvtst[QTE SORTIS])-SUMIF(mvtst[QR Suivis],mvtst[[#This Row],[QR Suivis]],mvtst[QTE RETOUR])</f>
        <v>0</v>
      </c>
      <c r="K725" s="35" t="str">
        <f t="shared" si="11"/>
        <v>Usine</v>
      </c>
      <c r="L725" s="35" t="str">
        <f>_xlfn.XLOOKUP(mvtst[[#This Row],[Sous Traitant]],coordonnee_st[Identification],coordonnee_st[SERVICE],"Non Trouvé")</f>
        <v>Frange</v>
      </c>
      <c r="M725" s="35" t="str">
        <f>INDEX(_xlfn.TEXTSPLIT(mvtst[[#This Row],[QR Suivis]],"_"),1,2)</f>
        <v>All by Fouta</v>
      </c>
      <c r="N725" s="35" t="str">
        <f>INDEX(_xlfn.TEXTSPLIT(mvtst[[#This Row],[QR Suivis]],"_"),1,3)</f>
        <v>Stock</v>
      </c>
      <c r="O725" s="35" t="str">
        <f>INDEX(_xlfn.TEXTSPLIT(mvtst[[#This Row],[QR Suivis]],"_"),1,4)</f>
        <v>FAF1020-B06-08</v>
      </c>
      <c r="P725" s="35" t="str">
        <f>INDEX(_xlfn.TEXTSPLIT(mvtst[[#This Row],[QR Suivis]],"_"),1,5)</f>
        <v>FIL A FIL</v>
      </c>
      <c r="Q725" s="35" t="str">
        <f>_xlfn.TEXTAFTER(mvtst[[#This Row],[QR Suivis]],"_",5)</f>
        <v>1020</v>
      </c>
      <c r="R725" s="84" t="str">
        <f>IF(
   COUNTIFS($A$2:A725,A725,
             $B$2:B725,B725,
             $C$2:C725,C725,
             $D$2:D725,D725,
             $G$2:G725,G725)&gt;1,
   "Doublon",
   "Correcte"
)</f>
        <v>Correcte</v>
      </c>
    </row>
    <row r="726" spans="1:18" x14ac:dyDescent="0.25">
      <c r="A726" s="104" t="s">
        <v>1365</v>
      </c>
      <c r="B726" s="35" t="s">
        <v>596</v>
      </c>
      <c r="C726" s="36">
        <v>0</v>
      </c>
      <c r="D726" s="36">
        <v>5</v>
      </c>
      <c r="E726" s="35" t="s">
        <v>699</v>
      </c>
      <c r="F726" s="35" t="s">
        <v>634</v>
      </c>
      <c r="G726" s="37">
        <v>45929.491724537038</v>
      </c>
      <c r="H726" s="37" t="str">
        <f>INDEX(_xlfn.TEXTSPLIT(mvtst[[#This Row],[QR Suivis]],"_"),1,1)</f>
        <v>CA250473-5</v>
      </c>
      <c r="I726" s="35" t="str">
        <f>_xlfn.TEXTBEFORE(mvtst[[#This Row],[Num Suivis]],"-",,,1)</f>
        <v>CA250473</v>
      </c>
      <c r="J726" s="36">
        <f>SUMIF(mvtst[QR Suivis],mvtst[[#This Row],[QR Suivis]],mvtst[QTE SORTIS])-SUMIF(mvtst[QR Suivis],mvtst[[#This Row],[QR Suivis]],mvtst[QTE RETOUR])</f>
        <v>0</v>
      </c>
      <c r="K726" s="35" t="str">
        <f t="shared" si="11"/>
        <v>Usine</v>
      </c>
      <c r="L726" s="35" t="str">
        <f>_xlfn.XLOOKUP(mvtst[[#This Row],[Sous Traitant]],coordonnee_st[Identification],coordonnee_st[SERVICE],"Non Trouvé")</f>
        <v>Frange</v>
      </c>
      <c r="M726" s="35" t="str">
        <f>INDEX(_xlfn.TEXTSPLIT(mvtst[[#This Row],[QR Suivis]],"_"),1,2)</f>
        <v>All by Fouta</v>
      </c>
      <c r="N726" s="35" t="str">
        <f>INDEX(_xlfn.TEXTSPLIT(mvtst[[#This Row],[QR Suivis]],"_"),1,3)</f>
        <v>Stock</v>
      </c>
      <c r="O726" s="35" t="str">
        <f>INDEX(_xlfn.TEXTSPLIT(mvtst[[#This Row],[QR Suivis]],"_"),1,4)</f>
        <v>FAF1020-B18-19</v>
      </c>
      <c r="P726" s="35" t="str">
        <f>INDEX(_xlfn.TEXTSPLIT(mvtst[[#This Row],[QR Suivis]],"_"),1,5)</f>
        <v>FIL A FIL</v>
      </c>
      <c r="Q726" s="35" t="str">
        <f>_xlfn.TEXTAFTER(mvtst[[#This Row],[QR Suivis]],"_",5)</f>
        <v>1020</v>
      </c>
      <c r="R726" s="84" t="str">
        <f>IF(
   COUNTIFS($A$2:A726,A726,
             $B$2:B726,B726,
             $C$2:C726,C726,
             $D$2:D726,D726,
             $G$2:G726,G726)&gt;1,
   "Doublon",
   "Correcte"
)</f>
        <v>Correcte</v>
      </c>
    </row>
    <row r="727" spans="1:18" x14ac:dyDescent="0.25">
      <c r="A727" s="104" t="s">
        <v>1366</v>
      </c>
      <c r="B727" s="35" t="s">
        <v>596</v>
      </c>
      <c r="C727" s="36">
        <v>0</v>
      </c>
      <c r="D727" s="36">
        <v>5</v>
      </c>
      <c r="E727" s="35" t="s">
        <v>699</v>
      </c>
      <c r="F727" s="35" t="s">
        <v>634</v>
      </c>
      <c r="G727" s="37">
        <v>45929.492002314815</v>
      </c>
      <c r="H727" s="37" t="str">
        <f>INDEX(_xlfn.TEXTSPLIT(mvtst[[#This Row],[QR Suivis]],"_"),1,1)</f>
        <v>CA250473-4</v>
      </c>
      <c r="I727" s="35" t="str">
        <f>_xlfn.TEXTBEFORE(mvtst[[#This Row],[Num Suivis]],"-",,,1)</f>
        <v>CA250473</v>
      </c>
      <c r="J727" s="36">
        <f>SUMIF(mvtst[QR Suivis],mvtst[[#This Row],[QR Suivis]],mvtst[QTE SORTIS])-SUMIF(mvtst[QR Suivis],mvtst[[#This Row],[QR Suivis]],mvtst[QTE RETOUR])</f>
        <v>0</v>
      </c>
      <c r="K727" s="35" t="str">
        <f t="shared" si="11"/>
        <v>Usine</v>
      </c>
      <c r="L727" s="35" t="str">
        <f>_xlfn.XLOOKUP(mvtst[[#This Row],[Sous Traitant]],coordonnee_st[Identification],coordonnee_st[SERVICE],"Non Trouvé")</f>
        <v>Frange</v>
      </c>
      <c r="M727" s="35" t="str">
        <f>INDEX(_xlfn.TEXTSPLIT(mvtst[[#This Row],[QR Suivis]],"_"),1,2)</f>
        <v>All by Fouta</v>
      </c>
      <c r="N727" s="35" t="str">
        <f>INDEX(_xlfn.TEXTSPLIT(mvtst[[#This Row],[QR Suivis]],"_"),1,3)</f>
        <v>Stock</v>
      </c>
      <c r="O727" s="35" t="str">
        <f>INDEX(_xlfn.TEXTSPLIT(mvtst[[#This Row],[QR Suivis]],"_"),1,4)</f>
        <v>FAF1020-B18-19</v>
      </c>
      <c r="P727" s="35" t="str">
        <f>INDEX(_xlfn.TEXTSPLIT(mvtst[[#This Row],[QR Suivis]],"_"),1,5)</f>
        <v>FIL A FIL</v>
      </c>
      <c r="Q727" s="35" t="str">
        <f>_xlfn.TEXTAFTER(mvtst[[#This Row],[QR Suivis]],"_",5)</f>
        <v>1020</v>
      </c>
      <c r="R727" s="84" t="str">
        <f>IF(
   COUNTIFS($A$2:A727,A727,
             $B$2:B727,B727,
             $C$2:C727,C727,
             $D$2:D727,D727,
             $G$2:G727,G727)&gt;1,
   "Doublon",
   "Correcte"
)</f>
        <v>Correcte</v>
      </c>
    </row>
    <row r="728" spans="1:18" x14ac:dyDescent="0.25">
      <c r="A728" s="104" t="s">
        <v>1332</v>
      </c>
      <c r="B728" s="35" t="s">
        <v>596</v>
      </c>
      <c r="C728" s="36">
        <v>0</v>
      </c>
      <c r="D728" s="36">
        <v>5</v>
      </c>
      <c r="E728" s="35" t="s">
        <v>699</v>
      </c>
      <c r="F728" s="35" t="s">
        <v>634</v>
      </c>
      <c r="G728" s="37">
        <v>45929.493055555555</v>
      </c>
      <c r="H728" s="37" t="str">
        <f>INDEX(_xlfn.TEXTSPLIT(mvtst[[#This Row],[QR Suivis]],"_"),1,1)</f>
        <v>CA250474-12</v>
      </c>
      <c r="I728" s="35" t="str">
        <f>_xlfn.TEXTBEFORE(mvtst[[#This Row],[Num Suivis]],"-",,,1)</f>
        <v>CA250474</v>
      </c>
      <c r="J728" s="36">
        <f>SUMIF(mvtst[QR Suivis],mvtst[[#This Row],[QR Suivis]],mvtst[QTE SORTIS])-SUMIF(mvtst[QR Suivis],mvtst[[#This Row],[QR Suivis]],mvtst[QTE RETOUR])</f>
        <v>0</v>
      </c>
      <c r="K728" s="35" t="str">
        <f t="shared" si="11"/>
        <v>Usine</v>
      </c>
      <c r="L728" s="35" t="str">
        <f>_xlfn.XLOOKUP(mvtst[[#This Row],[Sous Traitant]],coordonnee_st[Identification],coordonnee_st[SERVICE],"Non Trouvé")</f>
        <v>Frange</v>
      </c>
      <c r="M728" s="35" t="str">
        <f>INDEX(_xlfn.TEXTSPLIT(mvtst[[#This Row],[QR Suivis]],"_"),1,2)</f>
        <v>All by Fouta</v>
      </c>
      <c r="N728" s="35" t="str">
        <f>INDEX(_xlfn.TEXTSPLIT(mvtst[[#This Row],[QR Suivis]],"_"),1,3)</f>
        <v>Stock</v>
      </c>
      <c r="O728" s="35" t="str">
        <f>INDEX(_xlfn.TEXTSPLIT(mvtst[[#This Row],[QR Suivis]],"_"),1,4)</f>
        <v>FAF1020-B06-08</v>
      </c>
      <c r="P728" s="35" t="str">
        <f>INDEX(_xlfn.TEXTSPLIT(mvtst[[#This Row],[QR Suivis]],"_"),1,5)</f>
        <v>FIL A FIL</v>
      </c>
      <c r="Q728" s="35" t="str">
        <f>_xlfn.TEXTAFTER(mvtst[[#This Row],[QR Suivis]],"_",5)</f>
        <v>1020</v>
      </c>
      <c r="R728" s="84" t="str">
        <f>IF(
   COUNTIFS($A$2:A728,A728,
             $B$2:B728,B728,
             $C$2:C728,C728,
             $D$2:D728,D728,
             $G$2:G728,G728)&gt;1,
   "Doublon",
   "Correcte"
)</f>
        <v>Correcte</v>
      </c>
    </row>
    <row r="729" spans="1:18" x14ac:dyDescent="0.25">
      <c r="A729" s="104" t="s">
        <v>1622</v>
      </c>
      <c r="B729" s="35" t="s">
        <v>596</v>
      </c>
      <c r="C729" s="36">
        <v>0</v>
      </c>
      <c r="D729" s="36">
        <v>5</v>
      </c>
      <c r="E729" s="35" t="s">
        <v>699</v>
      </c>
      <c r="F729" s="35" t="s">
        <v>634</v>
      </c>
      <c r="G729" s="37">
        <v>45929.493263888886</v>
      </c>
      <c r="H729" s="37" t="str">
        <f>INDEX(_xlfn.TEXTSPLIT(mvtst[[#This Row],[QR Suivis]],"_"),1,1)</f>
        <v>CA250043-5</v>
      </c>
      <c r="I729" s="35" t="str">
        <f>_xlfn.TEXTBEFORE(mvtst[[#This Row],[Num Suivis]],"-",,,1)</f>
        <v>CA250043</v>
      </c>
      <c r="J729" s="36">
        <f>SUMIF(mvtst[QR Suivis],mvtst[[#This Row],[QR Suivis]],mvtst[QTE SORTIS])-SUMIF(mvtst[QR Suivis],mvtst[[#This Row],[QR Suivis]],mvtst[QTE RETOUR])</f>
        <v>0</v>
      </c>
      <c r="K729" s="35" t="str">
        <f t="shared" si="11"/>
        <v>Usine</v>
      </c>
      <c r="L729" s="35" t="str">
        <f>_xlfn.XLOOKUP(mvtst[[#This Row],[Sous Traitant]],coordonnee_st[Identification],coordonnee_st[SERVICE],"Non Trouvé")</f>
        <v>Frange</v>
      </c>
      <c r="M729" s="35" t="str">
        <f>INDEX(_xlfn.TEXTSPLIT(mvtst[[#This Row],[QR Suivis]],"_"),1,2)</f>
        <v>All by Fouta</v>
      </c>
      <c r="N729" s="35" t="str">
        <f>INDEX(_xlfn.TEXTSPLIT(mvtst[[#This Row],[QR Suivis]],"_"),1,3)</f>
        <v>Stock</v>
      </c>
      <c r="O729" s="35" t="str">
        <f>INDEX(_xlfn.TEXTSPLIT(mvtst[[#This Row],[QR Suivis]],"_"),1,4)</f>
        <v>UNS1626-06</v>
      </c>
      <c r="P729" s="35" t="str">
        <f>INDEX(_xlfn.TEXTSPLIT(mvtst[[#This Row],[QR Suivis]],"_"),1,5)</f>
        <v>UNI SURPIQUE</v>
      </c>
      <c r="Q729" s="35" t="str">
        <f>_xlfn.TEXTAFTER(mvtst[[#This Row],[QR Suivis]],"_",5)</f>
        <v>1626</v>
      </c>
      <c r="R729" s="84" t="str">
        <f>IF(
   COUNTIFS($A$2:A729,A729,
             $B$2:B729,B729,
             $C$2:C729,C729,
             $D$2:D729,D729,
             $G$2:G729,G729)&gt;1,
   "Doublon",
   "Correcte"
)</f>
        <v>Correcte</v>
      </c>
    </row>
    <row r="730" spans="1:18" x14ac:dyDescent="0.25">
      <c r="A730" s="104" t="s">
        <v>1653</v>
      </c>
      <c r="B730" s="35" t="s">
        <v>596</v>
      </c>
      <c r="C730" s="36">
        <v>0</v>
      </c>
      <c r="D730" s="36">
        <v>5</v>
      </c>
      <c r="E730" s="35" t="s">
        <v>699</v>
      </c>
      <c r="F730" s="35" t="s">
        <v>634</v>
      </c>
      <c r="G730" s="37">
        <v>45929.493530092594</v>
      </c>
      <c r="H730" s="37" t="str">
        <f>INDEX(_xlfn.TEXTSPLIT(mvtst[[#This Row],[QR Suivis]],"_"),1,1)</f>
        <v>CA250046-5</v>
      </c>
      <c r="I730" s="35" t="str">
        <f>_xlfn.TEXTBEFORE(mvtst[[#This Row],[Num Suivis]],"-",,,1)</f>
        <v>CA250046</v>
      </c>
      <c r="J730" s="36">
        <f>SUMIF(mvtst[QR Suivis],mvtst[[#This Row],[QR Suivis]],mvtst[QTE SORTIS])-SUMIF(mvtst[QR Suivis],mvtst[[#This Row],[QR Suivis]],mvtst[QTE RETOUR])</f>
        <v>0</v>
      </c>
      <c r="K730" s="35" t="str">
        <f t="shared" si="11"/>
        <v>Usine</v>
      </c>
      <c r="L730" s="35" t="str">
        <f>_xlfn.XLOOKUP(mvtst[[#This Row],[Sous Traitant]],coordonnee_st[Identification],coordonnee_st[SERVICE],"Non Trouvé")</f>
        <v>Frange</v>
      </c>
      <c r="M730" s="35" t="str">
        <f>INDEX(_xlfn.TEXTSPLIT(mvtst[[#This Row],[QR Suivis]],"_"),1,2)</f>
        <v>All by Fouta</v>
      </c>
      <c r="N730" s="35" t="str">
        <f>INDEX(_xlfn.TEXTSPLIT(mvtst[[#This Row],[QR Suivis]],"_"),1,3)</f>
        <v>Stock</v>
      </c>
      <c r="O730" s="35" t="str">
        <f>INDEX(_xlfn.TEXTSPLIT(mvtst[[#This Row],[QR Suivis]],"_"),1,4)</f>
        <v>UNS1626-12</v>
      </c>
      <c r="P730" s="35" t="str">
        <f>INDEX(_xlfn.TEXTSPLIT(mvtst[[#This Row],[QR Suivis]],"_"),1,5)</f>
        <v>UNI SURPIQUE</v>
      </c>
      <c r="Q730" s="35" t="str">
        <f>_xlfn.TEXTAFTER(mvtst[[#This Row],[QR Suivis]],"_",5)</f>
        <v>1626</v>
      </c>
      <c r="R730" s="84" t="str">
        <f>IF(
   COUNTIFS($A$2:A730,A730,
             $B$2:B730,B730,
             $C$2:C730,C730,
             $D$2:D730,D730,
             $G$2:G730,G730)&gt;1,
   "Doublon",
   "Correcte"
)</f>
        <v>Correcte</v>
      </c>
    </row>
    <row r="731" spans="1:18" x14ac:dyDescent="0.25">
      <c r="A731" s="104" t="s">
        <v>1623</v>
      </c>
      <c r="B731" s="35" t="s">
        <v>596</v>
      </c>
      <c r="C731" s="36">
        <v>0</v>
      </c>
      <c r="D731" s="36">
        <v>5</v>
      </c>
      <c r="E731" s="35" t="s">
        <v>699</v>
      </c>
      <c r="F731" s="35" t="s">
        <v>634</v>
      </c>
      <c r="G731" s="37">
        <v>45929.493738425925</v>
      </c>
      <c r="H731" s="37" t="str">
        <f>INDEX(_xlfn.TEXTSPLIT(mvtst[[#This Row],[QR Suivis]],"_"),1,1)</f>
        <v>CA250043-6</v>
      </c>
      <c r="I731" s="35" t="str">
        <f>_xlfn.TEXTBEFORE(mvtst[[#This Row],[Num Suivis]],"-",,,1)</f>
        <v>CA250043</v>
      </c>
      <c r="J731" s="36">
        <f>SUMIF(mvtst[QR Suivis],mvtst[[#This Row],[QR Suivis]],mvtst[QTE SORTIS])-SUMIF(mvtst[QR Suivis],mvtst[[#This Row],[QR Suivis]],mvtst[QTE RETOUR])</f>
        <v>0</v>
      </c>
      <c r="K731" s="35" t="str">
        <f t="shared" si="11"/>
        <v>Usine</v>
      </c>
      <c r="L731" s="35" t="str">
        <f>_xlfn.XLOOKUP(mvtst[[#This Row],[Sous Traitant]],coordonnee_st[Identification],coordonnee_st[SERVICE],"Non Trouvé")</f>
        <v>Frange</v>
      </c>
      <c r="M731" s="35" t="str">
        <f>INDEX(_xlfn.TEXTSPLIT(mvtst[[#This Row],[QR Suivis]],"_"),1,2)</f>
        <v>All by Fouta</v>
      </c>
      <c r="N731" s="35" t="str">
        <f>INDEX(_xlfn.TEXTSPLIT(mvtst[[#This Row],[QR Suivis]],"_"),1,3)</f>
        <v>Stock</v>
      </c>
      <c r="O731" s="35" t="str">
        <f>INDEX(_xlfn.TEXTSPLIT(mvtst[[#This Row],[QR Suivis]],"_"),1,4)</f>
        <v>UNS1626-06</v>
      </c>
      <c r="P731" s="35" t="str">
        <f>INDEX(_xlfn.TEXTSPLIT(mvtst[[#This Row],[QR Suivis]],"_"),1,5)</f>
        <v>UNI SURPIQUE</v>
      </c>
      <c r="Q731" s="35" t="str">
        <f>_xlfn.TEXTAFTER(mvtst[[#This Row],[QR Suivis]],"_",5)</f>
        <v>1626</v>
      </c>
      <c r="R731" s="84" t="str">
        <f>IF(
   COUNTIFS($A$2:A731,A731,
             $B$2:B731,B731,
             $C$2:C731,C731,
             $D$2:D731,D731,
             $G$2:G731,G731)&gt;1,
   "Doublon",
   "Correcte"
)</f>
        <v>Correcte</v>
      </c>
    </row>
    <row r="732" spans="1:18" x14ac:dyDescent="0.25">
      <c r="A732" s="104" t="s">
        <v>1333</v>
      </c>
      <c r="B732" s="35" t="s">
        <v>596</v>
      </c>
      <c r="C732" s="36">
        <v>0</v>
      </c>
      <c r="D732" s="36">
        <v>5</v>
      </c>
      <c r="E732" s="35" t="s">
        <v>699</v>
      </c>
      <c r="F732" s="35" t="s">
        <v>634</v>
      </c>
      <c r="G732" s="37">
        <v>45929.494247685187</v>
      </c>
      <c r="H732" s="37" t="str">
        <f>INDEX(_xlfn.TEXTSPLIT(mvtst[[#This Row],[QR Suivis]],"_"),1,1)</f>
        <v>CA250474-3</v>
      </c>
      <c r="I732" s="35" t="str">
        <f>_xlfn.TEXTBEFORE(mvtst[[#This Row],[Num Suivis]],"-",,,1)</f>
        <v>CA250474</v>
      </c>
      <c r="J732" s="36">
        <f>SUMIF(mvtst[QR Suivis],mvtst[[#This Row],[QR Suivis]],mvtst[QTE SORTIS])-SUMIF(mvtst[QR Suivis],mvtst[[#This Row],[QR Suivis]],mvtst[QTE RETOUR])</f>
        <v>0</v>
      </c>
      <c r="K732" s="35" t="str">
        <f t="shared" si="11"/>
        <v>Usine</v>
      </c>
      <c r="L732" s="35" t="str">
        <f>_xlfn.XLOOKUP(mvtst[[#This Row],[Sous Traitant]],coordonnee_st[Identification],coordonnee_st[SERVICE],"Non Trouvé")</f>
        <v>Frange</v>
      </c>
      <c r="M732" s="35" t="str">
        <f>INDEX(_xlfn.TEXTSPLIT(mvtst[[#This Row],[QR Suivis]],"_"),1,2)</f>
        <v>All by Fouta</v>
      </c>
      <c r="N732" s="35" t="str">
        <f>INDEX(_xlfn.TEXTSPLIT(mvtst[[#This Row],[QR Suivis]],"_"),1,3)</f>
        <v>Stock</v>
      </c>
      <c r="O732" s="35" t="str">
        <f>INDEX(_xlfn.TEXTSPLIT(mvtst[[#This Row],[QR Suivis]],"_"),1,4)</f>
        <v>FAF1020-B06-08</v>
      </c>
      <c r="P732" s="35" t="str">
        <f>INDEX(_xlfn.TEXTSPLIT(mvtst[[#This Row],[QR Suivis]],"_"),1,5)</f>
        <v>FIL A FIL</v>
      </c>
      <c r="Q732" s="35" t="str">
        <f>_xlfn.TEXTAFTER(mvtst[[#This Row],[QR Suivis]],"_",5)</f>
        <v>1020</v>
      </c>
      <c r="R732" s="84" t="str">
        <f>IF(
   COUNTIFS($A$2:A732,A732,
             $B$2:B732,B732,
             $C$2:C732,C732,
             $D$2:D732,D732,
             $G$2:G732,G732)&gt;1,
   "Doublon",
   "Correcte"
)</f>
        <v>Correcte</v>
      </c>
    </row>
    <row r="733" spans="1:18" x14ac:dyDescent="0.25">
      <c r="A733" s="104" t="s">
        <v>1367</v>
      </c>
      <c r="B733" s="35" t="s">
        <v>596</v>
      </c>
      <c r="C733" s="36">
        <v>0</v>
      </c>
      <c r="D733" s="36">
        <v>5</v>
      </c>
      <c r="E733" s="35" t="s">
        <v>699</v>
      </c>
      <c r="F733" s="35" t="s">
        <v>634</v>
      </c>
      <c r="G733" s="37">
        <v>45929.494502314818</v>
      </c>
      <c r="H733" s="37" t="str">
        <f>INDEX(_xlfn.TEXTSPLIT(mvtst[[#This Row],[QR Suivis]],"_"),1,1)</f>
        <v>CA250473-2</v>
      </c>
      <c r="I733" s="35" t="str">
        <f>_xlfn.TEXTBEFORE(mvtst[[#This Row],[Num Suivis]],"-",,,1)</f>
        <v>CA250473</v>
      </c>
      <c r="J733" s="36">
        <f>SUMIF(mvtst[QR Suivis],mvtst[[#This Row],[QR Suivis]],mvtst[QTE SORTIS])-SUMIF(mvtst[QR Suivis],mvtst[[#This Row],[QR Suivis]],mvtst[QTE RETOUR])</f>
        <v>0</v>
      </c>
      <c r="K733" s="35" t="str">
        <f t="shared" si="11"/>
        <v>Usine</v>
      </c>
      <c r="L733" s="35" t="str">
        <f>_xlfn.XLOOKUP(mvtst[[#This Row],[Sous Traitant]],coordonnee_st[Identification],coordonnee_st[SERVICE],"Non Trouvé")</f>
        <v>Frange</v>
      </c>
      <c r="M733" s="35" t="str">
        <f>INDEX(_xlfn.TEXTSPLIT(mvtst[[#This Row],[QR Suivis]],"_"),1,2)</f>
        <v>All by Fouta</v>
      </c>
      <c r="N733" s="35" t="str">
        <f>INDEX(_xlfn.TEXTSPLIT(mvtst[[#This Row],[QR Suivis]],"_"),1,3)</f>
        <v>Stock</v>
      </c>
      <c r="O733" s="35" t="str">
        <f>INDEX(_xlfn.TEXTSPLIT(mvtst[[#This Row],[QR Suivis]],"_"),1,4)</f>
        <v>FAF1020-B18-19</v>
      </c>
      <c r="P733" s="35" t="str">
        <f>INDEX(_xlfn.TEXTSPLIT(mvtst[[#This Row],[QR Suivis]],"_"),1,5)</f>
        <v>FIL A FIL</v>
      </c>
      <c r="Q733" s="35" t="str">
        <f>_xlfn.TEXTAFTER(mvtst[[#This Row],[QR Suivis]],"_",5)</f>
        <v>1020</v>
      </c>
      <c r="R733" s="84" t="str">
        <f>IF(
   COUNTIFS($A$2:A733,A733,
             $B$2:B733,B733,
             $C$2:C733,C733,
             $D$2:D733,D733,
             $G$2:G733,G733)&gt;1,
   "Doublon",
   "Correcte"
)</f>
        <v>Correcte</v>
      </c>
    </row>
    <row r="734" spans="1:18" x14ac:dyDescent="0.25">
      <c r="A734" s="104" t="s">
        <v>1368</v>
      </c>
      <c r="B734" s="35" t="s">
        <v>596</v>
      </c>
      <c r="C734" s="36">
        <v>0</v>
      </c>
      <c r="D734" s="36">
        <v>5</v>
      </c>
      <c r="E734" s="35" t="s">
        <v>699</v>
      </c>
      <c r="F734" s="35" t="s">
        <v>634</v>
      </c>
      <c r="G734" s="37">
        <v>45929.494768518518</v>
      </c>
      <c r="H734" s="37" t="str">
        <f>INDEX(_xlfn.TEXTSPLIT(mvtst[[#This Row],[QR Suivis]],"_"),1,1)</f>
        <v>CA250473-3</v>
      </c>
      <c r="I734" s="35" t="str">
        <f>_xlfn.TEXTBEFORE(mvtst[[#This Row],[Num Suivis]],"-",,,1)</f>
        <v>CA250473</v>
      </c>
      <c r="J734" s="36">
        <f>SUMIF(mvtst[QR Suivis],mvtst[[#This Row],[QR Suivis]],mvtst[QTE SORTIS])-SUMIF(mvtst[QR Suivis],mvtst[[#This Row],[QR Suivis]],mvtst[QTE RETOUR])</f>
        <v>0</v>
      </c>
      <c r="K734" s="35" t="str">
        <f t="shared" si="11"/>
        <v>Usine</v>
      </c>
      <c r="L734" s="35" t="str">
        <f>_xlfn.XLOOKUP(mvtst[[#This Row],[Sous Traitant]],coordonnee_st[Identification],coordonnee_st[SERVICE],"Non Trouvé")</f>
        <v>Frange</v>
      </c>
      <c r="M734" s="35" t="str">
        <f>INDEX(_xlfn.TEXTSPLIT(mvtst[[#This Row],[QR Suivis]],"_"),1,2)</f>
        <v>All by Fouta</v>
      </c>
      <c r="N734" s="35" t="str">
        <f>INDEX(_xlfn.TEXTSPLIT(mvtst[[#This Row],[QR Suivis]],"_"),1,3)</f>
        <v>Stock</v>
      </c>
      <c r="O734" s="35" t="str">
        <f>INDEX(_xlfn.TEXTSPLIT(mvtst[[#This Row],[QR Suivis]],"_"),1,4)</f>
        <v>FAF1020-B18-19</v>
      </c>
      <c r="P734" s="35" t="str">
        <f>INDEX(_xlfn.TEXTSPLIT(mvtst[[#This Row],[QR Suivis]],"_"),1,5)</f>
        <v>FIL A FIL</v>
      </c>
      <c r="Q734" s="35" t="str">
        <f>_xlfn.TEXTAFTER(mvtst[[#This Row],[QR Suivis]],"_",5)</f>
        <v>1020</v>
      </c>
      <c r="R734" s="84" t="str">
        <f>IF(
   COUNTIFS($A$2:A734,A734,
             $B$2:B734,B734,
             $C$2:C734,C734,
             $D$2:D734,D734,
             $G$2:G734,G734)&gt;1,
   "Doublon",
   "Correcte"
)</f>
        <v>Correcte</v>
      </c>
    </row>
    <row r="735" spans="1:18" x14ac:dyDescent="0.25">
      <c r="A735" s="104" t="s">
        <v>1369</v>
      </c>
      <c r="B735" s="35" t="s">
        <v>596</v>
      </c>
      <c r="C735" s="36">
        <v>0</v>
      </c>
      <c r="D735" s="36">
        <v>5</v>
      </c>
      <c r="E735" s="35" t="s">
        <v>699</v>
      </c>
      <c r="F735" s="35" t="s">
        <v>634</v>
      </c>
      <c r="G735" s="37">
        <v>45929.495740740742</v>
      </c>
      <c r="H735" s="37" t="str">
        <f>INDEX(_xlfn.TEXTSPLIT(mvtst[[#This Row],[QR Suivis]],"_"),1,1)</f>
        <v>CA250473-12</v>
      </c>
      <c r="I735" s="35" t="str">
        <f>_xlfn.TEXTBEFORE(mvtst[[#This Row],[Num Suivis]],"-",,,1)</f>
        <v>CA250473</v>
      </c>
      <c r="J735" s="36">
        <f>SUMIF(mvtst[QR Suivis],mvtst[[#This Row],[QR Suivis]],mvtst[QTE SORTIS])-SUMIF(mvtst[QR Suivis],mvtst[[#This Row],[QR Suivis]],mvtst[QTE RETOUR])</f>
        <v>0</v>
      </c>
      <c r="K735" s="35" t="str">
        <f t="shared" si="11"/>
        <v>Usine</v>
      </c>
      <c r="L735" s="35" t="str">
        <f>_xlfn.XLOOKUP(mvtst[[#This Row],[Sous Traitant]],coordonnee_st[Identification],coordonnee_st[SERVICE],"Non Trouvé")</f>
        <v>Frange</v>
      </c>
      <c r="M735" s="35" t="str">
        <f>INDEX(_xlfn.TEXTSPLIT(mvtst[[#This Row],[QR Suivis]],"_"),1,2)</f>
        <v>All by Fouta</v>
      </c>
      <c r="N735" s="35" t="str">
        <f>INDEX(_xlfn.TEXTSPLIT(mvtst[[#This Row],[QR Suivis]],"_"),1,3)</f>
        <v>Stock</v>
      </c>
      <c r="O735" s="35" t="str">
        <f>INDEX(_xlfn.TEXTSPLIT(mvtst[[#This Row],[QR Suivis]],"_"),1,4)</f>
        <v>FAF1020-B18-19</v>
      </c>
      <c r="P735" s="35" t="str">
        <f>INDEX(_xlfn.TEXTSPLIT(mvtst[[#This Row],[QR Suivis]],"_"),1,5)</f>
        <v>FIL A FIL</v>
      </c>
      <c r="Q735" s="35" t="str">
        <f>_xlfn.TEXTAFTER(mvtst[[#This Row],[QR Suivis]],"_",5)</f>
        <v>1020</v>
      </c>
      <c r="R735" s="84" t="str">
        <f>IF(
   COUNTIFS($A$2:A735,A735,
             $B$2:B735,B735,
             $C$2:C735,C735,
             $D$2:D735,D735,
             $G$2:G735,G735)&gt;1,
   "Doublon",
   "Correcte"
)</f>
        <v>Correcte</v>
      </c>
    </row>
    <row r="736" spans="1:18" x14ac:dyDescent="0.25">
      <c r="A736" s="104" t="s">
        <v>1370</v>
      </c>
      <c r="B736" s="35" t="s">
        <v>596</v>
      </c>
      <c r="C736" s="36">
        <v>0</v>
      </c>
      <c r="D736" s="36">
        <v>5</v>
      </c>
      <c r="E736" s="35" t="s">
        <v>699</v>
      </c>
      <c r="F736" s="35" t="s">
        <v>634</v>
      </c>
      <c r="G736" s="37">
        <v>45929.496006944442</v>
      </c>
      <c r="H736" s="37" t="str">
        <f>INDEX(_xlfn.TEXTSPLIT(mvtst[[#This Row],[QR Suivis]],"_"),1,1)</f>
        <v>CA250473-9</v>
      </c>
      <c r="I736" s="35" t="str">
        <f>_xlfn.TEXTBEFORE(mvtst[[#This Row],[Num Suivis]],"-",,,1)</f>
        <v>CA250473</v>
      </c>
      <c r="J736" s="36">
        <f>SUMIF(mvtst[QR Suivis],mvtst[[#This Row],[QR Suivis]],mvtst[QTE SORTIS])-SUMIF(mvtst[QR Suivis],mvtst[[#This Row],[QR Suivis]],mvtst[QTE RETOUR])</f>
        <v>0</v>
      </c>
      <c r="K736" s="35" t="str">
        <f t="shared" si="11"/>
        <v>Usine</v>
      </c>
      <c r="L736" s="35" t="str">
        <f>_xlfn.XLOOKUP(mvtst[[#This Row],[Sous Traitant]],coordonnee_st[Identification],coordonnee_st[SERVICE],"Non Trouvé")</f>
        <v>Frange</v>
      </c>
      <c r="M736" s="35" t="str">
        <f>INDEX(_xlfn.TEXTSPLIT(mvtst[[#This Row],[QR Suivis]],"_"),1,2)</f>
        <v>All by Fouta</v>
      </c>
      <c r="N736" s="35" t="str">
        <f>INDEX(_xlfn.TEXTSPLIT(mvtst[[#This Row],[QR Suivis]],"_"),1,3)</f>
        <v>Stock</v>
      </c>
      <c r="O736" s="35" t="str">
        <f>INDEX(_xlfn.TEXTSPLIT(mvtst[[#This Row],[QR Suivis]],"_"),1,4)</f>
        <v>FAF1020-B18-19</v>
      </c>
      <c r="P736" s="35" t="str">
        <f>INDEX(_xlfn.TEXTSPLIT(mvtst[[#This Row],[QR Suivis]],"_"),1,5)</f>
        <v>FIL A FIL</v>
      </c>
      <c r="Q736" s="35" t="str">
        <f>_xlfn.TEXTAFTER(mvtst[[#This Row],[QR Suivis]],"_",5)</f>
        <v>1020</v>
      </c>
      <c r="R736" s="84" t="str">
        <f>IF(
   COUNTIFS($A$2:A736,A736,
             $B$2:B736,B736,
             $C$2:C736,C736,
             $D$2:D736,D736,
             $G$2:G736,G736)&gt;1,
   "Doublon",
   "Correcte"
)</f>
        <v>Correcte</v>
      </c>
    </row>
    <row r="737" spans="1:18" x14ac:dyDescent="0.25">
      <c r="A737" s="104" t="s">
        <v>1334</v>
      </c>
      <c r="B737" s="35" t="s">
        <v>596</v>
      </c>
      <c r="C737" s="36">
        <v>0</v>
      </c>
      <c r="D737" s="36">
        <v>5</v>
      </c>
      <c r="E737" s="35" t="s">
        <v>699</v>
      </c>
      <c r="F737" s="35" t="s">
        <v>634</v>
      </c>
      <c r="G737" s="37">
        <v>45929.496238425927</v>
      </c>
      <c r="H737" s="37" t="str">
        <f>INDEX(_xlfn.TEXTSPLIT(mvtst[[#This Row],[QR Suivis]],"_"),1,1)</f>
        <v>CA250474-1</v>
      </c>
      <c r="I737" s="35" t="str">
        <f>_xlfn.TEXTBEFORE(mvtst[[#This Row],[Num Suivis]],"-",,,1)</f>
        <v>CA250474</v>
      </c>
      <c r="J737" s="36">
        <f>SUMIF(mvtst[QR Suivis],mvtst[[#This Row],[QR Suivis]],mvtst[QTE SORTIS])-SUMIF(mvtst[QR Suivis],mvtst[[#This Row],[QR Suivis]],mvtst[QTE RETOUR])</f>
        <v>0</v>
      </c>
      <c r="K737" s="35" t="str">
        <f t="shared" si="11"/>
        <v>Usine</v>
      </c>
      <c r="L737" s="35" t="str">
        <f>_xlfn.XLOOKUP(mvtst[[#This Row],[Sous Traitant]],coordonnee_st[Identification],coordonnee_st[SERVICE],"Non Trouvé")</f>
        <v>Frange</v>
      </c>
      <c r="M737" s="35" t="str">
        <f>INDEX(_xlfn.TEXTSPLIT(mvtst[[#This Row],[QR Suivis]],"_"),1,2)</f>
        <v>All by Fouta</v>
      </c>
      <c r="N737" s="35" t="str">
        <f>INDEX(_xlfn.TEXTSPLIT(mvtst[[#This Row],[QR Suivis]],"_"),1,3)</f>
        <v>Stock</v>
      </c>
      <c r="O737" s="35" t="str">
        <f>INDEX(_xlfn.TEXTSPLIT(mvtst[[#This Row],[QR Suivis]],"_"),1,4)</f>
        <v>FAF1020-B06-08</v>
      </c>
      <c r="P737" s="35" t="str">
        <f>INDEX(_xlfn.TEXTSPLIT(mvtst[[#This Row],[QR Suivis]],"_"),1,5)</f>
        <v>FIL A FIL</v>
      </c>
      <c r="Q737" s="35" t="str">
        <f>_xlfn.TEXTAFTER(mvtst[[#This Row],[QR Suivis]],"_",5)</f>
        <v>1020</v>
      </c>
      <c r="R737" s="84" t="str">
        <f>IF(
   COUNTIFS($A$2:A737,A737,
             $B$2:B737,B737,
             $C$2:C737,C737,
             $D$2:D737,D737,
             $G$2:G737,G737)&gt;1,
   "Doublon",
   "Correcte"
)</f>
        <v>Correcte</v>
      </c>
    </row>
    <row r="738" spans="1:18" x14ac:dyDescent="0.25">
      <c r="A738" s="104" t="s">
        <v>1371</v>
      </c>
      <c r="B738" s="35" t="s">
        <v>596</v>
      </c>
      <c r="C738" s="36">
        <v>0</v>
      </c>
      <c r="D738" s="36">
        <v>5</v>
      </c>
      <c r="E738" s="35" t="s">
        <v>699</v>
      </c>
      <c r="F738" s="35" t="s">
        <v>634</v>
      </c>
      <c r="G738" s="37">
        <v>45929.496446759258</v>
      </c>
      <c r="H738" s="37" t="str">
        <f>INDEX(_xlfn.TEXTSPLIT(mvtst[[#This Row],[QR Suivis]],"_"),1,1)</f>
        <v>CA250473-8</v>
      </c>
      <c r="I738" s="35" t="str">
        <f>_xlfn.TEXTBEFORE(mvtst[[#This Row],[Num Suivis]],"-",,,1)</f>
        <v>CA250473</v>
      </c>
      <c r="J738" s="36">
        <f>SUMIF(mvtst[QR Suivis],mvtst[[#This Row],[QR Suivis]],mvtst[QTE SORTIS])-SUMIF(mvtst[QR Suivis],mvtst[[#This Row],[QR Suivis]],mvtst[QTE RETOUR])</f>
        <v>0</v>
      </c>
      <c r="K738" s="35" t="str">
        <f t="shared" si="11"/>
        <v>Usine</v>
      </c>
      <c r="L738" s="35" t="str">
        <f>_xlfn.XLOOKUP(mvtst[[#This Row],[Sous Traitant]],coordonnee_st[Identification],coordonnee_st[SERVICE],"Non Trouvé")</f>
        <v>Frange</v>
      </c>
      <c r="M738" s="35" t="str">
        <f>INDEX(_xlfn.TEXTSPLIT(mvtst[[#This Row],[QR Suivis]],"_"),1,2)</f>
        <v>All by Fouta</v>
      </c>
      <c r="N738" s="35" t="str">
        <f>INDEX(_xlfn.TEXTSPLIT(mvtst[[#This Row],[QR Suivis]],"_"),1,3)</f>
        <v>Stock</v>
      </c>
      <c r="O738" s="35" t="str">
        <f>INDEX(_xlfn.TEXTSPLIT(mvtst[[#This Row],[QR Suivis]],"_"),1,4)</f>
        <v>FAF1020-B18-19</v>
      </c>
      <c r="P738" s="35" t="str">
        <f>INDEX(_xlfn.TEXTSPLIT(mvtst[[#This Row],[QR Suivis]],"_"),1,5)</f>
        <v>FIL A FIL</v>
      </c>
      <c r="Q738" s="35" t="str">
        <f>_xlfn.TEXTAFTER(mvtst[[#This Row],[QR Suivis]],"_",5)</f>
        <v>1020</v>
      </c>
      <c r="R738" s="84" t="str">
        <f>IF(
   COUNTIFS($A$2:A738,A738,
             $B$2:B738,B738,
             $C$2:C738,C738,
             $D$2:D738,D738,
             $G$2:G738,G738)&gt;1,
   "Doublon",
   "Correcte"
)</f>
        <v>Correcte</v>
      </c>
    </row>
    <row r="739" spans="1:18" x14ac:dyDescent="0.25">
      <c r="A739" s="104" t="s">
        <v>1335</v>
      </c>
      <c r="B739" s="35" t="s">
        <v>596</v>
      </c>
      <c r="C739" s="36">
        <v>0</v>
      </c>
      <c r="D739" s="36">
        <v>5</v>
      </c>
      <c r="E739" s="35" t="s">
        <v>699</v>
      </c>
      <c r="F739" s="35" t="s">
        <v>634</v>
      </c>
      <c r="G739" s="37">
        <v>45929.496840277781</v>
      </c>
      <c r="H739" s="37" t="str">
        <f>INDEX(_xlfn.TEXTSPLIT(mvtst[[#This Row],[QR Suivis]],"_"),1,1)</f>
        <v>CA250474-10</v>
      </c>
      <c r="I739" s="35" t="str">
        <f>_xlfn.TEXTBEFORE(mvtst[[#This Row],[Num Suivis]],"-",,,1)</f>
        <v>CA250474</v>
      </c>
      <c r="J739" s="36">
        <f>SUMIF(mvtst[QR Suivis],mvtst[[#This Row],[QR Suivis]],mvtst[QTE SORTIS])-SUMIF(mvtst[QR Suivis],mvtst[[#This Row],[QR Suivis]],mvtst[QTE RETOUR])</f>
        <v>0</v>
      </c>
      <c r="K739" s="35" t="str">
        <f t="shared" si="11"/>
        <v>Usine</v>
      </c>
      <c r="L739" s="35" t="str">
        <f>_xlfn.XLOOKUP(mvtst[[#This Row],[Sous Traitant]],coordonnee_st[Identification],coordonnee_st[SERVICE],"Non Trouvé")</f>
        <v>Frange</v>
      </c>
      <c r="M739" s="35" t="str">
        <f>INDEX(_xlfn.TEXTSPLIT(mvtst[[#This Row],[QR Suivis]],"_"),1,2)</f>
        <v>All by Fouta</v>
      </c>
      <c r="N739" s="35" t="str">
        <f>INDEX(_xlfn.TEXTSPLIT(mvtst[[#This Row],[QR Suivis]],"_"),1,3)</f>
        <v>Stock</v>
      </c>
      <c r="O739" s="35" t="str">
        <f>INDEX(_xlfn.TEXTSPLIT(mvtst[[#This Row],[QR Suivis]],"_"),1,4)</f>
        <v>FAF1020-B06-08</v>
      </c>
      <c r="P739" s="35" t="str">
        <f>INDEX(_xlfn.TEXTSPLIT(mvtst[[#This Row],[QR Suivis]],"_"),1,5)</f>
        <v>FIL A FIL</v>
      </c>
      <c r="Q739" s="35" t="str">
        <f>_xlfn.TEXTAFTER(mvtst[[#This Row],[QR Suivis]],"_",5)</f>
        <v>1020</v>
      </c>
      <c r="R739" s="84" t="str">
        <f>IF(
   COUNTIFS($A$2:A739,A739,
             $B$2:B739,B739,
             $C$2:C739,C739,
             $D$2:D739,D739,
             $G$2:G739,G739)&gt;1,
   "Doublon",
   "Correcte"
)</f>
        <v>Correcte</v>
      </c>
    </row>
    <row r="740" spans="1:18" x14ac:dyDescent="0.25">
      <c r="A740" s="104" t="s">
        <v>1336</v>
      </c>
      <c r="B740" s="35" t="s">
        <v>596</v>
      </c>
      <c r="C740" s="36">
        <v>0</v>
      </c>
      <c r="D740" s="36">
        <v>5</v>
      </c>
      <c r="E740" s="35" t="s">
        <v>699</v>
      </c>
      <c r="F740" s="35" t="s">
        <v>634</v>
      </c>
      <c r="G740" s="37">
        <v>45929.497106481482</v>
      </c>
      <c r="H740" s="37" t="str">
        <f>INDEX(_xlfn.TEXTSPLIT(mvtst[[#This Row],[QR Suivis]],"_"),1,1)</f>
        <v>CA250474-11</v>
      </c>
      <c r="I740" s="35" t="str">
        <f>_xlfn.TEXTBEFORE(mvtst[[#This Row],[Num Suivis]],"-",,,1)</f>
        <v>CA250474</v>
      </c>
      <c r="J740" s="36">
        <f>SUMIF(mvtst[QR Suivis],mvtst[[#This Row],[QR Suivis]],mvtst[QTE SORTIS])-SUMIF(mvtst[QR Suivis],mvtst[[#This Row],[QR Suivis]],mvtst[QTE RETOUR])</f>
        <v>0</v>
      </c>
      <c r="K740" s="35" t="str">
        <f t="shared" si="11"/>
        <v>Usine</v>
      </c>
      <c r="L740" s="35" t="str">
        <f>_xlfn.XLOOKUP(mvtst[[#This Row],[Sous Traitant]],coordonnee_st[Identification],coordonnee_st[SERVICE],"Non Trouvé")</f>
        <v>Frange</v>
      </c>
      <c r="M740" s="35" t="str">
        <f>INDEX(_xlfn.TEXTSPLIT(mvtst[[#This Row],[QR Suivis]],"_"),1,2)</f>
        <v>All by Fouta</v>
      </c>
      <c r="N740" s="35" t="str">
        <f>INDEX(_xlfn.TEXTSPLIT(mvtst[[#This Row],[QR Suivis]],"_"),1,3)</f>
        <v>Stock</v>
      </c>
      <c r="O740" s="35" t="str">
        <f>INDEX(_xlfn.TEXTSPLIT(mvtst[[#This Row],[QR Suivis]],"_"),1,4)</f>
        <v>FAF1020-B06-08</v>
      </c>
      <c r="P740" s="35" t="str">
        <f>INDEX(_xlfn.TEXTSPLIT(mvtst[[#This Row],[QR Suivis]],"_"),1,5)</f>
        <v>FIL A FIL</v>
      </c>
      <c r="Q740" s="35" t="str">
        <f>_xlfn.TEXTAFTER(mvtst[[#This Row],[QR Suivis]],"_",5)</f>
        <v>1020</v>
      </c>
      <c r="R740" s="84" t="str">
        <f>IF(
   COUNTIFS($A$2:A740,A740,
             $B$2:B740,B740,
             $C$2:C740,C740,
             $D$2:D740,D740,
             $G$2:G740,G740)&gt;1,
   "Doublon",
   "Correcte"
)</f>
        <v>Correcte</v>
      </c>
    </row>
    <row r="741" spans="1:18" x14ac:dyDescent="0.25">
      <c r="A741" s="104" t="s">
        <v>1337</v>
      </c>
      <c r="B741" s="35" t="s">
        <v>596</v>
      </c>
      <c r="C741" s="36">
        <v>0</v>
      </c>
      <c r="D741" s="36">
        <v>5</v>
      </c>
      <c r="E741" s="35" t="s">
        <v>699</v>
      </c>
      <c r="F741" s="35" t="s">
        <v>634</v>
      </c>
      <c r="G741" s="37">
        <v>45929.497337962966</v>
      </c>
      <c r="H741" s="37" t="str">
        <f>INDEX(_xlfn.TEXTSPLIT(mvtst[[#This Row],[QR Suivis]],"_"),1,1)</f>
        <v>CA250474-7</v>
      </c>
      <c r="I741" s="35" t="str">
        <f>_xlfn.TEXTBEFORE(mvtst[[#This Row],[Num Suivis]],"-",,,1)</f>
        <v>CA250474</v>
      </c>
      <c r="J741" s="36">
        <f>SUMIF(mvtst[QR Suivis],mvtst[[#This Row],[QR Suivis]],mvtst[QTE SORTIS])-SUMIF(mvtst[QR Suivis],mvtst[[#This Row],[QR Suivis]],mvtst[QTE RETOUR])</f>
        <v>0</v>
      </c>
      <c r="K741" s="35" t="str">
        <f t="shared" si="11"/>
        <v>Usine</v>
      </c>
      <c r="L741" s="35" t="str">
        <f>_xlfn.XLOOKUP(mvtst[[#This Row],[Sous Traitant]],coordonnee_st[Identification],coordonnee_st[SERVICE],"Non Trouvé")</f>
        <v>Frange</v>
      </c>
      <c r="M741" s="35" t="str">
        <f>INDEX(_xlfn.TEXTSPLIT(mvtst[[#This Row],[QR Suivis]],"_"),1,2)</f>
        <v>All by Fouta</v>
      </c>
      <c r="N741" s="35" t="str">
        <f>INDEX(_xlfn.TEXTSPLIT(mvtst[[#This Row],[QR Suivis]],"_"),1,3)</f>
        <v>Stock</v>
      </c>
      <c r="O741" s="35" t="str">
        <f>INDEX(_xlfn.TEXTSPLIT(mvtst[[#This Row],[QR Suivis]],"_"),1,4)</f>
        <v>FAF1020-B06-08</v>
      </c>
      <c r="P741" s="35" t="str">
        <f>INDEX(_xlfn.TEXTSPLIT(mvtst[[#This Row],[QR Suivis]],"_"),1,5)</f>
        <v>FIL A FIL</v>
      </c>
      <c r="Q741" s="35" t="str">
        <f>_xlfn.TEXTAFTER(mvtst[[#This Row],[QR Suivis]],"_",5)</f>
        <v>1020</v>
      </c>
      <c r="R741" s="84" t="str">
        <f>IF(
   COUNTIFS($A$2:A741,A741,
             $B$2:B741,B741,
             $C$2:C741,C741,
             $D$2:D741,D741,
             $G$2:G741,G741)&gt;1,
   "Doublon",
   "Correcte"
)</f>
        <v>Correcte</v>
      </c>
    </row>
    <row r="742" spans="1:18" x14ac:dyDescent="0.25">
      <c r="A742" s="104" t="s">
        <v>1645</v>
      </c>
      <c r="B742" s="35" t="s">
        <v>596</v>
      </c>
      <c r="C742" s="36">
        <v>0</v>
      </c>
      <c r="D742" s="36">
        <v>5</v>
      </c>
      <c r="E742" s="35" t="s">
        <v>699</v>
      </c>
      <c r="F742" s="35" t="s">
        <v>634</v>
      </c>
      <c r="G742" s="37">
        <v>45929.499409722222</v>
      </c>
      <c r="H742" s="37" t="str">
        <f>INDEX(_xlfn.TEXTSPLIT(mvtst[[#This Row],[QR Suivis]],"_"),1,1)</f>
        <v>CA250045-2</v>
      </c>
      <c r="I742" s="35" t="str">
        <f>_xlfn.TEXTBEFORE(mvtst[[#This Row],[Num Suivis]],"-",,,1)</f>
        <v>CA250045</v>
      </c>
      <c r="J742" s="36">
        <f>SUMIF(mvtst[QR Suivis],mvtst[[#This Row],[QR Suivis]],mvtst[QTE SORTIS])-SUMIF(mvtst[QR Suivis],mvtst[[#This Row],[QR Suivis]],mvtst[QTE RETOUR])</f>
        <v>0</v>
      </c>
      <c r="K742" s="35" t="str">
        <f t="shared" si="11"/>
        <v>Usine</v>
      </c>
      <c r="L742" s="35" t="str">
        <f>_xlfn.XLOOKUP(mvtst[[#This Row],[Sous Traitant]],coordonnee_st[Identification],coordonnee_st[SERVICE],"Non Trouvé")</f>
        <v>Frange</v>
      </c>
      <c r="M742" s="35" t="str">
        <f>INDEX(_xlfn.TEXTSPLIT(mvtst[[#This Row],[QR Suivis]],"_"),1,2)</f>
        <v>All by Fouta</v>
      </c>
      <c r="N742" s="35" t="str">
        <f>INDEX(_xlfn.TEXTSPLIT(mvtst[[#This Row],[QR Suivis]],"_"),1,3)</f>
        <v>Stock</v>
      </c>
      <c r="O742" s="35" t="str">
        <f>INDEX(_xlfn.TEXTSPLIT(mvtst[[#This Row],[QR Suivis]],"_"),1,4)</f>
        <v>UNS1626-10</v>
      </c>
      <c r="P742" s="35" t="str">
        <f>INDEX(_xlfn.TEXTSPLIT(mvtst[[#This Row],[QR Suivis]],"_"),1,5)</f>
        <v>UNI SURPIQUE</v>
      </c>
      <c r="Q742" s="35" t="str">
        <f>_xlfn.TEXTAFTER(mvtst[[#This Row],[QR Suivis]],"_",5)</f>
        <v>1626</v>
      </c>
      <c r="R742" s="84" t="str">
        <f>IF(
   COUNTIFS($A$2:A742,A742,
             $B$2:B742,B742,
             $C$2:C742,C742,
             $D$2:D742,D742,
             $G$2:G742,G742)&gt;1,
   "Doublon",
   "Correcte"
)</f>
        <v>Correcte</v>
      </c>
    </row>
    <row r="743" spans="1:18" x14ac:dyDescent="0.25">
      <c r="A743" s="104" t="s">
        <v>1654</v>
      </c>
      <c r="B743" s="35" t="s">
        <v>596</v>
      </c>
      <c r="C743" s="36">
        <v>0</v>
      </c>
      <c r="D743" s="36">
        <v>5</v>
      </c>
      <c r="E743" s="35" t="s">
        <v>699</v>
      </c>
      <c r="F743" s="35" t="s">
        <v>634</v>
      </c>
      <c r="G743" s="37">
        <v>45929.499722222223</v>
      </c>
      <c r="H743" s="37" t="str">
        <f>INDEX(_xlfn.TEXTSPLIT(mvtst[[#This Row],[QR Suivis]],"_"),1,1)</f>
        <v>CA250046-6</v>
      </c>
      <c r="I743" s="35" t="str">
        <f>_xlfn.TEXTBEFORE(mvtst[[#This Row],[Num Suivis]],"-",,,1)</f>
        <v>CA250046</v>
      </c>
      <c r="J743" s="36">
        <f>SUMIF(mvtst[QR Suivis],mvtst[[#This Row],[QR Suivis]],mvtst[QTE SORTIS])-SUMIF(mvtst[QR Suivis],mvtst[[#This Row],[QR Suivis]],mvtst[QTE RETOUR])</f>
        <v>0</v>
      </c>
      <c r="K743" s="35" t="str">
        <f t="shared" si="11"/>
        <v>Usine</v>
      </c>
      <c r="L743" s="35" t="str">
        <f>_xlfn.XLOOKUP(mvtst[[#This Row],[Sous Traitant]],coordonnee_st[Identification],coordonnee_st[SERVICE],"Non Trouvé")</f>
        <v>Frange</v>
      </c>
      <c r="M743" s="35" t="str">
        <f>INDEX(_xlfn.TEXTSPLIT(mvtst[[#This Row],[QR Suivis]],"_"),1,2)</f>
        <v>All by Fouta</v>
      </c>
      <c r="N743" s="35" t="str">
        <f>INDEX(_xlfn.TEXTSPLIT(mvtst[[#This Row],[QR Suivis]],"_"),1,3)</f>
        <v>Stock</v>
      </c>
      <c r="O743" s="35" t="str">
        <f>INDEX(_xlfn.TEXTSPLIT(mvtst[[#This Row],[QR Suivis]],"_"),1,4)</f>
        <v>UNS1626-12</v>
      </c>
      <c r="P743" s="35" t="str">
        <f>INDEX(_xlfn.TEXTSPLIT(mvtst[[#This Row],[QR Suivis]],"_"),1,5)</f>
        <v>UNI SURPIQUE</v>
      </c>
      <c r="Q743" s="35" t="str">
        <f>_xlfn.TEXTAFTER(mvtst[[#This Row],[QR Suivis]],"_",5)</f>
        <v>1626</v>
      </c>
      <c r="R743" s="84" t="str">
        <f>IF(
   COUNTIFS($A$2:A743,A743,
             $B$2:B743,B743,
             $C$2:C743,C743,
             $D$2:D743,D743,
             $G$2:G743,G743)&gt;1,
   "Doublon",
   "Correcte"
)</f>
        <v>Correcte</v>
      </c>
    </row>
    <row r="744" spans="1:18" x14ac:dyDescent="0.25">
      <c r="A744" s="104" t="s">
        <v>1650</v>
      </c>
      <c r="B744" s="35" t="s">
        <v>596</v>
      </c>
      <c r="C744" s="36">
        <v>0</v>
      </c>
      <c r="D744" s="36">
        <v>5</v>
      </c>
      <c r="E744" s="35" t="s">
        <v>699</v>
      </c>
      <c r="F744" s="35" t="s">
        <v>634</v>
      </c>
      <c r="G744" s="37">
        <v>45929.499988425923</v>
      </c>
      <c r="H744" s="37" t="str">
        <f>INDEX(_xlfn.TEXTSPLIT(mvtst[[#This Row],[QR Suivis]],"_"),1,1)</f>
        <v>CA250046-2</v>
      </c>
      <c r="I744" s="35" t="str">
        <f>_xlfn.TEXTBEFORE(mvtst[[#This Row],[Num Suivis]],"-",,,1)</f>
        <v>CA250046</v>
      </c>
      <c r="J744" s="36">
        <f>SUMIF(mvtst[QR Suivis],mvtst[[#This Row],[QR Suivis]],mvtst[QTE SORTIS])-SUMIF(mvtst[QR Suivis],mvtst[[#This Row],[QR Suivis]],mvtst[QTE RETOUR])</f>
        <v>0</v>
      </c>
      <c r="K744" s="35" t="str">
        <f t="shared" si="11"/>
        <v>Usine</v>
      </c>
      <c r="L744" s="35" t="str">
        <f>_xlfn.XLOOKUP(mvtst[[#This Row],[Sous Traitant]],coordonnee_st[Identification],coordonnee_st[SERVICE],"Non Trouvé")</f>
        <v>Frange</v>
      </c>
      <c r="M744" s="35" t="str">
        <f>INDEX(_xlfn.TEXTSPLIT(mvtst[[#This Row],[QR Suivis]],"_"),1,2)</f>
        <v>All by Fouta</v>
      </c>
      <c r="N744" s="35" t="str">
        <f>INDEX(_xlfn.TEXTSPLIT(mvtst[[#This Row],[QR Suivis]],"_"),1,3)</f>
        <v>Stock</v>
      </c>
      <c r="O744" s="35" t="str">
        <f>INDEX(_xlfn.TEXTSPLIT(mvtst[[#This Row],[QR Suivis]],"_"),1,4)</f>
        <v>UNS1626-12</v>
      </c>
      <c r="P744" s="35" t="str">
        <f>INDEX(_xlfn.TEXTSPLIT(mvtst[[#This Row],[QR Suivis]],"_"),1,5)</f>
        <v>UNI SURPIQUE</v>
      </c>
      <c r="Q744" s="35" t="str">
        <f>_xlfn.TEXTAFTER(mvtst[[#This Row],[QR Suivis]],"_",5)</f>
        <v>1626</v>
      </c>
      <c r="R744" s="84" t="str">
        <f>IF(
   COUNTIFS($A$2:A744,A744,
             $B$2:B744,B744,
             $C$2:C744,C744,
             $D$2:D744,D744,
             $G$2:G744,G744)&gt;1,
   "Doublon",
   "Correcte"
)</f>
        <v>Correcte</v>
      </c>
    </row>
    <row r="745" spans="1:18" x14ac:dyDescent="0.25">
      <c r="A745" s="104" t="s">
        <v>1592</v>
      </c>
      <c r="B745" s="35" t="s">
        <v>596</v>
      </c>
      <c r="C745" s="36">
        <v>0</v>
      </c>
      <c r="D745" s="36">
        <v>5</v>
      </c>
      <c r="E745" s="35" t="s">
        <v>699</v>
      </c>
      <c r="F745" s="35" t="s">
        <v>634</v>
      </c>
      <c r="G745" s="37">
        <v>45929.500243055554</v>
      </c>
      <c r="H745" s="37" t="str">
        <f>INDEX(_xlfn.TEXTSPLIT(mvtst[[#This Row],[QR Suivis]],"_"),1,1)</f>
        <v>CA250046-1</v>
      </c>
      <c r="I745" s="35" t="str">
        <f>_xlfn.TEXTBEFORE(mvtst[[#This Row],[Num Suivis]],"-",,,1)</f>
        <v>CA250046</v>
      </c>
      <c r="J745" s="36">
        <f>SUMIF(mvtst[QR Suivis],mvtst[[#This Row],[QR Suivis]],mvtst[QTE SORTIS])-SUMIF(mvtst[QR Suivis],mvtst[[#This Row],[QR Suivis]],mvtst[QTE RETOUR])</f>
        <v>0</v>
      </c>
      <c r="K745" s="35" t="str">
        <f t="shared" si="11"/>
        <v>Usine</v>
      </c>
      <c r="L745" s="35" t="str">
        <f>_xlfn.XLOOKUP(mvtst[[#This Row],[Sous Traitant]],coordonnee_st[Identification],coordonnee_st[SERVICE],"Non Trouvé")</f>
        <v>Frange</v>
      </c>
      <c r="M745" s="35" t="str">
        <f>INDEX(_xlfn.TEXTSPLIT(mvtst[[#This Row],[QR Suivis]],"_"),1,2)</f>
        <v>All by Fouta</v>
      </c>
      <c r="N745" s="35" t="str">
        <f>INDEX(_xlfn.TEXTSPLIT(mvtst[[#This Row],[QR Suivis]],"_"),1,3)</f>
        <v>Stock</v>
      </c>
      <c r="O745" s="35" t="str">
        <f>INDEX(_xlfn.TEXTSPLIT(mvtst[[#This Row],[QR Suivis]],"_"),1,4)</f>
        <v>UNS1626-12</v>
      </c>
      <c r="P745" s="35" t="str">
        <f>INDEX(_xlfn.TEXTSPLIT(mvtst[[#This Row],[QR Suivis]],"_"),1,5)</f>
        <v>UNI SURPIQUE</v>
      </c>
      <c r="Q745" s="35" t="str">
        <f>_xlfn.TEXTAFTER(mvtst[[#This Row],[QR Suivis]],"_",5)</f>
        <v>1626</v>
      </c>
      <c r="R745" s="84" t="str">
        <f>IF(
   COUNTIFS($A$2:A745,A745,
             $B$2:B745,B745,
             $C$2:C745,C745,
             $D$2:D745,D745,
             $G$2:G745,G745)&gt;1,
   "Doublon",
   "Correcte"
)</f>
        <v>Correcte</v>
      </c>
    </row>
    <row r="746" spans="1:18" x14ac:dyDescent="0.25">
      <c r="A746" s="104" t="s">
        <v>1651</v>
      </c>
      <c r="B746" s="35" t="s">
        <v>596</v>
      </c>
      <c r="C746" s="36">
        <v>0</v>
      </c>
      <c r="D746" s="36">
        <v>5</v>
      </c>
      <c r="E746" s="35" t="s">
        <v>699</v>
      </c>
      <c r="F746" s="35" t="s">
        <v>634</v>
      </c>
      <c r="G746" s="37">
        <v>45929.500486111108</v>
      </c>
      <c r="H746" s="37" t="str">
        <f>INDEX(_xlfn.TEXTSPLIT(mvtst[[#This Row],[QR Suivis]],"_"),1,1)</f>
        <v>CA250046-3</v>
      </c>
      <c r="I746" s="35" t="str">
        <f>_xlfn.TEXTBEFORE(mvtst[[#This Row],[Num Suivis]],"-",,,1)</f>
        <v>CA250046</v>
      </c>
      <c r="J746" s="36">
        <f>SUMIF(mvtst[QR Suivis],mvtst[[#This Row],[QR Suivis]],mvtst[QTE SORTIS])-SUMIF(mvtst[QR Suivis],mvtst[[#This Row],[QR Suivis]],mvtst[QTE RETOUR])</f>
        <v>0</v>
      </c>
      <c r="K746" s="35" t="str">
        <f t="shared" si="11"/>
        <v>Usine</v>
      </c>
      <c r="L746" s="35" t="str">
        <f>_xlfn.XLOOKUP(mvtst[[#This Row],[Sous Traitant]],coordonnee_st[Identification],coordonnee_st[SERVICE],"Non Trouvé")</f>
        <v>Frange</v>
      </c>
      <c r="M746" s="35" t="str">
        <f>INDEX(_xlfn.TEXTSPLIT(mvtst[[#This Row],[QR Suivis]],"_"),1,2)</f>
        <v>All by Fouta</v>
      </c>
      <c r="N746" s="35" t="str">
        <f>INDEX(_xlfn.TEXTSPLIT(mvtst[[#This Row],[QR Suivis]],"_"),1,3)</f>
        <v>Stock</v>
      </c>
      <c r="O746" s="35" t="str">
        <f>INDEX(_xlfn.TEXTSPLIT(mvtst[[#This Row],[QR Suivis]],"_"),1,4)</f>
        <v>UNS1626-12</v>
      </c>
      <c r="P746" s="35" t="str">
        <f>INDEX(_xlfn.TEXTSPLIT(mvtst[[#This Row],[QR Suivis]],"_"),1,5)</f>
        <v>UNI SURPIQUE</v>
      </c>
      <c r="Q746" s="35" t="str">
        <f>_xlfn.TEXTAFTER(mvtst[[#This Row],[QR Suivis]],"_",5)</f>
        <v>1626</v>
      </c>
      <c r="R746" s="84" t="str">
        <f>IF(
   COUNTIFS($A$2:A746,A746,
             $B$2:B746,B746,
             $C$2:C746,C746,
             $D$2:D746,D746,
             $G$2:G746,G746)&gt;1,
   "Doublon",
   "Correcte"
)</f>
        <v>Correcte</v>
      </c>
    </row>
    <row r="747" spans="1:18" x14ac:dyDescent="0.25">
      <c r="A747" s="104" t="s">
        <v>1646</v>
      </c>
      <c r="B747" s="35" t="s">
        <v>596</v>
      </c>
      <c r="C747" s="36">
        <v>0</v>
      </c>
      <c r="D747" s="36">
        <v>5</v>
      </c>
      <c r="E747" s="35" t="s">
        <v>699</v>
      </c>
      <c r="F747" s="35" t="s">
        <v>634</v>
      </c>
      <c r="G747" s="37">
        <v>45929.50072916667</v>
      </c>
      <c r="H747" s="37" t="str">
        <f>INDEX(_xlfn.TEXTSPLIT(mvtst[[#This Row],[QR Suivis]],"_"),1,1)</f>
        <v>CA250045-4</v>
      </c>
      <c r="I747" s="35" t="str">
        <f>_xlfn.TEXTBEFORE(mvtst[[#This Row],[Num Suivis]],"-",,,1)</f>
        <v>CA250045</v>
      </c>
      <c r="J747" s="36">
        <f>SUMIF(mvtst[QR Suivis],mvtst[[#This Row],[QR Suivis]],mvtst[QTE SORTIS])-SUMIF(mvtst[QR Suivis],mvtst[[#This Row],[QR Suivis]],mvtst[QTE RETOUR])</f>
        <v>0</v>
      </c>
      <c r="K747" s="35" t="str">
        <f t="shared" si="11"/>
        <v>Usine</v>
      </c>
      <c r="L747" s="35" t="str">
        <f>_xlfn.XLOOKUP(mvtst[[#This Row],[Sous Traitant]],coordonnee_st[Identification],coordonnee_st[SERVICE],"Non Trouvé")</f>
        <v>Frange</v>
      </c>
      <c r="M747" s="35" t="str">
        <f>INDEX(_xlfn.TEXTSPLIT(mvtst[[#This Row],[QR Suivis]],"_"),1,2)</f>
        <v>All by Fouta</v>
      </c>
      <c r="N747" s="35" t="str">
        <f>INDEX(_xlfn.TEXTSPLIT(mvtst[[#This Row],[QR Suivis]],"_"),1,3)</f>
        <v>Stock</v>
      </c>
      <c r="O747" s="35" t="str">
        <f>INDEX(_xlfn.TEXTSPLIT(mvtst[[#This Row],[QR Suivis]],"_"),1,4)</f>
        <v>UNS1626-10</v>
      </c>
      <c r="P747" s="35" t="str">
        <f>INDEX(_xlfn.TEXTSPLIT(mvtst[[#This Row],[QR Suivis]],"_"),1,5)</f>
        <v>UNI SURPIQUE</v>
      </c>
      <c r="Q747" s="35" t="str">
        <f>_xlfn.TEXTAFTER(mvtst[[#This Row],[QR Suivis]],"_",5)</f>
        <v>1626</v>
      </c>
      <c r="R747" s="84" t="str">
        <f>IF(
   COUNTIFS($A$2:A747,A747,
             $B$2:B747,B747,
             $C$2:C747,C747,
             $D$2:D747,D747,
             $G$2:G747,G747)&gt;1,
   "Doublon",
   "Correcte"
)</f>
        <v>Correcte</v>
      </c>
    </row>
    <row r="748" spans="1:18" x14ac:dyDescent="0.25">
      <c r="A748" s="104" t="s">
        <v>1647</v>
      </c>
      <c r="B748" s="35" t="s">
        <v>596</v>
      </c>
      <c r="C748" s="36">
        <v>0</v>
      </c>
      <c r="D748" s="36">
        <v>5</v>
      </c>
      <c r="E748" s="35" t="s">
        <v>699</v>
      </c>
      <c r="F748" s="35" t="s">
        <v>634</v>
      </c>
      <c r="G748" s="37">
        <v>45929.501099537039</v>
      </c>
      <c r="H748" s="37" t="str">
        <f>INDEX(_xlfn.TEXTSPLIT(mvtst[[#This Row],[QR Suivis]],"_"),1,1)</f>
        <v>CA250045-3</v>
      </c>
      <c r="I748" s="35" t="str">
        <f>_xlfn.TEXTBEFORE(mvtst[[#This Row],[Num Suivis]],"-",,,1)</f>
        <v>CA250045</v>
      </c>
      <c r="J748" s="36">
        <f>SUMIF(mvtst[QR Suivis],mvtst[[#This Row],[QR Suivis]],mvtst[QTE SORTIS])-SUMIF(mvtst[QR Suivis],mvtst[[#This Row],[QR Suivis]],mvtst[QTE RETOUR])</f>
        <v>0</v>
      </c>
      <c r="K748" s="35" t="str">
        <f t="shared" si="11"/>
        <v>Usine</v>
      </c>
      <c r="L748" s="35" t="str">
        <f>_xlfn.XLOOKUP(mvtst[[#This Row],[Sous Traitant]],coordonnee_st[Identification],coordonnee_st[SERVICE],"Non Trouvé")</f>
        <v>Frange</v>
      </c>
      <c r="M748" s="35" t="str">
        <f>INDEX(_xlfn.TEXTSPLIT(mvtst[[#This Row],[QR Suivis]],"_"),1,2)</f>
        <v>All by Fouta</v>
      </c>
      <c r="N748" s="35" t="str">
        <f>INDEX(_xlfn.TEXTSPLIT(mvtst[[#This Row],[QR Suivis]],"_"),1,3)</f>
        <v>Stock</v>
      </c>
      <c r="O748" s="35" t="str">
        <f>INDEX(_xlfn.TEXTSPLIT(mvtst[[#This Row],[QR Suivis]],"_"),1,4)</f>
        <v>UNS1626-10</v>
      </c>
      <c r="P748" s="35" t="str">
        <f>INDEX(_xlfn.TEXTSPLIT(mvtst[[#This Row],[QR Suivis]],"_"),1,5)</f>
        <v>UNI SURPIQUE</v>
      </c>
      <c r="Q748" s="35" t="str">
        <f>_xlfn.TEXTAFTER(mvtst[[#This Row],[QR Suivis]],"_",5)</f>
        <v>1626</v>
      </c>
      <c r="R748" s="84" t="str">
        <f>IF(
   COUNTIFS($A$2:A748,A748,
             $B$2:B748,B748,
             $C$2:C748,C748,
             $D$2:D748,D748,
             $G$2:G748,G748)&gt;1,
   "Doublon",
   "Correcte"
)</f>
        <v>Correcte</v>
      </c>
    </row>
    <row r="749" spans="1:18" x14ac:dyDescent="0.25">
      <c r="A749" s="104" t="s">
        <v>1639</v>
      </c>
      <c r="B749" s="35" t="s">
        <v>596</v>
      </c>
      <c r="C749" s="36">
        <v>0</v>
      </c>
      <c r="D749" s="36">
        <v>5</v>
      </c>
      <c r="E749" s="35" t="s">
        <v>699</v>
      </c>
      <c r="F749" s="35" t="s">
        <v>634</v>
      </c>
      <c r="G749" s="37">
        <v>45929.501377314817</v>
      </c>
      <c r="H749" s="37" t="str">
        <f>INDEX(_xlfn.TEXTSPLIT(mvtst[[#This Row],[QR Suivis]],"_"),1,1)</f>
        <v>CA250031-4</v>
      </c>
      <c r="I749" s="35" t="str">
        <f>_xlfn.TEXTBEFORE(mvtst[[#This Row],[Num Suivis]],"-",,,1)</f>
        <v>CA250031</v>
      </c>
      <c r="J749" s="36">
        <f>SUMIF(mvtst[QR Suivis],mvtst[[#This Row],[QR Suivis]],mvtst[QTE SORTIS])-SUMIF(mvtst[QR Suivis],mvtst[[#This Row],[QR Suivis]],mvtst[QTE RETOUR])</f>
        <v>0</v>
      </c>
      <c r="K749" s="35" t="str">
        <f t="shared" si="11"/>
        <v>Usine</v>
      </c>
      <c r="L749" s="35" t="str">
        <f>_xlfn.XLOOKUP(mvtst[[#This Row],[Sous Traitant]],coordonnee_st[Identification],coordonnee_st[SERVICE],"Non Trouvé")</f>
        <v>Frange</v>
      </c>
      <c r="M749" s="35" t="str">
        <f>INDEX(_xlfn.TEXTSPLIT(mvtst[[#This Row],[QR Suivis]],"_"),1,2)</f>
        <v>All by Fouta</v>
      </c>
      <c r="N749" s="35" t="str">
        <f>INDEX(_xlfn.TEXTSPLIT(mvtst[[#This Row],[QR Suivis]],"_"),1,3)</f>
        <v>Stock</v>
      </c>
      <c r="O749" s="35" t="str">
        <f>INDEX(_xlfn.TEXTSPLIT(mvtst[[#This Row],[QR Suivis]],"_"),1,4)</f>
        <v>UNS2020-19</v>
      </c>
      <c r="P749" s="35" t="str">
        <f>INDEX(_xlfn.TEXTSPLIT(mvtst[[#This Row],[QR Suivis]],"_"),1,5)</f>
        <v>UNI SURPIQUE</v>
      </c>
      <c r="Q749" s="35" t="str">
        <f>_xlfn.TEXTAFTER(mvtst[[#This Row],[QR Suivis]],"_",5)</f>
        <v>2020</v>
      </c>
      <c r="R749" s="84" t="str">
        <f>IF(
   COUNTIFS($A$2:A749,A749,
             $B$2:B749,B749,
             $C$2:C749,C749,
             $D$2:D749,D749,
             $G$2:G749,G749)&gt;1,
   "Doublon",
   "Correcte"
)</f>
        <v>Correcte</v>
      </c>
    </row>
    <row r="750" spans="1:18" x14ac:dyDescent="0.25">
      <c r="A750" s="104" t="s">
        <v>1618</v>
      </c>
      <c r="B750" s="35" t="s">
        <v>596</v>
      </c>
      <c r="C750" s="36">
        <v>0</v>
      </c>
      <c r="D750" s="36">
        <v>5</v>
      </c>
      <c r="E750" s="35" t="s">
        <v>699</v>
      </c>
      <c r="F750" s="35" t="s">
        <v>634</v>
      </c>
      <c r="G750" s="37">
        <v>45929.501631944448</v>
      </c>
      <c r="H750" s="37" t="str">
        <f>INDEX(_xlfn.TEXTSPLIT(mvtst[[#This Row],[QR Suivis]],"_"),1,1)</f>
        <v>CA250032-2</v>
      </c>
      <c r="I750" s="35" t="str">
        <f>_xlfn.TEXTBEFORE(mvtst[[#This Row],[Num Suivis]],"-",,,1)</f>
        <v>CA250032</v>
      </c>
      <c r="J750" s="36">
        <f>SUMIF(mvtst[QR Suivis],mvtst[[#This Row],[QR Suivis]],mvtst[QTE SORTIS])-SUMIF(mvtst[QR Suivis],mvtst[[#This Row],[QR Suivis]],mvtst[QTE RETOUR])</f>
        <v>0</v>
      </c>
      <c r="K750" s="35" t="str">
        <f t="shared" si="11"/>
        <v>Usine</v>
      </c>
      <c r="L750" s="35" t="str">
        <f>_xlfn.XLOOKUP(mvtst[[#This Row],[Sous Traitant]],coordonnee_st[Identification],coordonnee_st[SERVICE],"Non Trouvé")</f>
        <v>Frange</v>
      </c>
      <c r="M750" s="35" t="str">
        <f>INDEX(_xlfn.TEXTSPLIT(mvtst[[#This Row],[QR Suivis]],"_"),1,2)</f>
        <v>All by Fouta</v>
      </c>
      <c r="N750" s="35" t="str">
        <f>INDEX(_xlfn.TEXTSPLIT(mvtst[[#This Row],[QR Suivis]],"_"),1,3)</f>
        <v>Stock</v>
      </c>
      <c r="O750" s="35" t="str">
        <f>INDEX(_xlfn.TEXTSPLIT(mvtst[[#This Row],[QR Suivis]],"_"),1,4)</f>
        <v>UNS2020-20</v>
      </c>
      <c r="P750" s="35" t="str">
        <f>INDEX(_xlfn.TEXTSPLIT(mvtst[[#This Row],[QR Suivis]],"_"),1,5)</f>
        <v>UNI SURPIQUE</v>
      </c>
      <c r="Q750" s="35" t="str">
        <f>_xlfn.TEXTAFTER(mvtst[[#This Row],[QR Suivis]],"_",5)</f>
        <v>2020</v>
      </c>
      <c r="R750" s="84" t="str">
        <f>IF(
   COUNTIFS($A$2:A750,A750,
             $B$2:B750,B750,
             $C$2:C750,C750,
             $D$2:D750,D750,
             $G$2:G750,G750)&gt;1,
   "Doublon",
   "Correcte"
)</f>
        <v>Correcte</v>
      </c>
    </row>
    <row r="751" spans="1:18" x14ac:dyDescent="0.25">
      <c r="A751" s="104" t="s">
        <v>1640</v>
      </c>
      <c r="B751" s="35" t="s">
        <v>596</v>
      </c>
      <c r="C751" s="36">
        <v>0</v>
      </c>
      <c r="D751" s="36">
        <v>5</v>
      </c>
      <c r="E751" s="35" t="s">
        <v>699</v>
      </c>
      <c r="F751" s="35" t="s">
        <v>634</v>
      </c>
      <c r="G751" s="37">
        <v>45929.502060185187</v>
      </c>
      <c r="H751" s="37" t="str">
        <f>INDEX(_xlfn.TEXTSPLIT(mvtst[[#This Row],[QR Suivis]],"_"),1,1)</f>
        <v>CA250031-1</v>
      </c>
      <c r="I751" s="35" t="str">
        <f>_xlfn.TEXTBEFORE(mvtst[[#This Row],[Num Suivis]],"-",,,1)</f>
        <v>CA250031</v>
      </c>
      <c r="J751" s="36">
        <f>SUMIF(mvtst[QR Suivis],mvtst[[#This Row],[QR Suivis]],mvtst[QTE SORTIS])-SUMIF(mvtst[QR Suivis],mvtst[[#This Row],[QR Suivis]],mvtst[QTE RETOUR])</f>
        <v>0</v>
      </c>
      <c r="K751" s="35" t="str">
        <f t="shared" si="11"/>
        <v>Usine</v>
      </c>
      <c r="L751" s="35" t="str">
        <f>_xlfn.XLOOKUP(mvtst[[#This Row],[Sous Traitant]],coordonnee_st[Identification],coordonnee_st[SERVICE],"Non Trouvé")</f>
        <v>Frange</v>
      </c>
      <c r="M751" s="35" t="str">
        <f>INDEX(_xlfn.TEXTSPLIT(mvtst[[#This Row],[QR Suivis]],"_"),1,2)</f>
        <v>All by Fouta</v>
      </c>
      <c r="N751" s="35" t="str">
        <f>INDEX(_xlfn.TEXTSPLIT(mvtst[[#This Row],[QR Suivis]],"_"),1,3)</f>
        <v>Stock</v>
      </c>
      <c r="O751" s="35" t="str">
        <f>INDEX(_xlfn.TEXTSPLIT(mvtst[[#This Row],[QR Suivis]],"_"),1,4)</f>
        <v>UNS2020-19</v>
      </c>
      <c r="P751" s="35" t="str">
        <f>INDEX(_xlfn.TEXTSPLIT(mvtst[[#This Row],[QR Suivis]],"_"),1,5)</f>
        <v>UNI SURPIQUE</v>
      </c>
      <c r="Q751" s="35" t="str">
        <f>_xlfn.TEXTAFTER(mvtst[[#This Row],[QR Suivis]],"_",5)</f>
        <v>2020</v>
      </c>
      <c r="R751" s="84" t="str">
        <f>IF(
   COUNTIFS($A$2:A751,A751,
             $B$2:B751,B751,
             $C$2:C751,C751,
             $D$2:D751,D751,
             $G$2:G751,G751)&gt;1,
   "Doublon",
   "Correcte"
)</f>
        <v>Correcte</v>
      </c>
    </row>
    <row r="752" spans="1:18" x14ac:dyDescent="0.25">
      <c r="A752" s="104" t="s">
        <v>1628</v>
      </c>
      <c r="B752" s="35" t="s">
        <v>596</v>
      </c>
      <c r="C752" s="36">
        <v>0</v>
      </c>
      <c r="D752" s="36">
        <v>5</v>
      </c>
      <c r="E752" s="35" t="s">
        <v>699</v>
      </c>
      <c r="F752" s="35" t="s">
        <v>634</v>
      </c>
      <c r="G752" s="37">
        <v>45929.502280092594</v>
      </c>
      <c r="H752" s="37" t="str">
        <f>INDEX(_xlfn.TEXTSPLIT(mvtst[[#This Row],[QR Suivis]],"_"),1,1)</f>
        <v>CA250033-6</v>
      </c>
      <c r="I752" s="35" t="str">
        <f>_xlfn.TEXTBEFORE(mvtst[[#This Row],[Num Suivis]],"-",,,1)</f>
        <v>CA250033</v>
      </c>
      <c r="J752" s="36">
        <f>SUMIF(mvtst[QR Suivis],mvtst[[#This Row],[QR Suivis]],mvtst[QTE SORTIS])-SUMIF(mvtst[QR Suivis],mvtst[[#This Row],[QR Suivis]],mvtst[QTE RETOUR])</f>
        <v>0</v>
      </c>
      <c r="K752" s="35" t="str">
        <f t="shared" si="11"/>
        <v>Usine</v>
      </c>
      <c r="L752" s="35" t="str">
        <f>_xlfn.XLOOKUP(mvtst[[#This Row],[Sous Traitant]],coordonnee_st[Identification],coordonnee_st[SERVICE],"Non Trouvé")</f>
        <v>Frange</v>
      </c>
      <c r="M752" s="35" t="str">
        <f>INDEX(_xlfn.TEXTSPLIT(mvtst[[#This Row],[QR Suivis]],"_"),1,2)</f>
        <v>All by Fouta</v>
      </c>
      <c r="N752" s="35" t="str">
        <f>INDEX(_xlfn.TEXTSPLIT(mvtst[[#This Row],[QR Suivis]],"_"),1,3)</f>
        <v>Stock</v>
      </c>
      <c r="O752" s="35" t="str">
        <f>INDEX(_xlfn.TEXTSPLIT(mvtst[[#This Row],[QR Suivis]],"_"),1,4)</f>
        <v>UNS2020-23</v>
      </c>
      <c r="P752" s="35" t="str">
        <f>INDEX(_xlfn.TEXTSPLIT(mvtst[[#This Row],[QR Suivis]],"_"),1,5)</f>
        <v>UNI SURPIQUE</v>
      </c>
      <c r="Q752" s="35" t="str">
        <f>_xlfn.TEXTAFTER(mvtst[[#This Row],[QR Suivis]],"_",5)</f>
        <v>2020</v>
      </c>
      <c r="R752" s="84" t="str">
        <f>IF(
   COUNTIFS($A$2:A752,A752,
             $B$2:B752,B752,
             $C$2:C752,C752,
             $D$2:D752,D752,
             $G$2:G752,G752)&gt;1,
   "Doublon",
   "Correcte"
)</f>
        <v>Correcte</v>
      </c>
    </row>
    <row r="753" spans="1:18" x14ac:dyDescent="0.25">
      <c r="A753" s="104" t="s">
        <v>1629</v>
      </c>
      <c r="B753" s="35" t="s">
        <v>596</v>
      </c>
      <c r="C753" s="36">
        <v>0</v>
      </c>
      <c r="D753" s="36">
        <v>5</v>
      </c>
      <c r="E753" s="35" t="s">
        <v>699</v>
      </c>
      <c r="F753" s="35" t="s">
        <v>634</v>
      </c>
      <c r="G753" s="37">
        <v>45929.502511574072</v>
      </c>
      <c r="H753" s="37" t="str">
        <f>INDEX(_xlfn.TEXTSPLIT(mvtst[[#This Row],[QR Suivis]],"_"),1,1)</f>
        <v>CA250033-4</v>
      </c>
      <c r="I753" s="35" t="str">
        <f>_xlfn.TEXTBEFORE(mvtst[[#This Row],[Num Suivis]],"-",,,1)</f>
        <v>CA250033</v>
      </c>
      <c r="J753" s="36">
        <f>SUMIF(mvtst[QR Suivis],mvtst[[#This Row],[QR Suivis]],mvtst[QTE SORTIS])-SUMIF(mvtst[QR Suivis],mvtst[[#This Row],[QR Suivis]],mvtst[QTE RETOUR])</f>
        <v>0</v>
      </c>
      <c r="K753" s="35" t="str">
        <f t="shared" si="11"/>
        <v>Usine</v>
      </c>
      <c r="L753" s="35" t="str">
        <f>_xlfn.XLOOKUP(mvtst[[#This Row],[Sous Traitant]],coordonnee_st[Identification],coordonnee_st[SERVICE],"Non Trouvé")</f>
        <v>Frange</v>
      </c>
      <c r="M753" s="35" t="str">
        <f>INDEX(_xlfn.TEXTSPLIT(mvtst[[#This Row],[QR Suivis]],"_"),1,2)</f>
        <v>All by Fouta</v>
      </c>
      <c r="N753" s="35" t="str">
        <f>INDEX(_xlfn.TEXTSPLIT(mvtst[[#This Row],[QR Suivis]],"_"),1,3)</f>
        <v>Stock</v>
      </c>
      <c r="O753" s="35" t="str">
        <f>INDEX(_xlfn.TEXTSPLIT(mvtst[[#This Row],[QR Suivis]],"_"),1,4)</f>
        <v>UNS2020-23</v>
      </c>
      <c r="P753" s="35" t="str">
        <f>INDEX(_xlfn.TEXTSPLIT(mvtst[[#This Row],[QR Suivis]],"_"),1,5)</f>
        <v>UNI SURPIQUE</v>
      </c>
      <c r="Q753" s="35" t="str">
        <f>_xlfn.TEXTAFTER(mvtst[[#This Row],[QR Suivis]],"_",5)</f>
        <v>2020</v>
      </c>
      <c r="R753" s="84" t="str">
        <f>IF(
   COUNTIFS($A$2:A753,A753,
             $B$2:B753,B753,
             $C$2:C753,C753,
             $D$2:D753,D753,
             $G$2:G753,G753)&gt;1,
   "Doublon",
   "Correcte"
)</f>
        <v>Correcte</v>
      </c>
    </row>
    <row r="754" spans="1:18" x14ac:dyDescent="0.25">
      <c r="A754" s="104" t="s">
        <v>1630</v>
      </c>
      <c r="B754" s="35" t="s">
        <v>596</v>
      </c>
      <c r="C754" s="36">
        <v>0</v>
      </c>
      <c r="D754" s="36">
        <v>5</v>
      </c>
      <c r="E754" s="35" t="s">
        <v>699</v>
      </c>
      <c r="F754" s="35" t="s">
        <v>634</v>
      </c>
      <c r="G754" s="37">
        <v>45929.502743055556</v>
      </c>
      <c r="H754" s="37" t="str">
        <f>INDEX(_xlfn.TEXTSPLIT(mvtst[[#This Row],[QR Suivis]],"_"),1,1)</f>
        <v>CA250033-5</v>
      </c>
      <c r="I754" s="35" t="str">
        <f>_xlfn.TEXTBEFORE(mvtst[[#This Row],[Num Suivis]],"-",,,1)</f>
        <v>CA250033</v>
      </c>
      <c r="J754" s="36">
        <f>SUMIF(mvtst[QR Suivis],mvtst[[#This Row],[QR Suivis]],mvtst[QTE SORTIS])-SUMIF(mvtst[QR Suivis],mvtst[[#This Row],[QR Suivis]],mvtst[QTE RETOUR])</f>
        <v>0</v>
      </c>
      <c r="K754" s="35" t="str">
        <f t="shared" si="11"/>
        <v>Usine</v>
      </c>
      <c r="L754" s="35" t="str">
        <f>_xlfn.XLOOKUP(mvtst[[#This Row],[Sous Traitant]],coordonnee_st[Identification],coordonnee_st[SERVICE],"Non Trouvé")</f>
        <v>Frange</v>
      </c>
      <c r="M754" s="35" t="str">
        <f>INDEX(_xlfn.TEXTSPLIT(mvtst[[#This Row],[QR Suivis]],"_"),1,2)</f>
        <v>All by Fouta</v>
      </c>
      <c r="N754" s="35" t="str">
        <f>INDEX(_xlfn.TEXTSPLIT(mvtst[[#This Row],[QR Suivis]],"_"),1,3)</f>
        <v>Stock</v>
      </c>
      <c r="O754" s="35" t="str">
        <f>INDEX(_xlfn.TEXTSPLIT(mvtst[[#This Row],[QR Suivis]],"_"),1,4)</f>
        <v>UNS2020-23</v>
      </c>
      <c r="P754" s="35" t="str">
        <f>INDEX(_xlfn.TEXTSPLIT(mvtst[[#This Row],[QR Suivis]],"_"),1,5)</f>
        <v>UNI SURPIQUE</v>
      </c>
      <c r="Q754" s="35" t="str">
        <f>_xlfn.TEXTAFTER(mvtst[[#This Row],[QR Suivis]],"_",5)</f>
        <v>2020</v>
      </c>
      <c r="R754" s="84" t="str">
        <f>IF(
   COUNTIFS($A$2:A754,A754,
             $B$2:B754,B754,
             $C$2:C754,C754,
             $D$2:D754,D754,
             $G$2:G754,G754)&gt;1,
   "Doublon",
   "Correcte"
)</f>
        <v>Correcte</v>
      </c>
    </row>
    <row r="755" spans="1:18" x14ac:dyDescent="0.25">
      <c r="A755" s="104" t="s">
        <v>1641</v>
      </c>
      <c r="B755" s="35" t="s">
        <v>596</v>
      </c>
      <c r="C755" s="36">
        <v>0</v>
      </c>
      <c r="D755" s="36">
        <v>5</v>
      </c>
      <c r="E755" s="35" t="s">
        <v>699</v>
      </c>
      <c r="F755" s="35" t="s">
        <v>634</v>
      </c>
      <c r="G755" s="37">
        <v>45929.502986111111</v>
      </c>
      <c r="H755" s="37" t="str">
        <f>INDEX(_xlfn.TEXTSPLIT(mvtst[[#This Row],[QR Suivis]],"_"),1,1)</f>
        <v>CA250031-6</v>
      </c>
      <c r="I755" s="35" t="str">
        <f>_xlfn.TEXTBEFORE(mvtst[[#This Row],[Num Suivis]],"-",,,1)</f>
        <v>CA250031</v>
      </c>
      <c r="J755" s="36">
        <f>SUMIF(mvtst[QR Suivis],mvtst[[#This Row],[QR Suivis]],mvtst[QTE SORTIS])-SUMIF(mvtst[QR Suivis],mvtst[[#This Row],[QR Suivis]],mvtst[QTE RETOUR])</f>
        <v>0</v>
      </c>
      <c r="K755" s="35" t="str">
        <f t="shared" si="11"/>
        <v>Usine</v>
      </c>
      <c r="L755" s="35" t="str">
        <f>_xlfn.XLOOKUP(mvtst[[#This Row],[Sous Traitant]],coordonnee_st[Identification],coordonnee_st[SERVICE],"Non Trouvé")</f>
        <v>Frange</v>
      </c>
      <c r="M755" s="35" t="str">
        <f>INDEX(_xlfn.TEXTSPLIT(mvtst[[#This Row],[QR Suivis]],"_"),1,2)</f>
        <v>All by Fouta</v>
      </c>
      <c r="N755" s="35" t="str">
        <f>INDEX(_xlfn.TEXTSPLIT(mvtst[[#This Row],[QR Suivis]],"_"),1,3)</f>
        <v>Stock</v>
      </c>
      <c r="O755" s="35" t="str">
        <f>INDEX(_xlfn.TEXTSPLIT(mvtst[[#This Row],[QR Suivis]],"_"),1,4)</f>
        <v>UNS2020-19</v>
      </c>
      <c r="P755" s="35" t="str">
        <f>INDEX(_xlfn.TEXTSPLIT(mvtst[[#This Row],[QR Suivis]],"_"),1,5)</f>
        <v>UNI SURPIQUE</v>
      </c>
      <c r="Q755" s="35" t="str">
        <f>_xlfn.TEXTAFTER(mvtst[[#This Row],[QR Suivis]],"_",5)</f>
        <v>2020</v>
      </c>
      <c r="R755" s="84" t="str">
        <f>IF(
   COUNTIFS($A$2:A755,A755,
             $B$2:B755,B755,
             $C$2:C755,C755,
             $D$2:D755,D755,
             $G$2:G755,G755)&gt;1,
   "Doublon",
   "Correcte"
)</f>
        <v>Correcte</v>
      </c>
    </row>
    <row r="756" spans="1:18" x14ac:dyDescent="0.25">
      <c r="A756" s="104" t="s">
        <v>1642</v>
      </c>
      <c r="B756" s="35" t="s">
        <v>596</v>
      </c>
      <c r="C756" s="36">
        <v>0</v>
      </c>
      <c r="D756" s="36">
        <v>5</v>
      </c>
      <c r="E756" s="35" t="s">
        <v>699</v>
      </c>
      <c r="F756" s="35" t="s">
        <v>634</v>
      </c>
      <c r="G756" s="37">
        <v>45929.503206018519</v>
      </c>
      <c r="H756" s="37" t="str">
        <f>INDEX(_xlfn.TEXTSPLIT(mvtst[[#This Row],[QR Suivis]],"_"),1,1)</f>
        <v>CA250031-3</v>
      </c>
      <c r="I756" s="35" t="str">
        <f>_xlfn.TEXTBEFORE(mvtst[[#This Row],[Num Suivis]],"-",,,1)</f>
        <v>CA250031</v>
      </c>
      <c r="J756" s="36">
        <f>SUMIF(mvtst[QR Suivis],mvtst[[#This Row],[QR Suivis]],mvtst[QTE SORTIS])-SUMIF(mvtst[QR Suivis],mvtst[[#This Row],[QR Suivis]],mvtst[QTE RETOUR])</f>
        <v>0</v>
      </c>
      <c r="K756" s="35" t="str">
        <f t="shared" si="11"/>
        <v>Usine</v>
      </c>
      <c r="L756" s="35" t="str">
        <f>_xlfn.XLOOKUP(mvtst[[#This Row],[Sous Traitant]],coordonnee_st[Identification],coordonnee_st[SERVICE],"Non Trouvé")</f>
        <v>Frange</v>
      </c>
      <c r="M756" s="35" t="str">
        <f>INDEX(_xlfn.TEXTSPLIT(mvtst[[#This Row],[QR Suivis]],"_"),1,2)</f>
        <v>All by Fouta</v>
      </c>
      <c r="N756" s="35" t="str">
        <f>INDEX(_xlfn.TEXTSPLIT(mvtst[[#This Row],[QR Suivis]],"_"),1,3)</f>
        <v>Stock</v>
      </c>
      <c r="O756" s="35" t="str">
        <f>INDEX(_xlfn.TEXTSPLIT(mvtst[[#This Row],[QR Suivis]],"_"),1,4)</f>
        <v>UNS2020-19</v>
      </c>
      <c r="P756" s="35" t="str">
        <f>INDEX(_xlfn.TEXTSPLIT(mvtst[[#This Row],[QR Suivis]],"_"),1,5)</f>
        <v>UNI SURPIQUE</v>
      </c>
      <c r="Q756" s="35" t="str">
        <f>_xlfn.TEXTAFTER(mvtst[[#This Row],[QR Suivis]],"_",5)</f>
        <v>2020</v>
      </c>
      <c r="R756" s="84" t="str">
        <f>IF(
   COUNTIFS($A$2:A756,A756,
             $B$2:B756,B756,
             $C$2:C756,C756,
             $D$2:D756,D756,
             $G$2:G756,G756)&gt;1,
   "Doublon",
   "Correcte"
)</f>
        <v>Correcte</v>
      </c>
    </row>
    <row r="757" spans="1:18" x14ac:dyDescent="0.25">
      <c r="A757" s="104" t="s">
        <v>1643</v>
      </c>
      <c r="B757" s="35" t="s">
        <v>596</v>
      </c>
      <c r="C757" s="36">
        <v>0</v>
      </c>
      <c r="D757" s="36">
        <v>5</v>
      </c>
      <c r="E757" s="35" t="s">
        <v>699</v>
      </c>
      <c r="F757" s="35" t="s">
        <v>634</v>
      </c>
      <c r="G757" s="37">
        <v>45929.503518518519</v>
      </c>
      <c r="H757" s="37" t="str">
        <f>INDEX(_xlfn.TEXTSPLIT(mvtst[[#This Row],[QR Suivis]],"_"),1,1)</f>
        <v>CA250031-5</v>
      </c>
      <c r="I757" s="35" t="str">
        <f>_xlfn.TEXTBEFORE(mvtst[[#This Row],[Num Suivis]],"-",,,1)</f>
        <v>CA250031</v>
      </c>
      <c r="J757" s="36">
        <f>SUMIF(mvtst[QR Suivis],mvtst[[#This Row],[QR Suivis]],mvtst[QTE SORTIS])-SUMIF(mvtst[QR Suivis],mvtst[[#This Row],[QR Suivis]],mvtst[QTE RETOUR])</f>
        <v>0</v>
      </c>
      <c r="K757" s="35" t="str">
        <f t="shared" si="11"/>
        <v>Usine</v>
      </c>
      <c r="L757" s="35" t="str">
        <f>_xlfn.XLOOKUP(mvtst[[#This Row],[Sous Traitant]],coordonnee_st[Identification],coordonnee_st[SERVICE],"Non Trouvé")</f>
        <v>Frange</v>
      </c>
      <c r="M757" s="35" t="str">
        <f>INDEX(_xlfn.TEXTSPLIT(mvtst[[#This Row],[QR Suivis]],"_"),1,2)</f>
        <v>All by Fouta</v>
      </c>
      <c r="N757" s="35" t="str">
        <f>INDEX(_xlfn.TEXTSPLIT(mvtst[[#This Row],[QR Suivis]],"_"),1,3)</f>
        <v>Stock</v>
      </c>
      <c r="O757" s="35" t="str">
        <f>INDEX(_xlfn.TEXTSPLIT(mvtst[[#This Row],[QR Suivis]],"_"),1,4)</f>
        <v>UNS2020-19</v>
      </c>
      <c r="P757" s="35" t="str">
        <f>INDEX(_xlfn.TEXTSPLIT(mvtst[[#This Row],[QR Suivis]],"_"),1,5)</f>
        <v>UNI SURPIQUE</v>
      </c>
      <c r="Q757" s="35" t="str">
        <f>_xlfn.TEXTAFTER(mvtst[[#This Row],[QR Suivis]],"_",5)</f>
        <v>2020</v>
      </c>
      <c r="R757" s="84" t="str">
        <f>IF(
   COUNTIFS($A$2:A757,A757,
             $B$2:B757,B757,
             $C$2:C757,C757,
             $D$2:D757,D757,
             $G$2:G757,G757)&gt;1,
   "Doublon",
   "Correcte"
)</f>
        <v>Correcte</v>
      </c>
    </row>
    <row r="758" spans="1:18" x14ac:dyDescent="0.25">
      <c r="A758" s="104" t="s">
        <v>1644</v>
      </c>
      <c r="B758" s="35" t="s">
        <v>596</v>
      </c>
      <c r="C758" s="36">
        <v>0</v>
      </c>
      <c r="D758" s="36">
        <v>5</v>
      </c>
      <c r="E758" s="35" t="s">
        <v>699</v>
      </c>
      <c r="F758" s="35" t="s">
        <v>634</v>
      </c>
      <c r="G758" s="37">
        <v>45929.504074074073</v>
      </c>
      <c r="H758" s="37" t="str">
        <f>INDEX(_xlfn.TEXTSPLIT(mvtst[[#This Row],[QR Suivis]],"_"),1,1)</f>
        <v>CA250031-2</v>
      </c>
      <c r="I758" s="35" t="str">
        <f>_xlfn.TEXTBEFORE(mvtst[[#This Row],[Num Suivis]],"-",,,1)</f>
        <v>CA250031</v>
      </c>
      <c r="J758" s="36">
        <f>SUMIF(mvtst[QR Suivis],mvtst[[#This Row],[QR Suivis]],mvtst[QTE SORTIS])-SUMIF(mvtst[QR Suivis],mvtst[[#This Row],[QR Suivis]],mvtst[QTE RETOUR])</f>
        <v>0</v>
      </c>
      <c r="K758" s="35" t="str">
        <f t="shared" si="11"/>
        <v>Usine</v>
      </c>
      <c r="L758" s="35" t="str">
        <f>_xlfn.XLOOKUP(mvtst[[#This Row],[Sous Traitant]],coordonnee_st[Identification],coordonnee_st[SERVICE],"Non Trouvé")</f>
        <v>Frange</v>
      </c>
      <c r="M758" s="35" t="str">
        <f>INDEX(_xlfn.TEXTSPLIT(mvtst[[#This Row],[QR Suivis]],"_"),1,2)</f>
        <v>All by Fouta</v>
      </c>
      <c r="N758" s="35" t="str">
        <f>INDEX(_xlfn.TEXTSPLIT(mvtst[[#This Row],[QR Suivis]],"_"),1,3)</f>
        <v>Stock</v>
      </c>
      <c r="O758" s="35" t="str">
        <f>INDEX(_xlfn.TEXTSPLIT(mvtst[[#This Row],[QR Suivis]],"_"),1,4)</f>
        <v>UNS2020-19</v>
      </c>
      <c r="P758" s="35" t="str">
        <f>INDEX(_xlfn.TEXTSPLIT(mvtst[[#This Row],[QR Suivis]],"_"),1,5)</f>
        <v>UNI SURPIQUE</v>
      </c>
      <c r="Q758" s="35" t="str">
        <f>_xlfn.TEXTAFTER(mvtst[[#This Row],[QR Suivis]],"_",5)</f>
        <v>2020</v>
      </c>
      <c r="R758" s="84" t="str">
        <f>IF(
   COUNTIFS($A$2:A758,A758,
             $B$2:B758,B758,
             $C$2:C758,C758,
             $D$2:D758,D758,
             $G$2:G758,G758)&gt;1,
   "Doublon",
   "Correcte"
)</f>
        <v>Correcte</v>
      </c>
    </row>
    <row r="759" spans="1:18" x14ac:dyDescent="0.25">
      <c r="A759" s="104" t="s">
        <v>1619</v>
      </c>
      <c r="B759" s="35" t="s">
        <v>596</v>
      </c>
      <c r="C759" s="36">
        <v>0</v>
      </c>
      <c r="D759" s="36">
        <v>5</v>
      </c>
      <c r="E759" s="35" t="s">
        <v>699</v>
      </c>
      <c r="F759" s="35" t="s">
        <v>634</v>
      </c>
      <c r="G759" s="37">
        <v>45929.504629629628</v>
      </c>
      <c r="H759" s="37" t="str">
        <f>INDEX(_xlfn.TEXTSPLIT(mvtst[[#This Row],[QR Suivis]],"_"),1,1)</f>
        <v>CA250032-3</v>
      </c>
      <c r="I759" s="35" t="str">
        <f>_xlfn.TEXTBEFORE(mvtst[[#This Row],[Num Suivis]],"-",,,1)</f>
        <v>CA250032</v>
      </c>
      <c r="J759" s="36">
        <f>SUMIF(mvtst[QR Suivis],mvtst[[#This Row],[QR Suivis]],mvtst[QTE SORTIS])-SUMIF(mvtst[QR Suivis],mvtst[[#This Row],[QR Suivis]],mvtst[QTE RETOUR])</f>
        <v>0</v>
      </c>
      <c r="K759" s="35" t="str">
        <f t="shared" si="11"/>
        <v>Usine</v>
      </c>
      <c r="L759" s="35" t="str">
        <f>_xlfn.XLOOKUP(mvtst[[#This Row],[Sous Traitant]],coordonnee_st[Identification],coordonnee_st[SERVICE],"Non Trouvé")</f>
        <v>Frange</v>
      </c>
      <c r="M759" s="35" t="str">
        <f>INDEX(_xlfn.TEXTSPLIT(mvtst[[#This Row],[QR Suivis]],"_"),1,2)</f>
        <v>All by Fouta</v>
      </c>
      <c r="N759" s="35" t="str">
        <f>INDEX(_xlfn.TEXTSPLIT(mvtst[[#This Row],[QR Suivis]],"_"),1,3)</f>
        <v>Stock</v>
      </c>
      <c r="O759" s="35" t="str">
        <f>INDEX(_xlfn.TEXTSPLIT(mvtst[[#This Row],[QR Suivis]],"_"),1,4)</f>
        <v>UNS2020-20</v>
      </c>
      <c r="P759" s="35" t="str">
        <f>INDEX(_xlfn.TEXTSPLIT(mvtst[[#This Row],[QR Suivis]],"_"),1,5)</f>
        <v>UNI SURPIQUE</v>
      </c>
      <c r="Q759" s="35" t="str">
        <f>_xlfn.TEXTAFTER(mvtst[[#This Row],[QR Suivis]],"_",5)</f>
        <v>2020</v>
      </c>
      <c r="R759" s="84" t="str">
        <f>IF(
   COUNTIFS($A$2:A759,A759,
             $B$2:B759,B759,
             $C$2:C759,C759,
             $D$2:D759,D759,
             $G$2:G759,G759)&gt;1,
   "Doublon",
   "Correcte"
)</f>
        <v>Correcte</v>
      </c>
    </row>
    <row r="760" spans="1:18" x14ac:dyDescent="0.25">
      <c r="A760" s="104" t="s">
        <v>1600</v>
      </c>
      <c r="B760" s="35" t="s">
        <v>646</v>
      </c>
      <c r="C760" s="36">
        <v>0</v>
      </c>
      <c r="D760" s="36">
        <v>5</v>
      </c>
      <c r="E760" s="35" t="s">
        <v>699</v>
      </c>
      <c r="F760" s="35" t="s">
        <v>634</v>
      </c>
      <c r="G760" s="37">
        <v>45929.534548611111</v>
      </c>
      <c r="H760" s="37" t="str">
        <f>INDEX(_xlfn.TEXTSPLIT(mvtst[[#This Row],[QR Suivis]],"_"),1,1)</f>
        <v>OF246547-10</v>
      </c>
      <c r="I760" s="35" t="str">
        <f>_xlfn.TEXTBEFORE(mvtst[[#This Row],[Num Suivis]],"-",,,1)</f>
        <v>OF246547</v>
      </c>
      <c r="J760" s="36">
        <f>SUMIF(mvtst[QR Suivis],mvtst[[#This Row],[QR Suivis]],mvtst[QTE SORTIS])-SUMIF(mvtst[QR Suivis],mvtst[[#This Row],[QR Suivis]],mvtst[QTE RETOUR])</f>
        <v>0</v>
      </c>
      <c r="K760" s="35" t="str">
        <f t="shared" si="11"/>
        <v>Usine</v>
      </c>
      <c r="L760" s="35" t="str">
        <f>_xlfn.XLOOKUP(mvtst[[#This Row],[Sous Traitant]],coordonnee_st[Identification],coordonnee_st[SERVICE],"Non Trouvé")</f>
        <v>Frange</v>
      </c>
      <c r="M760" s="35" t="str">
        <f>INDEX(_xlfn.TEXTSPLIT(mvtst[[#This Row],[QR Suivis]],"_"),1,2)</f>
        <v>CL00296</v>
      </c>
      <c r="N760" s="35" t="str">
        <f>INDEX(_xlfn.TEXTSPLIT(mvtst[[#This Row],[QR Suivis]],"_"),1,3)</f>
        <v>CM-FT0108</v>
      </c>
      <c r="O760" s="35" t="str">
        <f>INDEX(_xlfn.TEXTSPLIT(mvtst[[#This Row],[QR Suivis]],"_"),1,4)</f>
        <v>EPMA0919-B11-02</v>
      </c>
      <c r="P760" s="35" t="str">
        <f>INDEX(_xlfn.TEXTSPLIT(mvtst[[#This Row],[QR Suivis]],"_"),1,5)</f>
        <v>MARINIERE</v>
      </c>
      <c r="Q760" s="35" t="str">
        <f>_xlfn.TEXTAFTER(mvtst[[#This Row],[QR Suivis]],"_",5)</f>
        <v>0919</v>
      </c>
      <c r="R760" s="84" t="str">
        <f>IF(
   COUNTIFS($A$2:A760,A760,
             $B$2:B760,B760,
             $C$2:C760,C760,
             $D$2:D760,D760,
             $G$2:G760,G760)&gt;1,
   "Doublon",
   "Correcte"
)</f>
        <v>Correcte</v>
      </c>
    </row>
    <row r="761" spans="1:18" x14ac:dyDescent="0.25">
      <c r="A761" s="104" t="s">
        <v>1601</v>
      </c>
      <c r="B761" s="35" t="s">
        <v>646</v>
      </c>
      <c r="C761" s="36">
        <v>0</v>
      </c>
      <c r="D761" s="36">
        <v>3</v>
      </c>
      <c r="E761" s="35" t="s">
        <v>699</v>
      </c>
      <c r="F761" s="35" t="s">
        <v>634</v>
      </c>
      <c r="G761" s="37">
        <v>45929.534756944442</v>
      </c>
      <c r="H761" s="37" t="str">
        <f>INDEX(_xlfn.TEXTSPLIT(mvtst[[#This Row],[QR Suivis]],"_"),1,1)</f>
        <v>OF246547-2</v>
      </c>
      <c r="I761" s="35" t="str">
        <f>_xlfn.TEXTBEFORE(mvtst[[#This Row],[Num Suivis]],"-",,,1)</f>
        <v>OF246547</v>
      </c>
      <c r="J761" s="36">
        <f>SUMIF(mvtst[QR Suivis],mvtst[[#This Row],[QR Suivis]],mvtst[QTE SORTIS])-SUMIF(mvtst[QR Suivis],mvtst[[#This Row],[QR Suivis]],mvtst[QTE RETOUR])</f>
        <v>0</v>
      </c>
      <c r="K761" s="35" t="str">
        <f t="shared" si="11"/>
        <v>Usine</v>
      </c>
      <c r="L761" s="35" t="str">
        <f>_xlfn.XLOOKUP(mvtst[[#This Row],[Sous Traitant]],coordonnee_st[Identification],coordonnee_st[SERVICE],"Non Trouvé")</f>
        <v>Frange</v>
      </c>
      <c r="M761" s="35" t="str">
        <f>INDEX(_xlfn.TEXTSPLIT(mvtst[[#This Row],[QR Suivis]],"_"),1,2)</f>
        <v>CL00296</v>
      </c>
      <c r="N761" s="35" t="str">
        <f>INDEX(_xlfn.TEXTSPLIT(mvtst[[#This Row],[QR Suivis]],"_"),1,3)</f>
        <v>CM-FT0108</v>
      </c>
      <c r="O761" s="35" t="str">
        <f>INDEX(_xlfn.TEXTSPLIT(mvtst[[#This Row],[QR Suivis]],"_"),1,4)</f>
        <v>EPMA0919-B11-02</v>
      </c>
      <c r="P761" s="35" t="str">
        <f>INDEX(_xlfn.TEXTSPLIT(mvtst[[#This Row],[QR Suivis]],"_"),1,5)</f>
        <v>MARINIERE</v>
      </c>
      <c r="Q761" s="35" t="str">
        <f>_xlfn.TEXTAFTER(mvtst[[#This Row],[QR Suivis]],"_",5)</f>
        <v>0919</v>
      </c>
      <c r="R761" s="84" t="str">
        <f>IF(
   COUNTIFS($A$2:A761,A761,
             $B$2:B761,B761,
             $C$2:C761,C761,
             $D$2:D761,D761,
             $G$2:G761,G761)&gt;1,
   "Doublon",
   "Correcte"
)</f>
        <v>Correcte</v>
      </c>
    </row>
    <row r="762" spans="1:18" x14ac:dyDescent="0.25">
      <c r="A762" s="104" t="s">
        <v>1602</v>
      </c>
      <c r="B762" s="35" t="s">
        <v>646</v>
      </c>
      <c r="C762" s="36">
        <v>0</v>
      </c>
      <c r="D762" s="36">
        <v>5</v>
      </c>
      <c r="E762" s="35" t="s">
        <v>699</v>
      </c>
      <c r="F762" s="35" t="s">
        <v>634</v>
      </c>
      <c r="G762" s="37">
        <v>45929.534907407404</v>
      </c>
      <c r="H762" s="37" t="str">
        <f>INDEX(_xlfn.TEXTSPLIT(mvtst[[#This Row],[QR Suivis]],"_"),1,1)</f>
        <v>OF246547-14</v>
      </c>
      <c r="I762" s="35" t="str">
        <f>_xlfn.TEXTBEFORE(mvtst[[#This Row],[Num Suivis]],"-",,,1)</f>
        <v>OF246547</v>
      </c>
      <c r="J762" s="36">
        <f>SUMIF(mvtst[QR Suivis],mvtst[[#This Row],[QR Suivis]],mvtst[QTE SORTIS])-SUMIF(mvtst[QR Suivis],mvtst[[#This Row],[QR Suivis]],mvtst[QTE RETOUR])</f>
        <v>0</v>
      </c>
      <c r="K762" s="35" t="str">
        <f t="shared" si="11"/>
        <v>Usine</v>
      </c>
      <c r="L762" s="35" t="str">
        <f>_xlfn.XLOOKUP(mvtst[[#This Row],[Sous Traitant]],coordonnee_st[Identification],coordonnee_st[SERVICE],"Non Trouvé")</f>
        <v>Frange</v>
      </c>
      <c r="M762" s="35" t="str">
        <f>INDEX(_xlfn.TEXTSPLIT(mvtst[[#This Row],[QR Suivis]],"_"),1,2)</f>
        <v>CL00296</v>
      </c>
      <c r="N762" s="35" t="str">
        <f>INDEX(_xlfn.TEXTSPLIT(mvtst[[#This Row],[QR Suivis]],"_"),1,3)</f>
        <v>CM-FT0108</v>
      </c>
      <c r="O762" s="35" t="str">
        <f>INDEX(_xlfn.TEXTSPLIT(mvtst[[#This Row],[QR Suivis]],"_"),1,4)</f>
        <v>EPMA0919-B11-02</v>
      </c>
      <c r="P762" s="35" t="str">
        <f>INDEX(_xlfn.TEXTSPLIT(mvtst[[#This Row],[QR Suivis]],"_"),1,5)</f>
        <v>MARINIERE</v>
      </c>
      <c r="Q762" s="35" t="str">
        <f>_xlfn.TEXTAFTER(mvtst[[#This Row],[QR Suivis]],"_",5)</f>
        <v>0919</v>
      </c>
      <c r="R762" s="84" t="str">
        <f>IF(
   COUNTIFS($A$2:A762,A762,
             $B$2:B762,B762,
             $C$2:C762,C762,
             $D$2:D762,D762,
             $G$2:G762,G762)&gt;1,
   "Doublon",
   "Correcte"
)</f>
        <v>Correcte</v>
      </c>
    </row>
    <row r="763" spans="1:18" x14ac:dyDescent="0.25">
      <c r="A763" s="104" t="s">
        <v>1399</v>
      </c>
      <c r="B763" s="35" t="s">
        <v>646</v>
      </c>
      <c r="C763" s="36">
        <v>0</v>
      </c>
      <c r="D763" s="36">
        <v>5</v>
      </c>
      <c r="E763" s="35" t="s">
        <v>699</v>
      </c>
      <c r="F763" s="35" t="s">
        <v>634</v>
      </c>
      <c r="G763" s="37">
        <v>45929.535046296296</v>
      </c>
      <c r="H763" s="37" t="str">
        <f>INDEX(_xlfn.TEXTSPLIT(mvtst[[#This Row],[QR Suivis]],"_"),1,1)</f>
        <v>OF246533-13</v>
      </c>
      <c r="I763" s="35" t="str">
        <f>_xlfn.TEXTBEFORE(mvtst[[#This Row],[Num Suivis]],"-",,,1)</f>
        <v>OF246533</v>
      </c>
      <c r="J763" s="36">
        <f>SUMIF(mvtst[QR Suivis],mvtst[[#This Row],[QR Suivis]],mvtst[QTE SORTIS])-SUMIF(mvtst[QR Suivis],mvtst[[#This Row],[QR Suivis]],mvtst[QTE RETOUR])</f>
        <v>0</v>
      </c>
      <c r="K763" s="35" t="str">
        <f t="shared" si="11"/>
        <v>Usine</v>
      </c>
      <c r="L763" s="35" t="str">
        <f>_xlfn.XLOOKUP(mvtst[[#This Row],[Sous Traitant]],coordonnee_st[Identification],coordonnee_st[SERVICE],"Non Trouvé")</f>
        <v>Frange</v>
      </c>
      <c r="M763" s="35" t="str">
        <f>INDEX(_xlfn.TEXTSPLIT(mvtst[[#This Row],[QR Suivis]],"_"),1,2)</f>
        <v>CL00296</v>
      </c>
      <c r="N763" s="35" t="str">
        <f>INDEX(_xlfn.TEXTSPLIT(mvtst[[#This Row],[QR Suivis]],"_"),1,3)</f>
        <v>CM-FT0108</v>
      </c>
      <c r="O763" s="35" t="str">
        <f>INDEX(_xlfn.TEXTSPLIT(mvtst[[#This Row],[QR Suivis]],"_"),1,4)</f>
        <v>EPMA0919-B15-02</v>
      </c>
      <c r="P763" s="35" t="str">
        <f>INDEX(_xlfn.TEXTSPLIT(mvtst[[#This Row],[QR Suivis]],"_"),1,5)</f>
        <v>MARINIERE</v>
      </c>
      <c r="Q763" s="35" t="str">
        <f>_xlfn.TEXTAFTER(mvtst[[#This Row],[QR Suivis]],"_",5)</f>
        <v>0919</v>
      </c>
      <c r="R763" s="84" t="str">
        <f>IF(
   COUNTIFS($A$2:A763,A763,
             $B$2:B763,B763,
             $C$2:C763,C763,
             $D$2:D763,D763,
             $G$2:G763,G763)&gt;1,
   "Doublon",
   "Correcte"
)</f>
        <v>Correcte</v>
      </c>
    </row>
    <row r="764" spans="1:18" x14ac:dyDescent="0.25">
      <c r="A764" s="104" t="s">
        <v>1400</v>
      </c>
      <c r="B764" s="35" t="s">
        <v>646</v>
      </c>
      <c r="C764" s="36">
        <v>0</v>
      </c>
      <c r="D764" s="36">
        <v>5</v>
      </c>
      <c r="E764" s="35" t="s">
        <v>699</v>
      </c>
      <c r="F764" s="35" t="s">
        <v>634</v>
      </c>
      <c r="G764" s="37">
        <v>45929.535219907404</v>
      </c>
      <c r="H764" s="37" t="str">
        <f>INDEX(_xlfn.TEXTSPLIT(mvtst[[#This Row],[QR Suivis]],"_"),1,1)</f>
        <v>OF246533-12</v>
      </c>
      <c r="I764" s="35" t="str">
        <f>_xlfn.TEXTBEFORE(mvtst[[#This Row],[Num Suivis]],"-",,,1)</f>
        <v>OF246533</v>
      </c>
      <c r="J764" s="36">
        <f>SUMIF(mvtst[QR Suivis],mvtst[[#This Row],[QR Suivis]],mvtst[QTE SORTIS])-SUMIF(mvtst[QR Suivis],mvtst[[#This Row],[QR Suivis]],mvtst[QTE RETOUR])</f>
        <v>0</v>
      </c>
      <c r="K764" s="35" t="str">
        <f t="shared" si="11"/>
        <v>Usine</v>
      </c>
      <c r="L764" s="35" t="str">
        <f>_xlfn.XLOOKUP(mvtst[[#This Row],[Sous Traitant]],coordonnee_st[Identification],coordonnee_st[SERVICE],"Non Trouvé")</f>
        <v>Frange</v>
      </c>
      <c r="M764" s="35" t="str">
        <f>INDEX(_xlfn.TEXTSPLIT(mvtst[[#This Row],[QR Suivis]],"_"),1,2)</f>
        <v>CL00296</v>
      </c>
      <c r="N764" s="35" t="str">
        <f>INDEX(_xlfn.TEXTSPLIT(mvtst[[#This Row],[QR Suivis]],"_"),1,3)</f>
        <v>CM-FT0108</v>
      </c>
      <c r="O764" s="35" t="str">
        <f>INDEX(_xlfn.TEXTSPLIT(mvtst[[#This Row],[QR Suivis]],"_"),1,4)</f>
        <v>EPMA0919-B15-02</v>
      </c>
      <c r="P764" s="35" t="str">
        <f>INDEX(_xlfn.TEXTSPLIT(mvtst[[#This Row],[QR Suivis]],"_"),1,5)</f>
        <v>MARINIERE</v>
      </c>
      <c r="Q764" s="35" t="str">
        <f>_xlfn.TEXTAFTER(mvtst[[#This Row],[QR Suivis]],"_",5)</f>
        <v>0919</v>
      </c>
      <c r="R764" s="84" t="str">
        <f>IF(
   COUNTIFS($A$2:A764,A764,
             $B$2:B764,B764,
             $C$2:C764,C764,
             $D$2:D764,D764,
             $G$2:G764,G764)&gt;1,
   "Doublon",
   "Correcte"
)</f>
        <v>Correcte</v>
      </c>
    </row>
    <row r="765" spans="1:18" x14ac:dyDescent="0.25">
      <c r="A765" s="104" t="s">
        <v>1603</v>
      </c>
      <c r="B765" s="35" t="s">
        <v>646</v>
      </c>
      <c r="C765" s="36">
        <v>0</v>
      </c>
      <c r="D765" s="36">
        <v>5</v>
      </c>
      <c r="E765" s="35" t="s">
        <v>699</v>
      </c>
      <c r="F765" s="35" t="s">
        <v>634</v>
      </c>
      <c r="G765" s="37">
        <v>45929.535393518519</v>
      </c>
      <c r="H765" s="37" t="str">
        <f>INDEX(_xlfn.TEXTSPLIT(mvtst[[#This Row],[QR Suivis]],"_"),1,1)</f>
        <v>OF246547-4</v>
      </c>
      <c r="I765" s="35" t="str">
        <f>_xlfn.TEXTBEFORE(mvtst[[#This Row],[Num Suivis]],"-",,,1)</f>
        <v>OF246547</v>
      </c>
      <c r="J765" s="36">
        <f>SUMIF(mvtst[QR Suivis],mvtst[[#This Row],[QR Suivis]],mvtst[QTE SORTIS])-SUMIF(mvtst[QR Suivis],mvtst[[#This Row],[QR Suivis]],mvtst[QTE RETOUR])</f>
        <v>0</v>
      </c>
      <c r="K765" s="35" t="str">
        <f t="shared" si="11"/>
        <v>Usine</v>
      </c>
      <c r="L765" s="35" t="str">
        <f>_xlfn.XLOOKUP(mvtst[[#This Row],[Sous Traitant]],coordonnee_st[Identification],coordonnee_st[SERVICE],"Non Trouvé")</f>
        <v>Frange</v>
      </c>
      <c r="M765" s="35" t="str">
        <f>INDEX(_xlfn.TEXTSPLIT(mvtst[[#This Row],[QR Suivis]],"_"),1,2)</f>
        <v>CL00296</v>
      </c>
      <c r="N765" s="35" t="str">
        <f>INDEX(_xlfn.TEXTSPLIT(mvtst[[#This Row],[QR Suivis]],"_"),1,3)</f>
        <v>CM-FT0108</v>
      </c>
      <c r="O765" s="35" t="str">
        <f>INDEX(_xlfn.TEXTSPLIT(mvtst[[#This Row],[QR Suivis]],"_"),1,4)</f>
        <v>EPMA0919-B11-02</v>
      </c>
      <c r="P765" s="35" t="str">
        <f>INDEX(_xlfn.TEXTSPLIT(mvtst[[#This Row],[QR Suivis]],"_"),1,5)</f>
        <v>MARINIERE</v>
      </c>
      <c r="Q765" s="35" t="str">
        <f>_xlfn.TEXTAFTER(mvtst[[#This Row],[QR Suivis]],"_",5)</f>
        <v>0919</v>
      </c>
      <c r="R765" s="84" t="str">
        <f>IF(
   COUNTIFS($A$2:A765,A765,
             $B$2:B765,B765,
             $C$2:C765,C765,
             $D$2:D765,D765,
             $G$2:G765,G765)&gt;1,
   "Doublon",
   "Correcte"
)</f>
        <v>Correcte</v>
      </c>
    </row>
    <row r="766" spans="1:18" x14ac:dyDescent="0.25">
      <c r="A766" s="104" t="s">
        <v>1604</v>
      </c>
      <c r="B766" s="35" t="s">
        <v>646</v>
      </c>
      <c r="C766" s="36">
        <v>0</v>
      </c>
      <c r="D766" s="36">
        <v>5</v>
      </c>
      <c r="E766" s="35" t="s">
        <v>699</v>
      </c>
      <c r="F766" s="35" t="s">
        <v>634</v>
      </c>
      <c r="G766" s="37">
        <v>45929.535532407404</v>
      </c>
      <c r="H766" s="37" t="str">
        <f>INDEX(_xlfn.TEXTSPLIT(mvtst[[#This Row],[QR Suivis]],"_"),1,1)</f>
        <v>OF246547-11</v>
      </c>
      <c r="I766" s="35" t="str">
        <f>_xlfn.TEXTBEFORE(mvtst[[#This Row],[Num Suivis]],"-",,,1)</f>
        <v>OF246547</v>
      </c>
      <c r="J766" s="36">
        <f>SUMIF(mvtst[QR Suivis],mvtst[[#This Row],[QR Suivis]],mvtst[QTE SORTIS])-SUMIF(mvtst[QR Suivis],mvtst[[#This Row],[QR Suivis]],mvtst[QTE RETOUR])</f>
        <v>0</v>
      </c>
      <c r="K766" s="35" t="str">
        <f t="shared" si="11"/>
        <v>Usine</v>
      </c>
      <c r="L766" s="35" t="str">
        <f>_xlfn.XLOOKUP(mvtst[[#This Row],[Sous Traitant]],coordonnee_st[Identification],coordonnee_st[SERVICE],"Non Trouvé")</f>
        <v>Frange</v>
      </c>
      <c r="M766" s="35" t="str">
        <f>INDEX(_xlfn.TEXTSPLIT(mvtst[[#This Row],[QR Suivis]],"_"),1,2)</f>
        <v>CL00296</v>
      </c>
      <c r="N766" s="35" t="str">
        <f>INDEX(_xlfn.TEXTSPLIT(mvtst[[#This Row],[QR Suivis]],"_"),1,3)</f>
        <v>CM-FT0108</v>
      </c>
      <c r="O766" s="35" t="str">
        <f>INDEX(_xlfn.TEXTSPLIT(mvtst[[#This Row],[QR Suivis]],"_"),1,4)</f>
        <v>EPMA0919-B11-02</v>
      </c>
      <c r="P766" s="35" t="str">
        <f>INDEX(_xlfn.TEXTSPLIT(mvtst[[#This Row],[QR Suivis]],"_"),1,5)</f>
        <v>MARINIERE</v>
      </c>
      <c r="Q766" s="35" t="str">
        <f>_xlfn.TEXTAFTER(mvtst[[#This Row],[QR Suivis]],"_",5)</f>
        <v>0919</v>
      </c>
      <c r="R766" s="84" t="str">
        <f>IF(
   COUNTIFS($A$2:A766,A766,
             $B$2:B766,B766,
             $C$2:C766,C766,
             $D$2:D766,D766,
             $G$2:G766,G766)&gt;1,
   "Doublon",
   "Correcte"
)</f>
        <v>Correcte</v>
      </c>
    </row>
    <row r="767" spans="1:18" x14ac:dyDescent="0.25">
      <c r="A767" s="104" t="s">
        <v>1401</v>
      </c>
      <c r="B767" s="35" t="s">
        <v>646</v>
      </c>
      <c r="C767" s="36">
        <v>0</v>
      </c>
      <c r="D767" s="36">
        <v>5</v>
      </c>
      <c r="E767" s="35" t="s">
        <v>699</v>
      </c>
      <c r="F767" s="35" t="s">
        <v>634</v>
      </c>
      <c r="G767" s="37">
        <v>45929.53570601852</v>
      </c>
      <c r="H767" s="37" t="str">
        <f>INDEX(_xlfn.TEXTSPLIT(mvtst[[#This Row],[QR Suivis]],"_"),1,1)</f>
        <v>OF246533-9</v>
      </c>
      <c r="I767" s="35" t="str">
        <f>_xlfn.TEXTBEFORE(mvtst[[#This Row],[Num Suivis]],"-",,,1)</f>
        <v>OF246533</v>
      </c>
      <c r="J767" s="36">
        <f>SUMIF(mvtst[QR Suivis],mvtst[[#This Row],[QR Suivis]],mvtst[QTE SORTIS])-SUMIF(mvtst[QR Suivis],mvtst[[#This Row],[QR Suivis]],mvtst[QTE RETOUR])</f>
        <v>0</v>
      </c>
      <c r="K767" s="35" t="str">
        <f t="shared" si="11"/>
        <v>Usine</v>
      </c>
      <c r="L767" s="35" t="str">
        <f>_xlfn.XLOOKUP(mvtst[[#This Row],[Sous Traitant]],coordonnee_st[Identification],coordonnee_st[SERVICE],"Non Trouvé")</f>
        <v>Frange</v>
      </c>
      <c r="M767" s="35" t="str">
        <f>INDEX(_xlfn.TEXTSPLIT(mvtst[[#This Row],[QR Suivis]],"_"),1,2)</f>
        <v>CL00296</v>
      </c>
      <c r="N767" s="35" t="str">
        <f>INDEX(_xlfn.TEXTSPLIT(mvtst[[#This Row],[QR Suivis]],"_"),1,3)</f>
        <v>CM-FT0108</v>
      </c>
      <c r="O767" s="35" t="str">
        <f>INDEX(_xlfn.TEXTSPLIT(mvtst[[#This Row],[QR Suivis]],"_"),1,4)</f>
        <v>EPMA0919-B15-02</v>
      </c>
      <c r="P767" s="35" t="str">
        <f>INDEX(_xlfn.TEXTSPLIT(mvtst[[#This Row],[QR Suivis]],"_"),1,5)</f>
        <v>MARINIERE</v>
      </c>
      <c r="Q767" s="35" t="str">
        <f>_xlfn.TEXTAFTER(mvtst[[#This Row],[QR Suivis]],"_",5)</f>
        <v>0919</v>
      </c>
      <c r="R767" s="84" t="str">
        <f>IF(
   COUNTIFS($A$2:A767,A767,
             $B$2:B767,B767,
             $C$2:C767,C767,
             $D$2:D767,D767,
             $G$2:G767,G767)&gt;1,
   "Doublon",
   "Correcte"
)</f>
        <v>Correcte</v>
      </c>
    </row>
    <row r="768" spans="1:18" x14ac:dyDescent="0.25">
      <c r="A768" s="104" t="s">
        <v>1402</v>
      </c>
      <c r="B768" s="35" t="s">
        <v>646</v>
      </c>
      <c r="C768" s="36">
        <v>0</v>
      </c>
      <c r="D768" s="36">
        <v>5</v>
      </c>
      <c r="E768" s="35" t="s">
        <v>699</v>
      </c>
      <c r="F768" s="35" t="s">
        <v>634</v>
      </c>
      <c r="G768" s="37">
        <v>45929.535856481481</v>
      </c>
      <c r="H768" s="37" t="str">
        <f>INDEX(_xlfn.TEXTSPLIT(mvtst[[#This Row],[QR Suivis]],"_"),1,1)</f>
        <v>OF246533-5</v>
      </c>
      <c r="I768" s="35" t="str">
        <f>_xlfn.TEXTBEFORE(mvtst[[#This Row],[Num Suivis]],"-",,,1)</f>
        <v>OF246533</v>
      </c>
      <c r="J768" s="36">
        <f>SUMIF(mvtst[QR Suivis],mvtst[[#This Row],[QR Suivis]],mvtst[QTE SORTIS])-SUMIF(mvtst[QR Suivis],mvtst[[#This Row],[QR Suivis]],mvtst[QTE RETOUR])</f>
        <v>0</v>
      </c>
      <c r="K768" s="35" t="str">
        <f t="shared" si="11"/>
        <v>Usine</v>
      </c>
      <c r="L768" s="35" t="str">
        <f>_xlfn.XLOOKUP(mvtst[[#This Row],[Sous Traitant]],coordonnee_st[Identification],coordonnee_st[SERVICE],"Non Trouvé")</f>
        <v>Frange</v>
      </c>
      <c r="M768" s="35" t="str">
        <f>INDEX(_xlfn.TEXTSPLIT(mvtst[[#This Row],[QR Suivis]],"_"),1,2)</f>
        <v>CL00296</v>
      </c>
      <c r="N768" s="35" t="str">
        <f>INDEX(_xlfn.TEXTSPLIT(mvtst[[#This Row],[QR Suivis]],"_"),1,3)</f>
        <v>CM-FT0108</v>
      </c>
      <c r="O768" s="35" t="str">
        <f>INDEX(_xlfn.TEXTSPLIT(mvtst[[#This Row],[QR Suivis]],"_"),1,4)</f>
        <v>EPMA0919-B15-02</v>
      </c>
      <c r="P768" s="35" t="str">
        <f>INDEX(_xlfn.TEXTSPLIT(mvtst[[#This Row],[QR Suivis]],"_"),1,5)</f>
        <v>MARINIERE</v>
      </c>
      <c r="Q768" s="35" t="str">
        <f>_xlfn.TEXTAFTER(mvtst[[#This Row],[QR Suivis]],"_",5)</f>
        <v>0919</v>
      </c>
      <c r="R768" s="84" t="str">
        <f>IF(
   COUNTIFS($A$2:A768,A768,
             $B$2:B768,B768,
             $C$2:C768,C768,
             $D$2:D768,D768,
             $G$2:G768,G768)&gt;1,
   "Doublon",
   "Correcte"
)</f>
        <v>Correcte</v>
      </c>
    </row>
    <row r="769" spans="1:18" x14ac:dyDescent="0.25">
      <c r="A769" s="104" t="s">
        <v>1605</v>
      </c>
      <c r="B769" s="35" t="s">
        <v>646</v>
      </c>
      <c r="C769" s="36">
        <v>0</v>
      </c>
      <c r="D769" s="36">
        <v>5</v>
      </c>
      <c r="E769" s="35" t="s">
        <v>699</v>
      </c>
      <c r="F769" s="35" t="s">
        <v>634</v>
      </c>
      <c r="G769" s="37">
        <v>45929.536296296297</v>
      </c>
      <c r="H769" s="37" t="str">
        <f>INDEX(_xlfn.TEXTSPLIT(mvtst[[#This Row],[QR Suivis]],"_"),1,1)</f>
        <v>OF246547-7</v>
      </c>
      <c r="I769" s="35" t="str">
        <f>_xlfn.TEXTBEFORE(mvtst[[#This Row],[Num Suivis]],"-",,,1)</f>
        <v>OF246547</v>
      </c>
      <c r="J769" s="36">
        <f>SUMIF(mvtst[QR Suivis],mvtst[[#This Row],[QR Suivis]],mvtst[QTE SORTIS])-SUMIF(mvtst[QR Suivis],mvtst[[#This Row],[QR Suivis]],mvtst[QTE RETOUR])</f>
        <v>0</v>
      </c>
      <c r="K769" s="35" t="str">
        <f t="shared" si="11"/>
        <v>Usine</v>
      </c>
      <c r="L769" s="35" t="str">
        <f>_xlfn.XLOOKUP(mvtst[[#This Row],[Sous Traitant]],coordonnee_st[Identification],coordonnee_st[SERVICE],"Non Trouvé")</f>
        <v>Frange</v>
      </c>
      <c r="M769" s="35" t="str">
        <f>INDEX(_xlfn.TEXTSPLIT(mvtst[[#This Row],[QR Suivis]],"_"),1,2)</f>
        <v>CL00296</v>
      </c>
      <c r="N769" s="35" t="str">
        <f>INDEX(_xlfn.TEXTSPLIT(mvtst[[#This Row],[QR Suivis]],"_"),1,3)</f>
        <v>CM-FT0108</v>
      </c>
      <c r="O769" s="35" t="str">
        <f>INDEX(_xlfn.TEXTSPLIT(mvtst[[#This Row],[QR Suivis]],"_"),1,4)</f>
        <v>EPMA0919-B11-02</v>
      </c>
      <c r="P769" s="35" t="str">
        <f>INDEX(_xlfn.TEXTSPLIT(mvtst[[#This Row],[QR Suivis]],"_"),1,5)</f>
        <v>MARINIERE</v>
      </c>
      <c r="Q769" s="35" t="str">
        <f>_xlfn.TEXTAFTER(mvtst[[#This Row],[QR Suivis]],"_",5)</f>
        <v>0919</v>
      </c>
      <c r="R769" s="84" t="str">
        <f>IF(
   COUNTIFS($A$2:A769,A769,
             $B$2:B769,B769,
             $C$2:C769,C769,
             $D$2:D769,D769,
             $G$2:G769,G769)&gt;1,
   "Doublon",
   "Correcte"
)</f>
        <v>Correcte</v>
      </c>
    </row>
    <row r="770" spans="1:18" x14ac:dyDescent="0.25">
      <c r="A770" s="104" t="s">
        <v>1606</v>
      </c>
      <c r="B770" s="35" t="s">
        <v>646</v>
      </c>
      <c r="C770" s="36">
        <v>0</v>
      </c>
      <c r="D770" s="36">
        <v>5</v>
      </c>
      <c r="E770" s="35" t="s">
        <v>699</v>
      </c>
      <c r="F770" s="35" t="s">
        <v>634</v>
      </c>
      <c r="G770" s="37">
        <v>45929.536736111113</v>
      </c>
      <c r="H770" s="37" t="str">
        <f>INDEX(_xlfn.TEXTSPLIT(mvtst[[#This Row],[QR Suivis]],"_"),1,1)</f>
        <v>OF246547-15</v>
      </c>
      <c r="I770" s="35" t="str">
        <f>_xlfn.TEXTBEFORE(mvtst[[#This Row],[Num Suivis]],"-",,,1)</f>
        <v>OF246547</v>
      </c>
      <c r="J770" s="36">
        <f>SUMIF(mvtst[QR Suivis],mvtst[[#This Row],[QR Suivis]],mvtst[QTE SORTIS])-SUMIF(mvtst[QR Suivis],mvtst[[#This Row],[QR Suivis]],mvtst[QTE RETOUR])</f>
        <v>0</v>
      </c>
      <c r="K770" s="35" t="str">
        <f t="shared" si="11"/>
        <v>Usine</v>
      </c>
      <c r="L770" s="35" t="str">
        <f>_xlfn.XLOOKUP(mvtst[[#This Row],[Sous Traitant]],coordonnee_st[Identification],coordonnee_st[SERVICE],"Non Trouvé")</f>
        <v>Frange</v>
      </c>
      <c r="M770" s="35" t="str">
        <f>INDEX(_xlfn.TEXTSPLIT(mvtst[[#This Row],[QR Suivis]],"_"),1,2)</f>
        <v>CL00296</v>
      </c>
      <c r="N770" s="35" t="str">
        <f>INDEX(_xlfn.TEXTSPLIT(mvtst[[#This Row],[QR Suivis]],"_"),1,3)</f>
        <v>CM-FT0108</v>
      </c>
      <c r="O770" s="35" t="str">
        <f>INDEX(_xlfn.TEXTSPLIT(mvtst[[#This Row],[QR Suivis]],"_"),1,4)</f>
        <v>EPMA0919-B11-02</v>
      </c>
      <c r="P770" s="35" t="str">
        <f>INDEX(_xlfn.TEXTSPLIT(mvtst[[#This Row],[QR Suivis]],"_"),1,5)</f>
        <v>MARINIERE</v>
      </c>
      <c r="Q770" s="35" t="str">
        <f>_xlfn.TEXTAFTER(mvtst[[#This Row],[QR Suivis]],"_",5)</f>
        <v>0919</v>
      </c>
      <c r="R770" s="84" t="str">
        <f>IF(
   COUNTIFS($A$2:A770,A770,
             $B$2:B770,B770,
             $C$2:C770,C770,
             $D$2:D770,D770,
             $G$2:G770,G770)&gt;1,
   "Doublon",
   "Correcte"
)</f>
        <v>Correcte</v>
      </c>
    </row>
    <row r="771" spans="1:18" x14ac:dyDescent="0.25">
      <c r="A771" s="104" t="s">
        <v>1748</v>
      </c>
      <c r="B771" s="35" t="s">
        <v>646</v>
      </c>
      <c r="C771" s="36">
        <v>5</v>
      </c>
      <c r="D771" s="36">
        <v>0</v>
      </c>
      <c r="E771" s="35" t="s">
        <v>699</v>
      </c>
      <c r="F771" s="35" t="s">
        <v>634</v>
      </c>
      <c r="G771" s="37">
        <v>45929.537326388891</v>
      </c>
      <c r="H771" s="37" t="str">
        <f>INDEX(_xlfn.TEXTSPLIT(mvtst[[#This Row],[QR Suivis]],"_"),1,1)</f>
        <v>OF246539-6</v>
      </c>
      <c r="I771" s="35" t="str">
        <f>_xlfn.TEXTBEFORE(mvtst[[#This Row],[Num Suivis]],"-",,,1)</f>
        <v>OF246539</v>
      </c>
      <c r="J771" s="36">
        <f>SUMIF(mvtst[QR Suivis],mvtst[[#This Row],[QR Suivis]],mvtst[QTE SORTIS])-SUMIF(mvtst[QR Suivis],mvtst[[#This Row],[QR Suivis]],mvtst[QTE RETOUR])</f>
        <v>0</v>
      </c>
      <c r="K771" s="35" t="str">
        <f t="shared" ref="K771:K834" si="12">"Usine"</f>
        <v>Usine</v>
      </c>
      <c r="L771" s="35" t="str">
        <f>_xlfn.XLOOKUP(mvtst[[#This Row],[Sous Traitant]],coordonnee_st[Identification],coordonnee_st[SERVICE],"Non Trouvé")</f>
        <v>Frange</v>
      </c>
      <c r="M771" s="35" t="str">
        <f>INDEX(_xlfn.TEXTSPLIT(mvtst[[#This Row],[QR Suivis]],"_"),1,2)</f>
        <v>CL00296</v>
      </c>
      <c r="N771" s="35" t="str">
        <f>INDEX(_xlfn.TEXTSPLIT(mvtst[[#This Row],[QR Suivis]],"_"),1,3)</f>
        <v>CM-FT0108</v>
      </c>
      <c r="O771" s="35" t="str">
        <f>INDEX(_xlfn.TEXTSPLIT(mvtst[[#This Row],[QR Suivis]],"_"),1,4)</f>
        <v>EPMA0919-B29-02</v>
      </c>
      <c r="P771" s="35" t="str">
        <f>INDEX(_xlfn.TEXTSPLIT(mvtst[[#This Row],[QR Suivis]],"_"),1,5)</f>
        <v>MARINIERE</v>
      </c>
      <c r="Q771" s="35" t="str">
        <f>_xlfn.TEXTAFTER(mvtst[[#This Row],[QR Suivis]],"_",5)</f>
        <v>0919</v>
      </c>
      <c r="R771" s="84" t="str">
        <f>IF(
   COUNTIFS($A$2:A771,A771,
             $B$2:B771,B771,
             $C$2:C771,C771,
             $D$2:D771,D771,
             $G$2:G771,G771)&gt;1,
   "Doublon",
   "Correcte"
)</f>
        <v>Correcte</v>
      </c>
    </row>
    <row r="772" spans="1:18" x14ac:dyDescent="0.25">
      <c r="A772" s="104" t="s">
        <v>1749</v>
      </c>
      <c r="B772" s="35" t="s">
        <v>646</v>
      </c>
      <c r="C772" s="36">
        <v>5</v>
      </c>
      <c r="D772" s="36">
        <v>0</v>
      </c>
      <c r="E772" s="35" t="s">
        <v>699</v>
      </c>
      <c r="F772" s="35" t="s">
        <v>634</v>
      </c>
      <c r="G772" s="37">
        <v>45929.537465277775</v>
      </c>
      <c r="H772" s="37" t="str">
        <f>INDEX(_xlfn.TEXTSPLIT(mvtst[[#This Row],[QR Suivis]],"_"),1,1)</f>
        <v>OF246539-13</v>
      </c>
      <c r="I772" s="35" t="str">
        <f>_xlfn.TEXTBEFORE(mvtst[[#This Row],[Num Suivis]],"-",,,1)</f>
        <v>OF246539</v>
      </c>
      <c r="J772" s="36">
        <f>SUMIF(mvtst[QR Suivis],mvtst[[#This Row],[QR Suivis]],mvtst[QTE SORTIS])-SUMIF(mvtst[QR Suivis],mvtst[[#This Row],[QR Suivis]],mvtst[QTE RETOUR])</f>
        <v>0</v>
      </c>
      <c r="K772" s="35" t="str">
        <f t="shared" si="12"/>
        <v>Usine</v>
      </c>
      <c r="L772" s="35" t="str">
        <f>_xlfn.XLOOKUP(mvtst[[#This Row],[Sous Traitant]],coordonnee_st[Identification],coordonnee_st[SERVICE],"Non Trouvé")</f>
        <v>Frange</v>
      </c>
      <c r="M772" s="35" t="str">
        <f>INDEX(_xlfn.TEXTSPLIT(mvtst[[#This Row],[QR Suivis]],"_"),1,2)</f>
        <v>CL00296</v>
      </c>
      <c r="N772" s="35" t="str">
        <f>INDEX(_xlfn.TEXTSPLIT(mvtst[[#This Row],[QR Suivis]],"_"),1,3)</f>
        <v>CM-FT0108</v>
      </c>
      <c r="O772" s="35" t="str">
        <f>INDEX(_xlfn.TEXTSPLIT(mvtst[[#This Row],[QR Suivis]],"_"),1,4)</f>
        <v>EPMA0919-B29-02</v>
      </c>
      <c r="P772" s="35" t="str">
        <f>INDEX(_xlfn.TEXTSPLIT(mvtst[[#This Row],[QR Suivis]],"_"),1,5)</f>
        <v>MARINIERE</v>
      </c>
      <c r="Q772" s="35" t="str">
        <f>_xlfn.TEXTAFTER(mvtst[[#This Row],[QR Suivis]],"_",5)</f>
        <v>0919</v>
      </c>
      <c r="R772" s="84" t="str">
        <f>IF(
   COUNTIFS($A$2:A772,A772,
             $B$2:B772,B772,
             $C$2:C772,C772,
             $D$2:D772,D772,
             $G$2:G772,G772)&gt;1,
   "Doublon",
   "Correcte"
)</f>
        <v>Correcte</v>
      </c>
    </row>
    <row r="773" spans="1:18" x14ac:dyDescent="0.25">
      <c r="A773" s="104" t="s">
        <v>1750</v>
      </c>
      <c r="B773" s="35" t="s">
        <v>646</v>
      </c>
      <c r="C773" s="36">
        <v>5</v>
      </c>
      <c r="D773" s="36">
        <v>0</v>
      </c>
      <c r="E773" s="35" t="s">
        <v>699</v>
      </c>
      <c r="F773" s="35" t="s">
        <v>634</v>
      </c>
      <c r="G773" s="37">
        <v>45929.538043981483</v>
      </c>
      <c r="H773" s="37" t="str">
        <f>INDEX(_xlfn.TEXTSPLIT(mvtst[[#This Row],[QR Suivis]],"_"),1,1)</f>
        <v>OF246539-1</v>
      </c>
      <c r="I773" s="35" t="str">
        <f>_xlfn.TEXTBEFORE(mvtst[[#This Row],[Num Suivis]],"-",,,1)</f>
        <v>OF246539</v>
      </c>
      <c r="J773" s="36">
        <f>SUMIF(mvtst[QR Suivis],mvtst[[#This Row],[QR Suivis]],mvtst[QTE SORTIS])-SUMIF(mvtst[QR Suivis],mvtst[[#This Row],[QR Suivis]],mvtst[QTE RETOUR])</f>
        <v>0</v>
      </c>
      <c r="K773" s="35" t="str">
        <f t="shared" si="12"/>
        <v>Usine</v>
      </c>
      <c r="L773" s="35" t="str">
        <f>_xlfn.XLOOKUP(mvtst[[#This Row],[Sous Traitant]],coordonnee_st[Identification],coordonnee_st[SERVICE],"Non Trouvé")</f>
        <v>Frange</v>
      </c>
      <c r="M773" s="35" t="str">
        <f>INDEX(_xlfn.TEXTSPLIT(mvtst[[#This Row],[QR Suivis]],"_"),1,2)</f>
        <v>CL00296</v>
      </c>
      <c r="N773" s="35" t="str">
        <f>INDEX(_xlfn.TEXTSPLIT(mvtst[[#This Row],[QR Suivis]],"_"),1,3)</f>
        <v>CM-FT0108</v>
      </c>
      <c r="O773" s="35" t="str">
        <f>INDEX(_xlfn.TEXTSPLIT(mvtst[[#This Row],[QR Suivis]],"_"),1,4)</f>
        <v>EPMA0919-B29-02</v>
      </c>
      <c r="P773" s="35" t="str">
        <f>INDEX(_xlfn.TEXTSPLIT(mvtst[[#This Row],[QR Suivis]],"_"),1,5)</f>
        <v>MARINIERE</v>
      </c>
      <c r="Q773" s="35" t="str">
        <f>_xlfn.TEXTAFTER(mvtst[[#This Row],[QR Suivis]],"_",5)</f>
        <v>0919</v>
      </c>
      <c r="R773" s="84" t="str">
        <f>IF(
   COUNTIFS($A$2:A773,A773,
             $B$2:B773,B773,
             $C$2:C773,C773,
             $D$2:D773,D773,
             $G$2:G773,G773)&gt;1,
   "Doublon",
   "Correcte"
)</f>
        <v>Correcte</v>
      </c>
    </row>
    <row r="774" spans="1:18" x14ac:dyDescent="0.25">
      <c r="A774" s="104" t="s">
        <v>1751</v>
      </c>
      <c r="B774" s="35" t="s">
        <v>646</v>
      </c>
      <c r="C774" s="36">
        <v>5</v>
      </c>
      <c r="D774" s="36">
        <v>0</v>
      </c>
      <c r="E774" s="35" t="s">
        <v>699</v>
      </c>
      <c r="F774" s="35" t="s">
        <v>634</v>
      </c>
      <c r="G774" s="37">
        <v>45929.538483796299</v>
      </c>
      <c r="H774" s="37" t="str">
        <f>INDEX(_xlfn.TEXTSPLIT(mvtst[[#This Row],[QR Suivis]],"_"),1,1)</f>
        <v>OF246539-9</v>
      </c>
      <c r="I774" s="35" t="str">
        <f>_xlfn.TEXTBEFORE(mvtst[[#This Row],[Num Suivis]],"-",,,1)</f>
        <v>OF246539</v>
      </c>
      <c r="J774" s="36">
        <f>SUMIF(mvtst[QR Suivis],mvtst[[#This Row],[QR Suivis]],mvtst[QTE SORTIS])-SUMIF(mvtst[QR Suivis],mvtst[[#This Row],[QR Suivis]],mvtst[QTE RETOUR])</f>
        <v>0</v>
      </c>
      <c r="K774" s="35" t="str">
        <f t="shared" si="12"/>
        <v>Usine</v>
      </c>
      <c r="L774" s="35" t="str">
        <f>_xlfn.XLOOKUP(mvtst[[#This Row],[Sous Traitant]],coordonnee_st[Identification],coordonnee_st[SERVICE],"Non Trouvé")</f>
        <v>Frange</v>
      </c>
      <c r="M774" s="35" t="str">
        <f>INDEX(_xlfn.TEXTSPLIT(mvtst[[#This Row],[QR Suivis]],"_"),1,2)</f>
        <v>CL00296</v>
      </c>
      <c r="N774" s="35" t="str">
        <f>INDEX(_xlfn.TEXTSPLIT(mvtst[[#This Row],[QR Suivis]],"_"),1,3)</f>
        <v>CM-FT0108</v>
      </c>
      <c r="O774" s="35" t="str">
        <f>INDEX(_xlfn.TEXTSPLIT(mvtst[[#This Row],[QR Suivis]],"_"),1,4)</f>
        <v>EPMA0919-B29-02</v>
      </c>
      <c r="P774" s="35" t="str">
        <f>INDEX(_xlfn.TEXTSPLIT(mvtst[[#This Row],[QR Suivis]],"_"),1,5)</f>
        <v>MARINIERE</v>
      </c>
      <c r="Q774" s="35" t="str">
        <f>_xlfn.TEXTAFTER(mvtst[[#This Row],[QR Suivis]],"_",5)</f>
        <v>0919</v>
      </c>
      <c r="R774" s="84" t="str">
        <f>IF(
   COUNTIFS($A$2:A774,A774,
             $B$2:B774,B774,
             $C$2:C774,C774,
             $D$2:D774,D774,
             $G$2:G774,G774)&gt;1,
   "Doublon",
   "Correcte"
)</f>
        <v>Correcte</v>
      </c>
    </row>
    <row r="775" spans="1:18" x14ac:dyDescent="0.25">
      <c r="A775" s="104" t="s">
        <v>1752</v>
      </c>
      <c r="B775" s="35" t="s">
        <v>646</v>
      </c>
      <c r="C775" s="36">
        <v>5</v>
      </c>
      <c r="D775" s="36">
        <v>0</v>
      </c>
      <c r="E775" s="35" t="s">
        <v>699</v>
      </c>
      <c r="F775" s="35" t="s">
        <v>634</v>
      </c>
      <c r="G775" s="37">
        <v>45929.538842592592</v>
      </c>
      <c r="H775" s="37" t="str">
        <f>INDEX(_xlfn.TEXTSPLIT(mvtst[[#This Row],[QR Suivis]],"_"),1,1)</f>
        <v>OF246539-14</v>
      </c>
      <c r="I775" s="35" t="str">
        <f>_xlfn.TEXTBEFORE(mvtst[[#This Row],[Num Suivis]],"-",,,1)</f>
        <v>OF246539</v>
      </c>
      <c r="J775" s="36">
        <f>SUMIF(mvtst[QR Suivis],mvtst[[#This Row],[QR Suivis]],mvtst[QTE SORTIS])-SUMIF(mvtst[QR Suivis],mvtst[[#This Row],[QR Suivis]],mvtst[QTE RETOUR])</f>
        <v>0</v>
      </c>
      <c r="K775" s="35" t="str">
        <f t="shared" si="12"/>
        <v>Usine</v>
      </c>
      <c r="L775" s="35" t="str">
        <f>_xlfn.XLOOKUP(mvtst[[#This Row],[Sous Traitant]],coordonnee_st[Identification],coordonnee_st[SERVICE],"Non Trouvé")</f>
        <v>Frange</v>
      </c>
      <c r="M775" s="35" t="str">
        <f>INDEX(_xlfn.TEXTSPLIT(mvtst[[#This Row],[QR Suivis]],"_"),1,2)</f>
        <v>CL00296</v>
      </c>
      <c r="N775" s="35" t="str">
        <f>INDEX(_xlfn.TEXTSPLIT(mvtst[[#This Row],[QR Suivis]],"_"),1,3)</f>
        <v>CM-FT0108</v>
      </c>
      <c r="O775" s="35" t="str">
        <f>INDEX(_xlfn.TEXTSPLIT(mvtst[[#This Row],[QR Suivis]],"_"),1,4)</f>
        <v>EPMA0919-B29-02</v>
      </c>
      <c r="P775" s="35" t="str">
        <f>INDEX(_xlfn.TEXTSPLIT(mvtst[[#This Row],[QR Suivis]],"_"),1,5)</f>
        <v>MARINIERE</v>
      </c>
      <c r="Q775" s="35" t="str">
        <f>_xlfn.TEXTAFTER(mvtst[[#This Row],[QR Suivis]],"_",5)</f>
        <v>0919</v>
      </c>
      <c r="R775" s="84" t="str">
        <f>IF(
   COUNTIFS($A$2:A775,A775,
             $B$2:B775,B775,
             $C$2:C775,C775,
             $D$2:D775,D775,
             $G$2:G775,G775)&gt;1,
   "Doublon",
   "Correcte"
)</f>
        <v>Correcte</v>
      </c>
    </row>
    <row r="776" spans="1:18" x14ac:dyDescent="0.25">
      <c r="A776" s="104" t="s">
        <v>1753</v>
      </c>
      <c r="B776" s="35" t="s">
        <v>646</v>
      </c>
      <c r="C776" s="36">
        <v>5</v>
      </c>
      <c r="D776" s="36">
        <v>0</v>
      </c>
      <c r="E776" s="35" t="s">
        <v>699</v>
      </c>
      <c r="F776" s="35" t="s">
        <v>634</v>
      </c>
      <c r="G776" s="37">
        <v>45929.538993055554</v>
      </c>
      <c r="H776" s="37" t="str">
        <f>INDEX(_xlfn.TEXTSPLIT(mvtst[[#This Row],[QR Suivis]],"_"),1,1)</f>
        <v>OF246539-2</v>
      </c>
      <c r="I776" s="35" t="str">
        <f>_xlfn.TEXTBEFORE(mvtst[[#This Row],[Num Suivis]],"-",,,1)</f>
        <v>OF246539</v>
      </c>
      <c r="J776" s="36">
        <f>SUMIF(mvtst[QR Suivis],mvtst[[#This Row],[QR Suivis]],mvtst[QTE SORTIS])-SUMIF(mvtst[QR Suivis],mvtst[[#This Row],[QR Suivis]],mvtst[QTE RETOUR])</f>
        <v>0</v>
      </c>
      <c r="K776" s="35" t="str">
        <f t="shared" si="12"/>
        <v>Usine</v>
      </c>
      <c r="L776" s="35" t="str">
        <f>_xlfn.XLOOKUP(mvtst[[#This Row],[Sous Traitant]],coordonnee_st[Identification],coordonnee_st[SERVICE],"Non Trouvé")</f>
        <v>Frange</v>
      </c>
      <c r="M776" s="35" t="str">
        <f>INDEX(_xlfn.TEXTSPLIT(mvtst[[#This Row],[QR Suivis]],"_"),1,2)</f>
        <v>CL00296</v>
      </c>
      <c r="N776" s="35" t="str">
        <f>INDEX(_xlfn.TEXTSPLIT(mvtst[[#This Row],[QR Suivis]],"_"),1,3)</f>
        <v>CM-FT0108</v>
      </c>
      <c r="O776" s="35" t="str">
        <f>INDEX(_xlfn.TEXTSPLIT(mvtst[[#This Row],[QR Suivis]],"_"),1,4)</f>
        <v>EPMA0919-B29-02</v>
      </c>
      <c r="P776" s="35" t="str">
        <f>INDEX(_xlfn.TEXTSPLIT(mvtst[[#This Row],[QR Suivis]],"_"),1,5)</f>
        <v>MARINIERE</v>
      </c>
      <c r="Q776" s="35" t="str">
        <f>_xlfn.TEXTAFTER(mvtst[[#This Row],[QR Suivis]],"_",5)</f>
        <v>0919</v>
      </c>
      <c r="R776" s="84" t="str">
        <f>IF(
   COUNTIFS($A$2:A776,A776,
             $B$2:B776,B776,
             $C$2:C776,C776,
             $D$2:D776,D776,
             $G$2:G776,G776)&gt;1,
   "Doublon",
   "Correcte"
)</f>
        <v>Correcte</v>
      </c>
    </row>
    <row r="777" spans="1:18" x14ac:dyDescent="0.25">
      <c r="A777" s="104" t="s">
        <v>1754</v>
      </c>
      <c r="B777" s="35" t="s">
        <v>646</v>
      </c>
      <c r="C777" s="36">
        <v>5</v>
      </c>
      <c r="D777" s="36">
        <v>0</v>
      </c>
      <c r="E777" s="35" t="s">
        <v>699</v>
      </c>
      <c r="F777" s="35" t="s">
        <v>634</v>
      </c>
      <c r="G777" s="37">
        <v>45929.53943287037</v>
      </c>
      <c r="H777" s="37" t="str">
        <f>INDEX(_xlfn.TEXTSPLIT(mvtst[[#This Row],[QR Suivis]],"_"),1,1)</f>
        <v>OF246539-8</v>
      </c>
      <c r="I777" s="35" t="str">
        <f>_xlfn.TEXTBEFORE(mvtst[[#This Row],[Num Suivis]],"-",,,1)</f>
        <v>OF246539</v>
      </c>
      <c r="J777" s="36">
        <f>SUMIF(mvtst[QR Suivis],mvtst[[#This Row],[QR Suivis]],mvtst[QTE SORTIS])-SUMIF(mvtst[QR Suivis],mvtst[[#This Row],[QR Suivis]],mvtst[QTE RETOUR])</f>
        <v>0</v>
      </c>
      <c r="K777" s="35" t="str">
        <f t="shared" si="12"/>
        <v>Usine</v>
      </c>
      <c r="L777" s="35" t="str">
        <f>_xlfn.XLOOKUP(mvtst[[#This Row],[Sous Traitant]],coordonnee_st[Identification],coordonnee_st[SERVICE],"Non Trouvé")</f>
        <v>Frange</v>
      </c>
      <c r="M777" s="35" t="str">
        <f>INDEX(_xlfn.TEXTSPLIT(mvtst[[#This Row],[QR Suivis]],"_"),1,2)</f>
        <v>CL00296</v>
      </c>
      <c r="N777" s="35" t="str">
        <f>INDEX(_xlfn.TEXTSPLIT(mvtst[[#This Row],[QR Suivis]],"_"),1,3)</f>
        <v>CM-FT0108</v>
      </c>
      <c r="O777" s="35" t="str">
        <f>INDEX(_xlfn.TEXTSPLIT(mvtst[[#This Row],[QR Suivis]],"_"),1,4)</f>
        <v>EPMA0919-B29-02</v>
      </c>
      <c r="P777" s="35" t="str">
        <f>INDEX(_xlfn.TEXTSPLIT(mvtst[[#This Row],[QR Suivis]],"_"),1,5)</f>
        <v>MARINIERE</v>
      </c>
      <c r="Q777" s="35" t="str">
        <f>_xlfn.TEXTAFTER(mvtst[[#This Row],[QR Suivis]],"_",5)</f>
        <v>0919</v>
      </c>
      <c r="R777" s="84" t="str">
        <f>IF(
   COUNTIFS($A$2:A777,A777,
             $B$2:B777,B777,
             $C$2:C777,C777,
             $D$2:D777,D777,
             $G$2:G777,G777)&gt;1,
   "Doublon",
   "Correcte"
)</f>
        <v>Correcte</v>
      </c>
    </row>
    <row r="778" spans="1:18" x14ac:dyDescent="0.25">
      <c r="A778" s="104" t="s">
        <v>1755</v>
      </c>
      <c r="B778" s="35" t="s">
        <v>646</v>
      </c>
      <c r="C778" s="36">
        <v>5</v>
      </c>
      <c r="D778" s="36">
        <v>0</v>
      </c>
      <c r="E778" s="35" t="s">
        <v>699</v>
      </c>
      <c r="F778" s="35" t="s">
        <v>634</v>
      </c>
      <c r="G778" s="37">
        <v>45929.539583333331</v>
      </c>
      <c r="H778" s="37" t="str">
        <f>INDEX(_xlfn.TEXTSPLIT(mvtst[[#This Row],[QR Suivis]],"_"),1,1)</f>
        <v>OF246539-3</v>
      </c>
      <c r="I778" s="35" t="str">
        <f>_xlfn.TEXTBEFORE(mvtst[[#This Row],[Num Suivis]],"-",,,1)</f>
        <v>OF246539</v>
      </c>
      <c r="J778" s="36">
        <f>SUMIF(mvtst[QR Suivis],mvtst[[#This Row],[QR Suivis]],mvtst[QTE SORTIS])-SUMIF(mvtst[QR Suivis],mvtst[[#This Row],[QR Suivis]],mvtst[QTE RETOUR])</f>
        <v>0</v>
      </c>
      <c r="K778" s="35" t="str">
        <f t="shared" si="12"/>
        <v>Usine</v>
      </c>
      <c r="L778" s="35" t="str">
        <f>_xlfn.XLOOKUP(mvtst[[#This Row],[Sous Traitant]],coordonnee_st[Identification],coordonnee_st[SERVICE],"Non Trouvé")</f>
        <v>Frange</v>
      </c>
      <c r="M778" s="35" t="str">
        <f>INDEX(_xlfn.TEXTSPLIT(mvtst[[#This Row],[QR Suivis]],"_"),1,2)</f>
        <v>CL00296</v>
      </c>
      <c r="N778" s="35" t="str">
        <f>INDEX(_xlfn.TEXTSPLIT(mvtst[[#This Row],[QR Suivis]],"_"),1,3)</f>
        <v>CM-FT0108</v>
      </c>
      <c r="O778" s="35" t="str">
        <f>INDEX(_xlfn.TEXTSPLIT(mvtst[[#This Row],[QR Suivis]],"_"),1,4)</f>
        <v>EPMA0919-B29-02</v>
      </c>
      <c r="P778" s="35" t="str">
        <f>INDEX(_xlfn.TEXTSPLIT(mvtst[[#This Row],[QR Suivis]],"_"),1,5)</f>
        <v>MARINIERE</v>
      </c>
      <c r="Q778" s="35" t="str">
        <f>_xlfn.TEXTAFTER(mvtst[[#This Row],[QR Suivis]],"_",5)</f>
        <v>0919</v>
      </c>
      <c r="R778" s="84" t="str">
        <f>IF(
   COUNTIFS($A$2:A778,A778,
             $B$2:B778,B778,
             $C$2:C778,C778,
             $D$2:D778,D778,
             $G$2:G778,G778)&gt;1,
   "Doublon",
   "Correcte"
)</f>
        <v>Correcte</v>
      </c>
    </row>
    <row r="779" spans="1:18" x14ac:dyDescent="0.25">
      <c r="A779" s="104" t="s">
        <v>1302</v>
      </c>
      <c r="B779" s="35" t="s">
        <v>650</v>
      </c>
      <c r="C779" s="36">
        <v>0</v>
      </c>
      <c r="D779" s="36">
        <v>5</v>
      </c>
      <c r="E779" s="35" t="s">
        <v>699</v>
      </c>
      <c r="F779" s="35" t="s">
        <v>634</v>
      </c>
      <c r="G779" s="37">
        <v>45929.548148148147</v>
      </c>
      <c r="H779" s="37" t="str">
        <f>INDEX(_xlfn.TEXTSPLIT(mvtst[[#This Row],[QR Suivis]],"_"),1,1)</f>
        <v>OF246543</v>
      </c>
      <c r="I779" s="35" t="str">
        <f>_xlfn.TEXTBEFORE(mvtst[[#This Row],[Num Suivis]],"-",,,1)</f>
        <v>OF246543</v>
      </c>
      <c r="J779" s="36">
        <f>SUMIF(mvtst[QR Suivis],mvtst[[#This Row],[QR Suivis]],mvtst[QTE SORTIS])-SUMIF(mvtst[QR Suivis],mvtst[[#This Row],[QR Suivis]],mvtst[QTE RETOUR])</f>
        <v>0</v>
      </c>
      <c r="K779" s="35" t="str">
        <f t="shared" si="12"/>
        <v>Usine</v>
      </c>
      <c r="L779" s="35" t="str">
        <f>_xlfn.XLOOKUP(mvtst[[#This Row],[Sous Traitant]],coordonnee_st[Identification],coordonnee_st[SERVICE],"Non Trouvé")</f>
        <v>Frange</v>
      </c>
      <c r="M779" s="35" t="str">
        <f>INDEX(_xlfn.TEXTSPLIT(mvtst[[#This Row],[QR Suivis]],"_"),1,2)</f>
        <v>CL00296</v>
      </c>
      <c r="N779" s="35" t="str">
        <f>INDEX(_xlfn.TEXTSPLIT(mvtst[[#This Row],[QR Suivis]],"_"),1,3)</f>
        <v>CM-FT0108</v>
      </c>
      <c r="O779" s="35" t="str">
        <f>INDEX(_xlfn.TEXTSPLIT(mvtst[[#This Row],[QR Suivis]],"_"),1,4)</f>
        <v>EPMA0919-B15-02</v>
      </c>
      <c r="P779" s="35" t="str">
        <f>INDEX(_xlfn.TEXTSPLIT(mvtst[[#This Row],[QR Suivis]],"_"),1,5)</f>
        <v>MARINIERE</v>
      </c>
      <c r="Q779" s="35" t="str">
        <f>_xlfn.TEXTAFTER(mvtst[[#This Row],[QR Suivis]],"_",5)</f>
        <v>0919</v>
      </c>
      <c r="R779" s="84" t="str">
        <f>IF(
   COUNTIFS($A$2:A779,A779,
             $B$2:B779,B779,
             $C$2:C779,C779,
             $D$2:D779,D779,
             $G$2:G779,G779)&gt;1,
   "Doublon",
   "Correcte"
)</f>
        <v>Correcte</v>
      </c>
    </row>
    <row r="780" spans="1:18" x14ac:dyDescent="0.25">
      <c r="A780" s="104" t="s">
        <v>1302</v>
      </c>
      <c r="B780" s="35" t="s">
        <v>650</v>
      </c>
      <c r="C780" s="36">
        <v>0</v>
      </c>
      <c r="D780" s="36">
        <v>5</v>
      </c>
      <c r="E780" s="35" t="s">
        <v>699</v>
      </c>
      <c r="F780" s="35" t="s">
        <v>634</v>
      </c>
      <c r="G780" s="37">
        <v>45929.548425925925</v>
      </c>
      <c r="H780" s="37" t="str">
        <f>INDEX(_xlfn.TEXTSPLIT(mvtst[[#This Row],[QR Suivis]],"_"),1,1)</f>
        <v>OF246543</v>
      </c>
      <c r="I780" s="35" t="str">
        <f>_xlfn.TEXTBEFORE(mvtst[[#This Row],[Num Suivis]],"-",,,1)</f>
        <v>OF246543</v>
      </c>
      <c r="J780" s="36">
        <f>SUMIF(mvtst[QR Suivis],mvtst[[#This Row],[QR Suivis]],mvtst[QTE SORTIS])-SUMIF(mvtst[QR Suivis],mvtst[[#This Row],[QR Suivis]],mvtst[QTE RETOUR])</f>
        <v>0</v>
      </c>
      <c r="K780" s="35" t="str">
        <f t="shared" si="12"/>
        <v>Usine</v>
      </c>
      <c r="L780" s="35" t="str">
        <f>_xlfn.XLOOKUP(mvtst[[#This Row],[Sous Traitant]],coordonnee_st[Identification],coordonnee_st[SERVICE],"Non Trouvé")</f>
        <v>Frange</v>
      </c>
      <c r="M780" s="35" t="str">
        <f>INDEX(_xlfn.TEXTSPLIT(mvtst[[#This Row],[QR Suivis]],"_"),1,2)</f>
        <v>CL00296</v>
      </c>
      <c r="N780" s="35" t="str">
        <f>INDEX(_xlfn.TEXTSPLIT(mvtst[[#This Row],[QR Suivis]],"_"),1,3)</f>
        <v>CM-FT0108</v>
      </c>
      <c r="O780" s="35" t="str">
        <f>INDEX(_xlfn.TEXTSPLIT(mvtst[[#This Row],[QR Suivis]],"_"),1,4)</f>
        <v>EPMA0919-B15-02</v>
      </c>
      <c r="P780" s="35" t="str">
        <f>INDEX(_xlfn.TEXTSPLIT(mvtst[[#This Row],[QR Suivis]],"_"),1,5)</f>
        <v>MARINIERE</v>
      </c>
      <c r="Q780" s="35" t="str">
        <f>_xlfn.TEXTAFTER(mvtst[[#This Row],[QR Suivis]],"_",5)</f>
        <v>0919</v>
      </c>
      <c r="R780" s="84" t="str">
        <f>IF(
   COUNTIFS($A$2:A780,A780,
             $B$2:B780,B780,
             $C$2:C780,C780,
             $D$2:D780,D780,
             $G$2:G780,G780)&gt;1,
   "Doublon",
   "Correcte"
)</f>
        <v>Correcte</v>
      </c>
    </row>
    <row r="781" spans="1:18" x14ac:dyDescent="0.25">
      <c r="A781" s="104" t="s">
        <v>1302</v>
      </c>
      <c r="B781" s="35" t="s">
        <v>650</v>
      </c>
      <c r="C781" s="36">
        <v>0</v>
      </c>
      <c r="D781" s="36">
        <v>5</v>
      </c>
      <c r="E781" s="35" t="s">
        <v>699</v>
      </c>
      <c r="F781" s="35" t="s">
        <v>634</v>
      </c>
      <c r="G781" s="37">
        <v>45929.548692129632</v>
      </c>
      <c r="H781" s="37" t="str">
        <f>INDEX(_xlfn.TEXTSPLIT(mvtst[[#This Row],[QR Suivis]],"_"),1,1)</f>
        <v>OF246543</v>
      </c>
      <c r="I781" s="35" t="str">
        <f>_xlfn.TEXTBEFORE(mvtst[[#This Row],[Num Suivis]],"-",,,1)</f>
        <v>OF246543</v>
      </c>
      <c r="J781" s="36">
        <f>SUMIF(mvtst[QR Suivis],mvtst[[#This Row],[QR Suivis]],mvtst[QTE SORTIS])-SUMIF(mvtst[QR Suivis],mvtst[[#This Row],[QR Suivis]],mvtst[QTE RETOUR])</f>
        <v>0</v>
      </c>
      <c r="K781" s="35" t="str">
        <f t="shared" si="12"/>
        <v>Usine</v>
      </c>
      <c r="L781" s="35" t="str">
        <f>_xlfn.XLOOKUP(mvtst[[#This Row],[Sous Traitant]],coordonnee_st[Identification],coordonnee_st[SERVICE],"Non Trouvé")</f>
        <v>Frange</v>
      </c>
      <c r="M781" s="35" t="str">
        <f>INDEX(_xlfn.TEXTSPLIT(mvtst[[#This Row],[QR Suivis]],"_"),1,2)</f>
        <v>CL00296</v>
      </c>
      <c r="N781" s="35" t="str">
        <f>INDEX(_xlfn.TEXTSPLIT(mvtst[[#This Row],[QR Suivis]],"_"),1,3)</f>
        <v>CM-FT0108</v>
      </c>
      <c r="O781" s="35" t="str">
        <f>INDEX(_xlfn.TEXTSPLIT(mvtst[[#This Row],[QR Suivis]],"_"),1,4)</f>
        <v>EPMA0919-B15-02</v>
      </c>
      <c r="P781" s="35" t="str">
        <f>INDEX(_xlfn.TEXTSPLIT(mvtst[[#This Row],[QR Suivis]],"_"),1,5)</f>
        <v>MARINIERE</v>
      </c>
      <c r="Q781" s="35" t="str">
        <f>_xlfn.TEXTAFTER(mvtst[[#This Row],[QR Suivis]],"_",5)</f>
        <v>0919</v>
      </c>
      <c r="R781" s="84" t="str">
        <f>IF(
   COUNTIFS($A$2:A781,A781,
             $B$2:B781,B781,
             $C$2:C781,C781,
             $D$2:D781,D781,
             $G$2:G781,G781)&gt;1,
   "Doublon",
   "Correcte"
)</f>
        <v>Correcte</v>
      </c>
    </row>
    <row r="782" spans="1:18" x14ac:dyDescent="0.25">
      <c r="A782" s="104" t="s">
        <v>1302</v>
      </c>
      <c r="B782" s="35" t="s">
        <v>650</v>
      </c>
      <c r="C782" s="36">
        <v>0</v>
      </c>
      <c r="D782" s="36">
        <v>5</v>
      </c>
      <c r="E782" s="35" t="s">
        <v>699</v>
      </c>
      <c r="F782" s="35" t="s">
        <v>634</v>
      </c>
      <c r="G782" s="37">
        <v>45929.54892361111</v>
      </c>
      <c r="H782" s="37" t="str">
        <f>INDEX(_xlfn.TEXTSPLIT(mvtst[[#This Row],[QR Suivis]],"_"),1,1)</f>
        <v>OF246543</v>
      </c>
      <c r="I782" s="35" t="str">
        <f>_xlfn.TEXTBEFORE(mvtst[[#This Row],[Num Suivis]],"-",,,1)</f>
        <v>OF246543</v>
      </c>
      <c r="J782" s="36">
        <f>SUMIF(mvtst[QR Suivis],mvtst[[#This Row],[QR Suivis]],mvtst[QTE SORTIS])-SUMIF(mvtst[QR Suivis],mvtst[[#This Row],[QR Suivis]],mvtst[QTE RETOUR])</f>
        <v>0</v>
      </c>
      <c r="K782" s="35" t="str">
        <f t="shared" si="12"/>
        <v>Usine</v>
      </c>
      <c r="L782" s="35" t="str">
        <f>_xlfn.XLOOKUP(mvtst[[#This Row],[Sous Traitant]],coordonnee_st[Identification],coordonnee_st[SERVICE],"Non Trouvé")</f>
        <v>Frange</v>
      </c>
      <c r="M782" s="35" t="str">
        <f>INDEX(_xlfn.TEXTSPLIT(mvtst[[#This Row],[QR Suivis]],"_"),1,2)</f>
        <v>CL00296</v>
      </c>
      <c r="N782" s="35" t="str">
        <f>INDEX(_xlfn.TEXTSPLIT(mvtst[[#This Row],[QR Suivis]],"_"),1,3)</f>
        <v>CM-FT0108</v>
      </c>
      <c r="O782" s="35" t="str">
        <f>INDEX(_xlfn.TEXTSPLIT(mvtst[[#This Row],[QR Suivis]],"_"),1,4)</f>
        <v>EPMA0919-B15-02</v>
      </c>
      <c r="P782" s="35" t="str">
        <f>INDEX(_xlfn.TEXTSPLIT(mvtst[[#This Row],[QR Suivis]],"_"),1,5)</f>
        <v>MARINIERE</v>
      </c>
      <c r="Q782" s="35" t="str">
        <f>_xlfn.TEXTAFTER(mvtst[[#This Row],[QR Suivis]],"_",5)</f>
        <v>0919</v>
      </c>
      <c r="R782" s="84" t="str">
        <f>IF(
   COUNTIFS($A$2:A782,A782,
             $B$2:B782,B782,
             $C$2:C782,C782,
             $D$2:D782,D782,
             $G$2:G782,G782)&gt;1,
   "Doublon",
   "Correcte"
)</f>
        <v>Correcte</v>
      </c>
    </row>
    <row r="783" spans="1:18" x14ac:dyDescent="0.25">
      <c r="A783" s="104" t="s">
        <v>1302</v>
      </c>
      <c r="B783" s="35" t="s">
        <v>650</v>
      </c>
      <c r="C783" s="36">
        <v>0</v>
      </c>
      <c r="D783" s="36">
        <v>5</v>
      </c>
      <c r="E783" s="35" t="s">
        <v>699</v>
      </c>
      <c r="F783" s="35" t="s">
        <v>634</v>
      </c>
      <c r="G783" s="37">
        <v>45929.549212962964</v>
      </c>
      <c r="H783" s="37" t="str">
        <f>INDEX(_xlfn.TEXTSPLIT(mvtst[[#This Row],[QR Suivis]],"_"),1,1)</f>
        <v>OF246543</v>
      </c>
      <c r="I783" s="35" t="str">
        <f>_xlfn.TEXTBEFORE(mvtst[[#This Row],[Num Suivis]],"-",,,1)</f>
        <v>OF246543</v>
      </c>
      <c r="J783" s="36">
        <f>SUMIF(mvtst[QR Suivis],mvtst[[#This Row],[QR Suivis]],mvtst[QTE SORTIS])-SUMIF(mvtst[QR Suivis],mvtst[[#This Row],[QR Suivis]],mvtst[QTE RETOUR])</f>
        <v>0</v>
      </c>
      <c r="K783" s="35" t="str">
        <f t="shared" si="12"/>
        <v>Usine</v>
      </c>
      <c r="L783" s="35" t="str">
        <f>_xlfn.XLOOKUP(mvtst[[#This Row],[Sous Traitant]],coordonnee_st[Identification],coordonnee_st[SERVICE],"Non Trouvé")</f>
        <v>Frange</v>
      </c>
      <c r="M783" s="35" t="str">
        <f>INDEX(_xlfn.TEXTSPLIT(mvtst[[#This Row],[QR Suivis]],"_"),1,2)</f>
        <v>CL00296</v>
      </c>
      <c r="N783" s="35" t="str">
        <f>INDEX(_xlfn.TEXTSPLIT(mvtst[[#This Row],[QR Suivis]],"_"),1,3)</f>
        <v>CM-FT0108</v>
      </c>
      <c r="O783" s="35" t="str">
        <f>INDEX(_xlfn.TEXTSPLIT(mvtst[[#This Row],[QR Suivis]],"_"),1,4)</f>
        <v>EPMA0919-B15-02</v>
      </c>
      <c r="P783" s="35" t="str">
        <f>INDEX(_xlfn.TEXTSPLIT(mvtst[[#This Row],[QR Suivis]],"_"),1,5)</f>
        <v>MARINIERE</v>
      </c>
      <c r="Q783" s="35" t="str">
        <f>_xlfn.TEXTAFTER(mvtst[[#This Row],[QR Suivis]],"_",5)</f>
        <v>0919</v>
      </c>
      <c r="R783" s="84" t="str">
        <f>IF(
   COUNTIFS($A$2:A783,A783,
             $B$2:B783,B783,
             $C$2:C783,C783,
             $D$2:D783,D783,
             $G$2:G783,G783)&gt;1,
   "Doublon",
   "Correcte"
)</f>
        <v>Correcte</v>
      </c>
    </row>
    <row r="784" spans="1:18" x14ac:dyDescent="0.25">
      <c r="A784" s="104" t="s">
        <v>1302</v>
      </c>
      <c r="B784" s="35" t="s">
        <v>650</v>
      </c>
      <c r="C784" s="36">
        <v>0</v>
      </c>
      <c r="D784" s="36">
        <v>5</v>
      </c>
      <c r="E784" s="35" t="s">
        <v>699</v>
      </c>
      <c r="F784" s="35" t="s">
        <v>634</v>
      </c>
      <c r="G784" s="37">
        <v>45929.549490740741</v>
      </c>
      <c r="H784" s="37" t="str">
        <f>INDEX(_xlfn.TEXTSPLIT(mvtst[[#This Row],[QR Suivis]],"_"),1,1)</f>
        <v>OF246543</v>
      </c>
      <c r="I784" s="35" t="str">
        <f>_xlfn.TEXTBEFORE(mvtst[[#This Row],[Num Suivis]],"-",,,1)</f>
        <v>OF246543</v>
      </c>
      <c r="J784" s="36">
        <f>SUMIF(mvtst[QR Suivis],mvtst[[#This Row],[QR Suivis]],mvtst[QTE SORTIS])-SUMIF(mvtst[QR Suivis],mvtst[[#This Row],[QR Suivis]],mvtst[QTE RETOUR])</f>
        <v>0</v>
      </c>
      <c r="K784" s="35" t="str">
        <f t="shared" si="12"/>
        <v>Usine</v>
      </c>
      <c r="L784" s="35" t="str">
        <f>_xlfn.XLOOKUP(mvtst[[#This Row],[Sous Traitant]],coordonnee_st[Identification],coordonnee_st[SERVICE],"Non Trouvé")</f>
        <v>Frange</v>
      </c>
      <c r="M784" s="35" t="str">
        <f>INDEX(_xlfn.TEXTSPLIT(mvtst[[#This Row],[QR Suivis]],"_"),1,2)</f>
        <v>CL00296</v>
      </c>
      <c r="N784" s="35" t="str">
        <f>INDEX(_xlfn.TEXTSPLIT(mvtst[[#This Row],[QR Suivis]],"_"),1,3)</f>
        <v>CM-FT0108</v>
      </c>
      <c r="O784" s="35" t="str">
        <f>INDEX(_xlfn.TEXTSPLIT(mvtst[[#This Row],[QR Suivis]],"_"),1,4)</f>
        <v>EPMA0919-B15-02</v>
      </c>
      <c r="P784" s="35" t="str">
        <f>INDEX(_xlfn.TEXTSPLIT(mvtst[[#This Row],[QR Suivis]],"_"),1,5)</f>
        <v>MARINIERE</v>
      </c>
      <c r="Q784" s="35" t="str">
        <f>_xlfn.TEXTAFTER(mvtst[[#This Row],[QR Suivis]],"_",5)</f>
        <v>0919</v>
      </c>
      <c r="R784" s="84" t="str">
        <f>IF(
   COUNTIFS($A$2:A784,A784,
             $B$2:B784,B784,
             $C$2:C784,C784,
             $D$2:D784,D784,
             $G$2:G784,G784)&gt;1,
   "Doublon",
   "Correcte"
)</f>
        <v>Correcte</v>
      </c>
    </row>
    <row r="785" spans="1:18" x14ac:dyDescent="0.25">
      <c r="A785" s="104" t="s">
        <v>1302</v>
      </c>
      <c r="B785" s="35" t="s">
        <v>650</v>
      </c>
      <c r="C785" s="36">
        <v>0</v>
      </c>
      <c r="D785" s="36">
        <v>5</v>
      </c>
      <c r="E785" s="35" t="s">
        <v>699</v>
      </c>
      <c r="F785" s="35" t="s">
        <v>634</v>
      </c>
      <c r="G785" s="37">
        <v>45929.549837962964</v>
      </c>
      <c r="H785" s="37" t="str">
        <f>INDEX(_xlfn.TEXTSPLIT(mvtst[[#This Row],[QR Suivis]],"_"),1,1)</f>
        <v>OF246543</v>
      </c>
      <c r="I785" s="35" t="str">
        <f>_xlfn.TEXTBEFORE(mvtst[[#This Row],[Num Suivis]],"-",,,1)</f>
        <v>OF246543</v>
      </c>
      <c r="J785" s="36">
        <f>SUMIF(mvtst[QR Suivis],mvtst[[#This Row],[QR Suivis]],mvtst[QTE SORTIS])-SUMIF(mvtst[QR Suivis],mvtst[[#This Row],[QR Suivis]],mvtst[QTE RETOUR])</f>
        <v>0</v>
      </c>
      <c r="K785" s="35" t="str">
        <f t="shared" si="12"/>
        <v>Usine</v>
      </c>
      <c r="L785" s="35" t="str">
        <f>_xlfn.XLOOKUP(mvtst[[#This Row],[Sous Traitant]],coordonnee_st[Identification],coordonnee_st[SERVICE],"Non Trouvé")</f>
        <v>Frange</v>
      </c>
      <c r="M785" s="35" t="str">
        <f>INDEX(_xlfn.TEXTSPLIT(mvtst[[#This Row],[QR Suivis]],"_"),1,2)</f>
        <v>CL00296</v>
      </c>
      <c r="N785" s="35" t="str">
        <f>INDEX(_xlfn.TEXTSPLIT(mvtst[[#This Row],[QR Suivis]],"_"),1,3)</f>
        <v>CM-FT0108</v>
      </c>
      <c r="O785" s="35" t="str">
        <f>INDEX(_xlfn.TEXTSPLIT(mvtst[[#This Row],[QR Suivis]],"_"),1,4)</f>
        <v>EPMA0919-B15-02</v>
      </c>
      <c r="P785" s="35" t="str">
        <f>INDEX(_xlfn.TEXTSPLIT(mvtst[[#This Row],[QR Suivis]],"_"),1,5)</f>
        <v>MARINIERE</v>
      </c>
      <c r="Q785" s="35" t="str">
        <f>_xlfn.TEXTAFTER(mvtst[[#This Row],[QR Suivis]],"_",5)</f>
        <v>0919</v>
      </c>
      <c r="R785" s="84" t="str">
        <f>IF(
   COUNTIFS($A$2:A785,A785,
             $B$2:B785,B785,
             $C$2:C785,C785,
             $D$2:D785,D785,
             $G$2:G785,G785)&gt;1,
   "Doublon",
   "Correcte"
)</f>
        <v>Correcte</v>
      </c>
    </row>
    <row r="786" spans="1:18" x14ac:dyDescent="0.25">
      <c r="A786" s="104" t="s">
        <v>1403</v>
      </c>
      <c r="B786" s="35" t="s">
        <v>649</v>
      </c>
      <c r="C786" s="36">
        <v>0</v>
      </c>
      <c r="D786" s="36">
        <v>5</v>
      </c>
      <c r="E786" s="35" t="s">
        <v>699</v>
      </c>
      <c r="F786" s="35" t="s">
        <v>634</v>
      </c>
      <c r="G786" s="37">
        <v>45929.556886574072</v>
      </c>
      <c r="H786" s="37" t="str">
        <f>INDEX(_xlfn.TEXTSPLIT(mvtst[[#This Row],[QR Suivis]],"_"),1,1)</f>
        <v>CA250637-7</v>
      </c>
      <c r="I786" s="35" t="str">
        <f>_xlfn.TEXTBEFORE(mvtst[[#This Row],[Num Suivis]],"-",,,1)</f>
        <v>CA250637</v>
      </c>
      <c r="J786" s="36">
        <f>SUMIF(mvtst[QR Suivis],mvtst[[#This Row],[QR Suivis]],mvtst[QTE SORTIS])-SUMIF(mvtst[QR Suivis],mvtst[[#This Row],[QR Suivis]],mvtst[QTE RETOUR])</f>
        <v>0</v>
      </c>
      <c r="K786" s="35" t="str">
        <f t="shared" si="12"/>
        <v>Usine</v>
      </c>
      <c r="L786" s="35" t="str">
        <f>_xlfn.XLOOKUP(mvtst[[#This Row],[Sous Traitant]],coordonnee_st[Identification],coordonnee_st[SERVICE],"Non Trouvé")</f>
        <v>Frange</v>
      </c>
      <c r="M786" s="35" t="str">
        <f>INDEX(_xlfn.TEXTSPLIT(mvtst[[#This Row],[QR Suivis]],"_"),1,2)</f>
        <v>All by Fouta</v>
      </c>
      <c r="N786" s="35" t="str">
        <f>INDEX(_xlfn.TEXTSPLIT(mvtst[[#This Row],[QR Suivis]],"_"),1,3)</f>
        <v>Stock</v>
      </c>
      <c r="O786" s="35" t="str">
        <f>INDEX(_xlfn.TEXTSPLIT(mvtst[[#This Row],[QR Suivis]],"_"),1,4)</f>
        <v>EPMA0919-B26-02</v>
      </c>
      <c r="P786" s="35" t="str">
        <f>INDEX(_xlfn.TEXTSPLIT(mvtst[[#This Row],[QR Suivis]],"_"),1,5)</f>
        <v>MARINIERE</v>
      </c>
      <c r="Q786" s="35" t="str">
        <f>_xlfn.TEXTAFTER(mvtst[[#This Row],[QR Suivis]],"_",5)</f>
        <v>0919</v>
      </c>
      <c r="R786" s="84" t="str">
        <f>IF(
   COUNTIFS($A$2:A786,A786,
             $B$2:B786,B786,
             $C$2:C786,C786,
             $D$2:D786,D786,
             $G$2:G786,G786)&gt;1,
   "Doublon",
   "Correcte"
)</f>
        <v>Correcte</v>
      </c>
    </row>
    <row r="787" spans="1:18" x14ac:dyDescent="0.25">
      <c r="A787" s="104" t="s">
        <v>1404</v>
      </c>
      <c r="B787" s="35" t="s">
        <v>649</v>
      </c>
      <c r="C787" s="36">
        <v>0</v>
      </c>
      <c r="D787" s="36">
        <v>5</v>
      </c>
      <c r="E787" s="35" t="s">
        <v>699</v>
      </c>
      <c r="F787" s="35" t="s">
        <v>634</v>
      </c>
      <c r="G787" s="37">
        <v>45929.557060185187</v>
      </c>
      <c r="H787" s="37" t="str">
        <f>INDEX(_xlfn.TEXTSPLIT(mvtst[[#This Row],[QR Suivis]],"_"),1,1)</f>
        <v>CA250637-4</v>
      </c>
      <c r="I787" s="35" t="str">
        <f>_xlfn.TEXTBEFORE(mvtst[[#This Row],[Num Suivis]],"-",,,1)</f>
        <v>CA250637</v>
      </c>
      <c r="J787" s="36">
        <f>SUMIF(mvtst[QR Suivis],mvtst[[#This Row],[QR Suivis]],mvtst[QTE SORTIS])-SUMIF(mvtst[QR Suivis],mvtst[[#This Row],[QR Suivis]],mvtst[QTE RETOUR])</f>
        <v>0</v>
      </c>
      <c r="K787" s="35" t="str">
        <f t="shared" si="12"/>
        <v>Usine</v>
      </c>
      <c r="L787" s="35" t="str">
        <f>_xlfn.XLOOKUP(mvtst[[#This Row],[Sous Traitant]],coordonnee_st[Identification],coordonnee_st[SERVICE],"Non Trouvé")</f>
        <v>Frange</v>
      </c>
      <c r="M787" s="35" t="str">
        <f>INDEX(_xlfn.TEXTSPLIT(mvtst[[#This Row],[QR Suivis]],"_"),1,2)</f>
        <v>All by Fouta</v>
      </c>
      <c r="N787" s="35" t="str">
        <f>INDEX(_xlfn.TEXTSPLIT(mvtst[[#This Row],[QR Suivis]],"_"),1,3)</f>
        <v>Stock</v>
      </c>
      <c r="O787" s="35" t="str">
        <f>INDEX(_xlfn.TEXTSPLIT(mvtst[[#This Row],[QR Suivis]],"_"),1,4)</f>
        <v>EPMA0919-B26-02</v>
      </c>
      <c r="P787" s="35" t="str">
        <f>INDEX(_xlfn.TEXTSPLIT(mvtst[[#This Row],[QR Suivis]],"_"),1,5)</f>
        <v>MARINIERE</v>
      </c>
      <c r="Q787" s="35" t="str">
        <f>_xlfn.TEXTAFTER(mvtst[[#This Row],[QR Suivis]],"_",5)</f>
        <v>0919</v>
      </c>
      <c r="R787" s="84" t="str">
        <f>IF(
   COUNTIFS($A$2:A787,A787,
             $B$2:B787,B787,
             $C$2:C787,C787,
             $D$2:D787,D787,
             $G$2:G787,G787)&gt;1,
   "Doublon",
   "Correcte"
)</f>
        <v>Correcte</v>
      </c>
    </row>
    <row r="788" spans="1:18" x14ac:dyDescent="0.25">
      <c r="A788" s="104" t="s">
        <v>1396</v>
      </c>
      <c r="B788" s="35" t="s">
        <v>649</v>
      </c>
      <c r="C788" s="36">
        <v>0</v>
      </c>
      <c r="D788" s="36">
        <v>5</v>
      </c>
      <c r="E788" s="35" t="s">
        <v>699</v>
      </c>
      <c r="F788" s="35" t="s">
        <v>634</v>
      </c>
      <c r="G788" s="37">
        <v>45929.557847222219</v>
      </c>
      <c r="H788" s="37" t="str">
        <f>INDEX(_xlfn.TEXTSPLIT(mvtst[[#This Row],[QR Suivis]],"_"),1,1)</f>
        <v>OF246533-10</v>
      </c>
      <c r="I788" s="35" t="str">
        <f>_xlfn.TEXTBEFORE(mvtst[[#This Row],[Num Suivis]],"-",,,1)</f>
        <v>OF246533</v>
      </c>
      <c r="J788" s="36">
        <f>SUMIF(mvtst[QR Suivis],mvtst[[#This Row],[QR Suivis]],mvtst[QTE SORTIS])-SUMIF(mvtst[QR Suivis],mvtst[[#This Row],[QR Suivis]],mvtst[QTE RETOUR])</f>
        <v>0</v>
      </c>
      <c r="K788" s="35" t="str">
        <f t="shared" si="12"/>
        <v>Usine</v>
      </c>
      <c r="L788" s="35" t="str">
        <f>_xlfn.XLOOKUP(mvtst[[#This Row],[Sous Traitant]],coordonnee_st[Identification],coordonnee_st[SERVICE],"Non Trouvé")</f>
        <v>Frange</v>
      </c>
      <c r="M788" s="35" t="str">
        <f>INDEX(_xlfn.TEXTSPLIT(mvtst[[#This Row],[QR Suivis]],"_"),1,2)</f>
        <v>CL00296</v>
      </c>
      <c r="N788" s="35" t="str">
        <f>INDEX(_xlfn.TEXTSPLIT(mvtst[[#This Row],[QR Suivis]],"_"),1,3)</f>
        <v>CM-FT0108</v>
      </c>
      <c r="O788" s="35" t="str">
        <f>INDEX(_xlfn.TEXTSPLIT(mvtst[[#This Row],[QR Suivis]],"_"),1,4)</f>
        <v>EPMA0919-B15-02</v>
      </c>
      <c r="P788" s="35" t="str">
        <f>INDEX(_xlfn.TEXTSPLIT(mvtst[[#This Row],[QR Suivis]],"_"),1,5)</f>
        <v>MARINIERE</v>
      </c>
      <c r="Q788" s="35" t="str">
        <f>_xlfn.TEXTAFTER(mvtst[[#This Row],[QR Suivis]],"_",5)</f>
        <v>0919</v>
      </c>
      <c r="R788" s="84" t="str">
        <f>IF(
   COUNTIFS($A$2:A788,A788,
             $B$2:B788,B788,
             $C$2:C788,C788,
             $D$2:D788,D788,
             $G$2:G788,G788)&gt;1,
   "Doublon",
   "Correcte"
)</f>
        <v>Correcte</v>
      </c>
    </row>
    <row r="789" spans="1:18" x14ac:dyDescent="0.25">
      <c r="A789" s="104" t="s">
        <v>1397</v>
      </c>
      <c r="B789" s="35" t="s">
        <v>649</v>
      </c>
      <c r="C789" s="36">
        <v>0</v>
      </c>
      <c r="D789" s="36">
        <v>5</v>
      </c>
      <c r="E789" s="35" t="s">
        <v>699</v>
      </c>
      <c r="F789" s="35" t="s">
        <v>634</v>
      </c>
      <c r="G789" s="37">
        <v>45929.558645833335</v>
      </c>
      <c r="H789" s="37" t="str">
        <f>INDEX(_xlfn.TEXTSPLIT(mvtst[[#This Row],[QR Suivis]],"_"),1,1)</f>
        <v>OF246533-15</v>
      </c>
      <c r="I789" s="35" t="str">
        <f>_xlfn.TEXTBEFORE(mvtst[[#This Row],[Num Suivis]],"-",,,1)</f>
        <v>OF246533</v>
      </c>
      <c r="J789" s="36">
        <f>SUMIF(mvtst[QR Suivis],mvtst[[#This Row],[QR Suivis]],mvtst[QTE SORTIS])-SUMIF(mvtst[QR Suivis],mvtst[[#This Row],[QR Suivis]],mvtst[QTE RETOUR])</f>
        <v>0</v>
      </c>
      <c r="K789" s="35" t="str">
        <f t="shared" si="12"/>
        <v>Usine</v>
      </c>
      <c r="L789" s="35" t="str">
        <f>_xlfn.XLOOKUP(mvtst[[#This Row],[Sous Traitant]],coordonnee_st[Identification],coordonnee_st[SERVICE],"Non Trouvé")</f>
        <v>Frange</v>
      </c>
      <c r="M789" s="35" t="str">
        <f>INDEX(_xlfn.TEXTSPLIT(mvtst[[#This Row],[QR Suivis]],"_"),1,2)</f>
        <v>CL00296</v>
      </c>
      <c r="N789" s="35" t="str">
        <f>INDEX(_xlfn.TEXTSPLIT(mvtst[[#This Row],[QR Suivis]],"_"),1,3)</f>
        <v>CM-FT0108</v>
      </c>
      <c r="O789" s="35" t="str">
        <f>INDEX(_xlfn.TEXTSPLIT(mvtst[[#This Row],[QR Suivis]],"_"),1,4)</f>
        <v>EPMA0919-B15-02</v>
      </c>
      <c r="P789" s="35" t="str">
        <f>INDEX(_xlfn.TEXTSPLIT(mvtst[[#This Row],[QR Suivis]],"_"),1,5)</f>
        <v>MARINIERE</v>
      </c>
      <c r="Q789" s="35" t="str">
        <f>_xlfn.TEXTAFTER(mvtst[[#This Row],[QR Suivis]],"_",5)</f>
        <v>0919</v>
      </c>
      <c r="R789" s="84" t="str">
        <f>IF(
   COUNTIFS($A$2:A789,A789,
             $B$2:B789,B789,
             $C$2:C789,C789,
             $D$2:D789,D789,
             $G$2:G789,G789)&gt;1,
   "Doublon",
   "Correcte"
)</f>
        <v>Correcte</v>
      </c>
    </row>
    <row r="790" spans="1:18" x14ac:dyDescent="0.25">
      <c r="A790" s="104" t="s">
        <v>1398</v>
      </c>
      <c r="B790" s="35" t="s">
        <v>649</v>
      </c>
      <c r="C790" s="36">
        <v>0</v>
      </c>
      <c r="D790" s="36">
        <v>5</v>
      </c>
      <c r="E790" s="35" t="s">
        <v>699</v>
      </c>
      <c r="F790" s="35" t="s">
        <v>634</v>
      </c>
      <c r="G790" s="37">
        <v>45929.558935185189</v>
      </c>
      <c r="H790" s="37" t="str">
        <f>INDEX(_xlfn.TEXTSPLIT(mvtst[[#This Row],[QR Suivis]],"_"),1,1)</f>
        <v>OF246533-2</v>
      </c>
      <c r="I790" s="35" t="str">
        <f>_xlfn.TEXTBEFORE(mvtst[[#This Row],[Num Suivis]],"-",,,1)</f>
        <v>OF246533</v>
      </c>
      <c r="J790" s="36">
        <f>SUMIF(mvtst[QR Suivis],mvtst[[#This Row],[QR Suivis]],mvtst[QTE SORTIS])-SUMIF(mvtst[QR Suivis],mvtst[[#This Row],[QR Suivis]],mvtst[QTE RETOUR])</f>
        <v>0</v>
      </c>
      <c r="K790" s="35" t="str">
        <f t="shared" si="12"/>
        <v>Usine</v>
      </c>
      <c r="L790" s="35" t="str">
        <f>_xlfn.XLOOKUP(mvtst[[#This Row],[Sous Traitant]],coordonnee_st[Identification],coordonnee_st[SERVICE],"Non Trouvé")</f>
        <v>Frange</v>
      </c>
      <c r="M790" s="35" t="str">
        <f>INDEX(_xlfn.TEXTSPLIT(mvtst[[#This Row],[QR Suivis]],"_"),1,2)</f>
        <v>CL00296</v>
      </c>
      <c r="N790" s="35" t="str">
        <f>INDEX(_xlfn.TEXTSPLIT(mvtst[[#This Row],[QR Suivis]],"_"),1,3)</f>
        <v>CM-FT0108</v>
      </c>
      <c r="O790" s="35" t="str">
        <f>INDEX(_xlfn.TEXTSPLIT(mvtst[[#This Row],[QR Suivis]],"_"),1,4)</f>
        <v>EPMA0919-B15-02</v>
      </c>
      <c r="P790" s="35" t="str">
        <f>INDEX(_xlfn.TEXTSPLIT(mvtst[[#This Row],[QR Suivis]],"_"),1,5)</f>
        <v>MARINIERE</v>
      </c>
      <c r="Q790" s="35" t="str">
        <f>_xlfn.TEXTAFTER(mvtst[[#This Row],[QR Suivis]],"_",5)</f>
        <v>0919</v>
      </c>
      <c r="R790" s="84" t="str">
        <f>IF(
   COUNTIFS($A$2:A790,A790,
             $B$2:B790,B790,
             $C$2:C790,C790,
             $D$2:D790,D790,
             $G$2:G790,G790)&gt;1,
   "Doublon",
   "Correcte"
)</f>
        <v>Correcte</v>
      </c>
    </row>
    <row r="791" spans="1:18" x14ac:dyDescent="0.25">
      <c r="A791" s="104" t="s">
        <v>1405</v>
      </c>
      <c r="B791" s="35" t="s">
        <v>649</v>
      </c>
      <c r="C791" s="36">
        <v>0</v>
      </c>
      <c r="D791" s="36">
        <v>5</v>
      </c>
      <c r="E791" s="35" t="s">
        <v>699</v>
      </c>
      <c r="F791" s="35" t="s">
        <v>634</v>
      </c>
      <c r="G791" s="37">
        <v>45929.559594907405</v>
      </c>
      <c r="H791" s="37" t="str">
        <f>INDEX(_xlfn.TEXTSPLIT(mvtst[[#This Row],[QR Suivis]],"_"),1,1)</f>
        <v>CA250637-5</v>
      </c>
      <c r="I791" s="35" t="str">
        <f>_xlfn.TEXTBEFORE(mvtst[[#This Row],[Num Suivis]],"-",,,1)</f>
        <v>CA250637</v>
      </c>
      <c r="J791" s="36">
        <f>SUMIF(mvtst[QR Suivis],mvtst[[#This Row],[QR Suivis]],mvtst[QTE SORTIS])-SUMIF(mvtst[QR Suivis],mvtst[[#This Row],[QR Suivis]],mvtst[QTE RETOUR])</f>
        <v>0</v>
      </c>
      <c r="K791" s="35" t="str">
        <f t="shared" si="12"/>
        <v>Usine</v>
      </c>
      <c r="L791" s="35" t="str">
        <f>_xlfn.XLOOKUP(mvtst[[#This Row],[Sous Traitant]],coordonnee_st[Identification],coordonnee_st[SERVICE],"Non Trouvé")</f>
        <v>Frange</v>
      </c>
      <c r="M791" s="35" t="str">
        <f>INDEX(_xlfn.TEXTSPLIT(mvtst[[#This Row],[QR Suivis]],"_"),1,2)</f>
        <v>All by Fouta</v>
      </c>
      <c r="N791" s="35" t="str">
        <f>INDEX(_xlfn.TEXTSPLIT(mvtst[[#This Row],[QR Suivis]],"_"),1,3)</f>
        <v>Stock</v>
      </c>
      <c r="O791" s="35" t="str">
        <f>INDEX(_xlfn.TEXTSPLIT(mvtst[[#This Row],[QR Suivis]],"_"),1,4)</f>
        <v>EPMA0919-B26-02</v>
      </c>
      <c r="P791" s="35" t="str">
        <f>INDEX(_xlfn.TEXTSPLIT(mvtst[[#This Row],[QR Suivis]],"_"),1,5)</f>
        <v>MARINIERE</v>
      </c>
      <c r="Q791" s="35" t="str">
        <f>_xlfn.TEXTAFTER(mvtst[[#This Row],[QR Suivis]],"_",5)</f>
        <v>0919</v>
      </c>
      <c r="R791" s="84" t="str">
        <f>IF(
   COUNTIFS($A$2:A791,A791,
             $B$2:B791,B791,
             $C$2:C791,C791,
             $D$2:D791,D791,
             $G$2:G791,G791)&gt;1,
   "Doublon",
   "Correcte"
)</f>
        <v>Correcte</v>
      </c>
    </row>
    <row r="792" spans="1:18" x14ac:dyDescent="0.25">
      <c r="A792" s="104" t="s">
        <v>1406</v>
      </c>
      <c r="B792" s="35" t="s">
        <v>649</v>
      </c>
      <c r="C792" s="36">
        <v>0</v>
      </c>
      <c r="D792" s="36">
        <v>5</v>
      </c>
      <c r="E792" s="35" t="s">
        <v>699</v>
      </c>
      <c r="F792" s="35" t="s">
        <v>634</v>
      </c>
      <c r="G792" s="37">
        <v>45929.55982638889</v>
      </c>
      <c r="H792" s="37" t="str">
        <f>INDEX(_xlfn.TEXTSPLIT(mvtst[[#This Row],[QR Suivis]],"_"),1,1)</f>
        <v>CA250637-8</v>
      </c>
      <c r="I792" s="35" t="str">
        <f>_xlfn.TEXTBEFORE(mvtst[[#This Row],[Num Suivis]],"-",,,1)</f>
        <v>CA250637</v>
      </c>
      <c r="J792" s="36">
        <f>SUMIF(mvtst[QR Suivis],mvtst[[#This Row],[QR Suivis]],mvtst[QTE SORTIS])-SUMIF(mvtst[QR Suivis],mvtst[[#This Row],[QR Suivis]],mvtst[QTE RETOUR])</f>
        <v>0</v>
      </c>
      <c r="K792" s="35" t="str">
        <f t="shared" si="12"/>
        <v>Usine</v>
      </c>
      <c r="L792" s="35" t="str">
        <f>_xlfn.XLOOKUP(mvtst[[#This Row],[Sous Traitant]],coordonnee_st[Identification],coordonnee_st[SERVICE],"Non Trouvé")</f>
        <v>Frange</v>
      </c>
      <c r="M792" s="35" t="str">
        <f>INDEX(_xlfn.TEXTSPLIT(mvtst[[#This Row],[QR Suivis]],"_"),1,2)</f>
        <v>All by Fouta</v>
      </c>
      <c r="N792" s="35" t="str">
        <f>INDEX(_xlfn.TEXTSPLIT(mvtst[[#This Row],[QR Suivis]],"_"),1,3)</f>
        <v>Stock</v>
      </c>
      <c r="O792" s="35" t="str">
        <f>INDEX(_xlfn.TEXTSPLIT(mvtst[[#This Row],[QR Suivis]],"_"),1,4)</f>
        <v>EPMA0919-B26-02</v>
      </c>
      <c r="P792" s="35" t="str">
        <f>INDEX(_xlfn.TEXTSPLIT(mvtst[[#This Row],[QR Suivis]],"_"),1,5)</f>
        <v>MARINIERE</v>
      </c>
      <c r="Q792" s="35" t="str">
        <f>_xlfn.TEXTAFTER(mvtst[[#This Row],[QR Suivis]],"_",5)</f>
        <v>0919</v>
      </c>
      <c r="R792" s="84" t="str">
        <f>IF(
   COUNTIFS($A$2:A792,A792,
             $B$2:B792,B792,
             $C$2:C792,C792,
             $D$2:D792,D792,
             $G$2:G792,G792)&gt;1,
   "Doublon",
   "Correcte"
)</f>
        <v>Correcte</v>
      </c>
    </row>
    <row r="793" spans="1:18" x14ac:dyDescent="0.25">
      <c r="A793" s="104" t="s">
        <v>1407</v>
      </c>
      <c r="B793" s="35" t="s">
        <v>649</v>
      </c>
      <c r="C793" s="36">
        <v>0</v>
      </c>
      <c r="D793" s="36">
        <v>5</v>
      </c>
      <c r="E793" s="35" t="s">
        <v>699</v>
      </c>
      <c r="F793" s="35" t="s">
        <v>634</v>
      </c>
      <c r="G793" s="37">
        <v>45929.560543981483</v>
      </c>
      <c r="H793" s="37" t="str">
        <f>INDEX(_xlfn.TEXTSPLIT(mvtst[[#This Row],[QR Suivis]],"_"),1,1)</f>
        <v>CA250637-9</v>
      </c>
      <c r="I793" s="35" t="str">
        <f>_xlfn.TEXTBEFORE(mvtst[[#This Row],[Num Suivis]],"-",,,1)</f>
        <v>CA250637</v>
      </c>
      <c r="J793" s="36">
        <f>SUMIF(mvtst[QR Suivis],mvtst[[#This Row],[QR Suivis]],mvtst[QTE SORTIS])-SUMIF(mvtst[QR Suivis],mvtst[[#This Row],[QR Suivis]],mvtst[QTE RETOUR])</f>
        <v>0</v>
      </c>
      <c r="K793" s="35" t="str">
        <f t="shared" si="12"/>
        <v>Usine</v>
      </c>
      <c r="L793" s="35" t="str">
        <f>_xlfn.XLOOKUP(mvtst[[#This Row],[Sous Traitant]],coordonnee_st[Identification],coordonnee_st[SERVICE],"Non Trouvé")</f>
        <v>Frange</v>
      </c>
      <c r="M793" s="35" t="str">
        <f>INDEX(_xlfn.TEXTSPLIT(mvtst[[#This Row],[QR Suivis]],"_"),1,2)</f>
        <v>All by Fouta</v>
      </c>
      <c r="N793" s="35" t="str">
        <f>INDEX(_xlfn.TEXTSPLIT(mvtst[[#This Row],[QR Suivis]],"_"),1,3)</f>
        <v>Stock</v>
      </c>
      <c r="O793" s="35" t="str">
        <f>INDEX(_xlfn.TEXTSPLIT(mvtst[[#This Row],[QR Suivis]],"_"),1,4)</f>
        <v>EPMA0919-B26-02</v>
      </c>
      <c r="P793" s="35" t="str">
        <f>INDEX(_xlfn.TEXTSPLIT(mvtst[[#This Row],[QR Suivis]],"_"),1,5)</f>
        <v>MARINIERE</v>
      </c>
      <c r="Q793" s="35" t="str">
        <f>_xlfn.TEXTAFTER(mvtst[[#This Row],[QR Suivis]],"_",5)</f>
        <v>0919</v>
      </c>
      <c r="R793" s="84" t="str">
        <f>IF(
   COUNTIFS($A$2:A793,A793,
             $B$2:B793,B793,
             $C$2:C793,C793,
             $D$2:D793,D793,
             $G$2:G793,G793)&gt;1,
   "Doublon",
   "Correcte"
)</f>
        <v>Correcte</v>
      </c>
    </row>
    <row r="794" spans="1:18" x14ac:dyDescent="0.25">
      <c r="A794" s="104" t="s">
        <v>1408</v>
      </c>
      <c r="B794" s="35" t="s">
        <v>649</v>
      </c>
      <c r="C794" s="36">
        <v>0</v>
      </c>
      <c r="D794" s="36">
        <v>5</v>
      </c>
      <c r="E794" s="35" t="s">
        <v>699</v>
      </c>
      <c r="F794" s="35" t="s">
        <v>634</v>
      </c>
      <c r="G794" s="37">
        <v>45929.560891203706</v>
      </c>
      <c r="H794" s="37" t="str">
        <f>INDEX(_xlfn.TEXTSPLIT(mvtst[[#This Row],[QR Suivis]],"_"),1,1)</f>
        <v>CA250637-14</v>
      </c>
      <c r="I794" s="35" t="str">
        <f>_xlfn.TEXTBEFORE(mvtst[[#This Row],[Num Suivis]],"-",,,1)</f>
        <v>CA250637</v>
      </c>
      <c r="J794" s="36">
        <f>SUMIF(mvtst[QR Suivis],mvtst[[#This Row],[QR Suivis]],mvtst[QTE SORTIS])-SUMIF(mvtst[QR Suivis],mvtst[[#This Row],[QR Suivis]],mvtst[QTE RETOUR])</f>
        <v>0</v>
      </c>
      <c r="K794" s="35" t="str">
        <f t="shared" si="12"/>
        <v>Usine</v>
      </c>
      <c r="L794" s="35" t="str">
        <f>_xlfn.XLOOKUP(mvtst[[#This Row],[Sous Traitant]],coordonnee_st[Identification],coordonnee_st[SERVICE],"Non Trouvé")</f>
        <v>Frange</v>
      </c>
      <c r="M794" s="35" t="str">
        <f>INDEX(_xlfn.TEXTSPLIT(mvtst[[#This Row],[QR Suivis]],"_"),1,2)</f>
        <v>All by Fouta</v>
      </c>
      <c r="N794" s="35" t="str">
        <f>INDEX(_xlfn.TEXTSPLIT(mvtst[[#This Row],[QR Suivis]],"_"),1,3)</f>
        <v>Stock</v>
      </c>
      <c r="O794" s="35" t="str">
        <f>INDEX(_xlfn.TEXTSPLIT(mvtst[[#This Row],[QR Suivis]],"_"),1,4)</f>
        <v>EPMA0919-B26-02</v>
      </c>
      <c r="P794" s="35" t="str">
        <f>INDEX(_xlfn.TEXTSPLIT(mvtst[[#This Row],[QR Suivis]],"_"),1,5)</f>
        <v>MARINIERE</v>
      </c>
      <c r="Q794" s="35" t="str">
        <f>_xlfn.TEXTAFTER(mvtst[[#This Row],[QR Suivis]],"_",5)</f>
        <v>0919</v>
      </c>
      <c r="R794" s="84" t="str">
        <f>IF(
   COUNTIFS($A$2:A794,A794,
             $B$2:B794,B794,
             $C$2:C794,C794,
             $D$2:D794,D794,
             $G$2:G794,G794)&gt;1,
   "Doublon",
   "Correcte"
)</f>
        <v>Correcte</v>
      </c>
    </row>
    <row r="795" spans="1:18" x14ac:dyDescent="0.25">
      <c r="A795" s="104" t="s">
        <v>1409</v>
      </c>
      <c r="B795" s="35" t="s">
        <v>649</v>
      </c>
      <c r="C795" s="36">
        <v>0</v>
      </c>
      <c r="D795" s="36">
        <v>5</v>
      </c>
      <c r="E795" s="35" t="s">
        <v>699</v>
      </c>
      <c r="F795" s="35" t="s">
        <v>634</v>
      </c>
      <c r="G795" s="37">
        <v>45929.561122685183</v>
      </c>
      <c r="H795" s="37" t="str">
        <f>INDEX(_xlfn.TEXTSPLIT(mvtst[[#This Row],[QR Suivis]],"_"),1,1)</f>
        <v>CA250637-3</v>
      </c>
      <c r="I795" s="35" t="str">
        <f>_xlfn.TEXTBEFORE(mvtst[[#This Row],[Num Suivis]],"-",,,1)</f>
        <v>CA250637</v>
      </c>
      <c r="J795" s="36">
        <f>SUMIF(mvtst[QR Suivis],mvtst[[#This Row],[QR Suivis]],mvtst[QTE SORTIS])-SUMIF(mvtst[QR Suivis],mvtst[[#This Row],[QR Suivis]],mvtst[QTE RETOUR])</f>
        <v>0</v>
      </c>
      <c r="K795" s="35" t="str">
        <f t="shared" si="12"/>
        <v>Usine</v>
      </c>
      <c r="L795" s="35" t="str">
        <f>_xlfn.XLOOKUP(mvtst[[#This Row],[Sous Traitant]],coordonnee_st[Identification],coordonnee_st[SERVICE],"Non Trouvé")</f>
        <v>Frange</v>
      </c>
      <c r="M795" s="35" t="str">
        <f>INDEX(_xlfn.TEXTSPLIT(mvtst[[#This Row],[QR Suivis]],"_"),1,2)</f>
        <v>All by Fouta</v>
      </c>
      <c r="N795" s="35" t="str">
        <f>INDEX(_xlfn.TEXTSPLIT(mvtst[[#This Row],[QR Suivis]],"_"),1,3)</f>
        <v>Stock</v>
      </c>
      <c r="O795" s="35" t="str">
        <f>INDEX(_xlfn.TEXTSPLIT(mvtst[[#This Row],[QR Suivis]],"_"),1,4)</f>
        <v>EPMA0919-B26-02</v>
      </c>
      <c r="P795" s="35" t="str">
        <f>INDEX(_xlfn.TEXTSPLIT(mvtst[[#This Row],[QR Suivis]],"_"),1,5)</f>
        <v>MARINIERE</v>
      </c>
      <c r="Q795" s="35" t="str">
        <f>_xlfn.TEXTAFTER(mvtst[[#This Row],[QR Suivis]],"_",5)</f>
        <v>0919</v>
      </c>
      <c r="R795" s="84" t="str">
        <f>IF(
   COUNTIFS($A$2:A795,A795,
             $B$2:B795,B795,
             $C$2:C795,C795,
             $D$2:D795,D795,
             $G$2:G795,G795)&gt;1,
   "Doublon",
   "Correcte"
)</f>
        <v>Correcte</v>
      </c>
    </row>
    <row r="796" spans="1:18" x14ac:dyDescent="0.25">
      <c r="A796" s="104" t="s">
        <v>1410</v>
      </c>
      <c r="B796" s="35" t="s">
        <v>649</v>
      </c>
      <c r="C796" s="36">
        <v>0</v>
      </c>
      <c r="D796" s="36">
        <v>5</v>
      </c>
      <c r="E796" s="35" t="s">
        <v>699</v>
      </c>
      <c r="F796" s="35" t="s">
        <v>634</v>
      </c>
      <c r="G796" s="37">
        <v>45929.561724537038</v>
      </c>
      <c r="H796" s="37" t="str">
        <f>INDEX(_xlfn.TEXTSPLIT(mvtst[[#This Row],[QR Suivis]],"_"),1,1)</f>
        <v>CA250637-6</v>
      </c>
      <c r="I796" s="35" t="str">
        <f>_xlfn.TEXTBEFORE(mvtst[[#This Row],[Num Suivis]],"-",,,1)</f>
        <v>CA250637</v>
      </c>
      <c r="J796" s="36">
        <f>SUMIF(mvtst[QR Suivis],mvtst[[#This Row],[QR Suivis]],mvtst[QTE SORTIS])-SUMIF(mvtst[QR Suivis],mvtst[[#This Row],[QR Suivis]],mvtst[QTE RETOUR])</f>
        <v>0</v>
      </c>
      <c r="K796" s="35" t="str">
        <f t="shared" si="12"/>
        <v>Usine</v>
      </c>
      <c r="L796" s="35" t="str">
        <f>_xlfn.XLOOKUP(mvtst[[#This Row],[Sous Traitant]],coordonnee_st[Identification],coordonnee_st[SERVICE],"Non Trouvé")</f>
        <v>Frange</v>
      </c>
      <c r="M796" s="35" t="str">
        <f>INDEX(_xlfn.TEXTSPLIT(mvtst[[#This Row],[QR Suivis]],"_"),1,2)</f>
        <v>All by Fouta</v>
      </c>
      <c r="N796" s="35" t="str">
        <f>INDEX(_xlfn.TEXTSPLIT(mvtst[[#This Row],[QR Suivis]],"_"),1,3)</f>
        <v>Stock</v>
      </c>
      <c r="O796" s="35" t="str">
        <f>INDEX(_xlfn.TEXTSPLIT(mvtst[[#This Row],[QR Suivis]],"_"),1,4)</f>
        <v>EPMA0919-B26-02</v>
      </c>
      <c r="P796" s="35" t="str">
        <f>INDEX(_xlfn.TEXTSPLIT(mvtst[[#This Row],[QR Suivis]],"_"),1,5)</f>
        <v>MARINIERE</v>
      </c>
      <c r="Q796" s="35" t="str">
        <f>_xlfn.TEXTAFTER(mvtst[[#This Row],[QR Suivis]],"_",5)</f>
        <v>0919</v>
      </c>
      <c r="R796" s="84" t="str">
        <f>IF(
   COUNTIFS($A$2:A796,A796,
             $B$2:B796,B796,
             $C$2:C796,C796,
             $D$2:D796,D796,
             $G$2:G796,G796)&gt;1,
   "Doublon",
   "Correcte"
)</f>
        <v>Correcte</v>
      </c>
    </row>
    <row r="797" spans="1:18" x14ac:dyDescent="0.25">
      <c r="A797" s="104" t="s">
        <v>1756</v>
      </c>
      <c r="B797" s="35" t="s">
        <v>651</v>
      </c>
      <c r="C797" s="36">
        <v>5</v>
      </c>
      <c r="D797" s="36">
        <v>0</v>
      </c>
      <c r="E797" s="35" t="s">
        <v>699</v>
      </c>
      <c r="F797" s="35" t="s">
        <v>634</v>
      </c>
      <c r="G797" s="37">
        <v>45929.56832175926</v>
      </c>
      <c r="H797" s="37" t="str">
        <f>INDEX(_xlfn.TEXTSPLIT(mvtst[[#This Row],[QR Suivis]],"_"),1,1)</f>
        <v>OF246539-12</v>
      </c>
      <c r="I797" s="35" t="str">
        <f>_xlfn.TEXTBEFORE(mvtst[[#This Row],[Num Suivis]],"-",,,1)</f>
        <v>OF246539</v>
      </c>
      <c r="J797" s="36">
        <f>SUMIF(mvtst[QR Suivis],mvtst[[#This Row],[QR Suivis]],mvtst[QTE SORTIS])-SUMIF(mvtst[QR Suivis],mvtst[[#This Row],[QR Suivis]],mvtst[QTE RETOUR])</f>
        <v>0</v>
      </c>
      <c r="K797" s="35" t="str">
        <f t="shared" si="12"/>
        <v>Usine</v>
      </c>
      <c r="L797" s="35" t="str">
        <f>_xlfn.XLOOKUP(mvtst[[#This Row],[Sous Traitant]],coordonnee_st[Identification],coordonnee_st[SERVICE],"Non Trouvé")</f>
        <v>Frange</v>
      </c>
      <c r="M797" s="35" t="str">
        <f>INDEX(_xlfn.TEXTSPLIT(mvtst[[#This Row],[QR Suivis]],"_"),1,2)</f>
        <v>CL00296</v>
      </c>
      <c r="N797" s="35" t="str">
        <f>INDEX(_xlfn.TEXTSPLIT(mvtst[[#This Row],[QR Suivis]],"_"),1,3)</f>
        <v>CM-FT0108</v>
      </c>
      <c r="O797" s="35" t="str">
        <f>INDEX(_xlfn.TEXTSPLIT(mvtst[[#This Row],[QR Suivis]],"_"),1,4)</f>
        <v>EPMA0919-B29-02</v>
      </c>
      <c r="P797" s="35" t="str">
        <f>INDEX(_xlfn.TEXTSPLIT(mvtst[[#This Row],[QR Suivis]],"_"),1,5)</f>
        <v>MARINIERE</v>
      </c>
      <c r="Q797" s="35" t="str">
        <f>_xlfn.TEXTAFTER(mvtst[[#This Row],[QR Suivis]],"_",5)</f>
        <v>0919</v>
      </c>
      <c r="R797" s="84" t="str">
        <f>IF(
   COUNTIFS($A$2:A797,A797,
             $B$2:B797,B797,
             $C$2:C797,C797,
             $D$2:D797,D797,
             $G$2:G797,G797)&gt;1,
   "Doublon",
   "Correcte"
)</f>
        <v>Correcte</v>
      </c>
    </row>
    <row r="798" spans="1:18" x14ac:dyDescent="0.25">
      <c r="A798" s="104" t="s">
        <v>1757</v>
      </c>
      <c r="B798" s="35" t="s">
        <v>651</v>
      </c>
      <c r="C798" s="36">
        <v>5</v>
      </c>
      <c r="D798" s="36">
        <v>0</v>
      </c>
      <c r="E798" s="35" t="s">
        <v>699</v>
      </c>
      <c r="F798" s="35" t="s">
        <v>634</v>
      </c>
      <c r="G798" s="37">
        <v>45929.568541666667</v>
      </c>
      <c r="H798" s="37" t="str">
        <f>INDEX(_xlfn.TEXTSPLIT(mvtst[[#This Row],[QR Suivis]],"_"),1,1)</f>
        <v>OF246539-11</v>
      </c>
      <c r="I798" s="35" t="str">
        <f>_xlfn.TEXTBEFORE(mvtst[[#This Row],[Num Suivis]],"-",,,1)</f>
        <v>OF246539</v>
      </c>
      <c r="J798" s="36">
        <f>SUMIF(mvtst[QR Suivis],mvtst[[#This Row],[QR Suivis]],mvtst[QTE SORTIS])-SUMIF(mvtst[QR Suivis],mvtst[[#This Row],[QR Suivis]],mvtst[QTE RETOUR])</f>
        <v>0</v>
      </c>
      <c r="K798" s="35" t="str">
        <f t="shared" si="12"/>
        <v>Usine</v>
      </c>
      <c r="L798" s="35" t="str">
        <f>_xlfn.XLOOKUP(mvtst[[#This Row],[Sous Traitant]],coordonnee_st[Identification],coordonnee_st[SERVICE],"Non Trouvé")</f>
        <v>Frange</v>
      </c>
      <c r="M798" s="35" t="str">
        <f>INDEX(_xlfn.TEXTSPLIT(mvtst[[#This Row],[QR Suivis]],"_"),1,2)</f>
        <v>CL00296</v>
      </c>
      <c r="N798" s="35" t="str">
        <f>INDEX(_xlfn.TEXTSPLIT(mvtst[[#This Row],[QR Suivis]],"_"),1,3)</f>
        <v>CM-FT0108</v>
      </c>
      <c r="O798" s="35" t="str">
        <f>INDEX(_xlfn.TEXTSPLIT(mvtst[[#This Row],[QR Suivis]],"_"),1,4)</f>
        <v>EPMA0919-B29-02</v>
      </c>
      <c r="P798" s="35" t="str">
        <f>INDEX(_xlfn.TEXTSPLIT(mvtst[[#This Row],[QR Suivis]],"_"),1,5)</f>
        <v>MARINIERE</v>
      </c>
      <c r="Q798" s="35" t="str">
        <f>_xlfn.TEXTAFTER(mvtst[[#This Row],[QR Suivis]],"_",5)</f>
        <v>0919</v>
      </c>
      <c r="R798" s="84" t="str">
        <f>IF(
   COUNTIFS($A$2:A798,A798,
             $B$2:B798,B798,
             $C$2:C798,C798,
             $D$2:D798,D798,
             $G$2:G798,G798)&gt;1,
   "Doublon",
   "Correcte"
)</f>
        <v>Correcte</v>
      </c>
    </row>
    <row r="799" spans="1:18" x14ac:dyDescent="0.25">
      <c r="A799" s="104" t="s">
        <v>1758</v>
      </c>
      <c r="B799" s="35" t="s">
        <v>651</v>
      </c>
      <c r="C799" s="36">
        <v>5</v>
      </c>
      <c r="D799" s="36">
        <v>0</v>
      </c>
      <c r="E799" s="35" t="s">
        <v>699</v>
      </c>
      <c r="F799" s="35" t="s">
        <v>634</v>
      </c>
      <c r="G799" s="37">
        <v>45929.568773148145</v>
      </c>
      <c r="H799" s="37" t="str">
        <f>INDEX(_xlfn.TEXTSPLIT(mvtst[[#This Row],[QR Suivis]],"_"),1,1)</f>
        <v>OF246539-5</v>
      </c>
      <c r="I799" s="35" t="str">
        <f>_xlfn.TEXTBEFORE(mvtst[[#This Row],[Num Suivis]],"-",,,1)</f>
        <v>OF246539</v>
      </c>
      <c r="J799" s="36">
        <f>SUMIF(mvtst[QR Suivis],mvtst[[#This Row],[QR Suivis]],mvtst[QTE SORTIS])-SUMIF(mvtst[QR Suivis],mvtst[[#This Row],[QR Suivis]],mvtst[QTE RETOUR])</f>
        <v>0</v>
      </c>
      <c r="K799" s="35" t="str">
        <f t="shared" si="12"/>
        <v>Usine</v>
      </c>
      <c r="L799" s="35" t="str">
        <f>_xlfn.XLOOKUP(mvtst[[#This Row],[Sous Traitant]],coordonnee_st[Identification],coordonnee_st[SERVICE],"Non Trouvé")</f>
        <v>Frange</v>
      </c>
      <c r="M799" s="35" t="str">
        <f>INDEX(_xlfn.TEXTSPLIT(mvtst[[#This Row],[QR Suivis]],"_"),1,2)</f>
        <v>CL00296</v>
      </c>
      <c r="N799" s="35" t="str">
        <f>INDEX(_xlfn.TEXTSPLIT(mvtst[[#This Row],[QR Suivis]],"_"),1,3)</f>
        <v>CM-FT0108</v>
      </c>
      <c r="O799" s="35" t="str">
        <f>INDEX(_xlfn.TEXTSPLIT(mvtst[[#This Row],[QR Suivis]],"_"),1,4)</f>
        <v>EPMA0919-B29-02</v>
      </c>
      <c r="P799" s="35" t="str">
        <f>INDEX(_xlfn.TEXTSPLIT(mvtst[[#This Row],[QR Suivis]],"_"),1,5)</f>
        <v>MARINIERE</v>
      </c>
      <c r="Q799" s="35" t="str">
        <f>_xlfn.TEXTAFTER(mvtst[[#This Row],[QR Suivis]],"_",5)</f>
        <v>0919</v>
      </c>
      <c r="R799" s="84" t="str">
        <f>IF(
   COUNTIFS($A$2:A799,A799,
             $B$2:B799,B799,
             $C$2:C799,C799,
             $D$2:D799,D799,
             $G$2:G799,G799)&gt;1,
   "Doublon",
   "Correcte"
)</f>
        <v>Correcte</v>
      </c>
    </row>
    <row r="800" spans="1:18" x14ac:dyDescent="0.25">
      <c r="A800" s="104" t="s">
        <v>1759</v>
      </c>
      <c r="B800" s="35" t="s">
        <v>651</v>
      </c>
      <c r="C800" s="36">
        <v>5</v>
      </c>
      <c r="D800" s="36">
        <v>0</v>
      </c>
      <c r="E800" s="35" t="s">
        <v>699</v>
      </c>
      <c r="F800" s="35" t="s">
        <v>634</v>
      </c>
      <c r="G800" s="37">
        <v>45929.569085648145</v>
      </c>
      <c r="H800" s="37" t="str">
        <f>INDEX(_xlfn.TEXTSPLIT(mvtst[[#This Row],[QR Suivis]],"_"),1,1)</f>
        <v>OF246539-4</v>
      </c>
      <c r="I800" s="35" t="str">
        <f>_xlfn.TEXTBEFORE(mvtst[[#This Row],[Num Suivis]],"-",,,1)</f>
        <v>OF246539</v>
      </c>
      <c r="J800" s="36">
        <f>SUMIF(mvtst[QR Suivis],mvtst[[#This Row],[QR Suivis]],mvtst[QTE SORTIS])-SUMIF(mvtst[QR Suivis],mvtst[[#This Row],[QR Suivis]],mvtst[QTE RETOUR])</f>
        <v>0</v>
      </c>
      <c r="K800" s="35" t="str">
        <f t="shared" si="12"/>
        <v>Usine</v>
      </c>
      <c r="L800" s="35" t="str">
        <f>_xlfn.XLOOKUP(mvtst[[#This Row],[Sous Traitant]],coordonnee_st[Identification],coordonnee_st[SERVICE],"Non Trouvé")</f>
        <v>Frange</v>
      </c>
      <c r="M800" s="35" t="str">
        <f>INDEX(_xlfn.TEXTSPLIT(mvtst[[#This Row],[QR Suivis]],"_"),1,2)</f>
        <v>CL00296</v>
      </c>
      <c r="N800" s="35" t="str">
        <f>INDEX(_xlfn.TEXTSPLIT(mvtst[[#This Row],[QR Suivis]],"_"),1,3)</f>
        <v>CM-FT0108</v>
      </c>
      <c r="O800" s="35" t="str">
        <f>INDEX(_xlfn.TEXTSPLIT(mvtst[[#This Row],[QR Suivis]],"_"),1,4)</f>
        <v>EPMA0919-B29-02</v>
      </c>
      <c r="P800" s="35" t="str">
        <f>INDEX(_xlfn.TEXTSPLIT(mvtst[[#This Row],[QR Suivis]],"_"),1,5)</f>
        <v>MARINIERE</v>
      </c>
      <c r="Q800" s="35" t="str">
        <f>_xlfn.TEXTAFTER(mvtst[[#This Row],[QR Suivis]],"_",5)</f>
        <v>0919</v>
      </c>
      <c r="R800" s="84" t="str">
        <f>IF(
   COUNTIFS($A$2:A800,A800,
             $B$2:B800,B800,
             $C$2:C800,C800,
             $D$2:D800,D800,
             $G$2:G800,G800)&gt;1,
   "Doublon",
   "Correcte"
)</f>
        <v>Correcte</v>
      </c>
    </row>
    <row r="801" spans="1:18" x14ac:dyDescent="0.25">
      <c r="A801" s="104" t="s">
        <v>1760</v>
      </c>
      <c r="B801" s="35" t="s">
        <v>651</v>
      </c>
      <c r="C801" s="36">
        <v>5</v>
      </c>
      <c r="D801" s="36">
        <v>0</v>
      </c>
      <c r="E801" s="35" t="s">
        <v>699</v>
      </c>
      <c r="F801" s="35" t="s">
        <v>634</v>
      </c>
      <c r="G801" s="37">
        <v>45929.569363425922</v>
      </c>
      <c r="H801" s="37" t="str">
        <f>INDEX(_xlfn.TEXTSPLIT(mvtst[[#This Row],[QR Suivis]],"_"),1,1)</f>
        <v>OF246539-10</v>
      </c>
      <c r="I801" s="35" t="str">
        <f>_xlfn.TEXTBEFORE(mvtst[[#This Row],[Num Suivis]],"-",,,1)</f>
        <v>OF246539</v>
      </c>
      <c r="J801" s="36">
        <f>SUMIF(mvtst[QR Suivis],mvtst[[#This Row],[QR Suivis]],mvtst[QTE SORTIS])-SUMIF(mvtst[QR Suivis],mvtst[[#This Row],[QR Suivis]],mvtst[QTE RETOUR])</f>
        <v>0</v>
      </c>
      <c r="K801" s="35" t="str">
        <f t="shared" si="12"/>
        <v>Usine</v>
      </c>
      <c r="L801" s="35" t="str">
        <f>_xlfn.XLOOKUP(mvtst[[#This Row],[Sous Traitant]],coordonnee_st[Identification],coordonnee_st[SERVICE],"Non Trouvé")</f>
        <v>Frange</v>
      </c>
      <c r="M801" s="35" t="str">
        <f>INDEX(_xlfn.TEXTSPLIT(mvtst[[#This Row],[QR Suivis]],"_"),1,2)</f>
        <v>CL00296</v>
      </c>
      <c r="N801" s="35" t="str">
        <f>INDEX(_xlfn.TEXTSPLIT(mvtst[[#This Row],[QR Suivis]],"_"),1,3)</f>
        <v>CM-FT0108</v>
      </c>
      <c r="O801" s="35" t="str">
        <f>INDEX(_xlfn.TEXTSPLIT(mvtst[[#This Row],[QR Suivis]],"_"),1,4)</f>
        <v>EPMA0919-B29-02</v>
      </c>
      <c r="P801" s="35" t="str">
        <f>INDEX(_xlfn.TEXTSPLIT(mvtst[[#This Row],[QR Suivis]],"_"),1,5)</f>
        <v>MARINIERE</v>
      </c>
      <c r="Q801" s="35" t="str">
        <f>_xlfn.TEXTAFTER(mvtst[[#This Row],[QR Suivis]],"_",5)</f>
        <v>0919</v>
      </c>
      <c r="R801" s="84" t="str">
        <f>IF(
   COUNTIFS($A$2:A801,A801,
             $B$2:B801,B801,
             $C$2:C801,C801,
             $D$2:D801,D801,
             $G$2:G801,G801)&gt;1,
   "Doublon",
   "Correcte"
)</f>
        <v>Correcte</v>
      </c>
    </row>
    <row r="802" spans="1:18" x14ac:dyDescent="0.25">
      <c r="A802" s="104" t="s">
        <v>1761</v>
      </c>
      <c r="B802" s="35" t="s">
        <v>651</v>
      </c>
      <c r="C802" s="36">
        <v>5</v>
      </c>
      <c r="D802" s="36">
        <v>0</v>
      </c>
      <c r="E802" s="35" t="s">
        <v>699</v>
      </c>
      <c r="F802" s="35" t="s">
        <v>634</v>
      </c>
      <c r="G802" s="37">
        <v>45929.569780092592</v>
      </c>
      <c r="H802" s="37" t="str">
        <f>INDEX(_xlfn.TEXTSPLIT(mvtst[[#This Row],[QR Suivis]],"_"),1,1)</f>
        <v>OF246539-7</v>
      </c>
      <c r="I802" s="35" t="str">
        <f>_xlfn.TEXTBEFORE(mvtst[[#This Row],[Num Suivis]],"-",,,1)</f>
        <v>OF246539</v>
      </c>
      <c r="J802" s="36">
        <f>SUMIF(mvtst[QR Suivis],mvtst[[#This Row],[QR Suivis]],mvtst[QTE SORTIS])-SUMIF(mvtst[QR Suivis],mvtst[[#This Row],[QR Suivis]],mvtst[QTE RETOUR])</f>
        <v>0</v>
      </c>
      <c r="K802" s="35" t="str">
        <f t="shared" si="12"/>
        <v>Usine</v>
      </c>
      <c r="L802" s="35" t="str">
        <f>_xlfn.XLOOKUP(mvtst[[#This Row],[Sous Traitant]],coordonnee_st[Identification],coordonnee_st[SERVICE],"Non Trouvé")</f>
        <v>Frange</v>
      </c>
      <c r="M802" s="35" t="str">
        <f>INDEX(_xlfn.TEXTSPLIT(mvtst[[#This Row],[QR Suivis]],"_"),1,2)</f>
        <v>CL00296</v>
      </c>
      <c r="N802" s="35" t="str">
        <f>INDEX(_xlfn.TEXTSPLIT(mvtst[[#This Row],[QR Suivis]],"_"),1,3)</f>
        <v>CM-FT0108</v>
      </c>
      <c r="O802" s="35" t="str">
        <f>INDEX(_xlfn.TEXTSPLIT(mvtst[[#This Row],[QR Suivis]],"_"),1,4)</f>
        <v>EPMA0919-B29-02</v>
      </c>
      <c r="P802" s="35" t="str">
        <f>INDEX(_xlfn.TEXTSPLIT(mvtst[[#This Row],[QR Suivis]],"_"),1,5)</f>
        <v>MARINIERE</v>
      </c>
      <c r="Q802" s="35" t="str">
        <f>_xlfn.TEXTAFTER(mvtst[[#This Row],[QR Suivis]],"_",5)</f>
        <v>0919</v>
      </c>
      <c r="R802" s="84" t="str">
        <f>IF(
   COUNTIFS($A$2:A802,A802,
             $B$2:B802,B802,
             $C$2:C802,C802,
             $D$2:D802,D802,
             $G$2:G802,G802)&gt;1,
   "Doublon",
   "Correcte"
)</f>
        <v>Correcte</v>
      </c>
    </row>
    <row r="803" spans="1:18" x14ac:dyDescent="0.25">
      <c r="A803" s="104" t="s">
        <v>1762</v>
      </c>
      <c r="B803" s="35" t="s">
        <v>595</v>
      </c>
      <c r="C803" s="36">
        <v>2</v>
      </c>
      <c r="D803" s="36">
        <v>0</v>
      </c>
      <c r="E803" s="35" t="s">
        <v>699</v>
      </c>
      <c r="F803" s="35" t="s">
        <v>634</v>
      </c>
      <c r="G803" s="37">
        <v>45929.610324074078</v>
      </c>
      <c r="H803" s="37" t="str">
        <f>INDEX(_xlfn.TEXTSPLIT(mvtst[[#This Row],[QR Suivis]],"_"),1,1)</f>
        <v>OF250132-4</v>
      </c>
      <c r="I803" s="35" t="str">
        <f>_xlfn.TEXTBEFORE(mvtst[[#This Row],[Num Suivis]],"-",,,1)</f>
        <v>OF250132</v>
      </c>
      <c r="J803" s="36">
        <f>SUMIF(mvtst[QR Suivis],mvtst[[#This Row],[QR Suivis]],mvtst[QTE SORTIS])-SUMIF(mvtst[QR Suivis],mvtst[[#This Row],[QR Suivis]],mvtst[QTE RETOUR])</f>
        <v>0</v>
      </c>
      <c r="K803" s="35" t="str">
        <f t="shared" si="12"/>
        <v>Usine</v>
      </c>
      <c r="L803" s="35" t="str">
        <f>_xlfn.XLOOKUP(mvtst[[#This Row],[Sous Traitant]],coordonnee_st[Identification],coordonnee_st[SERVICE],"Non Trouvé")</f>
        <v>Frange</v>
      </c>
      <c r="M803" s="35" t="str">
        <f>INDEX(_xlfn.TEXTSPLIT(mvtst[[#This Row],[QR Suivis]],"_"),1,2)</f>
        <v>CL00162</v>
      </c>
      <c r="N803" s="35" t="str">
        <f>INDEX(_xlfn.TEXTSPLIT(mvtst[[#This Row],[QR Suivis]],"_"),1,3)</f>
        <v>CM-FT0130</v>
      </c>
      <c r="O803" s="35" t="str">
        <f>INDEX(_xlfn.TEXTSPLIT(mvtst[[#This Row],[QR Suivis]],"_"),1,4)</f>
        <v>GIN2426-B19-03</v>
      </c>
      <c r="P803" s="35" t="str">
        <f>INDEX(_xlfn.TEXTSPLIT(mvtst[[#This Row],[QR Suivis]],"_"),1,5)</f>
        <v>GINKO</v>
      </c>
      <c r="Q803" s="35" t="str">
        <f>_xlfn.TEXTAFTER(mvtst[[#This Row],[QR Suivis]],"_",5)</f>
        <v>2426</v>
      </c>
      <c r="R803" s="84" t="str">
        <f>IF(
   COUNTIFS($A$2:A803,A803,
             $B$2:B803,B803,
             $C$2:C803,C803,
             $D$2:D803,D803,
             $G$2:G803,G803)&gt;1,
   "Doublon",
   "Correcte"
)</f>
        <v>Correcte</v>
      </c>
    </row>
    <row r="804" spans="1:18" x14ac:dyDescent="0.25">
      <c r="A804" s="104" t="s">
        <v>1763</v>
      </c>
      <c r="B804" s="35" t="s">
        <v>595</v>
      </c>
      <c r="C804" s="36">
        <v>1</v>
      </c>
      <c r="D804" s="36">
        <v>0</v>
      </c>
      <c r="E804" s="35" t="s">
        <v>699</v>
      </c>
      <c r="F804" s="35" t="s">
        <v>634</v>
      </c>
      <c r="G804" s="37">
        <v>45929.610868055555</v>
      </c>
      <c r="H804" s="37" t="str">
        <f>INDEX(_xlfn.TEXTSPLIT(mvtst[[#This Row],[QR Suivis]],"_"),1,1)</f>
        <v>OF250132-6</v>
      </c>
      <c r="I804" s="35" t="str">
        <f>_xlfn.TEXTBEFORE(mvtst[[#This Row],[Num Suivis]],"-",,,1)</f>
        <v>OF250132</v>
      </c>
      <c r="J804" s="36">
        <f>SUMIF(mvtst[QR Suivis],mvtst[[#This Row],[QR Suivis]],mvtst[QTE SORTIS])-SUMIF(mvtst[QR Suivis],mvtst[[#This Row],[QR Suivis]],mvtst[QTE RETOUR])</f>
        <v>0</v>
      </c>
      <c r="K804" s="35" t="str">
        <f t="shared" si="12"/>
        <v>Usine</v>
      </c>
      <c r="L804" s="35" t="str">
        <f>_xlfn.XLOOKUP(mvtst[[#This Row],[Sous Traitant]],coordonnee_st[Identification],coordonnee_st[SERVICE],"Non Trouvé")</f>
        <v>Frange</v>
      </c>
      <c r="M804" s="35" t="str">
        <f>INDEX(_xlfn.TEXTSPLIT(mvtst[[#This Row],[QR Suivis]],"_"),1,2)</f>
        <v>CL00162</v>
      </c>
      <c r="N804" s="35" t="str">
        <f>INDEX(_xlfn.TEXTSPLIT(mvtst[[#This Row],[QR Suivis]],"_"),1,3)</f>
        <v>CM-FT0130</v>
      </c>
      <c r="O804" s="35" t="str">
        <f>INDEX(_xlfn.TEXTSPLIT(mvtst[[#This Row],[QR Suivis]],"_"),1,4)</f>
        <v>GIN2426-B19-03</v>
      </c>
      <c r="P804" s="35" t="str">
        <f>INDEX(_xlfn.TEXTSPLIT(mvtst[[#This Row],[QR Suivis]],"_"),1,5)</f>
        <v>GINKO</v>
      </c>
      <c r="Q804" s="35" t="str">
        <f>_xlfn.TEXTAFTER(mvtst[[#This Row],[QR Suivis]],"_",5)</f>
        <v>2426</v>
      </c>
      <c r="R804" s="84" t="str">
        <f>IF(
   COUNTIFS($A$2:A804,A804,
             $B$2:B804,B804,
             $C$2:C804,C804,
             $D$2:D804,D804,
             $G$2:G804,G804)&gt;1,
   "Doublon",
   "Correcte"
)</f>
        <v>Correcte</v>
      </c>
    </row>
    <row r="805" spans="1:18" x14ac:dyDescent="0.25">
      <c r="A805" s="104" t="s">
        <v>1764</v>
      </c>
      <c r="B805" s="35" t="s">
        <v>595</v>
      </c>
      <c r="C805" s="36">
        <v>2</v>
      </c>
      <c r="D805" s="36">
        <v>0</v>
      </c>
      <c r="E805" s="35" t="s">
        <v>699</v>
      </c>
      <c r="F805" s="35" t="s">
        <v>634</v>
      </c>
      <c r="G805" s="37">
        <v>45929.611076388886</v>
      </c>
      <c r="H805" s="37" t="str">
        <f>INDEX(_xlfn.TEXTSPLIT(mvtst[[#This Row],[QR Suivis]],"_"),1,1)</f>
        <v>OF250132-3</v>
      </c>
      <c r="I805" s="35" t="str">
        <f>_xlfn.TEXTBEFORE(mvtst[[#This Row],[Num Suivis]],"-",,,1)</f>
        <v>OF250132</v>
      </c>
      <c r="J805" s="36">
        <f>SUMIF(mvtst[QR Suivis],mvtst[[#This Row],[QR Suivis]],mvtst[QTE SORTIS])-SUMIF(mvtst[QR Suivis],mvtst[[#This Row],[QR Suivis]],mvtst[QTE RETOUR])</f>
        <v>0</v>
      </c>
      <c r="K805" s="35" t="str">
        <f t="shared" si="12"/>
        <v>Usine</v>
      </c>
      <c r="L805" s="35" t="str">
        <f>_xlfn.XLOOKUP(mvtst[[#This Row],[Sous Traitant]],coordonnee_st[Identification],coordonnee_st[SERVICE],"Non Trouvé")</f>
        <v>Frange</v>
      </c>
      <c r="M805" s="35" t="str">
        <f>INDEX(_xlfn.TEXTSPLIT(mvtst[[#This Row],[QR Suivis]],"_"),1,2)</f>
        <v>CL00162</v>
      </c>
      <c r="N805" s="35" t="str">
        <f>INDEX(_xlfn.TEXTSPLIT(mvtst[[#This Row],[QR Suivis]],"_"),1,3)</f>
        <v>CM-FT0130</v>
      </c>
      <c r="O805" s="35" t="str">
        <f>INDEX(_xlfn.TEXTSPLIT(mvtst[[#This Row],[QR Suivis]],"_"),1,4)</f>
        <v>GIN2426-B19-03</v>
      </c>
      <c r="P805" s="35" t="str">
        <f>INDEX(_xlfn.TEXTSPLIT(mvtst[[#This Row],[QR Suivis]],"_"),1,5)</f>
        <v>GINKO</v>
      </c>
      <c r="Q805" s="35" t="str">
        <f>_xlfn.TEXTAFTER(mvtst[[#This Row],[QR Suivis]],"_",5)</f>
        <v>2426</v>
      </c>
      <c r="R805" s="84" t="str">
        <f>IF(
   COUNTIFS($A$2:A805,A805,
             $B$2:B805,B805,
             $C$2:C805,C805,
             $D$2:D805,D805,
             $G$2:G805,G805)&gt;1,
   "Doublon",
   "Correcte"
)</f>
        <v>Correcte</v>
      </c>
    </row>
    <row r="806" spans="1:18" x14ac:dyDescent="0.25">
      <c r="A806" s="104" t="s">
        <v>1765</v>
      </c>
      <c r="B806" s="35" t="s">
        <v>595</v>
      </c>
      <c r="C806" s="36">
        <v>2</v>
      </c>
      <c r="D806" s="36">
        <v>0</v>
      </c>
      <c r="E806" s="35" t="s">
        <v>699</v>
      </c>
      <c r="F806" s="35" t="s">
        <v>634</v>
      </c>
      <c r="G806" s="37">
        <v>45929.611273148148</v>
      </c>
      <c r="H806" s="37" t="str">
        <f>INDEX(_xlfn.TEXTSPLIT(mvtst[[#This Row],[QR Suivis]],"_"),1,1)</f>
        <v>OF250131-2</v>
      </c>
      <c r="I806" s="35" t="str">
        <f>_xlfn.TEXTBEFORE(mvtst[[#This Row],[Num Suivis]],"-",,,1)</f>
        <v>OF250131</v>
      </c>
      <c r="J806" s="36">
        <f>SUMIF(mvtst[QR Suivis],mvtst[[#This Row],[QR Suivis]],mvtst[QTE SORTIS])-SUMIF(mvtst[QR Suivis],mvtst[[#This Row],[QR Suivis]],mvtst[QTE RETOUR])</f>
        <v>0</v>
      </c>
      <c r="K806" s="35" t="str">
        <f t="shared" si="12"/>
        <v>Usine</v>
      </c>
      <c r="L806" s="35" t="str">
        <f>_xlfn.XLOOKUP(mvtst[[#This Row],[Sous Traitant]],coordonnee_st[Identification],coordonnee_st[SERVICE],"Non Trouvé")</f>
        <v>Frange</v>
      </c>
      <c r="M806" s="35" t="str">
        <f>INDEX(_xlfn.TEXTSPLIT(mvtst[[#This Row],[QR Suivis]],"_"),1,2)</f>
        <v>CL00162</v>
      </c>
      <c r="N806" s="35" t="str">
        <f>INDEX(_xlfn.TEXTSPLIT(mvtst[[#This Row],[QR Suivis]],"_"),1,3)</f>
        <v>CM-FT0130</v>
      </c>
      <c r="O806" s="35" t="str">
        <f>INDEX(_xlfn.TEXTSPLIT(mvtst[[#This Row],[QR Suivis]],"_"),1,4)</f>
        <v>GIN2426-B12-03</v>
      </c>
      <c r="P806" s="35" t="str">
        <f>INDEX(_xlfn.TEXTSPLIT(mvtst[[#This Row],[QR Suivis]],"_"),1,5)</f>
        <v>GINKO</v>
      </c>
      <c r="Q806" s="35" t="str">
        <f>_xlfn.TEXTAFTER(mvtst[[#This Row],[QR Suivis]],"_",5)</f>
        <v>2426</v>
      </c>
      <c r="R806" s="84" t="str">
        <f>IF(
   COUNTIFS($A$2:A806,A806,
             $B$2:B806,B806,
             $C$2:C806,C806,
             $D$2:D806,D806,
             $G$2:G806,G806)&gt;1,
   "Doublon",
   "Correcte"
)</f>
        <v>Correcte</v>
      </c>
    </row>
    <row r="807" spans="1:18" x14ac:dyDescent="0.25">
      <c r="A807" s="104" t="s">
        <v>1766</v>
      </c>
      <c r="B807" s="35" t="s">
        <v>595</v>
      </c>
      <c r="C807" s="36">
        <v>1</v>
      </c>
      <c r="D807" s="36">
        <v>0</v>
      </c>
      <c r="E807" s="35" t="s">
        <v>699</v>
      </c>
      <c r="F807" s="35" t="s">
        <v>634</v>
      </c>
      <c r="G807" s="37">
        <v>45929.611504629633</v>
      </c>
      <c r="H807" s="37" t="str">
        <f>INDEX(_xlfn.TEXTSPLIT(mvtst[[#This Row],[QR Suivis]],"_"),1,1)</f>
        <v>OF250131-6</v>
      </c>
      <c r="I807" s="35" t="str">
        <f>_xlfn.TEXTBEFORE(mvtst[[#This Row],[Num Suivis]],"-",,,1)</f>
        <v>OF250131</v>
      </c>
      <c r="J807" s="36">
        <f>SUMIF(mvtst[QR Suivis],mvtst[[#This Row],[QR Suivis]],mvtst[QTE SORTIS])-SUMIF(mvtst[QR Suivis],mvtst[[#This Row],[QR Suivis]],mvtst[QTE RETOUR])</f>
        <v>0</v>
      </c>
      <c r="K807" s="35" t="str">
        <f t="shared" si="12"/>
        <v>Usine</v>
      </c>
      <c r="L807" s="35" t="str">
        <f>_xlfn.XLOOKUP(mvtst[[#This Row],[Sous Traitant]],coordonnee_st[Identification],coordonnee_st[SERVICE],"Non Trouvé")</f>
        <v>Frange</v>
      </c>
      <c r="M807" s="35" t="str">
        <f>INDEX(_xlfn.TEXTSPLIT(mvtst[[#This Row],[QR Suivis]],"_"),1,2)</f>
        <v>CL00162</v>
      </c>
      <c r="N807" s="35" t="str">
        <f>INDEX(_xlfn.TEXTSPLIT(mvtst[[#This Row],[QR Suivis]],"_"),1,3)</f>
        <v>CM-FT0130</v>
      </c>
      <c r="O807" s="35" t="str">
        <f>INDEX(_xlfn.TEXTSPLIT(mvtst[[#This Row],[QR Suivis]],"_"),1,4)</f>
        <v>GIN2426-B12-03</v>
      </c>
      <c r="P807" s="35" t="str">
        <f>INDEX(_xlfn.TEXTSPLIT(mvtst[[#This Row],[QR Suivis]],"_"),1,5)</f>
        <v>GINKO</v>
      </c>
      <c r="Q807" s="35" t="str">
        <f>_xlfn.TEXTAFTER(mvtst[[#This Row],[QR Suivis]],"_",5)</f>
        <v>2426</v>
      </c>
      <c r="R807" s="84" t="str">
        <f>IF(
   COUNTIFS($A$2:A807,A807,
             $B$2:B807,B807,
             $C$2:C807,C807,
             $D$2:D807,D807,
             $G$2:G807,G807)&gt;1,
   "Doublon",
   "Correcte"
)</f>
        <v>Correcte</v>
      </c>
    </row>
    <row r="808" spans="1:18" x14ac:dyDescent="0.25">
      <c r="A808" s="104" t="s">
        <v>1767</v>
      </c>
      <c r="B808" s="35" t="s">
        <v>595</v>
      </c>
      <c r="C808" s="36">
        <v>1</v>
      </c>
      <c r="D808" s="36">
        <v>0</v>
      </c>
      <c r="E808" s="35" t="s">
        <v>699</v>
      </c>
      <c r="F808" s="35" t="s">
        <v>634</v>
      </c>
      <c r="G808" s="37">
        <v>45929.611712962964</v>
      </c>
      <c r="H808" s="37" t="str">
        <f>INDEX(_xlfn.TEXTSPLIT(mvtst[[#This Row],[QR Suivis]],"_"),1,1)</f>
        <v>OF250130-6</v>
      </c>
      <c r="I808" s="35" t="str">
        <f>_xlfn.TEXTBEFORE(mvtst[[#This Row],[Num Suivis]],"-",,,1)</f>
        <v>OF250130</v>
      </c>
      <c r="J808" s="36">
        <f>SUMIF(mvtst[QR Suivis],mvtst[[#This Row],[QR Suivis]],mvtst[QTE SORTIS])-SUMIF(mvtst[QR Suivis],mvtst[[#This Row],[QR Suivis]],mvtst[QTE RETOUR])</f>
        <v>0</v>
      </c>
      <c r="K808" s="35" t="str">
        <f t="shared" si="12"/>
        <v>Usine</v>
      </c>
      <c r="L808" s="35" t="str">
        <f>_xlfn.XLOOKUP(mvtst[[#This Row],[Sous Traitant]],coordonnee_st[Identification],coordonnee_st[SERVICE],"Non Trouvé")</f>
        <v>Frange</v>
      </c>
      <c r="M808" s="35" t="str">
        <f>INDEX(_xlfn.TEXTSPLIT(mvtst[[#This Row],[QR Suivis]],"_"),1,2)</f>
        <v>CL00162</v>
      </c>
      <c r="N808" s="35" t="str">
        <f>INDEX(_xlfn.TEXTSPLIT(mvtst[[#This Row],[QR Suivis]],"_"),1,3)</f>
        <v>CM-FT0130</v>
      </c>
      <c r="O808" s="35" t="str">
        <f>INDEX(_xlfn.TEXTSPLIT(mvtst[[#This Row],[QR Suivis]],"_"),1,4)</f>
        <v>GIN2426-B03-02</v>
      </c>
      <c r="P808" s="35" t="str">
        <f>INDEX(_xlfn.TEXTSPLIT(mvtst[[#This Row],[QR Suivis]],"_"),1,5)</f>
        <v>GINKO</v>
      </c>
      <c r="Q808" s="35" t="str">
        <f>_xlfn.TEXTAFTER(mvtst[[#This Row],[QR Suivis]],"_",5)</f>
        <v>2426</v>
      </c>
      <c r="R808" s="84" t="str">
        <f>IF(
   COUNTIFS($A$2:A808,A808,
             $B$2:B808,B808,
             $C$2:C808,C808,
             $D$2:D808,D808,
             $G$2:G808,G808)&gt;1,
   "Doublon",
   "Correcte"
)</f>
        <v>Correcte</v>
      </c>
    </row>
    <row r="809" spans="1:18" x14ac:dyDescent="0.25">
      <c r="A809" s="104" t="s">
        <v>1768</v>
      </c>
      <c r="B809" s="35" t="s">
        <v>595</v>
      </c>
      <c r="C809" s="36">
        <v>2</v>
      </c>
      <c r="D809" s="36">
        <v>0</v>
      </c>
      <c r="E809" s="35" t="s">
        <v>699</v>
      </c>
      <c r="F809" s="35" t="s">
        <v>634</v>
      </c>
      <c r="G809" s="37">
        <v>45929.611886574072</v>
      </c>
      <c r="H809" s="37" t="str">
        <f>INDEX(_xlfn.TEXTSPLIT(mvtst[[#This Row],[QR Suivis]],"_"),1,1)</f>
        <v>OF250130-5</v>
      </c>
      <c r="I809" s="35" t="str">
        <f>_xlfn.TEXTBEFORE(mvtst[[#This Row],[Num Suivis]],"-",,,1)</f>
        <v>OF250130</v>
      </c>
      <c r="J809" s="36">
        <f>SUMIF(mvtst[QR Suivis],mvtst[[#This Row],[QR Suivis]],mvtst[QTE SORTIS])-SUMIF(mvtst[QR Suivis],mvtst[[#This Row],[QR Suivis]],mvtst[QTE RETOUR])</f>
        <v>0</v>
      </c>
      <c r="K809" s="35" t="str">
        <f t="shared" si="12"/>
        <v>Usine</v>
      </c>
      <c r="L809" s="35" t="str">
        <f>_xlfn.XLOOKUP(mvtst[[#This Row],[Sous Traitant]],coordonnee_st[Identification],coordonnee_st[SERVICE],"Non Trouvé")</f>
        <v>Frange</v>
      </c>
      <c r="M809" s="35" t="str">
        <f>INDEX(_xlfn.TEXTSPLIT(mvtst[[#This Row],[QR Suivis]],"_"),1,2)</f>
        <v>CL00162</v>
      </c>
      <c r="N809" s="35" t="str">
        <f>INDEX(_xlfn.TEXTSPLIT(mvtst[[#This Row],[QR Suivis]],"_"),1,3)</f>
        <v>CM-FT0130</v>
      </c>
      <c r="O809" s="35" t="str">
        <f>INDEX(_xlfn.TEXTSPLIT(mvtst[[#This Row],[QR Suivis]],"_"),1,4)</f>
        <v>GIN2426-B03-02</v>
      </c>
      <c r="P809" s="35" t="str">
        <f>INDEX(_xlfn.TEXTSPLIT(mvtst[[#This Row],[QR Suivis]],"_"),1,5)</f>
        <v>GINKO</v>
      </c>
      <c r="Q809" s="35" t="str">
        <f>_xlfn.TEXTAFTER(mvtst[[#This Row],[QR Suivis]],"_",5)</f>
        <v>2426</v>
      </c>
      <c r="R809" s="84" t="str">
        <f>IF(
   COUNTIFS($A$2:A809,A809,
             $B$2:B809,B809,
             $C$2:C809,C809,
             $D$2:D809,D809,
             $G$2:G809,G809)&gt;1,
   "Doublon",
   "Correcte"
)</f>
        <v>Correcte</v>
      </c>
    </row>
    <row r="810" spans="1:18" x14ac:dyDescent="0.25">
      <c r="A810" s="104" t="s">
        <v>1769</v>
      </c>
      <c r="B810" s="35" t="s">
        <v>595</v>
      </c>
      <c r="C810" s="36">
        <v>2</v>
      </c>
      <c r="D810" s="36">
        <v>0</v>
      </c>
      <c r="E810" s="35" t="s">
        <v>699</v>
      </c>
      <c r="F810" s="35" t="s">
        <v>634</v>
      </c>
      <c r="G810" s="37">
        <v>45929.612141203703</v>
      </c>
      <c r="H810" s="37" t="str">
        <f>INDEX(_xlfn.TEXTSPLIT(mvtst[[#This Row],[QR Suivis]],"_"),1,1)</f>
        <v>OF250130-4</v>
      </c>
      <c r="I810" s="35" t="str">
        <f>_xlfn.TEXTBEFORE(mvtst[[#This Row],[Num Suivis]],"-",,,1)</f>
        <v>OF250130</v>
      </c>
      <c r="J810" s="36">
        <f>SUMIF(mvtst[QR Suivis],mvtst[[#This Row],[QR Suivis]],mvtst[QTE SORTIS])-SUMIF(mvtst[QR Suivis],mvtst[[#This Row],[QR Suivis]],mvtst[QTE RETOUR])</f>
        <v>0</v>
      </c>
      <c r="K810" s="35" t="str">
        <f t="shared" si="12"/>
        <v>Usine</v>
      </c>
      <c r="L810" s="35" t="str">
        <f>_xlfn.XLOOKUP(mvtst[[#This Row],[Sous Traitant]],coordonnee_st[Identification],coordonnee_st[SERVICE],"Non Trouvé")</f>
        <v>Frange</v>
      </c>
      <c r="M810" s="35" t="str">
        <f>INDEX(_xlfn.TEXTSPLIT(mvtst[[#This Row],[QR Suivis]],"_"),1,2)</f>
        <v>CL00162</v>
      </c>
      <c r="N810" s="35" t="str">
        <f>INDEX(_xlfn.TEXTSPLIT(mvtst[[#This Row],[QR Suivis]],"_"),1,3)</f>
        <v>CM-FT0130</v>
      </c>
      <c r="O810" s="35" t="str">
        <f>INDEX(_xlfn.TEXTSPLIT(mvtst[[#This Row],[QR Suivis]],"_"),1,4)</f>
        <v>GIN2426-B03-02</v>
      </c>
      <c r="P810" s="35" t="str">
        <f>INDEX(_xlfn.TEXTSPLIT(mvtst[[#This Row],[QR Suivis]],"_"),1,5)</f>
        <v>GINKO</v>
      </c>
      <c r="Q810" s="35" t="str">
        <f>_xlfn.TEXTAFTER(mvtst[[#This Row],[QR Suivis]],"_",5)</f>
        <v>2426</v>
      </c>
      <c r="R810" s="84" t="str">
        <f>IF(
   COUNTIFS($A$2:A810,A810,
             $B$2:B810,B810,
             $C$2:C810,C810,
             $D$2:D810,D810,
             $G$2:G810,G810)&gt;1,
   "Doublon",
   "Correcte"
)</f>
        <v>Correcte</v>
      </c>
    </row>
    <row r="811" spans="1:18" x14ac:dyDescent="0.25">
      <c r="A811" s="104" t="s">
        <v>1770</v>
      </c>
      <c r="B811" s="35" t="s">
        <v>595</v>
      </c>
      <c r="C811" s="36">
        <v>5</v>
      </c>
      <c r="D811" s="36">
        <v>0</v>
      </c>
      <c r="E811" s="35" t="s">
        <v>699</v>
      </c>
      <c r="F811" s="35" t="s">
        <v>634</v>
      </c>
      <c r="G811" s="37">
        <v>45929.644143518519</v>
      </c>
      <c r="H811" s="37" t="str">
        <f>INDEX(_xlfn.TEXTSPLIT(mvtst[[#This Row],[QR Suivis]],"_"),1,1)</f>
        <v>OF246546-2</v>
      </c>
      <c r="I811" s="35" t="str">
        <f>_xlfn.TEXTBEFORE(mvtst[[#This Row],[Num Suivis]],"-",,,1)</f>
        <v>OF246546</v>
      </c>
      <c r="J811" s="36">
        <f>SUMIF(mvtst[QR Suivis],mvtst[[#This Row],[QR Suivis]],mvtst[QTE SORTIS])-SUMIF(mvtst[QR Suivis],mvtst[[#This Row],[QR Suivis]],mvtst[QTE RETOUR])</f>
        <v>0</v>
      </c>
      <c r="K811" s="35" t="str">
        <f t="shared" si="12"/>
        <v>Usine</v>
      </c>
      <c r="L811" s="35" t="str">
        <f>_xlfn.XLOOKUP(mvtst[[#This Row],[Sous Traitant]],coordonnee_st[Identification],coordonnee_st[SERVICE],"Non Trouvé")</f>
        <v>Frange</v>
      </c>
      <c r="M811" s="35" t="str">
        <f>INDEX(_xlfn.TEXTSPLIT(mvtst[[#This Row],[QR Suivis]],"_"),1,2)</f>
        <v>CL00296</v>
      </c>
      <c r="N811" s="35" t="str">
        <f>INDEX(_xlfn.TEXTSPLIT(mvtst[[#This Row],[QR Suivis]],"_"),1,3)</f>
        <v>CM-FT0108</v>
      </c>
      <c r="O811" s="35" t="str">
        <f>INDEX(_xlfn.TEXTSPLIT(mvtst[[#This Row],[QR Suivis]],"_"),1,4)</f>
        <v>EPMA0919-B29-02</v>
      </c>
      <c r="P811" s="35" t="str">
        <f>INDEX(_xlfn.TEXTSPLIT(mvtst[[#This Row],[QR Suivis]],"_"),1,5)</f>
        <v>MARINIERE</v>
      </c>
      <c r="Q811" s="35" t="str">
        <f>_xlfn.TEXTAFTER(mvtst[[#This Row],[QR Suivis]],"_",5)</f>
        <v>0919</v>
      </c>
      <c r="R811" s="84" t="str">
        <f>IF(
   COUNTIFS($A$2:A811,A811,
             $B$2:B811,B811,
             $C$2:C811,C811,
             $D$2:D811,D811,
             $G$2:G811,G811)&gt;1,
   "Doublon",
   "Correcte"
)</f>
        <v>Correcte</v>
      </c>
    </row>
    <row r="812" spans="1:18" x14ac:dyDescent="0.25">
      <c r="A812" s="104" t="s">
        <v>1771</v>
      </c>
      <c r="B812" s="35" t="s">
        <v>595</v>
      </c>
      <c r="C812" s="36">
        <v>5</v>
      </c>
      <c r="D812" s="36">
        <v>0</v>
      </c>
      <c r="E812" s="35" t="s">
        <v>699</v>
      </c>
      <c r="F812" s="35" t="s">
        <v>634</v>
      </c>
      <c r="G812" s="37">
        <v>45929.644282407404</v>
      </c>
      <c r="H812" s="37" t="str">
        <f>INDEX(_xlfn.TEXTSPLIT(mvtst[[#This Row],[QR Suivis]],"_"),1,1)</f>
        <v>OF246546-11</v>
      </c>
      <c r="I812" s="35" t="str">
        <f>_xlfn.TEXTBEFORE(mvtst[[#This Row],[Num Suivis]],"-",,,1)</f>
        <v>OF246546</v>
      </c>
      <c r="J812" s="36">
        <f>SUMIF(mvtst[QR Suivis],mvtst[[#This Row],[QR Suivis]],mvtst[QTE SORTIS])-SUMIF(mvtst[QR Suivis],mvtst[[#This Row],[QR Suivis]],mvtst[QTE RETOUR])</f>
        <v>0</v>
      </c>
      <c r="K812" s="35" t="str">
        <f t="shared" si="12"/>
        <v>Usine</v>
      </c>
      <c r="L812" s="35" t="str">
        <f>_xlfn.XLOOKUP(mvtst[[#This Row],[Sous Traitant]],coordonnee_st[Identification],coordonnee_st[SERVICE],"Non Trouvé")</f>
        <v>Frange</v>
      </c>
      <c r="M812" s="35" t="str">
        <f>INDEX(_xlfn.TEXTSPLIT(mvtst[[#This Row],[QR Suivis]],"_"),1,2)</f>
        <v>CL00296</v>
      </c>
      <c r="N812" s="35" t="str">
        <f>INDEX(_xlfn.TEXTSPLIT(mvtst[[#This Row],[QR Suivis]],"_"),1,3)</f>
        <v>CM-FT0108</v>
      </c>
      <c r="O812" s="35" t="str">
        <f>INDEX(_xlfn.TEXTSPLIT(mvtst[[#This Row],[QR Suivis]],"_"),1,4)</f>
        <v>EPMA0919-B29-02</v>
      </c>
      <c r="P812" s="35" t="str">
        <f>INDEX(_xlfn.TEXTSPLIT(mvtst[[#This Row],[QR Suivis]],"_"),1,5)</f>
        <v>MARINIERE</v>
      </c>
      <c r="Q812" s="35" t="str">
        <f>_xlfn.TEXTAFTER(mvtst[[#This Row],[QR Suivis]],"_",5)</f>
        <v>0919</v>
      </c>
      <c r="R812" s="84" t="str">
        <f>IF(
   COUNTIFS($A$2:A812,A812,
             $B$2:B812,B812,
             $C$2:C812,C812,
             $D$2:D812,D812,
             $G$2:G812,G812)&gt;1,
   "Doublon",
   "Correcte"
)</f>
        <v>Correcte</v>
      </c>
    </row>
    <row r="813" spans="1:18" x14ac:dyDescent="0.25">
      <c r="A813" s="104" t="s">
        <v>1772</v>
      </c>
      <c r="B813" s="35" t="s">
        <v>595</v>
      </c>
      <c r="C813" s="36">
        <v>5</v>
      </c>
      <c r="D813" s="36">
        <v>0</v>
      </c>
      <c r="E813" s="35" t="s">
        <v>699</v>
      </c>
      <c r="F813" s="35" t="s">
        <v>634</v>
      </c>
      <c r="G813" s="37">
        <v>45929.644479166665</v>
      </c>
      <c r="H813" s="37" t="str">
        <f>INDEX(_xlfn.TEXTSPLIT(mvtst[[#This Row],[QR Suivis]],"_"),1,1)</f>
        <v>OF246546-15</v>
      </c>
      <c r="I813" s="35" t="str">
        <f>_xlfn.TEXTBEFORE(mvtst[[#This Row],[Num Suivis]],"-",,,1)</f>
        <v>OF246546</v>
      </c>
      <c r="J813" s="36">
        <f>SUMIF(mvtst[QR Suivis],mvtst[[#This Row],[QR Suivis]],mvtst[QTE SORTIS])-SUMIF(mvtst[QR Suivis],mvtst[[#This Row],[QR Suivis]],mvtst[QTE RETOUR])</f>
        <v>0</v>
      </c>
      <c r="K813" s="35" t="str">
        <f t="shared" si="12"/>
        <v>Usine</v>
      </c>
      <c r="L813" s="35" t="str">
        <f>_xlfn.XLOOKUP(mvtst[[#This Row],[Sous Traitant]],coordonnee_st[Identification],coordonnee_st[SERVICE],"Non Trouvé")</f>
        <v>Frange</v>
      </c>
      <c r="M813" s="35" t="str">
        <f>INDEX(_xlfn.TEXTSPLIT(mvtst[[#This Row],[QR Suivis]],"_"),1,2)</f>
        <v>CL00296</v>
      </c>
      <c r="N813" s="35" t="str">
        <f>INDEX(_xlfn.TEXTSPLIT(mvtst[[#This Row],[QR Suivis]],"_"),1,3)</f>
        <v>CM-FT0108</v>
      </c>
      <c r="O813" s="35" t="str">
        <f>INDEX(_xlfn.TEXTSPLIT(mvtst[[#This Row],[QR Suivis]],"_"),1,4)</f>
        <v>EPMA0919-B29-02</v>
      </c>
      <c r="P813" s="35" t="str">
        <f>INDEX(_xlfn.TEXTSPLIT(mvtst[[#This Row],[QR Suivis]],"_"),1,5)</f>
        <v>MARINIERE</v>
      </c>
      <c r="Q813" s="35" t="str">
        <f>_xlfn.TEXTAFTER(mvtst[[#This Row],[QR Suivis]],"_",5)</f>
        <v>0919</v>
      </c>
      <c r="R813" s="84" t="str">
        <f>IF(
   COUNTIFS($A$2:A813,A813,
             $B$2:B813,B813,
             $C$2:C813,C813,
             $D$2:D813,D813,
             $G$2:G813,G813)&gt;1,
   "Doublon",
   "Correcte"
)</f>
        <v>Correcte</v>
      </c>
    </row>
    <row r="814" spans="1:18" x14ac:dyDescent="0.25">
      <c r="A814" s="104" t="s">
        <v>1773</v>
      </c>
      <c r="B814" s="35" t="s">
        <v>595</v>
      </c>
      <c r="C814" s="36">
        <v>5</v>
      </c>
      <c r="D814" s="36">
        <v>0</v>
      </c>
      <c r="E814" s="35" t="s">
        <v>699</v>
      </c>
      <c r="F814" s="35" t="s">
        <v>634</v>
      </c>
      <c r="G814" s="37">
        <v>45929.64466435185</v>
      </c>
      <c r="H814" s="37" t="str">
        <f>INDEX(_xlfn.TEXTSPLIT(mvtst[[#This Row],[QR Suivis]],"_"),1,1)</f>
        <v>OF246546-1</v>
      </c>
      <c r="I814" s="35" t="str">
        <f>_xlfn.TEXTBEFORE(mvtst[[#This Row],[Num Suivis]],"-",,,1)</f>
        <v>OF246546</v>
      </c>
      <c r="J814" s="36">
        <f>SUMIF(mvtst[QR Suivis],mvtst[[#This Row],[QR Suivis]],mvtst[QTE SORTIS])-SUMIF(mvtst[QR Suivis],mvtst[[#This Row],[QR Suivis]],mvtst[QTE RETOUR])</f>
        <v>0</v>
      </c>
      <c r="K814" s="35" t="str">
        <f t="shared" si="12"/>
        <v>Usine</v>
      </c>
      <c r="L814" s="35" t="str">
        <f>_xlfn.XLOOKUP(mvtst[[#This Row],[Sous Traitant]],coordonnee_st[Identification],coordonnee_st[SERVICE],"Non Trouvé")</f>
        <v>Frange</v>
      </c>
      <c r="M814" s="35" t="str">
        <f>INDEX(_xlfn.TEXTSPLIT(mvtst[[#This Row],[QR Suivis]],"_"),1,2)</f>
        <v>CL00296</v>
      </c>
      <c r="N814" s="35" t="str">
        <f>INDEX(_xlfn.TEXTSPLIT(mvtst[[#This Row],[QR Suivis]],"_"),1,3)</f>
        <v>CM-FT0108</v>
      </c>
      <c r="O814" s="35" t="str">
        <f>INDEX(_xlfn.TEXTSPLIT(mvtst[[#This Row],[QR Suivis]],"_"),1,4)</f>
        <v>EPMA0919-B29-02</v>
      </c>
      <c r="P814" s="35" t="str">
        <f>INDEX(_xlfn.TEXTSPLIT(mvtst[[#This Row],[QR Suivis]],"_"),1,5)</f>
        <v>MARINIERE</v>
      </c>
      <c r="Q814" s="35" t="str">
        <f>_xlfn.TEXTAFTER(mvtst[[#This Row],[QR Suivis]],"_",5)</f>
        <v>0919</v>
      </c>
      <c r="R814" s="84" t="str">
        <f>IF(
   COUNTIFS($A$2:A814,A814,
             $B$2:B814,B814,
             $C$2:C814,C814,
             $D$2:D814,D814,
             $G$2:G814,G814)&gt;1,
   "Doublon",
   "Correcte"
)</f>
        <v>Correcte</v>
      </c>
    </row>
    <row r="815" spans="1:18" x14ac:dyDescent="0.25">
      <c r="A815" s="104" t="s">
        <v>1774</v>
      </c>
      <c r="B815" s="35" t="s">
        <v>595</v>
      </c>
      <c r="C815" s="36">
        <v>5</v>
      </c>
      <c r="D815" s="36">
        <v>0</v>
      </c>
      <c r="E815" s="35" t="s">
        <v>699</v>
      </c>
      <c r="F815" s="35" t="s">
        <v>634</v>
      </c>
      <c r="G815" s="37">
        <v>45929.644849537035</v>
      </c>
      <c r="H815" s="37" t="str">
        <f>INDEX(_xlfn.TEXTSPLIT(mvtst[[#This Row],[QR Suivis]],"_"),1,1)</f>
        <v>OF246546-7</v>
      </c>
      <c r="I815" s="35" t="str">
        <f>_xlfn.TEXTBEFORE(mvtst[[#This Row],[Num Suivis]],"-",,,1)</f>
        <v>OF246546</v>
      </c>
      <c r="J815" s="36">
        <f>SUMIF(mvtst[QR Suivis],mvtst[[#This Row],[QR Suivis]],mvtst[QTE SORTIS])-SUMIF(mvtst[QR Suivis],mvtst[[#This Row],[QR Suivis]],mvtst[QTE RETOUR])</f>
        <v>0</v>
      </c>
      <c r="K815" s="35" t="str">
        <f t="shared" si="12"/>
        <v>Usine</v>
      </c>
      <c r="L815" s="35" t="str">
        <f>_xlfn.XLOOKUP(mvtst[[#This Row],[Sous Traitant]],coordonnee_st[Identification],coordonnee_st[SERVICE],"Non Trouvé")</f>
        <v>Frange</v>
      </c>
      <c r="M815" s="35" t="str">
        <f>INDEX(_xlfn.TEXTSPLIT(mvtst[[#This Row],[QR Suivis]],"_"),1,2)</f>
        <v>CL00296</v>
      </c>
      <c r="N815" s="35" t="str">
        <f>INDEX(_xlfn.TEXTSPLIT(mvtst[[#This Row],[QR Suivis]],"_"),1,3)</f>
        <v>CM-FT0108</v>
      </c>
      <c r="O815" s="35" t="str">
        <f>INDEX(_xlfn.TEXTSPLIT(mvtst[[#This Row],[QR Suivis]],"_"),1,4)</f>
        <v>EPMA0919-B29-02</v>
      </c>
      <c r="P815" s="35" t="str">
        <f>INDEX(_xlfn.TEXTSPLIT(mvtst[[#This Row],[QR Suivis]],"_"),1,5)</f>
        <v>MARINIERE</v>
      </c>
      <c r="Q815" s="35" t="str">
        <f>_xlfn.TEXTAFTER(mvtst[[#This Row],[QR Suivis]],"_",5)</f>
        <v>0919</v>
      </c>
      <c r="R815" s="84" t="str">
        <f>IF(
   COUNTIFS($A$2:A815,A815,
             $B$2:B815,B815,
             $C$2:C815,C815,
             $D$2:D815,D815,
             $G$2:G815,G815)&gt;1,
   "Doublon",
   "Correcte"
)</f>
        <v>Correcte</v>
      </c>
    </row>
    <row r="816" spans="1:18" x14ac:dyDescent="0.25">
      <c r="A816" s="104" t="s">
        <v>1775</v>
      </c>
      <c r="B816" s="35" t="s">
        <v>595</v>
      </c>
      <c r="C816" s="36">
        <v>5</v>
      </c>
      <c r="D816" s="36">
        <v>0</v>
      </c>
      <c r="E816" s="35" t="s">
        <v>699</v>
      </c>
      <c r="F816" s="35" t="s">
        <v>634</v>
      </c>
      <c r="G816" s="37">
        <v>45929.645057870373</v>
      </c>
      <c r="H816" s="37" t="str">
        <f>INDEX(_xlfn.TEXTSPLIT(mvtst[[#This Row],[QR Suivis]],"_"),1,1)</f>
        <v>OF246546-10</v>
      </c>
      <c r="I816" s="35" t="str">
        <f>_xlfn.TEXTBEFORE(mvtst[[#This Row],[Num Suivis]],"-",,,1)</f>
        <v>OF246546</v>
      </c>
      <c r="J816" s="36">
        <f>SUMIF(mvtst[QR Suivis],mvtst[[#This Row],[QR Suivis]],mvtst[QTE SORTIS])-SUMIF(mvtst[QR Suivis],mvtst[[#This Row],[QR Suivis]],mvtst[QTE RETOUR])</f>
        <v>0</v>
      </c>
      <c r="K816" s="35" t="str">
        <f t="shared" si="12"/>
        <v>Usine</v>
      </c>
      <c r="L816" s="35" t="str">
        <f>_xlfn.XLOOKUP(mvtst[[#This Row],[Sous Traitant]],coordonnee_st[Identification],coordonnee_st[SERVICE],"Non Trouvé")</f>
        <v>Frange</v>
      </c>
      <c r="M816" s="35" t="str">
        <f>INDEX(_xlfn.TEXTSPLIT(mvtst[[#This Row],[QR Suivis]],"_"),1,2)</f>
        <v>CL00296</v>
      </c>
      <c r="N816" s="35" t="str">
        <f>INDEX(_xlfn.TEXTSPLIT(mvtst[[#This Row],[QR Suivis]],"_"),1,3)</f>
        <v>CM-FT0108</v>
      </c>
      <c r="O816" s="35" t="str">
        <f>INDEX(_xlfn.TEXTSPLIT(mvtst[[#This Row],[QR Suivis]],"_"),1,4)</f>
        <v>EPMA0919-B29-02</v>
      </c>
      <c r="P816" s="35" t="str">
        <f>INDEX(_xlfn.TEXTSPLIT(mvtst[[#This Row],[QR Suivis]],"_"),1,5)</f>
        <v>MARINIERE</v>
      </c>
      <c r="Q816" s="35" t="str">
        <f>_xlfn.TEXTAFTER(mvtst[[#This Row],[QR Suivis]],"_",5)</f>
        <v>0919</v>
      </c>
      <c r="R816" s="84" t="str">
        <f>IF(
   COUNTIFS($A$2:A816,A816,
             $B$2:B816,B816,
             $C$2:C816,C816,
             $D$2:D816,D816,
             $G$2:G816,G816)&gt;1,
   "Doublon",
   "Correcte"
)</f>
        <v>Correcte</v>
      </c>
    </row>
    <row r="817" spans="1:18" x14ac:dyDescent="0.25">
      <c r="A817" s="104" t="s">
        <v>1776</v>
      </c>
      <c r="B817" s="35" t="s">
        <v>595</v>
      </c>
      <c r="C817" s="36">
        <v>5</v>
      </c>
      <c r="D817" s="36">
        <v>0</v>
      </c>
      <c r="E817" s="35" t="s">
        <v>699</v>
      </c>
      <c r="F817" s="35" t="s">
        <v>634</v>
      </c>
      <c r="G817" s="37">
        <v>45929.645451388889</v>
      </c>
      <c r="H817" s="37" t="str">
        <f>INDEX(_xlfn.TEXTSPLIT(mvtst[[#This Row],[QR Suivis]],"_"),1,1)</f>
        <v>OF246546-9</v>
      </c>
      <c r="I817" s="35" t="str">
        <f>_xlfn.TEXTBEFORE(mvtst[[#This Row],[Num Suivis]],"-",,,1)</f>
        <v>OF246546</v>
      </c>
      <c r="J817" s="36">
        <f>SUMIF(mvtst[QR Suivis],mvtst[[#This Row],[QR Suivis]],mvtst[QTE SORTIS])-SUMIF(mvtst[QR Suivis],mvtst[[#This Row],[QR Suivis]],mvtst[QTE RETOUR])</f>
        <v>0</v>
      </c>
      <c r="K817" s="35" t="str">
        <f t="shared" si="12"/>
        <v>Usine</v>
      </c>
      <c r="L817" s="35" t="str">
        <f>_xlfn.XLOOKUP(mvtst[[#This Row],[Sous Traitant]],coordonnee_st[Identification],coordonnee_st[SERVICE],"Non Trouvé")</f>
        <v>Frange</v>
      </c>
      <c r="M817" s="35" t="str">
        <f>INDEX(_xlfn.TEXTSPLIT(mvtst[[#This Row],[QR Suivis]],"_"),1,2)</f>
        <v>CL00296</v>
      </c>
      <c r="N817" s="35" t="str">
        <f>INDEX(_xlfn.TEXTSPLIT(mvtst[[#This Row],[QR Suivis]],"_"),1,3)</f>
        <v>CM-FT0108</v>
      </c>
      <c r="O817" s="35" t="str">
        <f>INDEX(_xlfn.TEXTSPLIT(mvtst[[#This Row],[QR Suivis]],"_"),1,4)</f>
        <v>EPMA0919-B29-02</v>
      </c>
      <c r="P817" s="35" t="str">
        <f>INDEX(_xlfn.TEXTSPLIT(mvtst[[#This Row],[QR Suivis]],"_"),1,5)</f>
        <v>MARINIERE</v>
      </c>
      <c r="Q817" s="35" t="str">
        <f>_xlfn.TEXTAFTER(mvtst[[#This Row],[QR Suivis]],"_",5)</f>
        <v>0919</v>
      </c>
      <c r="R817" s="84" t="str">
        <f>IF(
   COUNTIFS($A$2:A817,A817,
             $B$2:B817,B817,
             $C$2:C817,C817,
             $D$2:D817,D817,
             $G$2:G817,G817)&gt;1,
   "Doublon",
   "Correcte"
)</f>
        <v>Correcte</v>
      </c>
    </row>
    <row r="818" spans="1:18" x14ac:dyDescent="0.25">
      <c r="A818" s="104" t="s">
        <v>1777</v>
      </c>
      <c r="B818" s="35" t="s">
        <v>595</v>
      </c>
      <c r="C818" s="36">
        <v>5</v>
      </c>
      <c r="D818" s="36">
        <v>0</v>
      </c>
      <c r="E818" s="35" t="s">
        <v>699</v>
      </c>
      <c r="F818" s="35" t="s">
        <v>634</v>
      </c>
      <c r="G818" s="37">
        <v>45929.645636574074</v>
      </c>
      <c r="H818" s="37" t="str">
        <f>INDEX(_xlfn.TEXTSPLIT(mvtst[[#This Row],[QR Suivis]],"_"),1,1)</f>
        <v>OF246535-4</v>
      </c>
      <c r="I818" s="35" t="str">
        <f>_xlfn.TEXTBEFORE(mvtst[[#This Row],[Num Suivis]],"-",,,1)</f>
        <v>OF246535</v>
      </c>
      <c r="J818" s="36">
        <f>SUMIF(mvtst[QR Suivis],mvtst[[#This Row],[QR Suivis]],mvtst[QTE SORTIS])-SUMIF(mvtst[QR Suivis],mvtst[[#This Row],[QR Suivis]],mvtst[QTE RETOUR])</f>
        <v>0</v>
      </c>
      <c r="K818" s="35" t="str">
        <f t="shared" si="12"/>
        <v>Usine</v>
      </c>
      <c r="L818" s="35" t="str">
        <f>_xlfn.XLOOKUP(mvtst[[#This Row],[Sous Traitant]],coordonnee_st[Identification],coordonnee_st[SERVICE],"Non Trouvé")</f>
        <v>Frange</v>
      </c>
      <c r="M818" s="35" t="str">
        <f>INDEX(_xlfn.TEXTSPLIT(mvtst[[#This Row],[QR Suivis]],"_"),1,2)</f>
        <v>CL00296</v>
      </c>
      <c r="N818" s="35" t="str">
        <f>INDEX(_xlfn.TEXTSPLIT(mvtst[[#This Row],[QR Suivis]],"_"),1,3)</f>
        <v>CM-FT0108</v>
      </c>
      <c r="O818" s="35" t="str">
        <f>INDEX(_xlfn.TEXTSPLIT(mvtst[[#This Row],[QR Suivis]],"_"),1,4)</f>
        <v>EPMA0919-B03-02</v>
      </c>
      <c r="P818" s="35" t="str">
        <f>INDEX(_xlfn.TEXTSPLIT(mvtst[[#This Row],[QR Suivis]],"_"),1,5)</f>
        <v>MARINIERE</v>
      </c>
      <c r="Q818" s="35" t="str">
        <f>_xlfn.TEXTAFTER(mvtst[[#This Row],[QR Suivis]],"_",5)</f>
        <v>0919</v>
      </c>
      <c r="R818" s="84" t="str">
        <f>IF(
   COUNTIFS($A$2:A818,A818,
             $B$2:B818,B818,
             $C$2:C818,C818,
             $D$2:D818,D818,
             $G$2:G818,G818)&gt;1,
   "Doublon",
   "Correcte"
)</f>
        <v>Correcte</v>
      </c>
    </row>
    <row r="819" spans="1:18" x14ac:dyDescent="0.25">
      <c r="A819" s="104" t="s">
        <v>1778</v>
      </c>
      <c r="B819" s="35" t="s">
        <v>595</v>
      </c>
      <c r="C819" s="36">
        <v>5</v>
      </c>
      <c r="D819" s="36">
        <v>0</v>
      </c>
      <c r="E819" s="35" t="s">
        <v>699</v>
      </c>
      <c r="F819" s="35" t="s">
        <v>634</v>
      </c>
      <c r="G819" s="37">
        <v>45929.645821759259</v>
      </c>
      <c r="H819" s="37" t="str">
        <f>INDEX(_xlfn.TEXTSPLIT(mvtst[[#This Row],[QR Suivis]],"_"),1,1)</f>
        <v>OF246535-8</v>
      </c>
      <c r="I819" s="35" t="str">
        <f>_xlfn.TEXTBEFORE(mvtst[[#This Row],[Num Suivis]],"-",,,1)</f>
        <v>OF246535</v>
      </c>
      <c r="J819" s="36">
        <f>SUMIF(mvtst[QR Suivis],mvtst[[#This Row],[QR Suivis]],mvtst[QTE SORTIS])-SUMIF(mvtst[QR Suivis],mvtst[[#This Row],[QR Suivis]],mvtst[QTE RETOUR])</f>
        <v>0</v>
      </c>
      <c r="K819" s="35" t="str">
        <f t="shared" si="12"/>
        <v>Usine</v>
      </c>
      <c r="L819" s="35" t="str">
        <f>_xlfn.XLOOKUP(mvtst[[#This Row],[Sous Traitant]],coordonnee_st[Identification],coordonnee_st[SERVICE],"Non Trouvé")</f>
        <v>Frange</v>
      </c>
      <c r="M819" s="35" t="str">
        <f>INDEX(_xlfn.TEXTSPLIT(mvtst[[#This Row],[QR Suivis]],"_"),1,2)</f>
        <v>CL00296</v>
      </c>
      <c r="N819" s="35" t="str">
        <f>INDEX(_xlfn.TEXTSPLIT(mvtst[[#This Row],[QR Suivis]],"_"),1,3)</f>
        <v>CM-FT0108</v>
      </c>
      <c r="O819" s="35" t="str">
        <f>INDEX(_xlfn.TEXTSPLIT(mvtst[[#This Row],[QR Suivis]],"_"),1,4)</f>
        <v>EPMA0919-B03-02</v>
      </c>
      <c r="P819" s="35" t="str">
        <f>INDEX(_xlfn.TEXTSPLIT(mvtst[[#This Row],[QR Suivis]],"_"),1,5)</f>
        <v>MARINIERE</v>
      </c>
      <c r="Q819" s="35" t="str">
        <f>_xlfn.TEXTAFTER(mvtst[[#This Row],[QR Suivis]],"_",5)</f>
        <v>0919</v>
      </c>
      <c r="R819" s="84" t="str">
        <f>IF(
   COUNTIFS($A$2:A819,A819,
             $B$2:B819,B819,
             $C$2:C819,C819,
             $D$2:D819,D819,
             $G$2:G819,G819)&gt;1,
   "Doublon",
   "Correcte"
)</f>
        <v>Correcte</v>
      </c>
    </row>
    <row r="820" spans="1:18" x14ac:dyDescent="0.25">
      <c r="A820" s="104" t="s">
        <v>1779</v>
      </c>
      <c r="B820" s="35" t="s">
        <v>595</v>
      </c>
      <c r="C820" s="36">
        <v>5</v>
      </c>
      <c r="D820" s="36">
        <v>0</v>
      </c>
      <c r="E820" s="35" t="s">
        <v>699</v>
      </c>
      <c r="F820" s="35" t="s">
        <v>634</v>
      </c>
      <c r="G820" s="37">
        <v>45929.645995370367</v>
      </c>
      <c r="H820" s="37" t="str">
        <f>INDEX(_xlfn.TEXTSPLIT(mvtst[[#This Row],[QR Suivis]],"_"),1,1)</f>
        <v>OF246535-7</v>
      </c>
      <c r="I820" s="35" t="str">
        <f>_xlfn.TEXTBEFORE(mvtst[[#This Row],[Num Suivis]],"-",,,1)</f>
        <v>OF246535</v>
      </c>
      <c r="J820" s="36">
        <f>SUMIF(mvtst[QR Suivis],mvtst[[#This Row],[QR Suivis]],mvtst[QTE SORTIS])-SUMIF(mvtst[QR Suivis],mvtst[[#This Row],[QR Suivis]],mvtst[QTE RETOUR])</f>
        <v>0</v>
      </c>
      <c r="K820" s="35" t="str">
        <f t="shared" si="12"/>
        <v>Usine</v>
      </c>
      <c r="L820" s="35" t="str">
        <f>_xlfn.XLOOKUP(mvtst[[#This Row],[Sous Traitant]],coordonnee_st[Identification],coordonnee_st[SERVICE],"Non Trouvé")</f>
        <v>Frange</v>
      </c>
      <c r="M820" s="35" t="str">
        <f>INDEX(_xlfn.TEXTSPLIT(mvtst[[#This Row],[QR Suivis]],"_"),1,2)</f>
        <v>CL00296</v>
      </c>
      <c r="N820" s="35" t="str">
        <f>INDEX(_xlfn.TEXTSPLIT(mvtst[[#This Row],[QR Suivis]],"_"),1,3)</f>
        <v>CM-FT0108</v>
      </c>
      <c r="O820" s="35" t="str">
        <f>INDEX(_xlfn.TEXTSPLIT(mvtst[[#This Row],[QR Suivis]],"_"),1,4)</f>
        <v>EPMA0919-B03-02</v>
      </c>
      <c r="P820" s="35" t="str">
        <f>INDEX(_xlfn.TEXTSPLIT(mvtst[[#This Row],[QR Suivis]],"_"),1,5)</f>
        <v>MARINIERE</v>
      </c>
      <c r="Q820" s="35" t="str">
        <f>_xlfn.TEXTAFTER(mvtst[[#This Row],[QR Suivis]],"_",5)</f>
        <v>0919</v>
      </c>
      <c r="R820" s="84" t="str">
        <f>IF(
   COUNTIFS($A$2:A820,A820,
             $B$2:B820,B820,
             $C$2:C820,C820,
             $D$2:D820,D820,
             $G$2:G820,G820)&gt;1,
   "Doublon",
   "Correcte"
)</f>
        <v>Correcte</v>
      </c>
    </row>
    <row r="821" spans="1:18" x14ac:dyDescent="0.25">
      <c r="A821" s="104" t="s">
        <v>1780</v>
      </c>
      <c r="B821" s="35" t="s">
        <v>712</v>
      </c>
      <c r="C821" s="36">
        <v>5</v>
      </c>
      <c r="D821" s="36">
        <v>0</v>
      </c>
      <c r="E821" s="35" t="s">
        <v>699</v>
      </c>
      <c r="F821" s="35" t="s">
        <v>634</v>
      </c>
      <c r="G821" s="37">
        <v>45929.646932870368</v>
      </c>
      <c r="H821" s="37" t="str">
        <f>INDEX(_xlfn.TEXTSPLIT(mvtst[[#This Row],[QR Suivis]],"_"),1,1)</f>
        <v>CA250030-6</v>
      </c>
      <c r="I821" s="35" t="str">
        <f>_xlfn.TEXTBEFORE(mvtst[[#This Row],[Num Suivis]],"-",,,1)</f>
        <v>CA250030</v>
      </c>
      <c r="J821" s="36">
        <f>SUMIF(mvtst[QR Suivis],mvtst[[#This Row],[QR Suivis]],mvtst[QTE SORTIS])-SUMIF(mvtst[QR Suivis],mvtst[[#This Row],[QR Suivis]],mvtst[QTE RETOUR])</f>
        <v>0</v>
      </c>
      <c r="K821" s="35" t="str">
        <f t="shared" si="12"/>
        <v>Usine</v>
      </c>
      <c r="L821" s="35" t="str">
        <f>_xlfn.XLOOKUP(mvtst[[#This Row],[Sous Traitant]],coordonnee_st[Identification],coordonnee_st[SERVICE],"Non Trouvé")</f>
        <v>Frange</v>
      </c>
      <c r="M821" s="35" t="str">
        <f>INDEX(_xlfn.TEXTSPLIT(mvtst[[#This Row],[QR Suivis]],"_"),1,2)</f>
        <v>All by Fouta</v>
      </c>
      <c r="N821" s="35" t="str">
        <f>INDEX(_xlfn.TEXTSPLIT(mvtst[[#This Row],[QR Suivis]],"_"),1,3)</f>
        <v>Stock</v>
      </c>
      <c r="O821" s="35" t="str">
        <f>INDEX(_xlfn.TEXTSPLIT(mvtst[[#This Row],[QR Suivis]],"_"),1,4)</f>
        <v>UNS2020-18</v>
      </c>
      <c r="P821" s="35" t="str">
        <f>INDEX(_xlfn.TEXTSPLIT(mvtst[[#This Row],[QR Suivis]],"_"),1,5)</f>
        <v>UNI SURPIQUE</v>
      </c>
      <c r="Q821" s="35" t="str">
        <f>_xlfn.TEXTAFTER(mvtst[[#This Row],[QR Suivis]],"_",5)</f>
        <v>2020</v>
      </c>
      <c r="R821" s="84" t="str">
        <f>IF(
   COUNTIFS($A$2:A821,A821,
             $B$2:B821,B821,
             $C$2:C821,C821,
             $D$2:D821,D821,
             $G$2:G821,G821)&gt;1,
   "Doublon",
   "Correcte"
)</f>
        <v>Correcte</v>
      </c>
    </row>
    <row r="822" spans="1:18" x14ac:dyDescent="0.25">
      <c r="A822" s="104" t="s">
        <v>1781</v>
      </c>
      <c r="B822" s="35" t="s">
        <v>712</v>
      </c>
      <c r="C822" s="36">
        <v>5</v>
      </c>
      <c r="D822" s="36">
        <v>0</v>
      </c>
      <c r="E822" s="35" t="s">
        <v>699</v>
      </c>
      <c r="F822" s="35" t="s">
        <v>634</v>
      </c>
      <c r="G822" s="37">
        <v>45929.647106481483</v>
      </c>
      <c r="H822" s="37" t="str">
        <f>INDEX(_xlfn.TEXTSPLIT(mvtst[[#This Row],[QR Suivis]],"_"),1,1)</f>
        <v>CA250054-1</v>
      </c>
      <c r="I822" s="35" t="str">
        <f>_xlfn.TEXTBEFORE(mvtst[[#This Row],[Num Suivis]],"-",,,1)</f>
        <v>CA250054</v>
      </c>
      <c r="J822" s="36">
        <f>SUMIF(mvtst[QR Suivis],mvtst[[#This Row],[QR Suivis]],mvtst[QTE SORTIS])-SUMIF(mvtst[QR Suivis],mvtst[[#This Row],[QR Suivis]],mvtst[QTE RETOUR])</f>
        <v>0</v>
      </c>
      <c r="K822" s="35" t="str">
        <f t="shared" si="12"/>
        <v>Usine</v>
      </c>
      <c r="L822" s="35" t="str">
        <f>_xlfn.XLOOKUP(mvtst[[#This Row],[Sous Traitant]],coordonnee_st[Identification],coordonnee_st[SERVICE],"Non Trouvé")</f>
        <v>Frange</v>
      </c>
      <c r="M822" s="35" t="str">
        <f>INDEX(_xlfn.TEXTSPLIT(mvtst[[#This Row],[QR Suivis]],"_"),1,2)</f>
        <v>All by Fouta</v>
      </c>
      <c r="N822" s="35" t="str">
        <f>INDEX(_xlfn.TEXTSPLIT(mvtst[[#This Row],[QR Suivis]],"_"),1,3)</f>
        <v>Stock</v>
      </c>
      <c r="O822" s="35" t="str">
        <f>INDEX(_xlfn.TEXTSPLIT(mvtst[[#This Row],[QR Suivis]],"_"),1,4)</f>
        <v>UNS1626-24</v>
      </c>
      <c r="P822" s="35" t="str">
        <f>INDEX(_xlfn.TEXTSPLIT(mvtst[[#This Row],[QR Suivis]],"_"),1,5)</f>
        <v>UNI SURPIQUE</v>
      </c>
      <c r="Q822" s="35" t="str">
        <f>_xlfn.TEXTAFTER(mvtst[[#This Row],[QR Suivis]],"_",5)</f>
        <v>1626</v>
      </c>
      <c r="R822" s="84" t="str">
        <f>IF(
   COUNTIFS($A$2:A822,A822,
             $B$2:B822,B822,
             $C$2:C822,C822,
             $D$2:D822,D822,
             $G$2:G822,G822)&gt;1,
   "Doublon",
   "Correcte"
)</f>
        <v>Correcte</v>
      </c>
    </row>
    <row r="823" spans="1:18" x14ac:dyDescent="0.25">
      <c r="A823" s="104" t="s">
        <v>1782</v>
      </c>
      <c r="B823" s="35" t="s">
        <v>712</v>
      </c>
      <c r="C823" s="36">
        <v>5</v>
      </c>
      <c r="D823" s="36">
        <v>0</v>
      </c>
      <c r="E823" s="35" t="s">
        <v>699</v>
      </c>
      <c r="F823" s="35" t="s">
        <v>634</v>
      </c>
      <c r="G823" s="37">
        <v>45929.647291666668</v>
      </c>
      <c r="H823" s="37" t="str">
        <f>INDEX(_xlfn.TEXTSPLIT(mvtst[[#This Row],[QR Suivis]],"_"),1,1)</f>
        <v>CA250054-2</v>
      </c>
      <c r="I823" s="35" t="str">
        <f>_xlfn.TEXTBEFORE(mvtst[[#This Row],[Num Suivis]],"-",,,1)</f>
        <v>CA250054</v>
      </c>
      <c r="J823" s="36">
        <f>SUMIF(mvtst[QR Suivis],mvtst[[#This Row],[QR Suivis]],mvtst[QTE SORTIS])-SUMIF(mvtst[QR Suivis],mvtst[[#This Row],[QR Suivis]],mvtst[QTE RETOUR])</f>
        <v>0</v>
      </c>
      <c r="K823" s="35" t="str">
        <f t="shared" si="12"/>
        <v>Usine</v>
      </c>
      <c r="L823" s="35" t="str">
        <f>_xlfn.XLOOKUP(mvtst[[#This Row],[Sous Traitant]],coordonnee_st[Identification],coordonnee_st[SERVICE],"Non Trouvé")</f>
        <v>Frange</v>
      </c>
      <c r="M823" s="35" t="str">
        <f>INDEX(_xlfn.TEXTSPLIT(mvtst[[#This Row],[QR Suivis]],"_"),1,2)</f>
        <v>All by Fouta</v>
      </c>
      <c r="N823" s="35" t="str">
        <f>INDEX(_xlfn.TEXTSPLIT(mvtst[[#This Row],[QR Suivis]],"_"),1,3)</f>
        <v>Stock</v>
      </c>
      <c r="O823" s="35" t="str">
        <f>INDEX(_xlfn.TEXTSPLIT(mvtst[[#This Row],[QR Suivis]],"_"),1,4)</f>
        <v>UNS1626-24</v>
      </c>
      <c r="P823" s="35" t="str">
        <f>INDEX(_xlfn.TEXTSPLIT(mvtst[[#This Row],[QR Suivis]],"_"),1,5)</f>
        <v>UNI SURPIQUE</v>
      </c>
      <c r="Q823" s="35" t="str">
        <f>_xlfn.TEXTAFTER(mvtst[[#This Row],[QR Suivis]],"_",5)</f>
        <v>1626</v>
      </c>
      <c r="R823" s="84" t="str">
        <f>IF(
   COUNTIFS($A$2:A823,A823,
             $B$2:B823,B823,
             $C$2:C823,C823,
             $D$2:D823,D823,
             $G$2:G823,G823)&gt;1,
   "Doublon",
   "Correcte"
)</f>
        <v>Correcte</v>
      </c>
    </row>
    <row r="824" spans="1:18" x14ac:dyDescent="0.25">
      <c r="A824" s="104" t="s">
        <v>1783</v>
      </c>
      <c r="B824" s="35" t="s">
        <v>712</v>
      </c>
      <c r="C824" s="36">
        <v>5</v>
      </c>
      <c r="D824" s="36">
        <v>0</v>
      </c>
      <c r="E824" s="35" t="s">
        <v>699</v>
      </c>
      <c r="F824" s="35" t="s">
        <v>634</v>
      </c>
      <c r="G824" s="37">
        <v>45929.647511574076</v>
      </c>
      <c r="H824" s="37" t="str">
        <f>INDEX(_xlfn.TEXTSPLIT(mvtst[[#This Row],[QR Suivis]],"_"),1,1)</f>
        <v>CA250054-3</v>
      </c>
      <c r="I824" s="35" t="str">
        <f>_xlfn.TEXTBEFORE(mvtst[[#This Row],[Num Suivis]],"-",,,1)</f>
        <v>CA250054</v>
      </c>
      <c r="J824" s="36">
        <f>SUMIF(mvtst[QR Suivis],mvtst[[#This Row],[QR Suivis]],mvtst[QTE SORTIS])-SUMIF(mvtst[QR Suivis],mvtst[[#This Row],[QR Suivis]],mvtst[QTE RETOUR])</f>
        <v>0</v>
      </c>
      <c r="K824" s="35" t="str">
        <f t="shared" si="12"/>
        <v>Usine</v>
      </c>
      <c r="L824" s="35" t="str">
        <f>_xlfn.XLOOKUP(mvtst[[#This Row],[Sous Traitant]],coordonnee_st[Identification],coordonnee_st[SERVICE],"Non Trouvé")</f>
        <v>Frange</v>
      </c>
      <c r="M824" s="35" t="str">
        <f>INDEX(_xlfn.TEXTSPLIT(mvtst[[#This Row],[QR Suivis]],"_"),1,2)</f>
        <v>All by Fouta</v>
      </c>
      <c r="N824" s="35" t="str">
        <f>INDEX(_xlfn.TEXTSPLIT(mvtst[[#This Row],[QR Suivis]],"_"),1,3)</f>
        <v>Stock</v>
      </c>
      <c r="O824" s="35" t="str">
        <f>INDEX(_xlfn.TEXTSPLIT(mvtst[[#This Row],[QR Suivis]],"_"),1,4)</f>
        <v>UNS1626-24</v>
      </c>
      <c r="P824" s="35" t="str">
        <f>INDEX(_xlfn.TEXTSPLIT(mvtst[[#This Row],[QR Suivis]],"_"),1,5)</f>
        <v>UNI SURPIQUE</v>
      </c>
      <c r="Q824" s="35" t="str">
        <f>_xlfn.TEXTAFTER(mvtst[[#This Row],[QR Suivis]],"_",5)</f>
        <v>1626</v>
      </c>
      <c r="R824" s="84" t="str">
        <f>IF(
   COUNTIFS($A$2:A824,A824,
             $B$2:B824,B824,
             $C$2:C824,C824,
             $D$2:D824,D824,
             $G$2:G824,G824)&gt;1,
   "Doublon",
   "Correcte"
)</f>
        <v>Correcte</v>
      </c>
    </row>
    <row r="825" spans="1:18" x14ac:dyDescent="0.25">
      <c r="A825" s="104" t="s">
        <v>1784</v>
      </c>
      <c r="B825" s="35" t="s">
        <v>712</v>
      </c>
      <c r="C825" s="36">
        <v>5</v>
      </c>
      <c r="D825" s="36">
        <v>0</v>
      </c>
      <c r="E825" s="35" t="s">
        <v>699</v>
      </c>
      <c r="F825" s="35" t="s">
        <v>634</v>
      </c>
      <c r="G825" s="37">
        <v>45929.647696759261</v>
      </c>
      <c r="H825" s="37" t="str">
        <f>INDEX(_xlfn.TEXTSPLIT(mvtst[[#This Row],[QR Suivis]],"_"),1,1)</f>
        <v>CA250055-1</v>
      </c>
      <c r="I825" s="35" t="str">
        <f>_xlfn.TEXTBEFORE(mvtst[[#This Row],[Num Suivis]],"-",,,1)</f>
        <v>CA250055</v>
      </c>
      <c r="J825" s="36">
        <f>SUMIF(mvtst[QR Suivis],mvtst[[#This Row],[QR Suivis]],mvtst[QTE SORTIS])-SUMIF(mvtst[QR Suivis],mvtst[[#This Row],[QR Suivis]],mvtst[QTE RETOUR])</f>
        <v>0</v>
      </c>
      <c r="K825" s="35" t="str">
        <f t="shared" si="12"/>
        <v>Usine</v>
      </c>
      <c r="L825" s="35" t="str">
        <f>_xlfn.XLOOKUP(mvtst[[#This Row],[Sous Traitant]],coordonnee_st[Identification],coordonnee_st[SERVICE],"Non Trouvé")</f>
        <v>Frange</v>
      </c>
      <c r="M825" s="35" t="str">
        <f>INDEX(_xlfn.TEXTSPLIT(mvtst[[#This Row],[QR Suivis]],"_"),1,2)</f>
        <v>All by Fouta</v>
      </c>
      <c r="N825" s="35" t="str">
        <f>INDEX(_xlfn.TEXTSPLIT(mvtst[[#This Row],[QR Suivis]],"_"),1,3)</f>
        <v>Stock</v>
      </c>
      <c r="O825" s="35" t="str">
        <f>INDEX(_xlfn.TEXTSPLIT(mvtst[[#This Row],[QR Suivis]],"_"),1,4)</f>
        <v>UNS1626-26</v>
      </c>
      <c r="P825" s="35" t="str">
        <f>INDEX(_xlfn.TEXTSPLIT(mvtst[[#This Row],[QR Suivis]],"_"),1,5)</f>
        <v>UNI SURPIQUE</v>
      </c>
      <c r="Q825" s="35" t="str">
        <f>_xlfn.TEXTAFTER(mvtst[[#This Row],[QR Suivis]],"_",5)</f>
        <v>1626</v>
      </c>
      <c r="R825" s="84" t="str">
        <f>IF(
   COUNTIFS($A$2:A825,A825,
             $B$2:B825,B825,
             $C$2:C825,C825,
             $D$2:D825,D825,
             $G$2:G825,G825)&gt;1,
   "Doublon",
   "Correcte"
)</f>
        <v>Correcte</v>
      </c>
    </row>
    <row r="826" spans="1:18" x14ac:dyDescent="0.25">
      <c r="A826" s="104" t="s">
        <v>1785</v>
      </c>
      <c r="B826" s="35" t="s">
        <v>712</v>
      </c>
      <c r="C826" s="36">
        <v>5</v>
      </c>
      <c r="D826" s="36">
        <v>0</v>
      </c>
      <c r="E826" s="35" t="s">
        <v>699</v>
      </c>
      <c r="F826" s="35" t="s">
        <v>634</v>
      </c>
      <c r="G826" s="37">
        <v>45929.647905092592</v>
      </c>
      <c r="H826" s="37" t="str">
        <f>INDEX(_xlfn.TEXTSPLIT(mvtst[[#This Row],[QR Suivis]],"_"),1,1)</f>
        <v>CA250030-3</v>
      </c>
      <c r="I826" s="35" t="str">
        <f>_xlfn.TEXTBEFORE(mvtst[[#This Row],[Num Suivis]],"-",,,1)</f>
        <v>CA250030</v>
      </c>
      <c r="J826" s="36">
        <f>SUMIF(mvtst[QR Suivis],mvtst[[#This Row],[QR Suivis]],mvtst[QTE SORTIS])-SUMIF(mvtst[QR Suivis],mvtst[[#This Row],[QR Suivis]],mvtst[QTE RETOUR])</f>
        <v>0</v>
      </c>
      <c r="K826" s="35" t="str">
        <f t="shared" si="12"/>
        <v>Usine</v>
      </c>
      <c r="L826" s="35" t="str">
        <f>_xlfn.XLOOKUP(mvtst[[#This Row],[Sous Traitant]],coordonnee_st[Identification],coordonnee_st[SERVICE],"Non Trouvé")</f>
        <v>Frange</v>
      </c>
      <c r="M826" s="35" t="str">
        <f>INDEX(_xlfn.TEXTSPLIT(mvtst[[#This Row],[QR Suivis]],"_"),1,2)</f>
        <v>All by Fouta</v>
      </c>
      <c r="N826" s="35" t="str">
        <f>INDEX(_xlfn.TEXTSPLIT(mvtst[[#This Row],[QR Suivis]],"_"),1,3)</f>
        <v>Stock</v>
      </c>
      <c r="O826" s="35" t="str">
        <f>INDEX(_xlfn.TEXTSPLIT(mvtst[[#This Row],[QR Suivis]],"_"),1,4)</f>
        <v>UNS2020-18</v>
      </c>
      <c r="P826" s="35" t="str">
        <f>INDEX(_xlfn.TEXTSPLIT(mvtst[[#This Row],[QR Suivis]],"_"),1,5)</f>
        <v>UNI SURPIQUE</v>
      </c>
      <c r="Q826" s="35" t="str">
        <f>_xlfn.TEXTAFTER(mvtst[[#This Row],[QR Suivis]],"_",5)</f>
        <v>2020</v>
      </c>
      <c r="R826" s="84" t="str">
        <f>IF(
   COUNTIFS($A$2:A826,A826,
             $B$2:B826,B826,
             $C$2:C826,C826,
             $D$2:D826,D826,
             $G$2:G826,G826)&gt;1,
   "Doublon",
   "Correcte"
)</f>
        <v>Correcte</v>
      </c>
    </row>
    <row r="827" spans="1:18" x14ac:dyDescent="0.25">
      <c r="A827" s="104" t="s">
        <v>1786</v>
      </c>
      <c r="B827" s="35" t="s">
        <v>712</v>
      </c>
      <c r="C827" s="36">
        <v>5</v>
      </c>
      <c r="D827" s="36">
        <v>0</v>
      </c>
      <c r="E827" s="35" t="s">
        <v>699</v>
      </c>
      <c r="F827" s="35" t="s">
        <v>634</v>
      </c>
      <c r="G827" s="37">
        <v>45929.648599537039</v>
      </c>
      <c r="H827" s="37" t="str">
        <f>INDEX(_xlfn.TEXTSPLIT(mvtst[[#This Row],[QR Suivis]],"_"),1,1)</f>
        <v>CA250030-5</v>
      </c>
      <c r="I827" s="35" t="str">
        <f>_xlfn.TEXTBEFORE(mvtst[[#This Row],[Num Suivis]],"-",,,1)</f>
        <v>CA250030</v>
      </c>
      <c r="J827" s="36">
        <f>SUMIF(mvtst[QR Suivis],mvtst[[#This Row],[QR Suivis]],mvtst[QTE SORTIS])-SUMIF(mvtst[QR Suivis],mvtst[[#This Row],[QR Suivis]],mvtst[QTE RETOUR])</f>
        <v>0</v>
      </c>
      <c r="K827" s="35" t="str">
        <f t="shared" si="12"/>
        <v>Usine</v>
      </c>
      <c r="L827" s="35" t="str">
        <f>_xlfn.XLOOKUP(mvtst[[#This Row],[Sous Traitant]],coordonnee_st[Identification],coordonnee_st[SERVICE],"Non Trouvé")</f>
        <v>Frange</v>
      </c>
      <c r="M827" s="35" t="str">
        <f>INDEX(_xlfn.TEXTSPLIT(mvtst[[#This Row],[QR Suivis]],"_"),1,2)</f>
        <v>All by Fouta</v>
      </c>
      <c r="N827" s="35" t="str">
        <f>INDEX(_xlfn.TEXTSPLIT(mvtst[[#This Row],[QR Suivis]],"_"),1,3)</f>
        <v>Stock</v>
      </c>
      <c r="O827" s="35" t="str">
        <f>INDEX(_xlfn.TEXTSPLIT(mvtst[[#This Row],[QR Suivis]],"_"),1,4)</f>
        <v>UNS2020-18</v>
      </c>
      <c r="P827" s="35" t="str">
        <f>INDEX(_xlfn.TEXTSPLIT(mvtst[[#This Row],[QR Suivis]],"_"),1,5)</f>
        <v>UNI SURPIQUE</v>
      </c>
      <c r="Q827" s="35" t="str">
        <f>_xlfn.TEXTAFTER(mvtst[[#This Row],[QR Suivis]],"_",5)</f>
        <v>2020</v>
      </c>
      <c r="R827" s="84" t="str">
        <f>IF(
   COUNTIFS($A$2:A827,A827,
             $B$2:B827,B827,
             $C$2:C827,C827,
             $D$2:D827,D827,
             $G$2:G827,G827)&gt;1,
   "Doublon",
   "Correcte"
)</f>
        <v>Correcte</v>
      </c>
    </row>
    <row r="828" spans="1:18" x14ac:dyDescent="0.25">
      <c r="A828" s="104" t="s">
        <v>1787</v>
      </c>
      <c r="B828" s="35" t="s">
        <v>712</v>
      </c>
      <c r="C828" s="36">
        <v>5</v>
      </c>
      <c r="D828" s="36">
        <v>0</v>
      </c>
      <c r="E828" s="35" t="s">
        <v>699</v>
      </c>
      <c r="F828" s="35" t="s">
        <v>634</v>
      </c>
      <c r="G828" s="37">
        <v>45929.648831018516</v>
      </c>
      <c r="H828" s="37" t="str">
        <f>INDEX(_xlfn.TEXTSPLIT(mvtst[[#This Row],[QR Suivis]],"_"),1,1)</f>
        <v>CA250055-3</v>
      </c>
      <c r="I828" s="35" t="str">
        <f>_xlfn.TEXTBEFORE(mvtst[[#This Row],[Num Suivis]],"-",,,1)</f>
        <v>CA250055</v>
      </c>
      <c r="J828" s="36">
        <f>SUMIF(mvtst[QR Suivis],mvtst[[#This Row],[QR Suivis]],mvtst[QTE SORTIS])-SUMIF(mvtst[QR Suivis],mvtst[[#This Row],[QR Suivis]],mvtst[QTE RETOUR])</f>
        <v>0</v>
      </c>
      <c r="K828" s="35" t="str">
        <f t="shared" si="12"/>
        <v>Usine</v>
      </c>
      <c r="L828" s="35" t="str">
        <f>_xlfn.XLOOKUP(mvtst[[#This Row],[Sous Traitant]],coordonnee_st[Identification],coordonnee_st[SERVICE],"Non Trouvé")</f>
        <v>Frange</v>
      </c>
      <c r="M828" s="35" t="str">
        <f>INDEX(_xlfn.TEXTSPLIT(mvtst[[#This Row],[QR Suivis]],"_"),1,2)</f>
        <v>All by Fouta</v>
      </c>
      <c r="N828" s="35" t="str">
        <f>INDEX(_xlfn.TEXTSPLIT(mvtst[[#This Row],[QR Suivis]],"_"),1,3)</f>
        <v>Stock</v>
      </c>
      <c r="O828" s="35" t="str">
        <f>INDEX(_xlfn.TEXTSPLIT(mvtst[[#This Row],[QR Suivis]],"_"),1,4)</f>
        <v>UNS1626-26</v>
      </c>
      <c r="P828" s="35" t="str">
        <f>INDEX(_xlfn.TEXTSPLIT(mvtst[[#This Row],[QR Suivis]],"_"),1,5)</f>
        <v>UNI SURPIQUE</v>
      </c>
      <c r="Q828" s="35" t="str">
        <f>_xlfn.TEXTAFTER(mvtst[[#This Row],[QR Suivis]],"_",5)</f>
        <v>1626</v>
      </c>
      <c r="R828" s="84" t="str">
        <f>IF(
   COUNTIFS($A$2:A828,A828,
             $B$2:B828,B828,
             $C$2:C828,C828,
             $D$2:D828,D828,
             $G$2:G828,G828)&gt;1,
   "Doublon",
   "Correcte"
)</f>
        <v>Correcte</v>
      </c>
    </row>
    <row r="829" spans="1:18" x14ac:dyDescent="0.25">
      <c r="A829" s="104" t="s">
        <v>1788</v>
      </c>
      <c r="B829" s="35" t="s">
        <v>712</v>
      </c>
      <c r="C829" s="36">
        <v>5</v>
      </c>
      <c r="D829" s="36">
        <v>0</v>
      </c>
      <c r="E829" s="35" t="s">
        <v>699</v>
      </c>
      <c r="F829" s="35" t="s">
        <v>634</v>
      </c>
      <c r="G829" s="37">
        <v>45929.649050925924</v>
      </c>
      <c r="H829" s="37" t="str">
        <f>INDEX(_xlfn.TEXTSPLIT(mvtst[[#This Row],[QR Suivis]],"_"),1,1)</f>
        <v>CA250055-2</v>
      </c>
      <c r="I829" s="35" t="str">
        <f>_xlfn.TEXTBEFORE(mvtst[[#This Row],[Num Suivis]],"-",,,1)</f>
        <v>CA250055</v>
      </c>
      <c r="J829" s="36">
        <f>SUMIF(mvtst[QR Suivis],mvtst[[#This Row],[QR Suivis]],mvtst[QTE SORTIS])-SUMIF(mvtst[QR Suivis],mvtst[[#This Row],[QR Suivis]],mvtst[QTE RETOUR])</f>
        <v>0</v>
      </c>
      <c r="K829" s="35" t="str">
        <f t="shared" si="12"/>
        <v>Usine</v>
      </c>
      <c r="L829" s="35" t="str">
        <f>_xlfn.XLOOKUP(mvtst[[#This Row],[Sous Traitant]],coordonnee_st[Identification],coordonnee_st[SERVICE],"Non Trouvé")</f>
        <v>Frange</v>
      </c>
      <c r="M829" s="35" t="str">
        <f>INDEX(_xlfn.TEXTSPLIT(mvtst[[#This Row],[QR Suivis]],"_"),1,2)</f>
        <v>All by Fouta</v>
      </c>
      <c r="N829" s="35" t="str">
        <f>INDEX(_xlfn.TEXTSPLIT(mvtst[[#This Row],[QR Suivis]],"_"),1,3)</f>
        <v>Stock</v>
      </c>
      <c r="O829" s="35" t="str">
        <f>INDEX(_xlfn.TEXTSPLIT(mvtst[[#This Row],[QR Suivis]],"_"),1,4)</f>
        <v>UNS1626-26</v>
      </c>
      <c r="P829" s="35" t="str">
        <f>INDEX(_xlfn.TEXTSPLIT(mvtst[[#This Row],[QR Suivis]],"_"),1,5)</f>
        <v>UNI SURPIQUE</v>
      </c>
      <c r="Q829" s="35" t="str">
        <f>_xlfn.TEXTAFTER(mvtst[[#This Row],[QR Suivis]],"_",5)</f>
        <v>1626</v>
      </c>
      <c r="R829" s="84" t="str">
        <f>IF(
   COUNTIFS($A$2:A829,A829,
             $B$2:B829,B829,
             $C$2:C829,C829,
             $D$2:D829,D829,
             $G$2:G829,G829)&gt;1,
   "Doublon",
   "Correcte"
)</f>
        <v>Correcte</v>
      </c>
    </row>
    <row r="830" spans="1:18" x14ac:dyDescent="0.25">
      <c r="A830" s="104" t="s">
        <v>1789</v>
      </c>
      <c r="B830" s="35" t="s">
        <v>712</v>
      </c>
      <c r="C830" s="36">
        <v>5</v>
      </c>
      <c r="D830" s="36">
        <v>0</v>
      </c>
      <c r="E830" s="35" t="s">
        <v>699</v>
      </c>
      <c r="F830" s="35" t="s">
        <v>634</v>
      </c>
      <c r="G830" s="37">
        <v>45929.650659722225</v>
      </c>
      <c r="H830" s="37" t="str">
        <f>INDEX(_xlfn.TEXTSPLIT(mvtst[[#This Row],[QR Suivis]],"_"),1,1)</f>
        <v>CA250024-3</v>
      </c>
      <c r="I830" s="35" t="str">
        <f>_xlfn.TEXTBEFORE(mvtst[[#This Row],[Num Suivis]],"-",,,1)</f>
        <v>CA250024</v>
      </c>
      <c r="J830" s="36">
        <f>SUMIF(mvtst[QR Suivis],mvtst[[#This Row],[QR Suivis]],mvtst[QTE SORTIS])-SUMIF(mvtst[QR Suivis],mvtst[[#This Row],[QR Suivis]],mvtst[QTE RETOUR])</f>
        <v>0</v>
      </c>
      <c r="K830" s="35" t="str">
        <f t="shared" si="12"/>
        <v>Usine</v>
      </c>
      <c r="L830" s="35" t="str">
        <f>_xlfn.XLOOKUP(mvtst[[#This Row],[Sous Traitant]],coordonnee_st[Identification],coordonnee_st[SERVICE],"Non Trouvé")</f>
        <v>Frange</v>
      </c>
      <c r="M830" s="35" t="str">
        <f>INDEX(_xlfn.TEXTSPLIT(mvtst[[#This Row],[QR Suivis]],"_"),1,2)</f>
        <v>All by Fouta</v>
      </c>
      <c r="N830" s="35" t="str">
        <f>INDEX(_xlfn.TEXTSPLIT(mvtst[[#This Row],[QR Suivis]],"_"),1,3)</f>
        <v>Stock</v>
      </c>
      <c r="O830" s="35" t="str">
        <f>INDEX(_xlfn.TEXTSPLIT(mvtst[[#This Row],[QR Suivis]],"_"),1,4)</f>
        <v>UNS2020-09</v>
      </c>
      <c r="P830" s="35" t="str">
        <f>INDEX(_xlfn.TEXTSPLIT(mvtst[[#This Row],[QR Suivis]],"_"),1,5)</f>
        <v>UNI SURPIQUE</v>
      </c>
      <c r="Q830" s="35" t="str">
        <f>_xlfn.TEXTAFTER(mvtst[[#This Row],[QR Suivis]],"_",5)</f>
        <v>2020</v>
      </c>
      <c r="R830" s="84" t="str">
        <f>IF(
   COUNTIFS($A$2:A830,A830,
             $B$2:B830,B830,
             $C$2:C830,C830,
             $D$2:D830,D830,
             $G$2:G830,G830)&gt;1,
   "Doublon",
   "Correcte"
)</f>
        <v>Correcte</v>
      </c>
    </row>
    <row r="831" spans="1:18" x14ac:dyDescent="0.25">
      <c r="A831" s="104" t="s">
        <v>1790</v>
      </c>
      <c r="B831" s="35" t="s">
        <v>712</v>
      </c>
      <c r="C831" s="36">
        <v>1</v>
      </c>
      <c r="D831" s="36">
        <v>0</v>
      </c>
      <c r="E831" s="35" t="s">
        <v>699</v>
      </c>
      <c r="F831" s="35" t="s">
        <v>634</v>
      </c>
      <c r="G831" s="37">
        <v>45929.650914351849</v>
      </c>
      <c r="H831" s="37" t="str">
        <f>INDEX(_xlfn.TEXTSPLIT(mvtst[[#This Row],[QR Suivis]],"_"),1,1)</f>
        <v>CA250030-7</v>
      </c>
      <c r="I831" s="35" t="str">
        <f>_xlfn.TEXTBEFORE(mvtst[[#This Row],[Num Suivis]],"-",,,1)</f>
        <v>CA250030</v>
      </c>
      <c r="J831" s="36">
        <f>SUMIF(mvtst[QR Suivis],mvtst[[#This Row],[QR Suivis]],mvtst[QTE SORTIS])-SUMIF(mvtst[QR Suivis],mvtst[[#This Row],[QR Suivis]],mvtst[QTE RETOUR])</f>
        <v>0</v>
      </c>
      <c r="K831" s="35" t="str">
        <f t="shared" si="12"/>
        <v>Usine</v>
      </c>
      <c r="L831" s="35" t="str">
        <f>_xlfn.XLOOKUP(mvtst[[#This Row],[Sous Traitant]],coordonnee_st[Identification],coordonnee_st[SERVICE],"Non Trouvé")</f>
        <v>Frange</v>
      </c>
      <c r="M831" s="35" t="str">
        <f>INDEX(_xlfn.TEXTSPLIT(mvtst[[#This Row],[QR Suivis]],"_"),1,2)</f>
        <v>All by Fouta</v>
      </c>
      <c r="N831" s="35" t="str">
        <f>INDEX(_xlfn.TEXTSPLIT(mvtst[[#This Row],[QR Suivis]],"_"),1,3)</f>
        <v>Stock</v>
      </c>
      <c r="O831" s="35" t="str">
        <f>INDEX(_xlfn.TEXTSPLIT(mvtst[[#This Row],[QR Suivis]],"_"),1,4)</f>
        <v>UNS2020-18</v>
      </c>
      <c r="P831" s="35" t="str">
        <f>INDEX(_xlfn.TEXTSPLIT(mvtst[[#This Row],[QR Suivis]],"_"),1,5)</f>
        <v>UNI SURPIQUE</v>
      </c>
      <c r="Q831" s="35" t="str">
        <f>_xlfn.TEXTAFTER(mvtst[[#This Row],[QR Suivis]],"_",5)</f>
        <v>2020</v>
      </c>
      <c r="R831" s="84" t="str">
        <f>IF(
   COUNTIFS($A$2:A831,A831,
             $B$2:B831,B831,
             $C$2:C831,C831,
             $D$2:D831,D831,
             $G$2:G831,G831)&gt;1,
   "Doublon",
   "Correcte"
)</f>
        <v>Correcte</v>
      </c>
    </row>
    <row r="832" spans="1:18" x14ac:dyDescent="0.25">
      <c r="A832" s="104" t="s">
        <v>1791</v>
      </c>
      <c r="B832" s="35" t="s">
        <v>712</v>
      </c>
      <c r="C832" s="36">
        <v>5</v>
      </c>
      <c r="D832" s="36">
        <v>0</v>
      </c>
      <c r="E832" s="35" t="s">
        <v>699</v>
      </c>
      <c r="F832" s="35" t="s">
        <v>634</v>
      </c>
      <c r="G832" s="37">
        <v>45929.651134259257</v>
      </c>
      <c r="H832" s="37" t="str">
        <f>INDEX(_xlfn.TEXTSPLIT(mvtst[[#This Row],[QR Suivis]],"_"),1,1)</f>
        <v>CA250024-2</v>
      </c>
      <c r="I832" s="35" t="str">
        <f>_xlfn.TEXTBEFORE(mvtst[[#This Row],[Num Suivis]],"-",,,1)</f>
        <v>CA250024</v>
      </c>
      <c r="J832" s="36">
        <f>SUMIF(mvtst[QR Suivis],mvtst[[#This Row],[QR Suivis]],mvtst[QTE SORTIS])-SUMIF(mvtst[QR Suivis],mvtst[[#This Row],[QR Suivis]],mvtst[QTE RETOUR])</f>
        <v>0</v>
      </c>
      <c r="K832" s="35" t="str">
        <f t="shared" si="12"/>
        <v>Usine</v>
      </c>
      <c r="L832" s="35" t="str">
        <f>_xlfn.XLOOKUP(mvtst[[#This Row],[Sous Traitant]],coordonnee_st[Identification],coordonnee_st[SERVICE],"Non Trouvé")</f>
        <v>Frange</v>
      </c>
      <c r="M832" s="35" t="str">
        <f>INDEX(_xlfn.TEXTSPLIT(mvtst[[#This Row],[QR Suivis]],"_"),1,2)</f>
        <v>All by Fouta</v>
      </c>
      <c r="N832" s="35" t="str">
        <f>INDEX(_xlfn.TEXTSPLIT(mvtst[[#This Row],[QR Suivis]],"_"),1,3)</f>
        <v>Stock</v>
      </c>
      <c r="O832" s="35" t="str">
        <f>INDEX(_xlfn.TEXTSPLIT(mvtst[[#This Row],[QR Suivis]],"_"),1,4)</f>
        <v>UNS2020-09</v>
      </c>
      <c r="P832" s="35" t="str">
        <f>INDEX(_xlfn.TEXTSPLIT(mvtst[[#This Row],[QR Suivis]],"_"),1,5)</f>
        <v>UNI SURPIQUE</v>
      </c>
      <c r="Q832" s="35" t="str">
        <f>_xlfn.TEXTAFTER(mvtst[[#This Row],[QR Suivis]],"_",5)</f>
        <v>2020</v>
      </c>
      <c r="R832" s="84" t="str">
        <f>IF(
   COUNTIFS($A$2:A832,A832,
             $B$2:B832,B832,
             $C$2:C832,C832,
             $D$2:D832,D832,
             $G$2:G832,G832)&gt;1,
   "Doublon",
   "Correcte"
)</f>
        <v>Correcte</v>
      </c>
    </row>
    <row r="833" spans="1:18" x14ac:dyDescent="0.25">
      <c r="A833" s="104" t="s">
        <v>1792</v>
      </c>
      <c r="B833" s="35" t="s">
        <v>712</v>
      </c>
      <c r="C833" s="36">
        <v>5</v>
      </c>
      <c r="D833" s="36">
        <v>0</v>
      </c>
      <c r="E833" s="35" t="s">
        <v>699</v>
      </c>
      <c r="F833" s="35" t="s">
        <v>634</v>
      </c>
      <c r="G833" s="37">
        <v>45929.651342592595</v>
      </c>
      <c r="H833" s="37" t="str">
        <f>INDEX(_xlfn.TEXTSPLIT(mvtst[[#This Row],[QR Suivis]],"_"),1,1)</f>
        <v>CA250024-1</v>
      </c>
      <c r="I833" s="35" t="str">
        <f>_xlfn.TEXTBEFORE(mvtst[[#This Row],[Num Suivis]],"-",,,1)</f>
        <v>CA250024</v>
      </c>
      <c r="J833" s="36">
        <f>SUMIF(mvtst[QR Suivis],mvtst[[#This Row],[QR Suivis]],mvtst[QTE SORTIS])-SUMIF(mvtst[QR Suivis],mvtst[[#This Row],[QR Suivis]],mvtst[QTE RETOUR])</f>
        <v>0</v>
      </c>
      <c r="K833" s="35" t="str">
        <f t="shared" si="12"/>
        <v>Usine</v>
      </c>
      <c r="L833" s="35" t="str">
        <f>_xlfn.XLOOKUP(mvtst[[#This Row],[Sous Traitant]],coordonnee_st[Identification],coordonnee_st[SERVICE],"Non Trouvé")</f>
        <v>Frange</v>
      </c>
      <c r="M833" s="35" t="str">
        <f>INDEX(_xlfn.TEXTSPLIT(mvtst[[#This Row],[QR Suivis]],"_"),1,2)</f>
        <v>All by Fouta</v>
      </c>
      <c r="N833" s="35" t="str">
        <f>INDEX(_xlfn.TEXTSPLIT(mvtst[[#This Row],[QR Suivis]],"_"),1,3)</f>
        <v>Stock</v>
      </c>
      <c r="O833" s="35" t="str">
        <f>INDEX(_xlfn.TEXTSPLIT(mvtst[[#This Row],[QR Suivis]],"_"),1,4)</f>
        <v>UNS2020-09</v>
      </c>
      <c r="P833" s="35" t="str">
        <f>INDEX(_xlfn.TEXTSPLIT(mvtst[[#This Row],[QR Suivis]],"_"),1,5)</f>
        <v>UNI SURPIQUE</v>
      </c>
      <c r="Q833" s="35" t="str">
        <f>_xlfn.TEXTAFTER(mvtst[[#This Row],[QR Suivis]],"_",5)</f>
        <v>2020</v>
      </c>
      <c r="R833" s="84" t="str">
        <f>IF(
   COUNTIFS($A$2:A833,A833,
             $B$2:B833,B833,
             $C$2:C833,C833,
             $D$2:D833,D833,
             $G$2:G833,G833)&gt;1,
   "Doublon",
   "Correcte"
)</f>
        <v>Correcte</v>
      </c>
    </row>
    <row r="834" spans="1:18" x14ac:dyDescent="0.25">
      <c r="A834" s="104" t="s">
        <v>1793</v>
      </c>
      <c r="B834" s="35" t="s">
        <v>712</v>
      </c>
      <c r="C834" s="36">
        <v>5</v>
      </c>
      <c r="D834" s="36">
        <v>0</v>
      </c>
      <c r="E834" s="35" t="s">
        <v>699</v>
      </c>
      <c r="F834" s="35" t="s">
        <v>634</v>
      </c>
      <c r="G834" s="37">
        <v>45929.651493055557</v>
      </c>
      <c r="H834" s="37" t="str">
        <f>INDEX(_xlfn.TEXTSPLIT(mvtst[[#This Row],[QR Suivis]],"_"),1,1)</f>
        <v>CA250024-4</v>
      </c>
      <c r="I834" s="35" t="str">
        <f>_xlfn.TEXTBEFORE(mvtst[[#This Row],[Num Suivis]],"-",,,1)</f>
        <v>CA250024</v>
      </c>
      <c r="J834" s="36">
        <f>SUMIF(mvtst[QR Suivis],mvtst[[#This Row],[QR Suivis]],mvtst[QTE SORTIS])-SUMIF(mvtst[QR Suivis],mvtst[[#This Row],[QR Suivis]],mvtst[QTE RETOUR])</f>
        <v>0</v>
      </c>
      <c r="K834" s="35" t="str">
        <f t="shared" si="12"/>
        <v>Usine</v>
      </c>
      <c r="L834" s="35" t="str">
        <f>_xlfn.XLOOKUP(mvtst[[#This Row],[Sous Traitant]],coordonnee_st[Identification],coordonnee_st[SERVICE],"Non Trouvé")</f>
        <v>Frange</v>
      </c>
      <c r="M834" s="35" t="str">
        <f>INDEX(_xlfn.TEXTSPLIT(mvtst[[#This Row],[QR Suivis]],"_"),1,2)</f>
        <v>All by Fouta</v>
      </c>
      <c r="N834" s="35" t="str">
        <f>INDEX(_xlfn.TEXTSPLIT(mvtst[[#This Row],[QR Suivis]],"_"),1,3)</f>
        <v>Stock</v>
      </c>
      <c r="O834" s="35" t="str">
        <f>INDEX(_xlfn.TEXTSPLIT(mvtst[[#This Row],[QR Suivis]],"_"),1,4)</f>
        <v>UNS2020-09</v>
      </c>
      <c r="P834" s="35" t="str">
        <f>INDEX(_xlfn.TEXTSPLIT(mvtst[[#This Row],[QR Suivis]],"_"),1,5)</f>
        <v>UNI SURPIQUE</v>
      </c>
      <c r="Q834" s="35" t="str">
        <f>_xlfn.TEXTAFTER(mvtst[[#This Row],[QR Suivis]],"_",5)</f>
        <v>2020</v>
      </c>
      <c r="R834" s="84" t="str">
        <f>IF(
   COUNTIFS($A$2:A834,A834,
             $B$2:B834,B834,
             $C$2:C834,C834,
             $D$2:D834,D834,
             $G$2:G834,G834)&gt;1,
   "Doublon",
   "Correcte"
)</f>
        <v>Correcte</v>
      </c>
    </row>
    <row r="835" spans="1:18" x14ac:dyDescent="0.25">
      <c r="A835" s="104" t="s">
        <v>1794</v>
      </c>
      <c r="B835" s="35" t="s">
        <v>712</v>
      </c>
      <c r="C835" s="36">
        <v>5</v>
      </c>
      <c r="D835" s="36">
        <v>0</v>
      </c>
      <c r="E835" s="35" t="s">
        <v>699</v>
      </c>
      <c r="F835" s="35" t="s">
        <v>634</v>
      </c>
      <c r="G835" s="37">
        <v>45929.651689814818</v>
      </c>
      <c r="H835" s="37" t="str">
        <f>INDEX(_xlfn.TEXTSPLIT(mvtst[[#This Row],[QR Suivis]],"_"),1,1)</f>
        <v>CA250030-2</v>
      </c>
      <c r="I835" s="35" t="str">
        <f>_xlfn.TEXTBEFORE(mvtst[[#This Row],[Num Suivis]],"-",,,1)</f>
        <v>CA250030</v>
      </c>
      <c r="J835" s="36">
        <f>SUMIF(mvtst[QR Suivis],mvtst[[#This Row],[QR Suivis]],mvtst[QTE SORTIS])-SUMIF(mvtst[QR Suivis],mvtst[[#This Row],[QR Suivis]],mvtst[QTE RETOUR])</f>
        <v>0</v>
      </c>
      <c r="K835" s="35" t="str">
        <f t="shared" ref="K835:K898" si="13">"Usine"</f>
        <v>Usine</v>
      </c>
      <c r="L835" s="35" t="str">
        <f>_xlfn.XLOOKUP(mvtst[[#This Row],[Sous Traitant]],coordonnee_st[Identification],coordonnee_st[SERVICE],"Non Trouvé")</f>
        <v>Frange</v>
      </c>
      <c r="M835" s="35" t="str">
        <f>INDEX(_xlfn.TEXTSPLIT(mvtst[[#This Row],[QR Suivis]],"_"),1,2)</f>
        <v>All by Fouta</v>
      </c>
      <c r="N835" s="35" t="str">
        <f>INDEX(_xlfn.TEXTSPLIT(mvtst[[#This Row],[QR Suivis]],"_"),1,3)</f>
        <v>Stock</v>
      </c>
      <c r="O835" s="35" t="str">
        <f>INDEX(_xlfn.TEXTSPLIT(mvtst[[#This Row],[QR Suivis]],"_"),1,4)</f>
        <v>UNS2020-18</v>
      </c>
      <c r="P835" s="35" t="str">
        <f>INDEX(_xlfn.TEXTSPLIT(mvtst[[#This Row],[QR Suivis]],"_"),1,5)</f>
        <v>UNI SURPIQUE</v>
      </c>
      <c r="Q835" s="35" t="str">
        <f>_xlfn.TEXTAFTER(mvtst[[#This Row],[QR Suivis]],"_",5)</f>
        <v>2020</v>
      </c>
      <c r="R835" s="84" t="str">
        <f>IF(
   COUNTIFS($A$2:A835,A835,
             $B$2:B835,B835,
             $C$2:C835,C835,
             $D$2:D835,D835,
             $G$2:G835,G835)&gt;1,
   "Doublon",
   "Correcte"
)</f>
        <v>Correcte</v>
      </c>
    </row>
    <row r="836" spans="1:18" x14ac:dyDescent="0.25">
      <c r="A836" s="104" t="s">
        <v>1795</v>
      </c>
      <c r="B836" s="35" t="s">
        <v>712</v>
      </c>
      <c r="C836" s="36">
        <v>5</v>
      </c>
      <c r="D836" s="36">
        <v>0</v>
      </c>
      <c r="E836" s="35" t="s">
        <v>699</v>
      </c>
      <c r="F836" s="35" t="s">
        <v>634</v>
      </c>
      <c r="G836" s="37">
        <v>45929.651875000003</v>
      </c>
      <c r="H836" s="37" t="str">
        <f>INDEX(_xlfn.TEXTSPLIT(mvtst[[#This Row],[QR Suivis]],"_"),1,1)</f>
        <v>CA250024-5</v>
      </c>
      <c r="I836" s="35" t="str">
        <f>_xlfn.TEXTBEFORE(mvtst[[#This Row],[Num Suivis]],"-",,,1)</f>
        <v>CA250024</v>
      </c>
      <c r="J836" s="36">
        <f>SUMIF(mvtst[QR Suivis],mvtst[[#This Row],[QR Suivis]],mvtst[QTE SORTIS])-SUMIF(mvtst[QR Suivis],mvtst[[#This Row],[QR Suivis]],mvtst[QTE RETOUR])</f>
        <v>0</v>
      </c>
      <c r="K836" s="35" t="str">
        <f t="shared" si="13"/>
        <v>Usine</v>
      </c>
      <c r="L836" s="35" t="str">
        <f>_xlfn.XLOOKUP(mvtst[[#This Row],[Sous Traitant]],coordonnee_st[Identification],coordonnee_st[SERVICE],"Non Trouvé")</f>
        <v>Frange</v>
      </c>
      <c r="M836" s="35" t="str">
        <f>INDEX(_xlfn.TEXTSPLIT(mvtst[[#This Row],[QR Suivis]],"_"),1,2)</f>
        <v>All by Fouta</v>
      </c>
      <c r="N836" s="35" t="str">
        <f>INDEX(_xlfn.TEXTSPLIT(mvtst[[#This Row],[QR Suivis]],"_"),1,3)</f>
        <v>Stock</v>
      </c>
      <c r="O836" s="35" t="str">
        <f>INDEX(_xlfn.TEXTSPLIT(mvtst[[#This Row],[QR Suivis]],"_"),1,4)</f>
        <v>UNS2020-09</v>
      </c>
      <c r="P836" s="35" t="str">
        <f>INDEX(_xlfn.TEXTSPLIT(mvtst[[#This Row],[QR Suivis]],"_"),1,5)</f>
        <v>UNI SURPIQUE</v>
      </c>
      <c r="Q836" s="35" t="str">
        <f>_xlfn.TEXTAFTER(mvtst[[#This Row],[QR Suivis]],"_",5)</f>
        <v>2020</v>
      </c>
      <c r="R836" s="84" t="str">
        <f>IF(
   COUNTIFS($A$2:A836,A836,
             $B$2:B836,B836,
             $C$2:C836,C836,
             $D$2:D836,D836,
             $G$2:G836,G836)&gt;1,
   "Doublon",
   "Correcte"
)</f>
        <v>Correcte</v>
      </c>
    </row>
    <row r="837" spans="1:18" x14ac:dyDescent="0.25">
      <c r="A837" s="104" t="s">
        <v>1796</v>
      </c>
      <c r="B837" s="35" t="s">
        <v>712</v>
      </c>
      <c r="C837" s="36">
        <v>5</v>
      </c>
      <c r="D837" s="36">
        <v>0</v>
      </c>
      <c r="E837" s="35" t="s">
        <v>699</v>
      </c>
      <c r="F837" s="35" t="s">
        <v>634</v>
      </c>
      <c r="G837" s="37">
        <v>45929.652129629627</v>
      </c>
      <c r="H837" s="37" t="str">
        <f>INDEX(_xlfn.TEXTSPLIT(mvtst[[#This Row],[QR Suivis]],"_"),1,1)</f>
        <v>CA250030-4</v>
      </c>
      <c r="I837" s="35" t="str">
        <f>_xlfn.TEXTBEFORE(mvtst[[#This Row],[Num Suivis]],"-",,,1)</f>
        <v>CA250030</v>
      </c>
      <c r="J837" s="36">
        <f>SUMIF(mvtst[QR Suivis],mvtst[[#This Row],[QR Suivis]],mvtst[QTE SORTIS])-SUMIF(mvtst[QR Suivis],mvtst[[#This Row],[QR Suivis]],mvtst[QTE RETOUR])</f>
        <v>0</v>
      </c>
      <c r="K837" s="35" t="str">
        <f t="shared" si="13"/>
        <v>Usine</v>
      </c>
      <c r="L837" s="35" t="str">
        <f>_xlfn.XLOOKUP(mvtst[[#This Row],[Sous Traitant]],coordonnee_st[Identification],coordonnee_st[SERVICE],"Non Trouvé")</f>
        <v>Frange</v>
      </c>
      <c r="M837" s="35" t="str">
        <f>INDEX(_xlfn.TEXTSPLIT(mvtst[[#This Row],[QR Suivis]],"_"),1,2)</f>
        <v>All by Fouta</v>
      </c>
      <c r="N837" s="35" t="str">
        <f>INDEX(_xlfn.TEXTSPLIT(mvtst[[#This Row],[QR Suivis]],"_"),1,3)</f>
        <v>Stock</v>
      </c>
      <c r="O837" s="35" t="str">
        <f>INDEX(_xlfn.TEXTSPLIT(mvtst[[#This Row],[QR Suivis]],"_"),1,4)</f>
        <v>UNS2020-18</v>
      </c>
      <c r="P837" s="35" t="str">
        <f>INDEX(_xlfn.TEXTSPLIT(mvtst[[#This Row],[QR Suivis]],"_"),1,5)</f>
        <v>UNI SURPIQUE</v>
      </c>
      <c r="Q837" s="35" t="str">
        <f>_xlfn.TEXTAFTER(mvtst[[#This Row],[QR Suivis]],"_",5)</f>
        <v>2020</v>
      </c>
      <c r="R837" s="84" t="str">
        <f>IF(
   COUNTIFS($A$2:A837,A837,
             $B$2:B837,B837,
             $C$2:C837,C837,
             $D$2:D837,D837,
             $G$2:G837,G837)&gt;1,
   "Doublon",
   "Correcte"
)</f>
        <v>Correcte</v>
      </c>
    </row>
    <row r="838" spans="1:18" x14ac:dyDescent="0.25">
      <c r="A838" s="104" t="s">
        <v>1797</v>
      </c>
      <c r="B838" s="35" t="s">
        <v>712</v>
      </c>
      <c r="C838" s="36">
        <v>5</v>
      </c>
      <c r="D838" s="36">
        <v>0</v>
      </c>
      <c r="E838" s="35" t="s">
        <v>699</v>
      </c>
      <c r="F838" s="35" t="s">
        <v>634</v>
      </c>
      <c r="G838" s="37">
        <v>45929.652349537035</v>
      </c>
      <c r="H838" s="37" t="str">
        <f>INDEX(_xlfn.TEXTSPLIT(mvtst[[#This Row],[QR Suivis]],"_"),1,1)</f>
        <v>CA250030-1</v>
      </c>
      <c r="I838" s="35" t="str">
        <f>_xlfn.TEXTBEFORE(mvtst[[#This Row],[Num Suivis]],"-",,,1)</f>
        <v>CA250030</v>
      </c>
      <c r="J838" s="36">
        <f>SUMIF(mvtst[QR Suivis],mvtst[[#This Row],[QR Suivis]],mvtst[QTE SORTIS])-SUMIF(mvtst[QR Suivis],mvtst[[#This Row],[QR Suivis]],mvtst[QTE RETOUR])</f>
        <v>0</v>
      </c>
      <c r="K838" s="35" t="str">
        <f t="shared" si="13"/>
        <v>Usine</v>
      </c>
      <c r="L838" s="35" t="str">
        <f>_xlfn.XLOOKUP(mvtst[[#This Row],[Sous Traitant]],coordonnee_st[Identification],coordonnee_st[SERVICE],"Non Trouvé")</f>
        <v>Frange</v>
      </c>
      <c r="M838" s="35" t="str">
        <f>INDEX(_xlfn.TEXTSPLIT(mvtst[[#This Row],[QR Suivis]],"_"),1,2)</f>
        <v>All by Fouta</v>
      </c>
      <c r="N838" s="35" t="str">
        <f>INDEX(_xlfn.TEXTSPLIT(mvtst[[#This Row],[QR Suivis]],"_"),1,3)</f>
        <v>Stock</v>
      </c>
      <c r="O838" s="35" t="str">
        <f>INDEX(_xlfn.TEXTSPLIT(mvtst[[#This Row],[QR Suivis]],"_"),1,4)</f>
        <v>UNS2020-18</v>
      </c>
      <c r="P838" s="35" t="str">
        <f>INDEX(_xlfn.TEXTSPLIT(mvtst[[#This Row],[QR Suivis]],"_"),1,5)</f>
        <v>UNI SURPIQUE</v>
      </c>
      <c r="Q838" s="35" t="str">
        <f>_xlfn.TEXTAFTER(mvtst[[#This Row],[QR Suivis]],"_",5)</f>
        <v>2020</v>
      </c>
      <c r="R838" s="84" t="str">
        <f>IF(
   COUNTIFS($A$2:A838,A838,
             $B$2:B838,B838,
             $C$2:C838,C838,
             $D$2:D838,D838,
             $G$2:G838,G838)&gt;1,
   "Doublon",
   "Correcte"
)</f>
        <v>Correcte</v>
      </c>
    </row>
    <row r="839" spans="1:18" x14ac:dyDescent="0.25">
      <c r="A839" s="104" t="s">
        <v>1798</v>
      </c>
      <c r="B839" s="35" t="s">
        <v>712</v>
      </c>
      <c r="C839" s="36">
        <v>5</v>
      </c>
      <c r="D839" s="36">
        <v>0</v>
      </c>
      <c r="E839" s="35" t="s">
        <v>699</v>
      </c>
      <c r="F839" s="35" t="s">
        <v>634</v>
      </c>
      <c r="G839" s="37">
        <v>45929.65252314815</v>
      </c>
      <c r="H839" s="37" t="str">
        <f>INDEX(_xlfn.TEXTSPLIT(mvtst[[#This Row],[QR Suivis]],"_"),1,1)</f>
        <v>CA250050-6</v>
      </c>
      <c r="I839" s="35" t="str">
        <f>_xlfn.TEXTBEFORE(mvtst[[#This Row],[Num Suivis]],"-",,,1)</f>
        <v>CA250050</v>
      </c>
      <c r="J839" s="36">
        <f>SUMIF(mvtst[QR Suivis],mvtst[[#This Row],[QR Suivis]],mvtst[QTE SORTIS])-SUMIF(mvtst[QR Suivis],mvtst[[#This Row],[QR Suivis]],mvtst[QTE RETOUR])</f>
        <v>0</v>
      </c>
      <c r="K839" s="35" t="str">
        <f t="shared" si="13"/>
        <v>Usine</v>
      </c>
      <c r="L839" s="35" t="str">
        <f>_xlfn.XLOOKUP(mvtst[[#This Row],[Sous Traitant]],coordonnee_st[Identification],coordonnee_st[SERVICE],"Non Trouvé")</f>
        <v>Frange</v>
      </c>
      <c r="M839" s="35" t="str">
        <f>INDEX(_xlfn.TEXTSPLIT(mvtst[[#This Row],[QR Suivis]],"_"),1,2)</f>
        <v>All by Fouta</v>
      </c>
      <c r="N839" s="35" t="str">
        <f>INDEX(_xlfn.TEXTSPLIT(mvtst[[#This Row],[QR Suivis]],"_"),1,3)</f>
        <v>Stock</v>
      </c>
      <c r="O839" s="35" t="str">
        <f>INDEX(_xlfn.TEXTSPLIT(mvtst[[#This Row],[QR Suivis]],"_"),1,4)</f>
        <v>UNS1626-18</v>
      </c>
      <c r="P839" s="35" t="str">
        <f>INDEX(_xlfn.TEXTSPLIT(mvtst[[#This Row],[QR Suivis]],"_"),1,5)</f>
        <v>UNI SURPIQUE</v>
      </c>
      <c r="Q839" s="35" t="str">
        <f>_xlfn.TEXTAFTER(mvtst[[#This Row],[QR Suivis]],"_",5)</f>
        <v>1626</v>
      </c>
      <c r="R839" s="84" t="str">
        <f>IF(
   COUNTIFS($A$2:A839,A839,
             $B$2:B839,B839,
             $C$2:C839,C839,
             $D$2:D839,D839,
             $G$2:G839,G839)&gt;1,
   "Doublon",
   "Correcte"
)</f>
        <v>Correcte</v>
      </c>
    </row>
    <row r="840" spans="1:18" x14ac:dyDescent="0.25">
      <c r="A840" s="104" t="s">
        <v>1799</v>
      </c>
      <c r="B840" s="35" t="s">
        <v>712</v>
      </c>
      <c r="C840" s="36">
        <v>5</v>
      </c>
      <c r="D840" s="36">
        <v>0</v>
      </c>
      <c r="E840" s="35" t="s">
        <v>699</v>
      </c>
      <c r="F840" s="35" t="s">
        <v>634</v>
      </c>
      <c r="G840" s="37">
        <v>45929.652708333335</v>
      </c>
      <c r="H840" s="37" t="str">
        <f>INDEX(_xlfn.TEXTSPLIT(mvtst[[#This Row],[QR Suivis]],"_"),1,1)</f>
        <v>CA250050-5</v>
      </c>
      <c r="I840" s="35" t="str">
        <f>_xlfn.TEXTBEFORE(mvtst[[#This Row],[Num Suivis]],"-",,,1)</f>
        <v>CA250050</v>
      </c>
      <c r="J840" s="36">
        <f>SUMIF(mvtst[QR Suivis],mvtst[[#This Row],[QR Suivis]],mvtst[QTE SORTIS])-SUMIF(mvtst[QR Suivis],mvtst[[#This Row],[QR Suivis]],mvtst[QTE RETOUR])</f>
        <v>0</v>
      </c>
      <c r="K840" s="35" t="str">
        <f t="shared" si="13"/>
        <v>Usine</v>
      </c>
      <c r="L840" s="35" t="str">
        <f>_xlfn.XLOOKUP(mvtst[[#This Row],[Sous Traitant]],coordonnee_st[Identification],coordonnee_st[SERVICE],"Non Trouvé")</f>
        <v>Frange</v>
      </c>
      <c r="M840" s="35" t="str">
        <f>INDEX(_xlfn.TEXTSPLIT(mvtst[[#This Row],[QR Suivis]],"_"),1,2)</f>
        <v>All by Fouta</v>
      </c>
      <c r="N840" s="35" t="str">
        <f>INDEX(_xlfn.TEXTSPLIT(mvtst[[#This Row],[QR Suivis]],"_"),1,3)</f>
        <v>Stock</v>
      </c>
      <c r="O840" s="35" t="str">
        <f>INDEX(_xlfn.TEXTSPLIT(mvtst[[#This Row],[QR Suivis]],"_"),1,4)</f>
        <v>UNS1626-18</v>
      </c>
      <c r="P840" s="35" t="str">
        <f>INDEX(_xlfn.TEXTSPLIT(mvtst[[#This Row],[QR Suivis]],"_"),1,5)</f>
        <v>UNI SURPIQUE</v>
      </c>
      <c r="Q840" s="35" t="str">
        <f>_xlfn.TEXTAFTER(mvtst[[#This Row],[QR Suivis]],"_",5)</f>
        <v>1626</v>
      </c>
      <c r="R840" s="84" t="str">
        <f>IF(
   COUNTIFS($A$2:A840,A840,
             $B$2:B840,B840,
             $C$2:C840,C840,
             $D$2:D840,D840,
             $G$2:G840,G840)&gt;1,
   "Doublon",
   "Correcte"
)</f>
        <v>Correcte</v>
      </c>
    </row>
    <row r="841" spans="1:18" x14ac:dyDescent="0.25">
      <c r="A841" s="104" t="s">
        <v>1800</v>
      </c>
      <c r="B841" s="35" t="s">
        <v>712</v>
      </c>
      <c r="C841" s="36">
        <v>5</v>
      </c>
      <c r="D841" s="36">
        <v>0</v>
      </c>
      <c r="E841" s="35" t="s">
        <v>699</v>
      </c>
      <c r="F841" s="35" t="s">
        <v>634</v>
      </c>
      <c r="G841" s="37">
        <v>45929.652928240743</v>
      </c>
      <c r="H841" s="37" t="str">
        <f>INDEX(_xlfn.TEXTSPLIT(mvtst[[#This Row],[QR Suivis]],"_"),1,1)</f>
        <v>CA250059-2</v>
      </c>
      <c r="I841" s="35" t="str">
        <f>_xlfn.TEXTBEFORE(mvtst[[#This Row],[Num Suivis]],"-",,,1)</f>
        <v>CA250059</v>
      </c>
      <c r="J841" s="36">
        <f>SUMIF(mvtst[QR Suivis],mvtst[[#This Row],[QR Suivis]],mvtst[QTE SORTIS])-SUMIF(mvtst[QR Suivis],mvtst[[#This Row],[QR Suivis]],mvtst[QTE RETOUR])</f>
        <v>0</v>
      </c>
      <c r="K841" s="35" t="str">
        <f t="shared" si="13"/>
        <v>Usine</v>
      </c>
      <c r="L841" s="35" t="str">
        <f>_xlfn.XLOOKUP(mvtst[[#This Row],[Sous Traitant]],coordonnee_st[Identification],coordonnee_st[SERVICE],"Non Trouvé")</f>
        <v>Frange</v>
      </c>
      <c r="M841" s="35" t="str">
        <f>INDEX(_xlfn.TEXTSPLIT(mvtst[[#This Row],[QR Suivis]],"_"),1,2)</f>
        <v>All by Fouta</v>
      </c>
      <c r="N841" s="35" t="str">
        <f>INDEX(_xlfn.TEXTSPLIT(mvtst[[#This Row],[QR Suivis]],"_"),1,3)</f>
        <v>Stock</v>
      </c>
      <c r="O841" s="35" t="str">
        <f>INDEX(_xlfn.TEXTSPLIT(mvtst[[#This Row],[QR Suivis]],"_"),1,4)</f>
        <v>UNS1626-32</v>
      </c>
      <c r="P841" s="35" t="str">
        <f>INDEX(_xlfn.TEXTSPLIT(mvtst[[#This Row],[QR Suivis]],"_"),1,5)</f>
        <v>UNI SURPIQUE</v>
      </c>
      <c r="Q841" s="35" t="str">
        <f>_xlfn.TEXTAFTER(mvtst[[#This Row],[QR Suivis]],"_",5)</f>
        <v>1626</v>
      </c>
      <c r="R841" s="84" t="str">
        <f>IF(
   COUNTIFS($A$2:A841,A841,
             $B$2:B841,B841,
             $C$2:C841,C841,
             $D$2:D841,D841,
             $G$2:G841,G841)&gt;1,
   "Doublon",
   "Correcte"
)</f>
        <v>Correcte</v>
      </c>
    </row>
    <row r="842" spans="1:18" x14ac:dyDescent="0.25">
      <c r="A842" s="104" t="s">
        <v>1801</v>
      </c>
      <c r="B842" s="35" t="s">
        <v>712</v>
      </c>
      <c r="C842" s="36">
        <v>5</v>
      </c>
      <c r="D842" s="36">
        <v>0</v>
      </c>
      <c r="E842" s="35" t="s">
        <v>699</v>
      </c>
      <c r="F842" s="35" t="s">
        <v>634</v>
      </c>
      <c r="G842" s="37">
        <v>45929.653148148151</v>
      </c>
      <c r="H842" s="37" t="str">
        <f>INDEX(_xlfn.TEXTSPLIT(mvtst[[#This Row],[QR Suivis]],"_"),1,1)</f>
        <v>CA250059-1</v>
      </c>
      <c r="I842" s="35" t="str">
        <f>_xlfn.TEXTBEFORE(mvtst[[#This Row],[Num Suivis]],"-",,,1)</f>
        <v>CA250059</v>
      </c>
      <c r="J842" s="36">
        <f>SUMIF(mvtst[QR Suivis],mvtst[[#This Row],[QR Suivis]],mvtst[QTE SORTIS])-SUMIF(mvtst[QR Suivis],mvtst[[#This Row],[QR Suivis]],mvtst[QTE RETOUR])</f>
        <v>0</v>
      </c>
      <c r="K842" s="35" t="str">
        <f t="shared" si="13"/>
        <v>Usine</v>
      </c>
      <c r="L842" s="35" t="str">
        <f>_xlfn.XLOOKUP(mvtst[[#This Row],[Sous Traitant]],coordonnee_st[Identification],coordonnee_st[SERVICE],"Non Trouvé")</f>
        <v>Frange</v>
      </c>
      <c r="M842" s="35" t="str">
        <f>INDEX(_xlfn.TEXTSPLIT(mvtst[[#This Row],[QR Suivis]],"_"),1,2)</f>
        <v>All by Fouta</v>
      </c>
      <c r="N842" s="35" t="str">
        <f>INDEX(_xlfn.TEXTSPLIT(mvtst[[#This Row],[QR Suivis]],"_"),1,3)</f>
        <v>Stock</v>
      </c>
      <c r="O842" s="35" t="str">
        <f>INDEX(_xlfn.TEXTSPLIT(mvtst[[#This Row],[QR Suivis]],"_"),1,4)</f>
        <v>UNS1626-32</v>
      </c>
      <c r="P842" s="35" t="str">
        <f>INDEX(_xlfn.TEXTSPLIT(mvtst[[#This Row],[QR Suivis]],"_"),1,5)</f>
        <v>UNI SURPIQUE</v>
      </c>
      <c r="Q842" s="35" t="str">
        <f>_xlfn.TEXTAFTER(mvtst[[#This Row],[QR Suivis]],"_",5)</f>
        <v>1626</v>
      </c>
      <c r="R842" s="84" t="str">
        <f>IF(
   COUNTIFS($A$2:A842,A842,
             $B$2:B842,B842,
             $C$2:C842,C842,
             $D$2:D842,D842,
             $G$2:G842,G842)&gt;1,
   "Doublon",
   "Correcte"
)</f>
        <v>Correcte</v>
      </c>
    </row>
    <row r="843" spans="1:18" x14ac:dyDescent="0.25">
      <c r="A843" s="104" t="s">
        <v>1802</v>
      </c>
      <c r="B843" s="35" t="s">
        <v>712</v>
      </c>
      <c r="C843" s="36">
        <v>5</v>
      </c>
      <c r="D843" s="36">
        <v>0</v>
      </c>
      <c r="E843" s="35" t="s">
        <v>699</v>
      </c>
      <c r="F843" s="35" t="s">
        <v>634</v>
      </c>
      <c r="G843" s="37">
        <v>45929.653368055559</v>
      </c>
      <c r="H843" s="37" t="str">
        <f>INDEX(_xlfn.TEXTSPLIT(mvtst[[#This Row],[QR Suivis]],"_"),1,1)</f>
        <v>CA250059-3</v>
      </c>
      <c r="I843" s="35" t="str">
        <f>_xlfn.TEXTBEFORE(mvtst[[#This Row],[Num Suivis]],"-",,,1)</f>
        <v>CA250059</v>
      </c>
      <c r="J843" s="36">
        <f>SUMIF(mvtst[QR Suivis],mvtst[[#This Row],[QR Suivis]],mvtst[QTE SORTIS])-SUMIF(mvtst[QR Suivis],mvtst[[#This Row],[QR Suivis]],mvtst[QTE RETOUR])</f>
        <v>0</v>
      </c>
      <c r="K843" s="35" t="str">
        <f t="shared" si="13"/>
        <v>Usine</v>
      </c>
      <c r="L843" s="35" t="str">
        <f>_xlfn.XLOOKUP(mvtst[[#This Row],[Sous Traitant]],coordonnee_st[Identification],coordonnee_st[SERVICE],"Non Trouvé")</f>
        <v>Frange</v>
      </c>
      <c r="M843" s="35" t="str">
        <f>INDEX(_xlfn.TEXTSPLIT(mvtst[[#This Row],[QR Suivis]],"_"),1,2)</f>
        <v>All by Fouta</v>
      </c>
      <c r="N843" s="35" t="str">
        <f>INDEX(_xlfn.TEXTSPLIT(mvtst[[#This Row],[QR Suivis]],"_"),1,3)</f>
        <v>Stock</v>
      </c>
      <c r="O843" s="35" t="str">
        <f>INDEX(_xlfn.TEXTSPLIT(mvtst[[#This Row],[QR Suivis]],"_"),1,4)</f>
        <v>UNS1626-32</v>
      </c>
      <c r="P843" s="35" t="str">
        <f>INDEX(_xlfn.TEXTSPLIT(mvtst[[#This Row],[QR Suivis]],"_"),1,5)</f>
        <v>UNI SURPIQUE</v>
      </c>
      <c r="Q843" s="35" t="str">
        <f>_xlfn.TEXTAFTER(mvtst[[#This Row],[QR Suivis]],"_",5)</f>
        <v>1626</v>
      </c>
      <c r="R843" s="84" t="str">
        <f>IF(
   COUNTIFS($A$2:A843,A843,
             $B$2:B843,B843,
             $C$2:C843,C843,
             $D$2:D843,D843,
             $G$2:G843,G843)&gt;1,
   "Doublon",
   "Correcte"
)</f>
        <v>Correcte</v>
      </c>
    </row>
    <row r="844" spans="1:18" x14ac:dyDescent="0.25">
      <c r="A844" s="104" t="s">
        <v>1663</v>
      </c>
      <c r="B844" s="35" t="s">
        <v>595</v>
      </c>
      <c r="C844" s="36">
        <v>0</v>
      </c>
      <c r="D844" s="36">
        <v>5</v>
      </c>
      <c r="E844" s="35" t="s">
        <v>699</v>
      </c>
      <c r="F844" s="35" t="s">
        <v>634</v>
      </c>
      <c r="G844" s="37">
        <v>45929.719652777778</v>
      </c>
      <c r="H844" s="37" t="str">
        <f>INDEX(_xlfn.TEXTSPLIT(mvtst[[#This Row],[QR Suivis]],"_"),1,1)</f>
        <v>OF246537-9</v>
      </c>
      <c r="I844" s="35" t="str">
        <f>_xlfn.TEXTBEFORE(mvtst[[#This Row],[Num Suivis]],"-",,,1)</f>
        <v>OF246537</v>
      </c>
      <c r="J844" s="36">
        <f>SUMIF(mvtst[QR Suivis],mvtst[[#This Row],[QR Suivis]],mvtst[QTE SORTIS])-SUMIF(mvtst[QR Suivis],mvtst[[#This Row],[QR Suivis]],mvtst[QTE RETOUR])</f>
        <v>0</v>
      </c>
      <c r="K844" s="35" t="str">
        <f t="shared" si="13"/>
        <v>Usine</v>
      </c>
      <c r="L844" s="35" t="str">
        <f>_xlfn.XLOOKUP(mvtst[[#This Row],[Sous Traitant]],coordonnee_st[Identification],coordonnee_st[SERVICE],"Non Trouvé")</f>
        <v>Frange</v>
      </c>
      <c r="M844" s="35" t="str">
        <f>INDEX(_xlfn.TEXTSPLIT(mvtst[[#This Row],[QR Suivis]],"_"),1,2)</f>
        <v>CL00296</v>
      </c>
      <c r="N844" s="35" t="str">
        <f>INDEX(_xlfn.TEXTSPLIT(mvtst[[#This Row],[QR Suivis]],"_"),1,3)</f>
        <v>CM-FT0108</v>
      </c>
      <c r="O844" s="35" t="str">
        <f>INDEX(_xlfn.TEXTSPLIT(mvtst[[#This Row],[QR Suivis]],"_"),1,4)</f>
        <v>EPMA0919-B26-02</v>
      </c>
      <c r="P844" s="35" t="str">
        <f>INDEX(_xlfn.TEXTSPLIT(mvtst[[#This Row],[QR Suivis]],"_"),1,5)</f>
        <v>MARINIERE</v>
      </c>
      <c r="Q844" s="35" t="str">
        <f>_xlfn.TEXTAFTER(mvtst[[#This Row],[QR Suivis]],"_",5)</f>
        <v>0919</v>
      </c>
      <c r="R844" s="84" t="str">
        <f>IF(
   COUNTIFS($A$2:A844,A844,
             $B$2:B844,B844,
             $C$2:C844,C844,
             $D$2:D844,D844,
             $G$2:G844,G844)&gt;1,
   "Doublon",
   "Correcte"
)</f>
        <v>Correcte</v>
      </c>
    </row>
    <row r="845" spans="1:18" x14ac:dyDescent="0.25">
      <c r="A845" s="104" t="s">
        <v>1730</v>
      </c>
      <c r="B845" s="35" t="s">
        <v>595</v>
      </c>
      <c r="C845" s="36">
        <v>0</v>
      </c>
      <c r="D845" s="36">
        <v>1</v>
      </c>
      <c r="E845" s="35" t="s">
        <v>699</v>
      </c>
      <c r="F845" s="35" t="s">
        <v>634</v>
      </c>
      <c r="G845" s="37">
        <v>45929.719884259262</v>
      </c>
      <c r="H845" s="37" t="str">
        <f>INDEX(_xlfn.TEXTSPLIT(mvtst[[#This Row],[QR Suivis]],"_"),1,1)</f>
        <v>OF246888-7</v>
      </c>
      <c r="I845" s="35" t="str">
        <f>_xlfn.TEXTBEFORE(mvtst[[#This Row],[Num Suivis]],"-",,,1)</f>
        <v>OF246888</v>
      </c>
      <c r="J845" s="36">
        <f>SUMIF(mvtst[QR Suivis],mvtst[[#This Row],[QR Suivis]],mvtst[QTE SORTIS])-SUMIF(mvtst[QR Suivis],mvtst[[#This Row],[QR Suivis]],mvtst[QTE RETOUR])</f>
        <v>0</v>
      </c>
      <c r="K845" s="35" t="str">
        <f t="shared" si="13"/>
        <v>Usine</v>
      </c>
      <c r="L845" s="35" t="str">
        <f>_xlfn.XLOOKUP(mvtst[[#This Row],[Sous Traitant]],coordonnee_st[Identification],coordonnee_st[SERVICE],"Non Trouvé")</f>
        <v>Frange</v>
      </c>
      <c r="M845" s="35" t="str">
        <f>INDEX(_xlfn.TEXTSPLIT(mvtst[[#This Row],[QR Suivis]],"_"),1,2)</f>
        <v>All By Fouta</v>
      </c>
      <c r="N845" s="35" t="str">
        <f>INDEX(_xlfn.TEXTSPLIT(mvtst[[#This Row],[QR Suivis]],"_"),1,3)</f>
        <v>Stock</v>
      </c>
      <c r="O845" s="35" t="str">
        <f>INDEX(_xlfn.TEXTSPLIT(mvtst[[#This Row],[QR Suivis]],"_"),1,4)</f>
        <v>OLI2426-B04-02</v>
      </c>
      <c r="P845" s="35" t="str">
        <f>INDEX(_xlfn.TEXTSPLIT(mvtst[[#This Row],[QR Suivis]],"_"),1,5)</f>
        <v>OLIVIER</v>
      </c>
      <c r="Q845" s="35" t="str">
        <f>_xlfn.TEXTAFTER(mvtst[[#This Row],[QR Suivis]],"_",5)</f>
        <v>2426</v>
      </c>
      <c r="R845" s="84" t="str">
        <f>IF(
   COUNTIFS($A$2:A845,A845,
             $B$2:B845,B845,
             $C$2:C845,C845,
             $D$2:D845,D845,
             $G$2:G845,G845)&gt;1,
   "Doublon",
   "Correcte"
)</f>
        <v>Correcte</v>
      </c>
    </row>
    <row r="846" spans="1:18" x14ac:dyDescent="0.25">
      <c r="A846" s="104" t="s">
        <v>1729</v>
      </c>
      <c r="B846" s="35" t="s">
        <v>595</v>
      </c>
      <c r="C846" s="36">
        <v>0</v>
      </c>
      <c r="D846" s="36">
        <v>2</v>
      </c>
      <c r="E846" s="35" t="s">
        <v>699</v>
      </c>
      <c r="F846" s="35" t="s">
        <v>634</v>
      </c>
      <c r="G846" s="37">
        <v>45929.720057870371</v>
      </c>
      <c r="H846" s="37" t="str">
        <f>INDEX(_xlfn.TEXTSPLIT(mvtst[[#This Row],[QR Suivis]],"_"),1,1)</f>
        <v>OF246885-4</v>
      </c>
      <c r="I846" s="35" t="str">
        <f>_xlfn.TEXTBEFORE(mvtst[[#This Row],[Num Suivis]],"-",,,1)</f>
        <v>OF246885</v>
      </c>
      <c r="J846" s="36">
        <f>SUMIF(mvtst[QR Suivis],mvtst[[#This Row],[QR Suivis]],mvtst[QTE SORTIS])-SUMIF(mvtst[QR Suivis],mvtst[[#This Row],[QR Suivis]],mvtst[QTE RETOUR])</f>
        <v>0</v>
      </c>
      <c r="K846" s="35" t="str">
        <f t="shared" si="13"/>
        <v>Usine</v>
      </c>
      <c r="L846" s="35" t="str">
        <f>_xlfn.XLOOKUP(mvtst[[#This Row],[Sous Traitant]],coordonnee_st[Identification],coordonnee_st[SERVICE],"Non Trouvé")</f>
        <v>Frange</v>
      </c>
      <c r="M846" s="35" t="str">
        <f>INDEX(_xlfn.TEXTSPLIT(mvtst[[#This Row],[QR Suivis]],"_"),1,2)</f>
        <v>All By Fouta</v>
      </c>
      <c r="N846" s="35" t="str">
        <f>INDEX(_xlfn.TEXTSPLIT(mvtst[[#This Row],[QR Suivis]],"_"),1,3)</f>
        <v>Stock</v>
      </c>
      <c r="O846" s="35" t="str">
        <f>INDEX(_xlfn.TEXTSPLIT(mvtst[[#This Row],[QR Suivis]],"_"),1,4)</f>
        <v>OLI2426-B12-02</v>
      </c>
      <c r="P846" s="35" t="str">
        <f>INDEX(_xlfn.TEXTSPLIT(mvtst[[#This Row],[QR Suivis]],"_"),1,5)</f>
        <v>OLIVIER</v>
      </c>
      <c r="Q846" s="35" t="str">
        <f>_xlfn.TEXTAFTER(mvtst[[#This Row],[QR Suivis]],"_",5)</f>
        <v>2426</v>
      </c>
      <c r="R846" s="84" t="str">
        <f>IF(
   COUNTIFS($A$2:A846,A846,
             $B$2:B846,B846,
             $C$2:C846,C846,
             $D$2:D846,D846,
             $G$2:G846,G846)&gt;1,
   "Doublon",
   "Correcte"
)</f>
        <v>Correcte</v>
      </c>
    </row>
    <row r="847" spans="1:18" x14ac:dyDescent="0.25">
      <c r="A847" s="104" t="s">
        <v>1727</v>
      </c>
      <c r="B847" s="35" t="s">
        <v>595</v>
      </c>
      <c r="C847" s="36">
        <v>0</v>
      </c>
      <c r="D847" s="36">
        <v>1</v>
      </c>
      <c r="E847" s="35" t="s">
        <v>699</v>
      </c>
      <c r="F847" s="35" t="s">
        <v>634</v>
      </c>
      <c r="G847" s="37">
        <v>45929.720243055555</v>
      </c>
      <c r="H847" s="37" t="str">
        <f>INDEX(_xlfn.TEXTSPLIT(mvtst[[#This Row],[QR Suivis]],"_"),1,1)</f>
        <v>OF250130-3</v>
      </c>
      <c r="I847" s="35" t="str">
        <f>_xlfn.TEXTBEFORE(mvtst[[#This Row],[Num Suivis]],"-",,,1)</f>
        <v>OF250130</v>
      </c>
      <c r="J847" s="36">
        <f>SUMIF(mvtst[QR Suivis],mvtst[[#This Row],[QR Suivis]],mvtst[QTE SORTIS])-SUMIF(mvtst[QR Suivis],mvtst[[#This Row],[QR Suivis]],mvtst[QTE RETOUR])</f>
        <v>0</v>
      </c>
      <c r="K847" s="35" t="str">
        <f t="shared" si="13"/>
        <v>Usine</v>
      </c>
      <c r="L847" s="35" t="str">
        <f>_xlfn.XLOOKUP(mvtst[[#This Row],[Sous Traitant]],coordonnee_st[Identification],coordonnee_st[SERVICE],"Non Trouvé")</f>
        <v>Frange</v>
      </c>
      <c r="M847" s="35" t="str">
        <f>INDEX(_xlfn.TEXTSPLIT(mvtst[[#This Row],[QR Suivis]],"_"),1,2)</f>
        <v>CL00162</v>
      </c>
      <c r="N847" s="35" t="str">
        <f>INDEX(_xlfn.TEXTSPLIT(mvtst[[#This Row],[QR Suivis]],"_"),1,3)</f>
        <v>CM-FT0130</v>
      </c>
      <c r="O847" s="35" t="str">
        <f>INDEX(_xlfn.TEXTSPLIT(mvtst[[#This Row],[QR Suivis]],"_"),1,4)</f>
        <v>GIN2426-B03-02</v>
      </c>
      <c r="P847" s="35" t="str">
        <f>INDEX(_xlfn.TEXTSPLIT(mvtst[[#This Row],[QR Suivis]],"_"),1,5)</f>
        <v>GINKO</v>
      </c>
      <c r="Q847" s="35" t="str">
        <f>_xlfn.TEXTAFTER(mvtst[[#This Row],[QR Suivis]],"_",5)</f>
        <v>2426</v>
      </c>
      <c r="R847" s="84" t="str">
        <f>IF(
   COUNTIFS($A$2:A847,A847,
             $B$2:B847,B847,
             $C$2:C847,C847,
             $D$2:D847,D847,
             $G$2:G847,G847)&gt;1,
   "Doublon",
   "Correcte"
)</f>
        <v>Correcte</v>
      </c>
    </row>
    <row r="848" spans="1:18" x14ac:dyDescent="0.25">
      <c r="A848" s="104" t="s">
        <v>1664</v>
      </c>
      <c r="B848" s="35" t="s">
        <v>595</v>
      </c>
      <c r="C848" s="36">
        <v>0</v>
      </c>
      <c r="D848" s="36">
        <v>5</v>
      </c>
      <c r="E848" s="35" t="s">
        <v>699</v>
      </c>
      <c r="F848" s="35" t="s">
        <v>634</v>
      </c>
      <c r="G848" s="37">
        <v>45929.720486111109</v>
      </c>
      <c r="H848" s="37" t="str">
        <f>INDEX(_xlfn.TEXTSPLIT(mvtst[[#This Row],[QR Suivis]],"_"),1,1)</f>
        <v>OF246537-14</v>
      </c>
      <c r="I848" s="35" t="str">
        <f>_xlfn.TEXTBEFORE(mvtst[[#This Row],[Num Suivis]],"-",,,1)</f>
        <v>OF246537</v>
      </c>
      <c r="J848" s="36">
        <f>SUMIF(mvtst[QR Suivis],mvtst[[#This Row],[QR Suivis]],mvtst[QTE SORTIS])-SUMIF(mvtst[QR Suivis],mvtst[[#This Row],[QR Suivis]],mvtst[QTE RETOUR])</f>
        <v>0</v>
      </c>
      <c r="K848" s="35" t="str">
        <f t="shared" si="13"/>
        <v>Usine</v>
      </c>
      <c r="L848" s="35" t="str">
        <f>_xlfn.XLOOKUP(mvtst[[#This Row],[Sous Traitant]],coordonnee_st[Identification],coordonnee_st[SERVICE],"Non Trouvé")</f>
        <v>Frange</v>
      </c>
      <c r="M848" s="35" t="str">
        <f>INDEX(_xlfn.TEXTSPLIT(mvtst[[#This Row],[QR Suivis]],"_"),1,2)</f>
        <v>CL00296</v>
      </c>
      <c r="N848" s="35" t="str">
        <f>INDEX(_xlfn.TEXTSPLIT(mvtst[[#This Row],[QR Suivis]],"_"),1,3)</f>
        <v>CM-FT0108</v>
      </c>
      <c r="O848" s="35" t="str">
        <f>INDEX(_xlfn.TEXTSPLIT(mvtst[[#This Row],[QR Suivis]],"_"),1,4)</f>
        <v>EPMA0919-B26-02</v>
      </c>
      <c r="P848" s="35" t="str">
        <f>INDEX(_xlfn.TEXTSPLIT(mvtst[[#This Row],[QR Suivis]],"_"),1,5)</f>
        <v>MARINIERE</v>
      </c>
      <c r="Q848" s="35" t="str">
        <f>_xlfn.TEXTAFTER(mvtst[[#This Row],[QR Suivis]],"_",5)</f>
        <v>0919</v>
      </c>
      <c r="R848" s="84" t="str">
        <f>IF(
   COUNTIFS($A$2:A848,A848,
             $B$2:B848,B848,
             $C$2:C848,C848,
             $D$2:D848,D848,
             $G$2:G848,G848)&gt;1,
   "Doublon",
   "Correcte"
)</f>
        <v>Correcte</v>
      </c>
    </row>
    <row r="849" spans="1:18" x14ac:dyDescent="0.25">
      <c r="A849" s="104" t="s">
        <v>1665</v>
      </c>
      <c r="B849" s="35" t="s">
        <v>595</v>
      </c>
      <c r="C849" s="36">
        <v>0</v>
      </c>
      <c r="D849" s="36">
        <v>5</v>
      </c>
      <c r="E849" s="35" t="s">
        <v>699</v>
      </c>
      <c r="F849" s="35" t="s">
        <v>634</v>
      </c>
      <c r="G849" s="37">
        <v>45929.72079861111</v>
      </c>
      <c r="H849" s="37" t="str">
        <f>INDEX(_xlfn.TEXTSPLIT(mvtst[[#This Row],[QR Suivis]],"_"),1,1)</f>
        <v>OF246537-13</v>
      </c>
      <c r="I849" s="35" t="str">
        <f>_xlfn.TEXTBEFORE(mvtst[[#This Row],[Num Suivis]],"-",,,1)</f>
        <v>OF246537</v>
      </c>
      <c r="J849" s="36">
        <f>SUMIF(mvtst[QR Suivis],mvtst[[#This Row],[QR Suivis]],mvtst[QTE SORTIS])-SUMIF(mvtst[QR Suivis],mvtst[[#This Row],[QR Suivis]],mvtst[QTE RETOUR])</f>
        <v>0</v>
      </c>
      <c r="K849" s="35" t="str">
        <f t="shared" si="13"/>
        <v>Usine</v>
      </c>
      <c r="L849" s="35" t="str">
        <f>_xlfn.XLOOKUP(mvtst[[#This Row],[Sous Traitant]],coordonnee_st[Identification],coordonnee_st[SERVICE],"Non Trouvé")</f>
        <v>Frange</v>
      </c>
      <c r="M849" s="35" t="str">
        <f>INDEX(_xlfn.TEXTSPLIT(mvtst[[#This Row],[QR Suivis]],"_"),1,2)</f>
        <v>CL00296</v>
      </c>
      <c r="N849" s="35" t="str">
        <f>INDEX(_xlfn.TEXTSPLIT(mvtst[[#This Row],[QR Suivis]],"_"),1,3)</f>
        <v>CM-FT0108</v>
      </c>
      <c r="O849" s="35" t="str">
        <f>INDEX(_xlfn.TEXTSPLIT(mvtst[[#This Row],[QR Suivis]],"_"),1,4)</f>
        <v>EPMA0919-B26-02</v>
      </c>
      <c r="P849" s="35" t="str">
        <f>INDEX(_xlfn.TEXTSPLIT(mvtst[[#This Row],[QR Suivis]],"_"),1,5)</f>
        <v>MARINIERE</v>
      </c>
      <c r="Q849" s="35" t="str">
        <f>_xlfn.TEXTAFTER(mvtst[[#This Row],[QR Suivis]],"_",5)</f>
        <v>0919</v>
      </c>
      <c r="R849" s="84" t="str">
        <f>IF(
   COUNTIFS($A$2:A849,A849,
             $B$2:B849,B849,
             $C$2:C849,C849,
             $D$2:D849,D849,
             $G$2:G849,G849)&gt;1,
   "Doublon",
   "Correcte"
)</f>
        <v>Correcte</v>
      </c>
    </row>
    <row r="850" spans="1:18" x14ac:dyDescent="0.25">
      <c r="A850" s="104" t="s">
        <v>1737</v>
      </c>
      <c r="B850" s="35" t="s">
        <v>595</v>
      </c>
      <c r="C850" s="36">
        <v>0</v>
      </c>
      <c r="D850" s="36">
        <v>5</v>
      </c>
      <c r="E850" s="35" t="s">
        <v>699</v>
      </c>
      <c r="F850" s="35" t="s">
        <v>634</v>
      </c>
      <c r="G850" s="37">
        <v>45929.720949074072</v>
      </c>
      <c r="H850" s="37" t="str">
        <f>INDEX(_xlfn.TEXTSPLIT(mvtst[[#This Row],[QR Suivis]],"_"),1,1)</f>
        <v>OF246546-6</v>
      </c>
      <c r="I850" s="35" t="str">
        <f>_xlfn.TEXTBEFORE(mvtst[[#This Row],[Num Suivis]],"-",,,1)</f>
        <v>OF246546</v>
      </c>
      <c r="J850" s="36">
        <f>SUMIF(mvtst[QR Suivis],mvtst[[#This Row],[QR Suivis]],mvtst[QTE SORTIS])-SUMIF(mvtst[QR Suivis],mvtst[[#This Row],[QR Suivis]],mvtst[QTE RETOUR])</f>
        <v>0</v>
      </c>
      <c r="K850" s="35" t="str">
        <f t="shared" si="13"/>
        <v>Usine</v>
      </c>
      <c r="L850" s="35" t="str">
        <f>_xlfn.XLOOKUP(mvtst[[#This Row],[Sous Traitant]],coordonnee_st[Identification],coordonnee_st[SERVICE],"Non Trouvé")</f>
        <v>Frange</v>
      </c>
      <c r="M850" s="35" t="str">
        <f>INDEX(_xlfn.TEXTSPLIT(mvtst[[#This Row],[QR Suivis]],"_"),1,2)</f>
        <v>CL00296</v>
      </c>
      <c r="N850" s="35" t="str">
        <f>INDEX(_xlfn.TEXTSPLIT(mvtst[[#This Row],[QR Suivis]],"_"),1,3)</f>
        <v>CM-FT0108</v>
      </c>
      <c r="O850" s="35" t="str">
        <f>INDEX(_xlfn.TEXTSPLIT(mvtst[[#This Row],[QR Suivis]],"_"),1,4)</f>
        <v>EPMA0919-B29-02</v>
      </c>
      <c r="P850" s="35" t="str">
        <f>INDEX(_xlfn.TEXTSPLIT(mvtst[[#This Row],[QR Suivis]],"_"),1,5)</f>
        <v>MARINIERE</v>
      </c>
      <c r="Q850" s="35" t="str">
        <f>_xlfn.TEXTAFTER(mvtst[[#This Row],[QR Suivis]],"_",5)</f>
        <v>0919</v>
      </c>
      <c r="R850" s="84" t="str">
        <f>IF(
   COUNTIFS($A$2:A850,A850,
             $B$2:B850,B850,
             $C$2:C850,C850,
             $D$2:D850,D850,
             $G$2:G850,G850)&gt;1,
   "Doublon",
   "Correcte"
)</f>
        <v>Correcte</v>
      </c>
    </row>
    <row r="851" spans="1:18" x14ac:dyDescent="0.25">
      <c r="A851" s="104" t="s">
        <v>1732</v>
      </c>
      <c r="B851" s="35" t="s">
        <v>595</v>
      </c>
      <c r="C851" s="36">
        <v>0</v>
      </c>
      <c r="D851" s="36">
        <v>5</v>
      </c>
      <c r="E851" s="35" t="s">
        <v>699</v>
      </c>
      <c r="F851" s="35" t="s">
        <v>634</v>
      </c>
      <c r="G851" s="37">
        <v>45929.721087962964</v>
      </c>
      <c r="H851" s="37" t="str">
        <f>INDEX(_xlfn.TEXTSPLIT(mvtst[[#This Row],[QR Suivis]],"_"),1,1)</f>
        <v>OF246546-3</v>
      </c>
      <c r="I851" s="35" t="str">
        <f>_xlfn.TEXTBEFORE(mvtst[[#This Row],[Num Suivis]],"-",,,1)</f>
        <v>OF246546</v>
      </c>
      <c r="J851" s="36">
        <f>SUMIF(mvtst[QR Suivis],mvtst[[#This Row],[QR Suivis]],mvtst[QTE SORTIS])-SUMIF(mvtst[QR Suivis],mvtst[[#This Row],[QR Suivis]],mvtst[QTE RETOUR])</f>
        <v>0</v>
      </c>
      <c r="K851" s="35" t="str">
        <f t="shared" si="13"/>
        <v>Usine</v>
      </c>
      <c r="L851" s="35" t="str">
        <f>_xlfn.XLOOKUP(mvtst[[#This Row],[Sous Traitant]],coordonnee_st[Identification],coordonnee_st[SERVICE],"Non Trouvé")</f>
        <v>Frange</v>
      </c>
      <c r="M851" s="35" t="str">
        <f>INDEX(_xlfn.TEXTSPLIT(mvtst[[#This Row],[QR Suivis]],"_"),1,2)</f>
        <v>CL00296</v>
      </c>
      <c r="N851" s="35" t="str">
        <f>INDEX(_xlfn.TEXTSPLIT(mvtst[[#This Row],[QR Suivis]],"_"),1,3)</f>
        <v>CM-FT0108</v>
      </c>
      <c r="O851" s="35" t="str">
        <f>INDEX(_xlfn.TEXTSPLIT(mvtst[[#This Row],[QR Suivis]],"_"),1,4)</f>
        <v>EPMA0919-B29-02</v>
      </c>
      <c r="P851" s="35" t="str">
        <f>INDEX(_xlfn.TEXTSPLIT(mvtst[[#This Row],[QR Suivis]],"_"),1,5)</f>
        <v>MARINIERE</v>
      </c>
      <c r="Q851" s="35" t="str">
        <f>_xlfn.TEXTAFTER(mvtst[[#This Row],[QR Suivis]],"_",5)</f>
        <v>0919</v>
      </c>
      <c r="R851" s="84" t="str">
        <f>IF(
   COUNTIFS($A$2:A851,A851,
             $B$2:B851,B851,
             $C$2:C851,C851,
             $D$2:D851,D851,
             $G$2:G851,G851)&gt;1,
   "Doublon",
   "Correcte"
)</f>
        <v>Correcte</v>
      </c>
    </row>
    <row r="852" spans="1:18" x14ac:dyDescent="0.25">
      <c r="A852" s="104" t="s">
        <v>1734</v>
      </c>
      <c r="B852" s="35" t="s">
        <v>595</v>
      </c>
      <c r="C852" s="36">
        <v>0</v>
      </c>
      <c r="D852" s="36">
        <v>5</v>
      </c>
      <c r="E852" s="35" t="s">
        <v>699</v>
      </c>
      <c r="F852" s="35" t="s">
        <v>634</v>
      </c>
      <c r="G852" s="37">
        <v>45929.721238425926</v>
      </c>
      <c r="H852" s="37" t="str">
        <f>INDEX(_xlfn.TEXTSPLIT(mvtst[[#This Row],[QR Suivis]],"_"),1,1)</f>
        <v>OF246546-4</v>
      </c>
      <c r="I852" s="35" t="str">
        <f>_xlfn.TEXTBEFORE(mvtst[[#This Row],[Num Suivis]],"-",,,1)</f>
        <v>OF246546</v>
      </c>
      <c r="J852" s="36">
        <f>SUMIF(mvtst[QR Suivis],mvtst[[#This Row],[QR Suivis]],mvtst[QTE SORTIS])-SUMIF(mvtst[QR Suivis],mvtst[[#This Row],[QR Suivis]],mvtst[QTE RETOUR])</f>
        <v>0</v>
      </c>
      <c r="K852" s="35" t="str">
        <f t="shared" si="13"/>
        <v>Usine</v>
      </c>
      <c r="L852" s="35" t="str">
        <f>_xlfn.XLOOKUP(mvtst[[#This Row],[Sous Traitant]],coordonnee_st[Identification],coordonnee_st[SERVICE],"Non Trouvé")</f>
        <v>Frange</v>
      </c>
      <c r="M852" s="35" t="str">
        <f>INDEX(_xlfn.TEXTSPLIT(mvtst[[#This Row],[QR Suivis]],"_"),1,2)</f>
        <v>CL00296</v>
      </c>
      <c r="N852" s="35" t="str">
        <f>INDEX(_xlfn.TEXTSPLIT(mvtst[[#This Row],[QR Suivis]],"_"),1,3)</f>
        <v>CM-FT0108</v>
      </c>
      <c r="O852" s="35" t="str">
        <f>INDEX(_xlfn.TEXTSPLIT(mvtst[[#This Row],[QR Suivis]],"_"),1,4)</f>
        <v>EPMA0919-B29-02</v>
      </c>
      <c r="P852" s="35" t="str">
        <f>INDEX(_xlfn.TEXTSPLIT(mvtst[[#This Row],[QR Suivis]],"_"),1,5)</f>
        <v>MARINIERE</v>
      </c>
      <c r="Q852" s="35" t="str">
        <f>_xlfn.TEXTAFTER(mvtst[[#This Row],[QR Suivis]],"_",5)</f>
        <v>0919</v>
      </c>
      <c r="R852" s="84" t="str">
        <f>IF(
   COUNTIFS($A$2:A852,A852,
             $B$2:B852,B852,
             $C$2:C852,C852,
             $D$2:D852,D852,
             $G$2:G852,G852)&gt;1,
   "Doublon",
   "Correcte"
)</f>
        <v>Correcte</v>
      </c>
    </row>
    <row r="853" spans="1:18" x14ac:dyDescent="0.25">
      <c r="A853" s="104" t="s">
        <v>1740</v>
      </c>
      <c r="B853" s="35" t="s">
        <v>595</v>
      </c>
      <c r="C853" s="36">
        <v>0</v>
      </c>
      <c r="D853" s="36">
        <v>5</v>
      </c>
      <c r="E853" s="35" t="s">
        <v>699</v>
      </c>
      <c r="F853" s="35" t="s">
        <v>634</v>
      </c>
      <c r="G853" s="37">
        <v>45929.721412037034</v>
      </c>
      <c r="H853" s="37" t="str">
        <f>INDEX(_xlfn.TEXTSPLIT(mvtst[[#This Row],[QR Suivis]],"_"),1,1)</f>
        <v>OF246546-14</v>
      </c>
      <c r="I853" s="35" t="str">
        <f>_xlfn.TEXTBEFORE(mvtst[[#This Row],[Num Suivis]],"-",,,1)</f>
        <v>OF246546</v>
      </c>
      <c r="J853" s="36">
        <f>SUMIF(mvtst[QR Suivis],mvtst[[#This Row],[QR Suivis]],mvtst[QTE SORTIS])-SUMIF(mvtst[QR Suivis],mvtst[[#This Row],[QR Suivis]],mvtst[QTE RETOUR])</f>
        <v>0</v>
      </c>
      <c r="K853" s="35" t="str">
        <f t="shared" si="13"/>
        <v>Usine</v>
      </c>
      <c r="L853" s="35" t="str">
        <f>_xlfn.XLOOKUP(mvtst[[#This Row],[Sous Traitant]],coordonnee_st[Identification],coordonnee_st[SERVICE],"Non Trouvé")</f>
        <v>Frange</v>
      </c>
      <c r="M853" s="35" t="str">
        <f>INDEX(_xlfn.TEXTSPLIT(mvtst[[#This Row],[QR Suivis]],"_"),1,2)</f>
        <v>CL00296</v>
      </c>
      <c r="N853" s="35" t="str">
        <f>INDEX(_xlfn.TEXTSPLIT(mvtst[[#This Row],[QR Suivis]],"_"),1,3)</f>
        <v>CM-FT0108</v>
      </c>
      <c r="O853" s="35" t="str">
        <f>INDEX(_xlfn.TEXTSPLIT(mvtst[[#This Row],[QR Suivis]],"_"),1,4)</f>
        <v>EPMA0919-B29-02</v>
      </c>
      <c r="P853" s="35" t="str">
        <f>INDEX(_xlfn.TEXTSPLIT(mvtst[[#This Row],[QR Suivis]],"_"),1,5)</f>
        <v>MARINIERE</v>
      </c>
      <c r="Q853" s="35" t="str">
        <f>_xlfn.TEXTAFTER(mvtst[[#This Row],[QR Suivis]],"_",5)</f>
        <v>0919</v>
      </c>
      <c r="R853" s="84" t="str">
        <f>IF(
   COUNTIFS($A$2:A853,A853,
             $B$2:B853,B853,
             $C$2:C853,C853,
             $D$2:D853,D853,
             $G$2:G853,G853)&gt;1,
   "Doublon",
   "Correcte"
)</f>
        <v>Correcte</v>
      </c>
    </row>
    <row r="854" spans="1:18" x14ac:dyDescent="0.25">
      <c r="A854" s="104" t="s">
        <v>1736</v>
      </c>
      <c r="B854" s="35" t="s">
        <v>595</v>
      </c>
      <c r="C854" s="36">
        <v>0</v>
      </c>
      <c r="D854" s="36">
        <v>5</v>
      </c>
      <c r="E854" s="35" t="s">
        <v>699</v>
      </c>
      <c r="F854" s="35" t="s">
        <v>634</v>
      </c>
      <c r="G854" s="37">
        <v>45929.721562500003</v>
      </c>
      <c r="H854" s="37" t="str">
        <f>INDEX(_xlfn.TEXTSPLIT(mvtst[[#This Row],[QR Suivis]],"_"),1,1)</f>
        <v>OF246546-8</v>
      </c>
      <c r="I854" s="35" t="str">
        <f>_xlfn.TEXTBEFORE(mvtst[[#This Row],[Num Suivis]],"-",,,1)</f>
        <v>OF246546</v>
      </c>
      <c r="J854" s="36">
        <f>SUMIF(mvtst[QR Suivis],mvtst[[#This Row],[QR Suivis]],mvtst[QTE SORTIS])-SUMIF(mvtst[QR Suivis],mvtst[[#This Row],[QR Suivis]],mvtst[QTE RETOUR])</f>
        <v>0</v>
      </c>
      <c r="K854" s="35" t="str">
        <f t="shared" si="13"/>
        <v>Usine</v>
      </c>
      <c r="L854" s="35" t="str">
        <f>_xlfn.XLOOKUP(mvtst[[#This Row],[Sous Traitant]],coordonnee_st[Identification],coordonnee_st[SERVICE],"Non Trouvé")</f>
        <v>Frange</v>
      </c>
      <c r="M854" s="35" t="str">
        <f>INDEX(_xlfn.TEXTSPLIT(mvtst[[#This Row],[QR Suivis]],"_"),1,2)</f>
        <v>CL00296</v>
      </c>
      <c r="N854" s="35" t="str">
        <f>INDEX(_xlfn.TEXTSPLIT(mvtst[[#This Row],[QR Suivis]],"_"),1,3)</f>
        <v>CM-FT0108</v>
      </c>
      <c r="O854" s="35" t="str">
        <f>INDEX(_xlfn.TEXTSPLIT(mvtst[[#This Row],[QR Suivis]],"_"),1,4)</f>
        <v>EPMA0919-B29-02</v>
      </c>
      <c r="P854" s="35" t="str">
        <f>INDEX(_xlfn.TEXTSPLIT(mvtst[[#This Row],[QR Suivis]],"_"),1,5)</f>
        <v>MARINIERE</v>
      </c>
      <c r="Q854" s="35" t="str">
        <f>_xlfn.TEXTAFTER(mvtst[[#This Row],[QR Suivis]],"_",5)</f>
        <v>0919</v>
      </c>
      <c r="R854" s="84" t="str">
        <f>IF(
   COUNTIFS($A$2:A854,A854,
             $B$2:B854,B854,
             $C$2:C854,C854,
             $D$2:D854,D854,
             $G$2:G854,G854)&gt;1,
   "Doublon",
   "Correcte"
)</f>
        <v>Correcte</v>
      </c>
    </row>
    <row r="855" spans="1:18" x14ac:dyDescent="0.25">
      <c r="A855" s="104" t="s">
        <v>1739</v>
      </c>
      <c r="B855" s="35" t="s">
        <v>595</v>
      </c>
      <c r="C855" s="36">
        <v>0</v>
      </c>
      <c r="D855" s="36">
        <v>5</v>
      </c>
      <c r="E855" s="35" t="s">
        <v>699</v>
      </c>
      <c r="F855" s="35" t="s">
        <v>634</v>
      </c>
      <c r="G855" s="37">
        <v>45929.721712962964</v>
      </c>
      <c r="H855" s="37" t="str">
        <f>INDEX(_xlfn.TEXTSPLIT(mvtst[[#This Row],[QR Suivis]],"_"),1,1)</f>
        <v>OF246546-12</v>
      </c>
      <c r="I855" s="35" t="str">
        <f>_xlfn.TEXTBEFORE(mvtst[[#This Row],[Num Suivis]],"-",,,1)</f>
        <v>OF246546</v>
      </c>
      <c r="J855" s="36">
        <f>SUMIF(mvtst[QR Suivis],mvtst[[#This Row],[QR Suivis]],mvtst[QTE SORTIS])-SUMIF(mvtst[QR Suivis],mvtst[[#This Row],[QR Suivis]],mvtst[QTE RETOUR])</f>
        <v>0</v>
      </c>
      <c r="K855" s="35" t="str">
        <f t="shared" si="13"/>
        <v>Usine</v>
      </c>
      <c r="L855" s="35" t="str">
        <f>_xlfn.XLOOKUP(mvtst[[#This Row],[Sous Traitant]],coordonnee_st[Identification],coordonnee_st[SERVICE],"Non Trouvé")</f>
        <v>Frange</v>
      </c>
      <c r="M855" s="35" t="str">
        <f>INDEX(_xlfn.TEXTSPLIT(mvtst[[#This Row],[QR Suivis]],"_"),1,2)</f>
        <v>CL00296</v>
      </c>
      <c r="N855" s="35" t="str">
        <f>INDEX(_xlfn.TEXTSPLIT(mvtst[[#This Row],[QR Suivis]],"_"),1,3)</f>
        <v>CM-FT0108</v>
      </c>
      <c r="O855" s="35" t="str">
        <f>INDEX(_xlfn.TEXTSPLIT(mvtst[[#This Row],[QR Suivis]],"_"),1,4)</f>
        <v>EPMA0919-B29-02</v>
      </c>
      <c r="P855" s="35" t="str">
        <f>INDEX(_xlfn.TEXTSPLIT(mvtst[[#This Row],[QR Suivis]],"_"),1,5)</f>
        <v>MARINIERE</v>
      </c>
      <c r="Q855" s="35" t="str">
        <f>_xlfn.TEXTAFTER(mvtst[[#This Row],[QR Suivis]],"_",5)</f>
        <v>0919</v>
      </c>
      <c r="R855" s="84" t="str">
        <f>IF(
   COUNTIFS($A$2:A855,A855,
             $B$2:B855,B855,
             $C$2:C855,C855,
             $D$2:D855,D855,
             $G$2:G855,G855)&gt;1,
   "Doublon",
   "Correcte"
)</f>
        <v>Correcte</v>
      </c>
    </row>
    <row r="856" spans="1:18" x14ac:dyDescent="0.25">
      <c r="A856" s="104" t="s">
        <v>1731</v>
      </c>
      <c r="B856" s="35" t="s">
        <v>595</v>
      </c>
      <c r="C856" s="36">
        <v>0</v>
      </c>
      <c r="D856" s="36">
        <v>5</v>
      </c>
      <c r="E856" s="35" t="s">
        <v>699</v>
      </c>
      <c r="F856" s="35" t="s">
        <v>634</v>
      </c>
      <c r="G856" s="37">
        <v>45929.721921296295</v>
      </c>
      <c r="H856" s="37" t="str">
        <f>INDEX(_xlfn.TEXTSPLIT(mvtst[[#This Row],[QR Suivis]],"_"),1,1)</f>
        <v>OF246546-5</v>
      </c>
      <c r="I856" s="35" t="str">
        <f>_xlfn.TEXTBEFORE(mvtst[[#This Row],[Num Suivis]],"-",,,1)</f>
        <v>OF246546</v>
      </c>
      <c r="J856" s="36">
        <f>SUMIF(mvtst[QR Suivis],mvtst[[#This Row],[QR Suivis]],mvtst[QTE SORTIS])-SUMIF(mvtst[QR Suivis],mvtst[[#This Row],[QR Suivis]],mvtst[QTE RETOUR])</f>
        <v>0</v>
      </c>
      <c r="K856" s="35" t="str">
        <f t="shared" si="13"/>
        <v>Usine</v>
      </c>
      <c r="L856" s="35" t="str">
        <f>_xlfn.XLOOKUP(mvtst[[#This Row],[Sous Traitant]],coordonnee_st[Identification],coordonnee_st[SERVICE],"Non Trouvé")</f>
        <v>Frange</v>
      </c>
      <c r="M856" s="35" t="str">
        <f>INDEX(_xlfn.TEXTSPLIT(mvtst[[#This Row],[QR Suivis]],"_"),1,2)</f>
        <v>CL00296</v>
      </c>
      <c r="N856" s="35" t="str">
        <f>INDEX(_xlfn.TEXTSPLIT(mvtst[[#This Row],[QR Suivis]],"_"),1,3)</f>
        <v>CM-FT0108</v>
      </c>
      <c r="O856" s="35" t="str">
        <f>INDEX(_xlfn.TEXTSPLIT(mvtst[[#This Row],[QR Suivis]],"_"),1,4)</f>
        <v>EPMA0919-B29-02</v>
      </c>
      <c r="P856" s="35" t="str">
        <f>INDEX(_xlfn.TEXTSPLIT(mvtst[[#This Row],[QR Suivis]],"_"),1,5)</f>
        <v>MARINIERE</v>
      </c>
      <c r="Q856" s="35" t="str">
        <f>_xlfn.TEXTAFTER(mvtst[[#This Row],[QR Suivis]],"_",5)</f>
        <v>0919</v>
      </c>
      <c r="R856" s="84" t="str">
        <f>IF(
   COUNTIFS($A$2:A856,A856,
             $B$2:B856,B856,
             $C$2:C856,C856,
             $D$2:D856,D856,
             $G$2:G856,G856)&gt;1,
   "Doublon",
   "Correcte"
)</f>
        <v>Correcte</v>
      </c>
    </row>
    <row r="857" spans="1:18" x14ac:dyDescent="0.25">
      <c r="A857" s="104" t="s">
        <v>1733</v>
      </c>
      <c r="B857" s="35" t="s">
        <v>595</v>
      </c>
      <c r="C857" s="36">
        <v>0</v>
      </c>
      <c r="D857" s="36">
        <v>5</v>
      </c>
      <c r="E857" s="35" t="s">
        <v>699</v>
      </c>
      <c r="F857" s="35" t="s">
        <v>634</v>
      </c>
      <c r="G857" s="37">
        <v>45929.722060185188</v>
      </c>
      <c r="H857" s="37" t="str">
        <f>INDEX(_xlfn.TEXTSPLIT(mvtst[[#This Row],[QR Suivis]],"_"),1,1)</f>
        <v>OF246546-16</v>
      </c>
      <c r="I857" s="35" t="str">
        <f>_xlfn.TEXTBEFORE(mvtst[[#This Row],[Num Suivis]],"-",,,1)</f>
        <v>OF246546</v>
      </c>
      <c r="J857" s="36">
        <f>SUMIF(mvtst[QR Suivis],mvtst[[#This Row],[QR Suivis]],mvtst[QTE SORTIS])-SUMIF(mvtst[QR Suivis],mvtst[[#This Row],[QR Suivis]],mvtst[QTE RETOUR])</f>
        <v>0</v>
      </c>
      <c r="K857" s="35" t="str">
        <f t="shared" si="13"/>
        <v>Usine</v>
      </c>
      <c r="L857" s="35" t="str">
        <f>_xlfn.XLOOKUP(mvtst[[#This Row],[Sous Traitant]],coordonnee_st[Identification],coordonnee_st[SERVICE],"Non Trouvé")</f>
        <v>Frange</v>
      </c>
      <c r="M857" s="35" t="str">
        <f>INDEX(_xlfn.TEXTSPLIT(mvtst[[#This Row],[QR Suivis]],"_"),1,2)</f>
        <v>CL00296</v>
      </c>
      <c r="N857" s="35" t="str">
        <f>INDEX(_xlfn.TEXTSPLIT(mvtst[[#This Row],[QR Suivis]],"_"),1,3)</f>
        <v>CM-FT0108</v>
      </c>
      <c r="O857" s="35" t="str">
        <f>INDEX(_xlfn.TEXTSPLIT(mvtst[[#This Row],[QR Suivis]],"_"),1,4)</f>
        <v>EPMA0919-B29-02</v>
      </c>
      <c r="P857" s="35" t="str">
        <f>INDEX(_xlfn.TEXTSPLIT(mvtst[[#This Row],[QR Suivis]],"_"),1,5)</f>
        <v>MARINIERE</v>
      </c>
      <c r="Q857" s="35" t="str">
        <f>_xlfn.TEXTAFTER(mvtst[[#This Row],[QR Suivis]],"_",5)</f>
        <v>0919</v>
      </c>
      <c r="R857" s="84" t="str">
        <f>IF(
   COUNTIFS($A$2:A857,A857,
             $B$2:B857,B857,
             $C$2:C857,C857,
             $D$2:D857,D857,
             $G$2:G857,G857)&gt;1,
   "Doublon",
   "Correcte"
)</f>
        <v>Correcte</v>
      </c>
    </row>
    <row r="858" spans="1:18" x14ac:dyDescent="0.25">
      <c r="A858" s="104" t="s">
        <v>1738</v>
      </c>
      <c r="B858" s="35" t="s">
        <v>595</v>
      </c>
      <c r="C858" s="36">
        <v>0</v>
      </c>
      <c r="D858" s="36">
        <v>5</v>
      </c>
      <c r="E858" s="35" t="s">
        <v>699</v>
      </c>
      <c r="F858" s="35" t="s">
        <v>634</v>
      </c>
      <c r="G858" s="37">
        <v>45929.722187500003</v>
      </c>
      <c r="H858" s="37" t="str">
        <f>INDEX(_xlfn.TEXTSPLIT(mvtst[[#This Row],[QR Suivis]],"_"),1,1)</f>
        <v>OF246546-13</v>
      </c>
      <c r="I858" s="35" t="str">
        <f>_xlfn.TEXTBEFORE(mvtst[[#This Row],[Num Suivis]],"-",,,1)</f>
        <v>OF246546</v>
      </c>
      <c r="J858" s="36">
        <f>SUMIF(mvtst[QR Suivis],mvtst[[#This Row],[QR Suivis]],mvtst[QTE SORTIS])-SUMIF(mvtst[QR Suivis],mvtst[[#This Row],[QR Suivis]],mvtst[QTE RETOUR])</f>
        <v>0</v>
      </c>
      <c r="K858" s="35" t="str">
        <f t="shared" si="13"/>
        <v>Usine</v>
      </c>
      <c r="L858" s="35" t="str">
        <f>_xlfn.XLOOKUP(mvtst[[#This Row],[Sous Traitant]],coordonnee_st[Identification],coordonnee_st[SERVICE],"Non Trouvé")</f>
        <v>Frange</v>
      </c>
      <c r="M858" s="35" t="str">
        <f>INDEX(_xlfn.TEXTSPLIT(mvtst[[#This Row],[QR Suivis]],"_"),1,2)</f>
        <v>CL00296</v>
      </c>
      <c r="N858" s="35" t="str">
        <f>INDEX(_xlfn.TEXTSPLIT(mvtst[[#This Row],[QR Suivis]],"_"),1,3)</f>
        <v>CM-FT0108</v>
      </c>
      <c r="O858" s="35" t="str">
        <f>INDEX(_xlfn.TEXTSPLIT(mvtst[[#This Row],[QR Suivis]],"_"),1,4)</f>
        <v>EPMA0919-B29-02</v>
      </c>
      <c r="P858" s="35" t="str">
        <f>INDEX(_xlfn.TEXTSPLIT(mvtst[[#This Row],[QR Suivis]],"_"),1,5)</f>
        <v>MARINIERE</v>
      </c>
      <c r="Q858" s="35" t="str">
        <f>_xlfn.TEXTAFTER(mvtst[[#This Row],[QR Suivis]],"_",5)</f>
        <v>0919</v>
      </c>
      <c r="R858" s="84" t="str">
        <f>IF(
   COUNTIFS($A$2:A858,A858,
             $B$2:B858,B858,
             $C$2:C858,C858,
             $D$2:D858,D858,
             $G$2:G858,G858)&gt;1,
   "Doublon",
   "Correcte"
)</f>
        <v>Correcte</v>
      </c>
    </row>
    <row r="859" spans="1:18" x14ac:dyDescent="0.25">
      <c r="A859" s="104" t="s">
        <v>1735</v>
      </c>
      <c r="B859" s="35" t="s">
        <v>595</v>
      </c>
      <c r="C859" s="36">
        <v>0</v>
      </c>
      <c r="D859" s="36">
        <v>5</v>
      </c>
      <c r="E859" s="35" t="s">
        <v>699</v>
      </c>
      <c r="F859" s="35" t="s">
        <v>634</v>
      </c>
      <c r="G859" s="37">
        <v>45929.722395833334</v>
      </c>
      <c r="H859" s="37" t="str">
        <f>INDEX(_xlfn.TEXTSPLIT(mvtst[[#This Row],[QR Suivis]],"_"),1,1)</f>
        <v>OF246546-17</v>
      </c>
      <c r="I859" s="35" t="str">
        <f>_xlfn.TEXTBEFORE(mvtst[[#This Row],[Num Suivis]],"-",,,1)</f>
        <v>OF246546</v>
      </c>
      <c r="J859" s="36">
        <f>SUMIF(mvtst[QR Suivis],mvtst[[#This Row],[QR Suivis]],mvtst[QTE SORTIS])-SUMIF(mvtst[QR Suivis],mvtst[[#This Row],[QR Suivis]],mvtst[QTE RETOUR])</f>
        <v>0</v>
      </c>
      <c r="K859" s="35" t="str">
        <f t="shared" si="13"/>
        <v>Usine</v>
      </c>
      <c r="L859" s="35" t="str">
        <f>_xlfn.XLOOKUP(mvtst[[#This Row],[Sous Traitant]],coordonnee_st[Identification],coordonnee_st[SERVICE],"Non Trouvé")</f>
        <v>Frange</v>
      </c>
      <c r="M859" s="35" t="str">
        <f>INDEX(_xlfn.TEXTSPLIT(mvtst[[#This Row],[QR Suivis]],"_"),1,2)</f>
        <v>CL00296</v>
      </c>
      <c r="N859" s="35" t="str">
        <f>INDEX(_xlfn.TEXTSPLIT(mvtst[[#This Row],[QR Suivis]],"_"),1,3)</f>
        <v>CM-FT0108</v>
      </c>
      <c r="O859" s="35" t="str">
        <f>INDEX(_xlfn.TEXTSPLIT(mvtst[[#This Row],[QR Suivis]],"_"),1,4)</f>
        <v>EPMA0919-B29-02</v>
      </c>
      <c r="P859" s="35" t="str">
        <f>INDEX(_xlfn.TEXTSPLIT(mvtst[[#This Row],[QR Suivis]],"_"),1,5)</f>
        <v>MARINIERE</v>
      </c>
      <c r="Q859" s="35" t="str">
        <f>_xlfn.TEXTAFTER(mvtst[[#This Row],[QR Suivis]],"_",5)</f>
        <v>0919</v>
      </c>
      <c r="R859" s="84" t="str">
        <f>IF(
   COUNTIFS($A$2:A859,A859,
             $B$2:B859,B859,
             $C$2:C859,C859,
             $D$2:D859,D859,
             $G$2:G859,G859)&gt;1,
   "Doublon",
   "Correcte"
)</f>
        <v>Correcte</v>
      </c>
    </row>
    <row r="860" spans="1:18" x14ac:dyDescent="0.25">
      <c r="A860" s="104" t="s">
        <v>1719</v>
      </c>
      <c r="B860" s="35" t="s">
        <v>712</v>
      </c>
      <c r="C860" s="36">
        <v>0</v>
      </c>
      <c r="D860" s="36">
        <v>5</v>
      </c>
      <c r="E860" s="35" t="s">
        <v>699</v>
      </c>
      <c r="F860" s="35" t="s">
        <v>634</v>
      </c>
      <c r="G860" s="37">
        <v>45930.358043981483</v>
      </c>
      <c r="H860" s="37" t="str">
        <f>INDEX(_xlfn.TEXTSPLIT(mvtst[[#This Row],[QR Suivis]],"_"),1,1)</f>
        <v>CA250049-5</v>
      </c>
      <c r="I860" s="35" t="str">
        <f>_xlfn.TEXTBEFORE(mvtst[[#This Row],[Num Suivis]],"-",,,1)</f>
        <v>CA250049</v>
      </c>
      <c r="J860" s="36">
        <f>SUMIF(mvtst[QR Suivis],mvtst[[#This Row],[QR Suivis]],mvtst[QTE SORTIS])-SUMIF(mvtst[QR Suivis],mvtst[[#This Row],[QR Suivis]],mvtst[QTE RETOUR])</f>
        <v>0</v>
      </c>
      <c r="K860" s="35" t="str">
        <f t="shared" si="13"/>
        <v>Usine</v>
      </c>
      <c r="L860" s="35" t="str">
        <f>_xlfn.XLOOKUP(mvtst[[#This Row],[Sous Traitant]],coordonnee_st[Identification],coordonnee_st[SERVICE],"Non Trouvé")</f>
        <v>Frange</v>
      </c>
      <c r="M860" s="35" t="str">
        <f>INDEX(_xlfn.TEXTSPLIT(mvtst[[#This Row],[QR Suivis]],"_"),1,2)</f>
        <v>All by Fouta</v>
      </c>
      <c r="N860" s="35" t="str">
        <f>INDEX(_xlfn.TEXTSPLIT(mvtst[[#This Row],[QR Suivis]],"_"),1,3)</f>
        <v>Stock</v>
      </c>
      <c r="O860" s="35" t="str">
        <f>INDEX(_xlfn.TEXTSPLIT(mvtst[[#This Row],[QR Suivis]],"_"),1,4)</f>
        <v>UNS1626-17</v>
      </c>
      <c r="P860" s="35" t="str">
        <f>INDEX(_xlfn.TEXTSPLIT(mvtst[[#This Row],[QR Suivis]],"_"),1,5)</f>
        <v>UNI SURPIQUE</v>
      </c>
      <c r="Q860" s="35" t="str">
        <f>_xlfn.TEXTAFTER(mvtst[[#This Row],[QR Suivis]],"_",5)</f>
        <v>1626</v>
      </c>
      <c r="R860" s="84" t="str">
        <f>IF(
   COUNTIFS($A$2:A860,A860,
             $B$2:B860,B860,
             $C$2:C860,C860,
             $D$2:D860,D860,
             $G$2:G860,G860)&gt;1,
   "Doublon",
   "Correcte"
)</f>
        <v>Correcte</v>
      </c>
    </row>
    <row r="861" spans="1:18" x14ac:dyDescent="0.25">
      <c r="A861" s="104" t="s">
        <v>1695</v>
      </c>
      <c r="B861" s="35" t="s">
        <v>712</v>
      </c>
      <c r="C861" s="36">
        <v>0</v>
      </c>
      <c r="D861" s="36">
        <v>1</v>
      </c>
      <c r="E861" s="35" t="s">
        <v>699</v>
      </c>
      <c r="F861" s="35" t="s">
        <v>634</v>
      </c>
      <c r="G861" s="37">
        <v>45930.358344907407</v>
      </c>
      <c r="H861" s="37" t="str">
        <f>INDEX(_xlfn.TEXTSPLIT(mvtst[[#This Row],[QR Suivis]],"_"),1,1)</f>
        <v>CA250039-7</v>
      </c>
      <c r="I861" s="35" t="str">
        <f>_xlfn.TEXTBEFORE(mvtst[[#This Row],[Num Suivis]],"-",,,1)</f>
        <v>CA250039</v>
      </c>
      <c r="J861" s="36">
        <f>SUMIF(mvtst[QR Suivis],mvtst[[#This Row],[QR Suivis]],mvtst[QTE SORTIS])-SUMIF(mvtst[QR Suivis],mvtst[[#This Row],[QR Suivis]],mvtst[QTE RETOUR])</f>
        <v>0</v>
      </c>
      <c r="K861" s="35" t="str">
        <f t="shared" si="13"/>
        <v>Usine</v>
      </c>
      <c r="L861" s="35" t="str">
        <f>_xlfn.XLOOKUP(mvtst[[#This Row],[Sous Traitant]],coordonnee_st[Identification],coordonnee_st[SERVICE],"Non Trouvé")</f>
        <v>Frange</v>
      </c>
      <c r="M861" s="35" t="str">
        <f>INDEX(_xlfn.TEXTSPLIT(mvtst[[#This Row],[QR Suivis]],"_"),1,2)</f>
        <v>All by Fouta</v>
      </c>
      <c r="N861" s="35" t="str">
        <f>INDEX(_xlfn.TEXTSPLIT(mvtst[[#This Row],[QR Suivis]],"_"),1,3)</f>
        <v>Stock</v>
      </c>
      <c r="O861" s="35" t="str">
        <f>INDEX(_xlfn.TEXTSPLIT(mvtst[[#This Row],[QR Suivis]],"_"),1,4)</f>
        <v>UNS2020-32</v>
      </c>
      <c r="P861" s="35" t="str">
        <f>INDEX(_xlfn.TEXTSPLIT(mvtst[[#This Row],[QR Suivis]],"_"),1,5)</f>
        <v>UNI SURPIQUE</v>
      </c>
      <c r="Q861" s="35" t="str">
        <f>_xlfn.TEXTAFTER(mvtst[[#This Row],[QR Suivis]],"_",5)</f>
        <v>2020</v>
      </c>
      <c r="R861" s="84" t="str">
        <f>IF(
   COUNTIFS($A$2:A861,A861,
             $B$2:B861,B861,
             $C$2:C861,C861,
             $D$2:D861,D861,
             $G$2:G861,G861)&gt;1,
   "Doublon",
   "Correcte"
)</f>
        <v>Correcte</v>
      </c>
    </row>
    <row r="862" spans="1:18" x14ac:dyDescent="0.25">
      <c r="A862" s="104" t="s">
        <v>1711</v>
      </c>
      <c r="B862" s="35" t="s">
        <v>712</v>
      </c>
      <c r="C862" s="36">
        <v>0</v>
      </c>
      <c r="D862" s="36">
        <v>5</v>
      </c>
      <c r="E862" s="35" t="s">
        <v>699</v>
      </c>
      <c r="F862" s="35" t="s">
        <v>634</v>
      </c>
      <c r="G862" s="37">
        <v>45930.358599537038</v>
      </c>
      <c r="H862" s="37" t="str">
        <f>INDEX(_xlfn.TEXTSPLIT(mvtst[[#This Row],[QR Suivis]],"_"),1,1)</f>
        <v>CA250036-4</v>
      </c>
      <c r="I862" s="35" t="str">
        <f>_xlfn.TEXTBEFORE(mvtst[[#This Row],[Num Suivis]],"-",,,1)</f>
        <v>CA250036</v>
      </c>
      <c r="J862" s="36">
        <f>SUMIF(mvtst[QR Suivis],mvtst[[#This Row],[QR Suivis]],mvtst[QTE SORTIS])-SUMIF(mvtst[QR Suivis],mvtst[[#This Row],[QR Suivis]],mvtst[QTE RETOUR])</f>
        <v>0</v>
      </c>
      <c r="K862" s="35" t="str">
        <f t="shared" si="13"/>
        <v>Usine</v>
      </c>
      <c r="L862" s="35" t="str">
        <f>_xlfn.XLOOKUP(mvtst[[#This Row],[Sous Traitant]],coordonnee_st[Identification],coordonnee_st[SERVICE],"Non Trouvé")</f>
        <v>Frange</v>
      </c>
      <c r="M862" s="35" t="str">
        <f>INDEX(_xlfn.TEXTSPLIT(mvtst[[#This Row],[QR Suivis]],"_"),1,2)</f>
        <v>All by Fouta</v>
      </c>
      <c r="N862" s="35" t="str">
        <f>INDEX(_xlfn.TEXTSPLIT(mvtst[[#This Row],[QR Suivis]],"_"),1,3)</f>
        <v>Stock</v>
      </c>
      <c r="O862" s="35" t="str">
        <f>INDEX(_xlfn.TEXTSPLIT(mvtst[[#This Row],[QR Suivis]],"_"),1,4)</f>
        <v>UNS2020-27</v>
      </c>
      <c r="P862" s="35" t="str">
        <f>INDEX(_xlfn.TEXTSPLIT(mvtst[[#This Row],[QR Suivis]],"_"),1,5)</f>
        <v>UNI SURPIQUE</v>
      </c>
      <c r="Q862" s="35" t="str">
        <f>_xlfn.TEXTAFTER(mvtst[[#This Row],[QR Suivis]],"_",5)</f>
        <v>2020</v>
      </c>
      <c r="R862" s="84" t="str">
        <f>IF(
   COUNTIFS($A$2:A862,A862,
             $B$2:B862,B862,
             $C$2:C862,C862,
             $D$2:D862,D862,
             $G$2:G862,G862)&gt;1,
   "Doublon",
   "Correcte"
)</f>
        <v>Correcte</v>
      </c>
    </row>
    <row r="863" spans="1:18" x14ac:dyDescent="0.25">
      <c r="A863" s="104" t="s">
        <v>1720</v>
      </c>
      <c r="B863" s="35" t="s">
        <v>712</v>
      </c>
      <c r="C863" s="36">
        <v>0</v>
      </c>
      <c r="D863" s="36">
        <v>5</v>
      </c>
      <c r="E863" s="35" t="s">
        <v>699</v>
      </c>
      <c r="F863" s="35" t="s">
        <v>634</v>
      </c>
      <c r="G863" s="37">
        <v>45930.359780092593</v>
      </c>
      <c r="H863" s="37" t="str">
        <f>INDEX(_xlfn.TEXTSPLIT(mvtst[[#This Row],[QR Suivis]],"_"),1,1)</f>
        <v>CA250049-6</v>
      </c>
      <c r="I863" s="35" t="str">
        <f>_xlfn.TEXTBEFORE(mvtst[[#This Row],[Num Suivis]],"-",,,1)</f>
        <v>CA250049</v>
      </c>
      <c r="J863" s="36">
        <f>SUMIF(mvtst[QR Suivis],mvtst[[#This Row],[QR Suivis]],mvtst[QTE SORTIS])-SUMIF(mvtst[QR Suivis],mvtst[[#This Row],[QR Suivis]],mvtst[QTE RETOUR])</f>
        <v>0</v>
      </c>
      <c r="K863" s="35" t="str">
        <f t="shared" si="13"/>
        <v>Usine</v>
      </c>
      <c r="L863" s="35" t="str">
        <f>_xlfn.XLOOKUP(mvtst[[#This Row],[Sous Traitant]],coordonnee_st[Identification],coordonnee_st[SERVICE],"Non Trouvé")</f>
        <v>Frange</v>
      </c>
      <c r="M863" s="35" t="str">
        <f>INDEX(_xlfn.TEXTSPLIT(mvtst[[#This Row],[QR Suivis]],"_"),1,2)</f>
        <v>All by Fouta</v>
      </c>
      <c r="N863" s="35" t="str">
        <f>INDEX(_xlfn.TEXTSPLIT(mvtst[[#This Row],[QR Suivis]],"_"),1,3)</f>
        <v>Stock</v>
      </c>
      <c r="O863" s="35" t="str">
        <f>INDEX(_xlfn.TEXTSPLIT(mvtst[[#This Row],[QR Suivis]],"_"),1,4)</f>
        <v>UNS1626-17</v>
      </c>
      <c r="P863" s="35" t="str">
        <f>INDEX(_xlfn.TEXTSPLIT(mvtst[[#This Row],[QR Suivis]],"_"),1,5)</f>
        <v>UNI SURPIQUE</v>
      </c>
      <c r="Q863" s="35" t="str">
        <f>_xlfn.TEXTAFTER(mvtst[[#This Row],[QR Suivis]],"_",5)</f>
        <v>1626</v>
      </c>
      <c r="R863" s="84" t="str">
        <f>IF(
   COUNTIFS($A$2:A863,A863,
             $B$2:B863,B863,
             $C$2:C863,C863,
             $D$2:D863,D863,
             $G$2:G863,G863)&gt;1,
   "Doublon",
   "Correcte"
)</f>
        <v>Correcte</v>
      </c>
    </row>
    <row r="864" spans="1:18" x14ac:dyDescent="0.25">
      <c r="A864" s="104" t="s">
        <v>1712</v>
      </c>
      <c r="B864" s="35" t="s">
        <v>712</v>
      </c>
      <c r="C864" s="36">
        <v>0</v>
      </c>
      <c r="D864" s="36">
        <v>5</v>
      </c>
      <c r="E864" s="35" t="s">
        <v>699</v>
      </c>
      <c r="F864" s="35" t="s">
        <v>634</v>
      </c>
      <c r="G864" s="37">
        <v>45930.360046296293</v>
      </c>
      <c r="H864" s="37" t="str">
        <f>INDEX(_xlfn.TEXTSPLIT(mvtst[[#This Row],[QR Suivis]],"_"),1,1)</f>
        <v>CA250036-1</v>
      </c>
      <c r="I864" s="35" t="str">
        <f>_xlfn.TEXTBEFORE(mvtst[[#This Row],[Num Suivis]],"-",,,1)</f>
        <v>CA250036</v>
      </c>
      <c r="J864" s="36">
        <f>SUMIF(mvtst[QR Suivis],mvtst[[#This Row],[QR Suivis]],mvtst[QTE SORTIS])-SUMIF(mvtst[QR Suivis],mvtst[[#This Row],[QR Suivis]],mvtst[QTE RETOUR])</f>
        <v>0</v>
      </c>
      <c r="K864" s="35" t="str">
        <f t="shared" si="13"/>
        <v>Usine</v>
      </c>
      <c r="L864" s="35" t="str">
        <f>_xlfn.XLOOKUP(mvtst[[#This Row],[Sous Traitant]],coordonnee_st[Identification],coordonnee_st[SERVICE],"Non Trouvé")</f>
        <v>Frange</v>
      </c>
      <c r="M864" s="35" t="str">
        <f>INDEX(_xlfn.TEXTSPLIT(mvtst[[#This Row],[QR Suivis]],"_"),1,2)</f>
        <v>All by Fouta</v>
      </c>
      <c r="N864" s="35" t="str">
        <f>INDEX(_xlfn.TEXTSPLIT(mvtst[[#This Row],[QR Suivis]],"_"),1,3)</f>
        <v>Stock</v>
      </c>
      <c r="O864" s="35" t="str">
        <f>INDEX(_xlfn.TEXTSPLIT(mvtst[[#This Row],[QR Suivis]],"_"),1,4)</f>
        <v>UNS2020-27</v>
      </c>
      <c r="P864" s="35" t="str">
        <f>INDEX(_xlfn.TEXTSPLIT(mvtst[[#This Row],[QR Suivis]],"_"),1,5)</f>
        <v>UNI SURPIQUE</v>
      </c>
      <c r="Q864" s="35" t="str">
        <f>_xlfn.TEXTAFTER(mvtst[[#This Row],[QR Suivis]],"_",5)</f>
        <v>2020</v>
      </c>
      <c r="R864" s="84" t="str">
        <f>IF(
   COUNTIFS($A$2:A864,A864,
             $B$2:B864,B864,
             $C$2:C864,C864,
             $D$2:D864,D864,
             $G$2:G864,G864)&gt;1,
   "Doublon",
   "Correcte"
)</f>
        <v>Correcte</v>
      </c>
    </row>
    <row r="865" spans="1:18" x14ac:dyDescent="0.25">
      <c r="A865" s="104" t="s">
        <v>1305</v>
      </c>
      <c r="B865" s="35" t="s">
        <v>712</v>
      </c>
      <c r="C865" s="36">
        <v>0</v>
      </c>
      <c r="D865" s="36">
        <v>5</v>
      </c>
      <c r="E865" s="35" t="s">
        <v>699</v>
      </c>
      <c r="F865" s="35" t="s">
        <v>634</v>
      </c>
      <c r="G865" s="37">
        <v>45930.360543981478</v>
      </c>
      <c r="H865" s="37" t="str">
        <f>INDEX(_xlfn.TEXTSPLIT(mvtst[[#This Row],[QR Suivis]],"_"),1,1)</f>
        <v>CA250025</v>
      </c>
      <c r="I865" s="35" t="str">
        <f>_xlfn.TEXTBEFORE(mvtst[[#This Row],[Num Suivis]],"-",,,1)</f>
        <v>CA250025</v>
      </c>
      <c r="J865" s="36">
        <f>SUMIF(mvtst[QR Suivis],mvtst[[#This Row],[QR Suivis]],mvtst[QTE SORTIS])-SUMIF(mvtst[QR Suivis],mvtst[[#This Row],[QR Suivis]],mvtst[QTE RETOUR])</f>
        <v>0</v>
      </c>
      <c r="K865" s="35" t="str">
        <f t="shared" si="13"/>
        <v>Usine</v>
      </c>
      <c r="L865" s="35" t="str">
        <f>_xlfn.XLOOKUP(mvtst[[#This Row],[Sous Traitant]],coordonnee_st[Identification],coordonnee_st[SERVICE],"Non Trouvé")</f>
        <v>Frange</v>
      </c>
      <c r="M865" s="35" t="str">
        <f>INDEX(_xlfn.TEXTSPLIT(mvtst[[#This Row],[QR Suivis]],"_"),1,2)</f>
        <v>All by Fouta</v>
      </c>
      <c r="N865" s="35" t="str">
        <f>INDEX(_xlfn.TEXTSPLIT(mvtst[[#This Row],[QR Suivis]],"_"),1,3)</f>
        <v>Stock</v>
      </c>
      <c r="O865" s="35" t="str">
        <f>INDEX(_xlfn.TEXTSPLIT(mvtst[[#This Row],[QR Suivis]],"_"),1,4)</f>
        <v>UNS2020-10</v>
      </c>
      <c r="P865" s="35" t="str">
        <f>INDEX(_xlfn.TEXTSPLIT(mvtst[[#This Row],[QR Suivis]],"_"),1,5)</f>
        <v>UNI SURPIQUE</v>
      </c>
      <c r="Q865" s="35" t="str">
        <f>_xlfn.TEXTAFTER(mvtst[[#This Row],[QR Suivis]],"_",5)</f>
        <v>2020</v>
      </c>
      <c r="R865" s="84" t="str">
        <f>IF(
   COUNTIFS($A$2:A865,A865,
             $B$2:B865,B865,
             $C$2:C865,C865,
             $D$2:D865,D865,
             $G$2:G865,G865)&gt;1,
   "Doublon",
   "Correcte"
)</f>
        <v>Correcte</v>
      </c>
    </row>
    <row r="866" spans="1:18" x14ac:dyDescent="0.25">
      <c r="A866" s="104" t="s">
        <v>1721</v>
      </c>
      <c r="B866" s="35" t="s">
        <v>712</v>
      </c>
      <c r="C866" s="36">
        <v>0</v>
      </c>
      <c r="D866" s="36">
        <v>5</v>
      </c>
      <c r="E866" s="35" t="s">
        <v>699</v>
      </c>
      <c r="F866" s="35" t="s">
        <v>634</v>
      </c>
      <c r="G866" s="37">
        <v>45930.366423611114</v>
      </c>
      <c r="H866" s="37" t="str">
        <f>INDEX(_xlfn.TEXTSPLIT(mvtst[[#This Row],[QR Suivis]],"_"),1,1)</f>
        <v>CA250049-4</v>
      </c>
      <c r="I866" s="35" t="str">
        <f>_xlfn.TEXTBEFORE(mvtst[[#This Row],[Num Suivis]],"-",,,1)</f>
        <v>CA250049</v>
      </c>
      <c r="J866" s="36">
        <f>SUMIF(mvtst[QR Suivis],mvtst[[#This Row],[QR Suivis]],mvtst[QTE SORTIS])-SUMIF(mvtst[QR Suivis],mvtst[[#This Row],[QR Suivis]],mvtst[QTE RETOUR])</f>
        <v>0</v>
      </c>
      <c r="K866" s="35" t="str">
        <f t="shared" si="13"/>
        <v>Usine</v>
      </c>
      <c r="L866" s="35" t="str">
        <f>_xlfn.XLOOKUP(mvtst[[#This Row],[Sous Traitant]],coordonnee_st[Identification],coordonnee_st[SERVICE],"Non Trouvé")</f>
        <v>Frange</v>
      </c>
      <c r="M866" s="35" t="str">
        <f>INDEX(_xlfn.TEXTSPLIT(mvtst[[#This Row],[QR Suivis]],"_"),1,2)</f>
        <v>All by Fouta</v>
      </c>
      <c r="N866" s="35" t="str">
        <f>INDEX(_xlfn.TEXTSPLIT(mvtst[[#This Row],[QR Suivis]],"_"),1,3)</f>
        <v>Stock</v>
      </c>
      <c r="O866" s="35" t="str">
        <f>INDEX(_xlfn.TEXTSPLIT(mvtst[[#This Row],[QR Suivis]],"_"),1,4)</f>
        <v>UNS1626-17</v>
      </c>
      <c r="P866" s="35" t="str">
        <f>INDEX(_xlfn.TEXTSPLIT(mvtst[[#This Row],[QR Suivis]],"_"),1,5)</f>
        <v>UNI SURPIQUE</v>
      </c>
      <c r="Q866" s="35" t="str">
        <f>_xlfn.TEXTAFTER(mvtst[[#This Row],[QR Suivis]],"_",5)</f>
        <v>1626</v>
      </c>
      <c r="R866" s="84" t="str">
        <f>IF(
   COUNTIFS($A$2:A866,A866,
             $B$2:B866,B866,
             $C$2:C866,C866,
             $D$2:D866,D866,
             $G$2:G866,G866)&gt;1,
   "Doublon",
   "Correcte"
)</f>
        <v>Correcte</v>
      </c>
    </row>
    <row r="867" spans="1:18" x14ac:dyDescent="0.25">
      <c r="A867" s="104" t="s">
        <v>1672</v>
      </c>
      <c r="B867" s="35" t="s">
        <v>712</v>
      </c>
      <c r="C867" s="36">
        <v>0</v>
      </c>
      <c r="D867" s="36">
        <v>5</v>
      </c>
      <c r="E867" s="35" t="s">
        <v>699</v>
      </c>
      <c r="F867" s="35" t="s">
        <v>634</v>
      </c>
      <c r="G867" s="37">
        <v>45930.366782407407</v>
      </c>
      <c r="H867" s="37" t="str">
        <f>INDEX(_xlfn.TEXTSPLIT(mvtst[[#This Row],[QR Suivis]],"_"),1,1)</f>
        <v>CA250078-1</v>
      </c>
      <c r="I867" s="35" t="str">
        <f>_xlfn.TEXTBEFORE(mvtst[[#This Row],[Num Suivis]],"-",,,1)</f>
        <v>CA250078</v>
      </c>
      <c r="J867" s="36">
        <f>SUMIF(mvtst[QR Suivis],mvtst[[#This Row],[QR Suivis]],mvtst[QTE SORTIS])-SUMIF(mvtst[QR Suivis],mvtst[[#This Row],[QR Suivis]],mvtst[QTE RETOUR])</f>
        <v>0</v>
      </c>
      <c r="K867" s="35" t="str">
        <f t="shared" si="13"/>
        <v>Usine</v>
      </c>
      <c r="L867" s="35" t="str">
        <f>_xlfn.XLOOKUP(mvtst[[#This Row],[Sous Traitant]],coordonnee_st[Identification],coordonnee_st[SERVICE],"Non Trouvé")</f>
        <v>Frange</v>
      </c>
      <c r="M867" s="35" t="str">
        <f>INDEX(_xlfn.TEXTSPLIT(mvtst[[#This Row],[QR Suivis]],"_"),1,2)</f>
        <v>All by Fouta</v>
      </c>
      <c r="N867" s="35" t="str">
        <f>INDEX(_xlfn.TEXTSPLIT(mvtst[[#This Row],[QR Suivis]],"_"),1,3)</f>
        <v>Stock</v>
      </c>
      <c r="O867" s="35" t="str">
        <f>INDEX(_xlfn.TEXTSPLIT(mvtst[[#This Row],[QR Suivis]],"_"),1,4)</f>
        <v>UNS2030-31</v>
      </c>
      <c r="P867" s="35" t="str">
        <f>INDEX(_xlfn.TEXTSPLIT(mvtst[[#This Row],[QR Suivis]],"_"),1,5)</f>
        <v>UNI SURPIQUE</v>
      </c>
      <c r="Q867" s="35" t="str">
        <f>_xlfn.TEXTAFTER(mvtst[[#This Row],[QR Suivis]],"_",5)</f>
        <v>2030</v>
      </c>
      <c r="R867" s="84" t="str">
        <f>IF(
   COUNTIFS($A$2:A867,A867,
             $B$2:B867,B867,
             $C$2:C867,C867,
             $D$2:D867,D867,
             $G$2:G867,G867)&gt;1,
   "Doublon",
   "Correcte"
)</f>
        <v>Correcte</v>
      </c>
    </row>
    <row r="868" spans="1:18" x14ac:dyDescent="0.25">
      <c r="A868" s="104" t="s">
        <v>1713</v>
      </c>
      <c r="B868" s="35" t="s">
        <v>712</v>
      </c>
      <c r="C868" s="36">
        <v>0</v>
      </c>
      <c r="D868" s="36">
        <v>5</v>
      </c>
      <c r="E868" s="35" t="s">
        <v>699</v>
      </c>
      <c r="F868" s="35" t="s">
        <v>634</v>
      </c>
      <c r="G868" s="37">
        <v>45930.367766203701</v>
      </c>
      <c r="H868" s="37" t="str">
        <f>INDEX(_xlfn.TEXTSPLIT(mvtst[[#This Row],[QR Suivis]],"_"),1,1)</f>
        <v>CA250036-3</v>
      </c>
      <c r="I868" s="35" t="str">
        <f>_xlfn.TEXTBEFORE(mvtst[[#This Row],[Num Suivis]],"-",,,1)</f>
        <v>CA250036</v>
      </c>
      <c r="J868" s="36">
        <f>SUMIF(mvtst[QR Suivis],mvtst[[#This Row],[QR Suivis]],mvtst[QTE SORTIS])-SUMIF(mvtst[QR Suivis],mvtst[[#This Row],[QR Suivis]],mvtst[QTE RETOUR])</f>
        <v>0</v>
      </c>
      <c r="K868" s="35" t="str">
        <f t="shared" si="13"/>
        <v>Usine</v>
      </c>
      <c r="L868" s="35" t="str">
        <f>_xlfn.XLOOKUP(mvtst[[#This Row],[Sous Traitant]],coordonnee_st[Identification],coordonnee_st[SERVICE],"Non Trouvé")</f>
        <v>Frange</v>
      </c>
      <c r="M868" s="35" t="str">
        <f>INDEX(_xlfn.TEXTSPLIT(mvtst[[#This Row],[QR Suivis]],"_"),1,2)</f>
        <v>All by Fouta</v>
      </c>
      <c r="N868" s="35" t="str">
        <f>INDEX(_xlfn.TEXTSPLIT(mvtst[[#This Row],[QR Suivis]],"_"),1,3)</f>
        <v>Stock</v>
      </c>
      <c r="O868" s="35" t="str">
        <f>INDEX(_xlfn.TEXTSPLIT(mvtst[[#This Row],[QR Suivis]],"_"),1,4)</f>
        <v>UNS2020-27</v>
      </c>
      <c r="P868" s="35" t="str">
        <f>INDEX(_xlfn.TEXTSPLIT(mvtst[[#This Row],[QR Suivis]],"_"),1,5)</f>
        <v>UNI SURPIQUE</v>
      </c>
      <c r="Q868" s="35" t="str">
        <f>_xlfn.TEXTAFTER(mvtst[[#This Row],[QR Suivis]],"_",5)</f>
        <v>2020</v>
      </c>
      <c r="R868" s="84" t="str">
        <f>IF(
   COUNTIFS($A$2:A868,A868,
             $B$2:B868,B868,
             $C$2:C868,C868,
             $D$2:D868,D868,
             $G$2:G868,G868)&gt;1,
   "Doublon",
   "Correcte"
)</f>
        <v>Correcte</v>
      </c>
    </row>
    <row r="869" spans="1:18" x14ac:dyDescent="0.25">
      <c r="A869" s="104" t="s">
        <v>1714</v>
      </c>
      <c r="B869" s="35" t="s">
        <v>712</v>
      </c>
      <c r="C869" s="36">
        <v>0</v>
      </c>
      <c r="D869" s="36">
        <v>5</v>
      </c>
      <c r="E869" s="35" t="s">
        <v>699</v>
      </c>
      <c r="F869" s="35" t="s">
        <v>634</v>
      </c>
      <c r="G869" s="37">
        <v>45930.368078703701</v>
      </c>
      <c r="H869" s="37" t="str">
        <f>INDEX(_xlfn.TEXTSPLIT(mvtst[[#This Row],[QR Suivis]],"_"),1,1)</f>
        <v>CA250036-5</v>
      </c>
      <c r="I869" s="35" t="str">
        <f>_xlfn.TEXTBEFORE(mvtst[[#This Row],[Num Suivis]],"-",,,1)</f>
        <v>CA250036</v>
      </c>
      <c r="J869" s="36">
        <f>SUMIF(mvtst[QR Suivis],mvtst[[#This Row],[QR Suivis]],mvtst[QTE SORTIS])-SUMIF(mvtst[QR Suivis],mvtst[[#This Row],[QR Suivis]],mvtst[QTE RETOUR])</f>
        <v>0</v>
      </c>
      <c r="K869" s="35" t="str">
        <f t="shared" si="13"/>
        <v>Usine</v>
      </c>
      <c r="L869" s="35" t="str">
        <f>_xlfn.XLOOKUP(mvtst[[#This Row],[Sous Traitant]],coordonnee_st[Identification],coordonnee_st[SERVICE],"Non Trouvé")</f>
        <v>Frange</v>
      </c>
      <c r="M869" s="35" t="str">
        <f>INDEX(_xlfn.TEXTSPLIT(mvtst[[#This Row],[QR Suivis]],"_"),1,2)</f>
        <v>All by Fouta</v>
      </c>
      <c r="N869" s="35" t="str">
        <f>INDEX(_xlfn.TEXTSPLIT(mvtst[[#This Row],[QR Suivis]],"_"),1,3)</f>
        <v>Stock</v>
      </c>
      <c r="O869" s="35" t="str">
        <f>INDEX(_xlfn.TEXTSPLIT(mvtst[[#This Row],[QR Suivis]],"_"),1,4)</f>
        <v>UNS2020-27</v>
      </c>
      <c r="P869" s="35" t="str">
        <f>INDEX(_xlfn.TEXTSPLIT(mvtst[[#This Row],[QR Suivis]],"_"),1,5)</f>
        <v>UNI SURPIQUE</v>
      </c>
      <c r="Q869" s="35" t="str">
        <f>_xlfn.TEXTAFTER(mvtst[[#This Row],[QR Suivis]],"_",5)</f>
        <v>2020</v>
      </c>
      <c r="R869" s="84" t="str">
        <f>IF(
   COUNTIFS($A$2:A869,A869,
             $B$2:B869,B869,
             $C$2:C869,C869,
             $D$2:D869,D869,
             $G$2:G869,G869)&gt;1,
   "Doublon",
   "Correcte"
)</f>
        <v>Correcte</v>
      </c>
    </row>
    <row r="870" spans="1:18" x14ac:dyDescent="0.25">
      <c r="A870" s="104" t="s">
        <v>1709</v>
      </c>
      <c r="B870" s="35" t="s">
        <v>712</v>
      </c>
      <c r="C870" s="36">
        <v>0</v>
      </c>
      <c r="D870" s="36">
        <v>5</v>
      </c>
      <c r="E870" s="35" t="s">
        <v>699</v>
      </c>
      <c r="F870" s="35" t="s">
        <v>634</v>
      </c>
      <c r="G870" s="37">
        <v>45930.368437500001</v>
      </c>
      <c r="H870" s="37" t="str">
        <f>INDEX(_xlfn.TEXTSPLIT(mvtst[[#This Row],[QR Suivis]],"_"),1,1)</f>
        <v>CA250023-4</v>
      </c>
      <c r="I870" s="35" t="str">
        <f>_xlfn.TEXTBEFORE(mvtst[[#This Row],[Num Suivis]],"-",,,1)</f>
        <v>CA250023</v>
      </c>
      <c r="J870" s="36">
        <f>SUMIF(mvtst[QR Suivis],mvtst[[#This Row],[QR Suivis]],mvtst[QTE SORTIS])-SUMIF(mvtst[QR Suivis],mvtst[[#This Row],[QR Suivis]],mvtst[QTE RETOUR])</f>
        <v>0</v>
      </c>
      <c r="K870" s="35" t="str">
        <f t="shared" si="13"/>
        <v>Usine</v>
      </c>
      <c r="L870" s="35" t="str">
        <f>_xlfn.XLOOKUP(mvtst[[#This Row],[Sous Traitant]],coordonnee_st[Identification],coordonnee_st[SERVICE],"Non Trouvé")</f>
        <v>Frange</v>
      </c>
      <c r="M870" s="35" t="str">
        <f>INDEX(_xlfn.TEXTSPLIT(mvtst[[#This Row],[QR Suivis]],"_"),1,2)</f>
        <v>All by Fouta</v>
      </c>
      <c r="N870" s="35" t="str">
        <f>INDEX(_xlfn.TEXTSPLIT(mvtst[[#This Row],[QR Suivis]],"_"),1,3)</f>
        <v>Stock</v>
      </c>
      <c r="O870" s="35" t="str">
        <f>INDEX(_xlfn.TEXTSPLIT(mvtst[[#This Row],[QR Suivis]],"_"),1,4)</f>
        <v>UNS2020-06</v>
      </c>
      <c r="P870" s="35" t="str">
        <f>INDEX(_xlfn.TEXTSPLIT(mvtst[[#This Row],[QR Suivis]],"_"),1,5)</f>
        <v>UNI SURPIQUE</v>
      </c>
      <c r="Q870" s="35" t="str">
        <f>_xlfn.TEXTAFTER(mvtst[[#This Row],[QR Suivis]],"_",5)</f>
        <v>2020</v>
      </c>
      <c r="R870" s="84" t="str">
        <f>IF(
   COUNTIFS($A$2:A870,A870,
             $B$2:B870,B870,
             $C$2:C870,C870,
             $D$2:D870,D870,
             $G$2:G870,G870)&gt;1,
   "Doublon",
   "Correcte"
)</f>
        <v>Correcte</v>
      </c>
    </row>
    <row r="871" spans="1:18" x14ac:dyDescent="0.25">
      <c r="A871" s="104" t="s">
        <v>1710</v>
      </c>
      <c r="B871" s="35" t="s">
        <v>712</v>
      </c>
      <c r="C871" s="36">
        <v>0</v>
      </c>
      <c r="D871" s="36">
        <v>5</v>
      </c>
      <c r="E871" s="35" t="s">
        <v>699</v>
      </c>
      <c r="F871" s="35" t="s">
        <v>634</v>
      </c>
      <c r="G871" s="37">
        <v>45930.369201388887</v>
      </c>
      <c r="H871" s="37" t="str">
        <f>INDEX(_xlfn.TEXTSPLIT(mvtst[[#This Row],[QR Suivis]],"_"),1,1)</f>
        <v>CA250023-6</v>
      </c>
      <c r="I871" s="35" t="str">
        <f>_xlfn.TEXTBEFORE(mvtst[[#This Row],[Num Suivis]],"-",,,1)</f>
        <v>CA250023</v>
      </c>
      <c r="J871" s="36">
        <f>SUMIF(mvtst[QR Suivis],mvtst[[#This Row],[QR Suivis]],mvtst[QTE SORTIS])-SUMIF(mvtst[QR Suivis],mvtst[[#This Row],[QR Suivis]],mvtst[QTE RETOUR])</f>
        <v>0</v>
      </c>
      <c r="K871" s="35" t="str">
        <f t="shared" si="13"/>
        <v>Usine</v>
      </c>
      <c r="L871" s="35" t="str">
        <f>_xlfn.XLOOKUP(mvtst[[#This Row],[Sous Traitant]],coordonnee_st[Identification],coordonnee_st[SERVICE],"Non Trouvé")</f>
        <v>Frange</v>
      </c>
      <c r="M871" s="35" t="str">
        <f>INDEX(_xlfn.TEXTSPLIT(mvtst[[#This Row],[QR Suivis]],"_"),1,2)</f>
        <v>All by Fouta</v>
      </c>
      <c r="N871" s="35" t="str">
        <f>INDEX(_xlfn.TEXTSPLIT(mvtst[[#This Row],[QR Suivis]],"_"),1,3)</f>
        <v>Stock</v>
      </c>
      <c r="O871" s="35" t="str">
        <f>INDEX(_xlfn.TEXTSPLIT(mvtst[[#This Row],[QR Suivis]],"_"),1,4)</f>
        <v>UNS2020-06</v>
      </c>
      <c r="P871" s="35" t="str">
        <f>INDEX(_xlfn.TEXTSPLIT(mvtst[[#This Row],[QR Suivis]],"_"),1,5)</f>
        <v>UNI SURPIQUE</v>
      </c>
      <c r="Q871" s="35" t="str">
        <f>_xlfn.TEXTAFTER(mvtst[[#This Row],[QR Suivis]],"_",5)</f>
        <v>2020</v>
      </c>
      <c r="R871" s="84" t="str">
        <f>IF(
   COUNTIFS($A$2:A871,A871,
             $B$2:B871,B871,
             $C$2:C871,C871,
             $D$2:D871,D871,
             $G$2:G871,G871)&gt;1,
   "Doublon",
   "Correcte"
)</f>
        <v>Correcte</v>
      </c>
    </row>
    <row r="872" spans="1:18" x14ac:dyDescent="0.25">
      <c r="A872" s="104" t="s">
        <v>1722</v>
      </c>
      <c r="B872" s="35" t="s">
        <v>712</v>
      </c>
      <c r="C872" s="36">
        <v>0</v>
      </c>
      <c r="D872" s="36">
        <v>5</v>
      </c>
      <c r="E872" s="35" t="s">
        <v>699</v>
      </c>
      <c r="F872" s="35" t="s">
        <v>634</v>
      </c>
      <c r="G872" s="37">
        <v>45930.371562499997</v>
      </c>
      <c r="H872" s="37" t="str">
        <f>INDEX(_xlfn.TEXTSPLIT(mvtst[[#This Row],[QR Suivis]],"_"),1,1)</f>
        <v>CA250049-1</v>
      </c>
      <c r="I872" s="35" t="str">
        <f>_xlfn.TEXTBEFORE(mvtst[[#This Row],[Num Suivis]],"-",,,1)</f>
        <v>CA250049</v>
      </c>
      <c r="J872" s="36">
        <f>SUMIF(mvtst[QR Suivis],mvtst[[#This Row],[QR Suivis]],mvtst[QTE SORTIS])-SUMIF(mvtst[QR Suivis],mvtst[[#This Row],[QR Suivis]],mvtst[QTE RETOUR])</f>
        <v>0</v>
      </c>
      <c r="K872" s="35" t="str">
        <f t="shared" si="13"/>
        <v>Usine</v>
      </c>
      <c r="L872" s="35" t="str">
        <f>_xlfn.XLOOKUP(mvtst[[#This Row],[Sous Traitant]],coordonnee_st[Identification],coordonnee_st[SERVICE],"Non Trouvé")</f>
        <v>Frange</v>
      </c>
      <c r="M872" s="35" t="str">
        <f>INDEX(_xlfn.TEXTSPLIT(mvtst[[#This Row],[QR Suivis]],"_"),1,2)</f>
        <v>All by Fouta</v>
      </c>
      <c r="N872" s="35" t="str">
        <f>INDEX(_xlfn.TEXTSPLIT(mvtst[[#This Row],[QR Suivis]],"_"),1,3)</f>
        <v>Stock</v>
      </c>
      <c r="O872" s="35" t="str">
        <f>INDEX(_xlfn.TEXTSPLIT(mvtst[[#This Row],[QR Suivis]],"_"),1,4)</f>
        <v>UNS1626-17</v>
      </c>
      <c r="P872" s="35" t="str">
        <f>INDEX(_xlfn.TEXTSPLIT(mvtst[[#This Row],[QR Suivis]],"_"),1,5)</f>
        <v>UNI SURPIQUE</v>
      </c>
      <c r="Q872" s="35" t="str">
        <f>_xlfn.TEXTAFTER(mvtst[[#This Row],[QR Suivis]],"_",5)</f>
        <v>1626</v>
      </c>
      <c r="R872" s="84" t="str">
        <f>IF(
   COUNTIFS($A$2:A872,A872,
             $B$2:B872,B872,
             $C$2:C872,C872,
             $D$2:D872,D872,
             $G$2:G872,G872)&gt;1,
   "Doublon",
   "Correcte"
)</f>
        <v>Correcte</v>
      </c>
    </row>
    <row r="873" spans="1:18" x14ac:dyDescent="0.25">
      <c r="A873" s="104" t="s">
        <v>1675</v>
      </c>
      <c r="B873" s="35" t="s">
        <v>712</v>
      </c>
      <c r="C873" s="36">
        <v>0</v>
      </c>
      <c r="D873" s="36">
        <v>5</v>
      </c>
      <c r="E873" s="35" t="s">
        <v>699</v>
      </c>
      <c r="F873" s="35" t="s">
        <v>634</v>
      </c>
      <c r="G873" s="37">
        <v>45930.371782407405</v>
      </c>
      <c r="H873" s="37" t="str">
        <f>INDEX(_xlfn.TEXTSPLIT(mvtst[[#This Row],[QR Suivis]],"_"),1,1)</f>
        <v>CA250073-2</v>
      </c>
      <c r="I873" s="35" t="str">
        <f>_xlfn.TEXTBEFORE(mvtst[[#This Row],[Num Suivis]],"-",,,1)</f>
        <v>CA250073</v>
      </c>
      <c r="J873" s="36">
        <f>SUMIF(mvtst[QR Suivis],mvtst[[#This Row],[QR Suivis]],mvtst[QTE SORTIS])-SUMIF(mvtst[QR Suivis],mvtst[[#This Row],[QR Suivis]],mvtst[QTE RETOUR])</f>
        <v>0</v>
      </c>
      <c r="K873" s="35" t="str">
        <f t="shared" si="13"/>
        <v>Usine</v>
      </c>
      <c r="L873" s="35" t="str">
        <f>_xlfn.XLOOKUP(mvtst[[#This Row],[Sous Traitant]],coordonnee_st[Identification],coordonnee_st[SERVICE],"Non Trouvé")</f>
        <v>Frange</v>
      </c>
      <c r="M873" s="35" t="str">
        <f>INDEX(_xlfn.TEXTSPLIT(mvtst[[#This Row],[QR Suivis]],"_"),1,2)</f>
        <v>All by Fouta</v>
      </c>
      <c r="N873" s="35" t="str">
        <f>INDEX(_xlfn.TEXTSPLIT(mvtst[[#This Row],[QR Suivis]],"_"),1,3)</f>
        <v>Stock</v>
      </c>
      <c r="O873" s="35" t="str">
        <f>INDEX(_xlfn.TEXTSPLIT(mvtst[[#This Row],[QR Suivis]],"_"),1,4)</f>
        <v>UNS2030-23</v>
      </c>
      <c r="P873" s="35" t="str">
        <f>INDEX(_xlfn.TEXTSPLIT(mvtst[[#This Row],[QR Suivis]],"_"),1,5)</f>
        <v>UNI SURPIQUE</v>
      </c>
      <c r="Q873" s="35" t="str">
        <f>_xlfn.TEXTAFTER(mvtst[[#This Row],[QR Suivis]],"_",5)</f>
        <v>2030</v>
      </c>
      <c r="R873" s="84" t="str">
        <f>IF(
   COUNTIFS($A$2:A873,A873,
             $B$2:B873,B873,
             $C$2:C873,C873,
             $D$2:D873,D873,
             $G$2:G873,G873)&gt;1,
   "Doublon",
   "Correcte"
)</f>
        <v>Correcte</v>
      </c>
    </row>
    <row r="874" spans="1:18" x14ac:dyDescent="0.25">
      <c r="A874" s="104" t="s">
        <v>1689</v>
      </c>
      <c r="B874" s="35" t="s">
        <v>712</v>
      </c>
      <c r="C874" s="36">
        <v>0</v>
      </c>
      <c r="D874" s="36">
        <v>5</v>
      </c>
      <c r="E874" s="35" t="s">
        <v>699</v>
      </c>
      <c r="F874" s="35" t="s">
        <v>634</v>
      </c>
      <c r="G874" s="37">
        <v>45930.372118055559</v>
      </c>
      <c r="H874" s="37" t="str">
        <f>INDEX(_xlfn.TEXTSPLIT(mvtst[[#This Row],[QR Suivis]],"_"),1,1)</f>
        <v>CA250022-3</v>
      </c>
      <c r="I874" s="35" t="str">
        <f>_xlfn.TEXTBEFORE(mvtst[[#This Row],[Num Suivis]],"-",,,1)</f>
        <v>CA250022</v>
      </c>
      <c r="J874" s="36">
        <f>SUMIF(mvtst[QR Suivis],mvtst[[#This Row],[QR Suivis]],mvtst[QTE SORTIS])-SUMIF(mvtst[QR Suivis],mvtst[[#This Row],[QR Suivis]],mvtst[QTE RETOUR])</f>
        <v>0</v>
      </c>
      <c r="K874" s="35" t="str">
        <f t="shared" si="13"/>
        <v>Usine</v>
      </c>
      <c r="L874" s="35" t="str">
        <f>_xlfn.XLOOKUP(mvtst[[#This Row],[Sous Traitant]],coordonnee_st[Identification],coordonnee_st[SERVICE],"Non Trouvé")</f>
        <v>Frange</v>
      </c>
      <c r="M874" s="35" t="str">
        <f>INDEX(_xlfn.TEXTSPLIT(mvtst[[#This Row],[QR Suivis]],"_"),1,2)</f>
        <v>All by Fouta</v>
      </c>
      <c r="N874" s="35" t="str">
        <f>INDEX(_xlfn.TEXTSPLIT(mvtst[[#This Row],[QR Suivis]],"_"),1,3)</f>
        <v>Stock</v>
      </c>
      <c r="O874" s="35" t="str">
        <f>INDEX(_xlfn.TEXTSPLIT(mvtst[[#This Row],[QR Suivis]],"_"),1,4)</f>
        <v>UNS2020-04</v>
      </c>
      <c r="P874" s="35" t="str">
        <f>INDEX(_xlfn.TEXTSPLIT(mvtst[[#This Row],[QR Suivis]],"_"),1,5)</f>
        <v>UNI SURPIQUE</v>
      </c>
      <c r="Q874" s="35" t="str">
        <f>_xlfn.TEXTAFTER(mvtst[[#This Row],[QR Suivis]],"_",5)</f>
        <v>2020</v>
      </c>
      <c r="R874" s="84" t="str">
        <f>IF(
   COUNTIFS($A$2:A874,A874,
             $B$2:B874,B874,
             $C$2:C874,C874,
             $D$2:D874,D874,
             $G$2:G874,G874)&gt;1,
   "Doublon",
   "Correcte"
)</f>
        <v>Correcte</v>
      </c>
    </row>
    <row r="875" spans="1:18" x14ac:dyDescent="0.25">
      <c r="A875" s="104" t="s">
        <v>1673</v>
      </c>
      <c r="B875" s="35" t="s">
        <v>712</v>
      </c>
      <c r="C875" s="36">
        <v>0</v>
      </c>
      <c r="D875" s="36">
        <v>5</v>
      </c>
      <c r="E875" s="35" t="s">
        <v>699</v>
      </c>
      <c r="F875" s="35" t="s">
        <v>634</v>
      </c>
      <c r="G875" s="37">
        <v>45930.37232638889</v>
      </c>
      <c r="H875" s="37" t="str">
        <f>INDEX(_xlfn.TEXTSPLIT(mvtst[[#This Row],[QR Suivis]],"_"),1,1)</f>
        <v>CA250078-2</v>
      </c>
      <c r="I875" s="35" t="str">
        <f>_xlfn.TEXTBEFORE(mvtst[[#This Row],[Num Suivis]],"-",,,1)</f>
        <v>CA250078</v>
      </c>
      <c r="J875" s="36">
        <f>SUMIF(mvtst[QR Suivis],mvtst[[#This Row],[QR Suivis]],mvtst[QTE SORTIS])-SUMIF(mvtst[QR Suivis],mvtst[[#This Row],[QR Suivis]],mvtst[QTE RETOUR])</f>
        <v>0</v>
      </c>
      <c r="K875" s="35" t="str">
        <f t="shared" si="13"/>
        <v>Usine</v>
      </c>
      <c r="L875" s="35" t="str">
        <f>_xlfn.XLOOKUP(mvtst[[#This Row],[Sous Traitant]],coordonnee_st[Identification],coordonnee_st[SERVICE],"Non Trouvé")</f>
        <v>Frange</v>
      </c>
      <c r="M875" s="35" t="str">
        <f>INDEX(_xlfn.TEXTSPLIT(mvtst[[#This Row],[QR Suivis]],"_"),1,2)</f>
        <v>All by Fouta</v>
      </c>
      <c r="N875" s="35" t="str">
        <f>INDEX(_xlfn.TEXTSPLIT(mvtst[[#This Row],[QR Suivis]],"_"),1,3)</f>
        <v>Stock</v>
      </c>
      <c r="O875" s="35" t="str">
        <f>INDEX(_xlfn.TEXTSPLIT(mvtst[[#This Row],[QR Suivis]],"_"),1,4)</f>
        <v>UNS2030-31</v>
      </c>
      <c r="P875" s="35" t="str">
        <f>INDEX(_xlfn.TEXTSPLIT(mvtst[[#This Row],[QR Suivis]],"_"),1,5)</f>
        <v>UNI SURPIQUE</v>
      </c>
      <c r="Q875" s="35" t="str">
        <f>_xlfn.TEXTAFTER(mvtst[[#This Row],[QR Suivis]],"_",5)</f>
        <v>2030</v>
      </c>
      <c r="R875" s="84" t="str">
        <f>IF(
   COUNTIFS($A$2:A875,A875,
             $B$2:B875,B875,
             $C$2:C875,C875,
             $D$2:D875,D875,
             $G$2:G875,G875)&gt;1,
   "Doublon",
   "Correcte"
)</f>
        <v>Correcte</v>
      </c>
    </row>
    <row r="876" spans="1:18" x14ac:dyDescent="0.25">
      <c r="A876" s="104" t="s">
        <v>1715</v>
      </c>
      <c r="B876" s="35" t="s">
        <v>712</v>
      </c>
      <c r="C876" s="36">
        <v>0</v>
      </c>
      <c r="D876" s="36">
        <v>5</v>
      </c>
      <c r="E876" s="35" t="s">
        <v>699</v>
      </c>
      <c r="F876" s="35" t="s">
        <v>634</v>
      </c>
      <c r="G876" s="37">
        <v>45930.372581018521</v>
      </c>
      <c r="H876" s="37" t="str">
        <f>INDEX(_xlfn.TEXTSPLIT(mvtst[[#This Row],[QR Suivis]],"_"),1,1)</f>
        <v>CA250036-2</v>
      </c>
      <c r="I876" s="35" t="str">
        <f>_xlfn.TEXTBEFORE(mvtst[[#This Row],[Num Suivis]],"-",,,1)</f>
        <v>CA250036</v>
      </c>
      <c r="J876" s="36">
        <f>SUMIF(mvtst[QR Suivis],mvtst[[#This Row],[QR Suivis]],mvtst[QTE SORTIS])-SUMIF(mvtst[QR Suivis],mvtst[[#This Row],[QR Suivis]],mvtst[QTE RETOUR])</f>
        <v>0</v>
      </c>
      <c r="K876" s="35" t="str">
        <f t="shared" si="13"/>
        <v>Usine</v>
      </c>
      <c r="L876" s="35" t="str">
        <f>_xlfn.XLOOKUP(mvtst[[#This Row],[Sous Traitant]],coordonnee_st[Identification],coordonnee_st[SERVICE],"Non Trouvé")</f>
        <v>Frange</v>
      </c>
      <c r="M876" s="35" t="str">
        <f>INDEX(_xlfn.TEXTSPLIT(mvtst[[#This Row],[QR Suivis]],"_"),1,2)</f>
        <v>All by Fouta</v>
      </c>
      <c r="N876" s="35" t="str">
        <f>INDEX(_xlfn.TEXTSPLIT(mvtst[[#This Row],[QR Suivis]],"_"),1,3)</f>
        <v>Stock</v>
      </c>
      <c r="O876" s="35" t="str">
        <f>INDEX(_xlfn.TEXTSPLIT(mvtst[[#This Row],[QR Suivis]],"_"),1,4)</f>
        <v>UNS2020-27</v>
      </c>
      <c r="P876" s="35" t="str">
        <f>INDEX(_xlfn.TEXTSPLIT(mvtst[[#This Row],[QR Suivis]],"_"),1,5)</f>
        <v>UNI SURPIQUE</v>
      </c>
      <c r="Q876" s="35" t="str">
        <f>_xlfn.TEXTAFTER(mvtst[[#This Row],[QR Suivis]],"_",5)</f>
        <v>2020</v>
      </c>
      <c r="R876" s="84" t="str">
        <f>IF(
   COUNTIFS($A$2:A876,A876,
             $B$2:B876,B876,
             $C$2:C876,C876,
             $D$2:D876,D876,
             $G$2:G876,G876)&gt;1,
   "Doublon",
   "Correcte"
)</f>
        <v>Correcte</v>
      </c>
    </row>
    <row r="877" spans="1:18" x14ac:dyDescent="0.25">
      <c r="A877" s="104" t="s">
        <v>1690</v>
      </c>
      <c r="B877" s="35" t="s">
        <v>712</v>
      </c>
      <c r="C877" s="36">
        <v>0</v>
      </c>
      <c r="D877" s="36">
        <v>5</v>
      </c>
      <c r="E877" s="35" t="s">
        <v>699</v>
      </c>
      <c r="F877" s="35" t="s">
        <v>634</v>
      </c>
      <c r="G877" s="37">
        <v>45930.37295138889</v>
      </c>
      <c r="H877" s="37" t="str">
        <f>INDEX(_xlfn.TEXTSPLIT(mvtst[[#This Row],[QR Suivis]],"_"),1,1)</f>
        <v>CA250022-6</v>
      </c>
      <c r="I877" s="35" t="str">
        <f>_xlfn.TEXTBEFORE(mvtst[[#This Row],[Num Suivis]],"-",,,1)</f>
        <v>CA250022</v>
      </c>
      <c r="J877" s="36">
        <f>SUMIF(mvtst[QR Suivis],mvtst[[#This Row],[QR Suivis]],mvtst[QTE SORTIS])-SUMIF(mvtst[QR Suivis],mvtst[[#This Row],[QR Suivis]],mvtst[QTE RETOUR])</f>
        <v>0</v>
      </c>
      <c r="K877" s="35" t="str">
        <f t="shared" si="13"/>
        <v>Usine</v>
      </c>
      <c r="L877" s="35" t="str">
        <f>_xlfn.XLOOKUP(mvtst[[#This Row],[Sous Traitant]],coordonnee_st[Identification],coordonnee_st[SERVICE],"Non Trouvé")</f>
        <v>Frange</v>
      </c>
      <c r="M877" s="35" t="str">
        <f>INDEX(_xlfn.TEXTSPLIT(mvtst[[#This Row],[QR Suivis]],"_"),1,2)</f>
        <v>All by Fouta</v>
      </c>
      <c r="N877" s="35" t="str">
        <f>INDEX(_xlfn.TEXTSPLIT(mvtst[[#This Row],[QR Suivis]],"_"),1,3)</f>
        <v>Stock</v>
      </c>
      <c r="O877" s="35" t="str">
        <f>INDEX(_xlfn.TEXTSPLIT(mvtst[[#This Row],[QR Suivis]],"_"),1,4)</f>
        <v>UNS2020-04</v>
      </c>
      <c r="P877" s="35" t="str">
        <f>INDEX(_xlfn.TEXTSPLIT(mvtst[[#This Row],[QR Suivis]],"_"),1,5)</f>
        <v>UNI SURPIQUE</v>
      </c>
      <c r="Q877" s="35" t="str">
        <f>_xlfn.TEXTAFTER(mvtst[[#This Row],[QR Suivis]],"_",5)</f>
        <v>2020</v>
      </c>
      <c r="R877" s="84" t="str">
        <f>IF(
   COUNTIFS($A$2:A877,A877,
             $B$2:B877,B877,
             $C$2:C877,C877,
             $D$2:D877,D877,
             $G$2:G877,G877)&gt;1,
   "Doublon",
   "Correcte"
)</f>
        <v>Correcte</v>
      </c>
    </row>
    <row r="878" spans="1:18" x14ac:dyDescent="0.25">
      <c r="A878" s="104" t="s">
        <v>1304</v>
      </c>
      <c r="B878" s="35" t="s">
        <v>712</v>
      </c>
      <c r="C878" s="36">
        <v>0</v>
      </c>
      <c r="D878" s="36">
        <v>5</v>
      </c>
      <c r="E878" s="35" t="s">
        <v>699</v>
      </c>
      <c r="F878" s="35" t="s">
        <v>634</v>
      </c>
      <c r="G878" s="37">
        <v>45930.373576388891</v>
      </c>
      <c r="H878" s="37" t="str">
        <f>INDEX(_xlfn.TEXTSPLIT(mvtst[[#This Row],[QR Suivis]],"_"),1,1)</f>
        <v>CA250026</v>
      </c>
      <c r="I878" s="35" t="str">
        <f>_xlfn.TEXTBEFORE(mvtst[[#This Row],[Num Suivis]],"-",,,1)</f>
        <v>CA250026</v>
      </c>
      <c r="J878" s="36">
        <f>SUMIF(mvtst[QR Suivis],mvtst[[#This Row],[QR Suivis]],mvtst[QTE SORTIS])-SUMIF(mvtst[QR Suivis],mvtst[[#This Row],[QR Suivis]],mvtst[QTE RETOUR])</f>
        <v>0</v>
      </c>
      <c r="K878" s="35" t="str">
        <f t="shared" si="13"/>
        <v>Usine</v>
      </c>
      <c r="L878" s="35" t="str">
        <f>_xlfn.XLOOKUP(mvtst[[#This Row],[Sous Traitant]],coordonnee_st[Identification],coordonnee_st[SERVICE],"Non Trouvé")</f>
        <v>Frange</v>
      </c>
      <c r="M878" s="35" t="str">
        <f>INDEX(_xlfn.TEXTSPLIT(mvtst[[#This Row],[QR Suivis]],"_"),1,2)</f>
        <v>All by Fouta</v>
      </c>
      <c r="N878" s="35" t="str">
        <f>INDEX(_xlfn.TEXTSPLIT(mvtst[[#This Row],[QR Suivis]],"_"),1,3)</f>
        <v>Stock</v>
      </c>
      <c r="O878" s="35" t="str">
        <f>INDEX(_xlfn.TEXTSPLIT(mvtst[[#This Row],[QR Suivis]],"_"),1,4)</f>
        <v>UNS2020-12</v>
      </c>
      <c r="P878" s="35" t="str">
        <f>INDEX(_xlfn.TEXTSPLIT(mvtst[[#This Row],[QR Suivis]],"_"),1,5)</f>
        <v>UNI SURPIQUE</v>
      </c>
      <c r="Q878" s="35" t="str">
        <f>_xlfn.TEXTAFTER(mvtst[[#This Row],[QR Suivis]],"_",5)</f>
        <v>2020</v>
      </c>
      <c r="R878" s="84" t="str">
        <f>IF(
   COUNTIFS($A$2:A878,A878,
             $B$2:B878,B878,
             $C$2:C878,C878,
             $D$2:D878,D878,
             $G$2:G878,G878)&gt;1,
   "Doublon",
   "Correcte"
)</f>
        <v>Correcte</v>
      </c>
    </row>
    <row r="879" spans="1:18" x14ac:dyDescent="0.25">
      <c r="A879" s="104" t="s">
        <v>1691</v>
      </c>
      <c r="B879" s="35" t="s">
        <v>712</v>
      </c>
      <c r="C879" s="36">
        <v>0</v>
      </c>
      <c r="D879" s="36">
        <v>5</v>
      </c>
      <c r="E879" s="35" t="s">
        <v>699</v>
      </c>
      <c r="F879" s="35" t="s">
        <v>634</v>
      </c>
      <c r="G879" s="37">
        <v>45930.373854166668</v>
      </c>
      <c r="H879" s="37" t="str">
        <f>INDEX(_xlfn.TEXTSPLIT(mvtst[[#This Row],[QR Suivis]],"_"),1,1)</f>
        <v>CA250022-5</v>
      </c>
      <c r="I879" s="35" t="str">
        <f>_xlfn.TEXTBEFORE(mvtst[[#This Row],[Num Suivis]],"-",,,1)</f>
        <v>CA250022</v>
      </c>
      <c r="J879" s="36">
        <f>SUMIF(mvtst[QR Suivis],mvtst[[#This Row],[QR Suivis]],mvtst[QTE SORTIS])-SUMIF(mvtst[QR Suivis],mvtst[[#This Row],[QR Suivis]],mvtst[QTE RETOUR])</f>
        <v>0</v>
      </c>
      <c r="K879" s="35" t="str">
        <f t="shared" si="13"/>
        <v>Usine</v>
      </c>
      <c r="L879" s="35" t="str">
        <f>_xlfn.XLOOKUP(mvtst[[#This Row],[Sous Traitant]],coordonnee_st[Identification],coordonnee_st[SERVICE],"Non Trouvé")</f>
        <v>Frange</v>
      </c>
      <c r="M879" s="35" t="str">
        <f>INDEX(_xlfn.TEXTSPLIT(mvtst[[#This Row],[QR Suivis]],"_"),1,2)</f>
        <v>All by Fouta</v>
      </c>
      <c r="N879" s="35" t="str">
        <f>INDEX(_xlfn.TEXTSPLIT(mvtst[[#This Row],[QR Suivis]],"_"),1,3)</f>
        <v>Stock</v>
      </c>
      <c r="O879" s="35" t="str">
        <f>INDEX(_xlfn.TEXTSPLIT(mvtst[[#This Row],[QR Suivis]],"_"),1,4)</f>
        <v>UNS2020-04</v>
      </c>
      <c r="P879" s="35" t="str">
        <f>INDEX(_xlfn.TEXTSPLIT(mvtst[[#This Row],[QR Suivis]],"_"),1,5)</f>
        <v>UNI SURPIQUE</v>
      </c>
      <c r="Q879" s="35" t="str">
        <f>_xlfn.TEXTAFTER(mvtst[[#This Row],[QR Suivis]],"_",5)</f>
        <v>2020</v>
      </c>
      <c r="R879" s="84" t="str">
        <f>IF(
   COUNTIFS($A$2:A879,A879,
             $B$2:B879,B879,
             $C$2:C879,C879,
             $D$2:D879,D879,
             $G$2:G879,G879)&gt;1,
   "Doublon",
   "Correcte"
)</f>
        <v>Correcte</v>
      </c>
    </row>
    <row r="880" spans="1:18" x14ac:dyDescent="0.25">
      <c r="A880" s="104" t="s">
        <v>1696</v>
      </c>
      <c r="B880" s="35" t="s">
        <v>712</v>
      </c>
      <c r="C880" s="36">
        <v>0</v>
      </c>
      <c r="D880" s="36">
        <v>5</v>
      </c>
      <c r="E880" s="35" t="s">
        <v>699</v>
      </c>
      <c r="F880" s="35" t="s">
        <v>634</v>
      </c>
      <c r="G880" s="37">
        <v>45930.374143518522</v>
      </c>
      <c r="H880" s="37" t="str">
        <f>INDEX(_xlfn.TEXTSPLIT(mvtst[[#This Row],[QR Suivis]],"_"),1,1)</f>
        <v>CA250039-2</v>
      </c>
      <c r="I880" s="35" t="str">
        <f>_xlfn.TEXTBEFORE(mvtst[[#This Row],[Num Suivis]],"-",,,1)</f>
        <v>CA250039</v>
      </c>
      <c r="J880" s="36">
        <f>SUMIF(mvtst[QR Suivis],mvtst[[#This Row],[QR Suivis]],mvtst[QTE SORTIS])-SUMIF(mvtst[QR Suivis],mvtst[[#This Row],[QR Suivis]],mvtst[QTE RETOUR])</f>
        <v>0</v>
      </c>
      <c r="K880" s="35" t="str">
        <f t="shared" si="13"/>
        <v>Usine</v>
      </c>
      <c r="L880" s="35" t="str">
        <f>_xlfn.XLOOKUP(mvtst[[#This Row],[Sous Traitant]],coordonnee_st[Identification],coordonnee_st[SERVICE],"Non Trouvé")</f>
        <v>Frange</v>
      </c>
      <c r="M880" s="35" t="str">
        <f>INDEX(_xlfn.TEXTSPLIT(mvtst[[#This Row],[QR Suivis]],"_"),1,2)</f>
        <v>All by Fouta</v>
      </c>
      <c r="N880" s="35" t="str">
        <f>INDEX(_xlfn.TEXTSPLIT(mvtst[[#This Row],[QR Suivis]],"_"),1,3)</f>
        <v>Stock</v>
      </c>
      <c r="O880" s="35" t="str">
        <f>INDEX(_xlfn.TEXTSPLIT(mvtst[[#This Row],[QR Suivis]],"_"),1,4)</f>
        <v>UNS2020-32</v>
      </c>
      <c r="P880" s="35" t="str">
        <f>INDEX(_xlfn.TEXTSPLIT(mvtst[[#This Row],[QR Suivis]],"_"),1,5)</f>
        <v>UNI SURPIQUE</v>
      </c>
      <c r="Q880" s="35" t="str">
        <f>_xlfn.TEXTAFTER(mvtst[[#This Row],[QR Suivis]],"_",5)</f>
        <v>2020</v>
      </c>
      <c r="R880" s="84" t="str">
        <f>IF(
   COUNTIFS($A$2:A880,A880,
             $B$2:B880,B880,
             $C$2:C880,C880,
             $D$2:D880,D880,
             $G$2:G880,G880)&gt;1,
   "Doublon",
   "Correcte"
)</f>
        <v>Correcte</v>
      </c>
    </row>
    <row r="881" spans="1:18" x14ac:dyDescent="0.25">
      <c r="A881" s="104" t="s">
        <v>1305</v>
      </c>
      <c r="B881" s="35" t="s">
        <v>712</v>
      </c>
      <c r="C881" s="36">
        <v>0</v>
      </c>
      <c r="D881" s="36">
        <v>5</v>
      </c>
      <c r="E881" s="35" t="s">
        <v>699</v>
      </c>
      <c r="F881" s="35" t="s">
        <v>634</v>
      </c>
      <c r="G881" s="37">
        <v>45930.374502314815</v>
      </c>
      <c r="H881" s="37" t="str">
        <f>INDEX(_xlfn.TEXTSPLIT(mvtst[[#This Row],[QR Suivis]],"_"),1,1)</f>
        <v>CA250025</v>
      </c>
      <c r="I881" s="35" t="str">
        <f>_xlfn.TEXTBEFORE(mvtst[[#This Row],[Num Suivis]],"-",,,1)</f>
        <v>CA250025</v>
      </c>
      <c r="J881" s="36">
        <f>SUMIF(mvtst[QR Suivis],mvtst[[#This Row],[QR Suivis]],mvtst[QTE SORTIS])-SUMIF(mvtst[QR Suivis],mvtst[[#This Row],[QR Suivis]],mvtst[QTE RETOUR])</f>
        <v>0</v>
      </c>
      <c r="K881" s="35" t="str">
        <f t="shared" si="13"/>
        <v>Usine</v>
      </c>
      <c r="L881" s="35" t="str">
        <f>_xlfn.XLOOKUP(mvtst[[#This Row],[Sous Traitant]],coordonnee_st[Identification],coordonnee_st[SERVICE],"Non Trouvé")</f>
        <v>Frange</v>
      </c>
      <c r="M881" s="35" t="str">
        <f>INDEX(_xlfn.TEXTSPLIT(mvtst[[#This Row],[QR Suivis]],"_"),1,2)</f>
        <v>All by Fouta</v>
      </c>
      <c r="N881" s="35" t="str">
        <f>INDEX(_xlfn.TEXTSPLIT(mvtst[[#This Row],[QR Suivis]],"_"),1,3)</f>
        <v>Stock</v>
      </c>
      <c r="O881" s="35" t="str">
        <f>INDEX(_xlfn.TEXTSPLIT(mvtst[[#This Row],[QR Suivis]],"_"),1,4)</f>
        <v>UNS2020-10</v>
      </c>
      <c r="P881" s="35" t="str">
        <f>INDEX(_xlfn.TEXTSPLIT(mvtst[[#This Row],[QR Suivis]],"_"),1,5)</f>
        <v>UNI SURPIQUE</v>
      </c>
      <c r="Q881" s="35" t="str">
        <f>_xlfn.TEXTAFTER(mvtst[[#This Row],[QR Suivis]],"_",5)</f>
        <v>2020</v>
      </c>
      <c r="R881" s="84" t="str">
        <f>IF(
   COUNTIFS($A$2:A881,A881,
             $B$2:B881,B881,
             $C$2:C881,C881,
             $D$2:D881,D881,
             $G$2:G881,G881)&gt;1,
   "Doublon",
   "Correcte"
)</f>
        <v>Correcte</v>
      </c>
    </row>
    <row r="882" spans="1:18" x14ac:dyDescent="0.25">
      <c r="A882" s="104" t="s">
        <v>1677</v>
      </c>
      <c r="B882" s="35" t="s">
        <v>712</v>
      </c>
      <c r="C882" s="36">
        <v>0</v>
      </c>
      <c r="D882" s="36">
        <v>5</v>
      </c>
      <c r="E882" s="35" t="s">
        <v>699</v>
      </c>
      <c r="F882" s="35" t="s">
        <v>634</v>
      </c>
      <c r="G882" s="37">
        <v>45930.374791666669</v>
      </c>
      <c r="H882" s="37" t="str">
        <f>INDEX(_xlfn.TEXTSPLIT(mvtst[[#This Row],[QR Suivis]],"_"),1,1)</f>
        <v>CA250074-2</v>
      </c>
      <c r="I882" s="35" t="str">
        <f>_xlfn.TEXTBEFORE(mvtst[[#This Row],[Num Suivis]],"-",,,1)</f>
        <v>CA250074</v>
      </c>
      <c r="J882" s="36">
        <f>SUMIF(mvtst[QR Suivis],mvtst[[#This Row],[QR Suivis]],mvtst[QTE SORTIS])-SUMIF(mvtst[QR Suivis],mvtst[[#This Row],[QR Suivis]],mvtst[QTE RETOUR])</f>
        <v>0</v>
      </c>
      <c r="K882" s="35" t="str">
        <f t="shared" si="13"/>
        <v>Usine</v>
      </c>
      <c r="L882" s="35" t="str">
        <f>_xlfn.XLOOKUP(mvtst[[#This Row],[Sous Traitant]],coordonnee_st[Identification],coordonnee_st[SERVICE],"Non Trouvé")</f>
        <v>Frange</v>
      </c>
      <c r="M882" s="35" t="str">
        <f>INDEX(_xlfn.TEXTSPLIT(mvtst[[#This Row],[QR Suivis]],"_"),1,2)</f>
        <v>All by Fouta</v>
      </c>
      <c r="N882" s="35" t="str">
        <f>INDEX(_xlfn.TEXTSPLIT(mvtst[[#This Row],[QR Suivis]],"_"),1,3)</f>
        <v>Stock</v>
      </c>
      <c r="O882" s="35" t="str">
        <f>INDEX(_xlfn.TEXTSPLIT(mvtst[[#This Row],[QR Suivis]],"_"),1,4)</f>
        <v>UNS2030-24</v>
      </c>
      <c r="P882" s="35" t="str">
        <f>INDEX(_xlfn.TEXTSPLIT(mvtst[[#This Row],[QR Suivis]],"_"),1,5)</f>
        <v>UNI SURPIQUE</v>
      </c>
      <c r="Q882" s="35" t="str">
        <f>_xlfn.TEXTAFTER(mvtst[[#This Row],[QR Suivis]],"_",5)</f>
        <v>2030</v>
      </c>
      <c r="R882" s="84" t="str">
        <f>IF(
   COUNTIFS($A$2:A882,A882,
             $B$2:B882,B882,
             $C$2:C882,C882,
             $D$2:D882,D882,
             $G$2:G882,G882)&gt;1,
   "Doublon",
   "Correcte"
)</f>
        <v>Correcte</v>
      </c>
    </row>
    <row r="883" spans="1:18" x14ac:dyDescent="0.25">
      <c r="A883" s="104" t="s">
        <v>1674</v>
      </c>
      <c r="B883" s="35" t="s">
        <v>712</v>
      </c>
      <c r="C883" s="36">
        <v>0</v>
      </c>
      <c r="D883" s="36">
        <v>5</v>
      </c>
      <c r="E883" s="35" t="s">
        <v>699</v>
      </c>
      <c r="F883" s="35" t="s">
        <v>634</v>
      </c>
      <c r="G883" s="37">
        <v>45930.375081018516</v>
      </c>
      <c r="H883" s="37" t="str">
        <f>INDEX(_xlfn.TEXTSPLIT(mvtst[[#This Row],[QR Suivis]],"_"),1,1)</f>
        <v>CA250073-1</v>
      </c>
      <c r="I883" s="35" t="str">
        <f>_xlfn.TEXTBEFORE(mvtst[[#This Row],[Num Suivis]],"-",,,1)</f>
        <v>CA250073</v>
      </c>
      <c r="J883" s="36">
        <f>SUMIF(mvtst[QR Suivis],mvtst[[#This Row],[QR Suivis]],mvtst[QTE SORTIS])-SUMIF(mvtst[QR Suivis],mvtst[[#This Row],[QR Suivis]],mvtst[QTE RETOUR])</f>
        <v>0</v>
      </c>
      <c r="K883" s="35" t="str">
        <f t="shared" si="13"/>
        <v>Usine</v>
      </c>
      <c r="L883" s="35" t="str">
        <f>_xlfn.XLOOKUP(mvtst[[#This Row],[Sous Traitant]],coordonnee_st[Identification],coordonnee_st[SERVICE],"Non Trouvé")</f>
        <v>Frange</v>
      </c>
      <c r="M883" s="35" t="str">
        <f>INDEX(_xlfn.TEXTSPLIT(mvtst[[#This Row],[QR Suivis]],"_"),1,2)</f>
        <v>All by Fouta</v>
      </c>
      <c r="N883" s="35" t="str">
        <f>INDEX(_xlfn.TEXTSPLIT(mvtst[[#This Row],[QR Suivis]],"_"),1,3)</f>
        <v>Stock</v>
      </c>
      <c r="O883" s="35" t="str">
        <f>INDEX(_xlfn.TEXTSPLIT(mvtst[[#This Row],[QR Suivis]],"_"),1,4)</f>
        <v>UNS2030-23</v>
      </c>
      <c r="P883" s="35" t="str">
        <f>INDEX(_xlfn.TEXTSPLIT(mvtst[[#This Row],[QR Suivis]],"_"),1,5)</f>
        <v>UNI SURPIQUE</v>
      </c>
      <c r="Q883" s="35" t="str">
        <f>_xlfn.TEXTAFTER(mvtst[[#This Row],[QR Suivis]],"_",5)</f>
        <v>2030</v>
      </c>
      <c r="R883" s="84" t="str">
        <f>IF(
   COUNTIFS($A$2:A883,A883,
             $B$2:B883,B883,
             $C$2:C883,C883,
             $D$2:D883,D883,
             $G$2:G883,G883)&gt;1,
   "Doublon",
   "Correcte"
)</f>
        <v>Correcte</v>
      </c>
    </row>
    <row r="884" spans="1:18" x14ac:dyDescent="0.25">
      <c r="A884" s="104" t="s">
        <v>1676</v>
      </c>
      <c r="B884" s="35" t="s">
        <v>712</v>
      </c>
      <c r="C884" s="36">
        <v>0</v>
      </c>
      <c r="D884" s="36">
        <v>5</v>
      </c>
      <c r="E884" s="35" t="s">
        <v>699</v>
      </c>
      <c r="F884" s="35" t="s">
        <v>634</v>
      </c>
      <c r="G884" s="37">
        <v>45930.375451388885</v>
      </c>
      <c r="H884" s="37" t="str">
        <f>INDEX(_xlfn.TEXTSPLIT(mvtst[[#This Row],[QR Suivis]],"_"),1,1)</f>
        <v>CA250074-1</v>
      </c>
      <c r="I884" s="35" t="str">
        <f>_xlfn.TEXTBEFORE(mvtst[[#This Row],[Num Suivis]],"-",,,1)</f>
        <v>CA250074</v>
      </c>
      <c r="J884" s="36">
        <f>SUMIF(mvtst[QR Suivis],mvtst[[#This Row],[QR Suivis]],mvtst[QTE SORTIS])-SUMIF(mvtst[QR Suivis],mvtst[[#This Row],[QR Suivis]],mvtst[QTE RETOUR])</f>
        <v>0</v>
      </c>
      <c r="K884" s="35" t="str">
        <f t="shared" si="13"/>
        <v>Usine</v>
      </c>
      <c r="L884" s="35" t="str">
        <f>_xlfn.XLOOKUP(mvtst[[#This Row],[Sous Traitant]],coordonnee_st[Identification],coordonnee_st[SERVICE],"Non Trouvé")</f>
        <v>Frange</v>
      </c>
      <c r="M884" s="35" t="str">
        <f>INDEX(_xlfn.TEXTSPLIT(mvtst[[#This Row],[QR Suivis]],"_"),1,2)</f>
        <v>All by Fouta</v>
      </c>
      <c r="N884" s="35" t="str">
        <f>INDEX(_xlfn.TEXTSPLIT(mvtst[[#This Row],[QR Suivis]],"_"),1,3)</f>
        <v>Stock</v>
      </c>
      <c r="O884" s="35" t="str">
        <f>INDEX(_xlfn.TEXTSPLIT(mvtst[[#This Row],[QR Suivis]],"_"),1,4)</f>
        <v>UNS2030-24</v>
      </c>
      <c r="P884" s="35" t="str">
        <f>INDEX(_xlfn.TEXTSPLIT(mvtst[[#This Row],[QR Suivis]],"_"),1,5)</f>
        <v>UNI SURPIQUE</v>
      </c>
      <c r="Q884" s="35" t="str">
        <f>_xlfn.TEXTAFTER(mvtst[[#This Row],[QR Suivis]],"_",5)</f>
        <v>2030</v>
      </c>
      <c r="R884" s="84" t="str">
        <f>IF(
   COUNTIFS($A$2:A884,A884,
             $B$2:B884,B884,
             $C$2:C884,C884,
             $D$2:D884,D884,
             $G$2:G884,G884)&gt;1,
   "Doublon",
   "Correcte"
)</f>
        <v>Correcte</v>
      </c>
    </row>
    <row r="885" spans="1:18" x14ac:dyDescent="0.25">
      <c r="A885" s="104" t="s">
        <v>1741</v>
      </c>
      <c r="B885" s="35" t="s">
        <v>712</v>
      </c>
      <c r="C885" s="36">
        <v>0</v>
      </c>
      <c r="D885" s="36">
        <v>5</v>
      </c>
      <c r="E885" s="35" t="s">
        <v>699</v>
      </c>
      <c r="F885" s="35" t="s">
        <v>634</v>
      </c>
      <c r="G885" s="37">
        <v>45930.375879629632</v>
      </c>
      <c r="H885" s="37" t="str">
        <f>INDEX(_xlfn.TEXTSPLIT(mvtst[[#This Row],[QR Suivis]],"_"),1,1)</f>
        <v>CA250029-1</v>
      </c>
      <c r="I885" s="35" t="str">
        <f>_xlfn.TEXTBEFORE(mvtst[[#This Row],[Num Suivis]],"-",,,1)</f>
        <v>CA250029</v>
      </c>
      <c r="J885" s="36">
        <f>SUMIF(mvtst[QR Suivis],mvtst[[#This Row],[QR Suivis]],mvtst[QTE SORTIS])-SUMIF(mvtst[QR Suivis],mvtst[[#This Row],[QR Suivis]],mvtst[QTE RETOUR])</f>
        <v>0</v>
      </c>
      <c r="K885" s="35" t="str">
        <f t="shared" si="13"/>
        <v>Usine</v>
      </c>
      <c r="L885" s="35" t="str">
        <f>_xlfn.XLOOKUP(mvtst[[#This Row],[Sous Traitant]],coordonnee_st[Identification],coordonnee_st[SERVICE],"Non Trouvé")</f>
        <v>Frange</v>
      </c>
      <c r="M885" s="35" t="str">
        <f>INDEX(_xlfn.TEXTSPLIT(mvtst[[#This Row],[QR Suivis]],"_"),1,2)</f>
        <v>All by Fouta</v>
      </c>
      <c r="N885" s="35" t="str">
        <f>INDEX(_xlfn.TEXTSPLIT(mvtst[[#This Row],[QR Suivis]],"_"),1,3)</f>
        <v>Stock</v>
      </c>
      <c r="O885" s="35" t="str">
        <f>INDEX(_xlfn.TEXTSPLIT(mvtst[[#This Row],[QR Suivis]],"_"),1,4)</f>
        <v>UNS2020-17</v>
      </c>
      <c r="P885" s="35" t="str">
        <f>INDEX(_xlfn.TEXTSPLIT(mvtst[[#This Row],[QR Suivis]],"_"),1,5)</f>
        <v>UNI SURPIQUE</v>
      </c>
      <c r="Q885" s="35" t="str">
        <f>_xlfn.TEXTAFTER(mvtst[[#This Row],[QR Suivis]],"_",5)</f>
        <v>2020</v>
      </c>
      <c r="R885" s="84" t="str">
        <f>IF(
   COUNTIFS($A$2:A885,A885,
             $B$2:B885,B885,
             $C$2:C885,C885,
             $D$2:D885,D885,
             $G$2:G885,G885)&gt;1,
   "Doublon",
   "Correcte"
)</f>
        <v>Correcte</v>
      </c>
    </row>
    <row r="886" spans="1:18" x14ac:dyDescent="0.25">
      <c r="A886" s="104" t="s">
        <v>1671</v>
      </c>
      <c r="B886" s="35" t="s">
        <v>712</v>
      </c>
      <c r="C886" s="36">
        <v>0</v>
      </c>
      <c r="D886" s="36">
        <v>5</v>
      </c>
      <c r="E886" s="35" t="s">
        <v>699</v>
      </c>
      <c r="F886" s="35" t="s">
        <v>634</v>
      </c>
      <c r="G886" s="37">
        <v>45930.376145833332</v>
      </c>
      <c r="H886" s="37" t="str">
        <f>INDEX(_xlfn.TEXTSPLIT(mvtst[[#This Row],[QR Suivis]],"_"),1,1)</f>
        <v>CA250048-4</v>
      </c>
      <c r="I886" s="35" t="str">
        <f>_xlfn.TEXTBEFORE(mvtst[[#This Row],[Num Suivis]],"-",,,1)</f>
        <v>CA250048</v>
      </c>
      <c r="J886" s="36">
        <f>SUMIF(mvtst[QR Suivis],mvtst[[#This Row],[QR Suivis]],mvtst[QTE SORTIS])-SUMIF(mvtst[QR Suivis],mvtst[[#This Row],[QR Suivis]],mvtst[QTE RETOUR])</f>
        <v>0</v>
      </c>
      <c r="K886" s="35" t="str">
        <f t="shared" si="13"/>
        <v>Usine</v>
      </c>
      <c r="L886" s="35" t="str">
        <f>_xlfn.XLOOKUP(mvtst[[#This Row],[Sous Traitant]],coordonnee_st[Identification],coordonnee_st[SERVICE],"Non Trouvé")</f>
        <v>Frange</v>
      </c>
      <c r="M886" s="35" t="str">
        <f>INDEX(_xlfn.TEXTSPLIT(mvtst[[#This Row],[QR Suivis]],"_"),1,2)</f>
        <v>All by Fouta</v>
      </c>
      <c r="N886" s="35" t="str">
        <f>INDEX(_xlfn.TEXTSPLIT(mvtst[[#This Row],[QR Suivis]],"_"),1,3)</f>
        <v>Stock</v>
      </c>
      <c r="O886" s="35" t="str">
        <f>INDEX(_xlfn.TEXTSPLIT(mvtst[[#This Row],[QR Suivis]],"_"),1,4)</f>
        <v>UNS1626-15</v>
      </c>
      <c r="P886" s="35" t="str">
        <f>INDEX(_xlfn.TEXTSPLIT(mvtst[[#This Row],[QR Suivis]],"_"),1,5)</f>
        <v>UNI SURPIQUE</v>
      </c>
      <c r="Q886" s="35" t="str">
        <f>_xlfn.TEXTAFTER(mvtst[[#This Row],[QR Suivis]],"_",5)</f>
        <v>1626</v>
      </c>
      <c r="R886" s="84" t="str">
        <f>IF(
   COUNTIFS($A$2:A886,A886,
             $B$2:B886,B886,
             $C$2:C886,C886,
             $D$2:D886,D886,
             $G$2:G886,G886)&gt;1,
   "Doublon",
   "Correcte"
)</f>
        <v>Correcte</v>
      </c>
    </row>
    <row r="887" spans="1:18" x14ac:dyDescent="0.25">
      <c r="A887" s="104" t="s">
        <v>1304</v>
      </c>
      <c r="B887" s="35" t="s">
        <v>712</v>
      </c>
      <c r="C887" s="36">
        <v>0</v>
      </c>
      <c r="D887" s="36">
        <v>5</v>
      </c>
      <c r="E887" s="35" t="s">
        <v>699</v>
      </c>
      <c r="F887" s="35" t="s">
        <v>634</v>
      </c>
      <c r="G887" s="37">
        <v>45930.377800925926</v>
      </c>
      <c r="H887" s="37" t="str">
        <f>INDEX(_xlfn.TEXTSPLIT(mvtst[[#This Row],[QR Suivis]],"_"),1,1)</f>
        <v>CA250026</v>
      </c>
      <c r="I887" s="35" t="str">
        <f>_xlfn.TEXTBEFORE(mvtst[[#This Row],[Num Suivis]],"-",,,1)</f>
        <v>CA250026</v>
      </c>
      <c r="J887" s="36">
        <f>SUMIF(mvtst[QR Suivis],mvtst[[#This Row],[QR Suivis]],mvtst[QTE SORTIS])-SUMIF(mvtst[QR Suivis],mvtst[[#This Row],[QR Suivis]],mvtst[QTE RETOUR])</f>
        <v>0</v>
      </c>
      <c r="K887" s="35" t="str">
        <f t="shared" si="13"/>
        <v>Usine</v>
      </c>
      <c r="L887" s="35" t="str">
        <f>_xlfn.XLOOKUP(mvtst[[#This Row],[Sous Traitant]],coordonnee_st[Identification],coordonnee_st[SERVICE],"Non Trouvé")</f>
        <v>Frange</v>
      </c>
      <c r="M887" s="35" t="str">
        <f>INDEX(_xlfn.TEXTSPLIT(mvtst[[#This Row],[QR Suivis]],"_"),1,2)</f>
        <v>All by Fouta</v>
      </c>
      <c r="N887" s="35" t="str">
        <f>INDEX(_xlfn.TEXTSPLIT(mvtst[[#This Row],[QR Suivis]],"_"),1,3)</f>
        <v>Stock</v>
      </c>
      <c r="O887" s="35" t="str">
        <f>INDEX(_xlfn.TEXTSPLIT(mvtst[[#This Row],[QR Suivis]],"_"),1,4)</f>
        <v>UNS2020-12</v>
      </c>
      <c r="P887" s="35" t="str">
        <f>INDEX(_xlfn.TEXTSPLIT(mvtst[[#This Row],[QR Suivis]],"_"),1,5)</f>
        <v>UNI SURPIQUE</v>
      </c>
      <c r="Q887" s="35" t="str">
        <f>_xlfn.TEXTAFTER(mvtst[[#This Row],[QR Suivis]],"_",5)</f>
        <v>2020</v>
      </c>
      <c r="R887" s="84" t="str">
        <f>IF(
   COUNTIFS($A$2:A887,A887,
             $B$2:B887,B887,
             $C$2:C887,C887,
             $D$2:D887,D887,
             $G$2:G887,G887)&gt;1,
   "Doublon",
   "Correcte"
)</f>
        <v>Correcte</v>
      </c>
    </row>
    <row r="888" spans="1:18" x14ac:dyDescent="0.25">
      <c r="A888" s="104" t="s">
        <v>1742</v>
      </c>
      <c r="B888" s="35" t="s">
        <v>712</v>
      </c>
      <c r="C888" s="36">
        <v>0</v>
      </c>
      <c r="D888" s="36">
        <v>5</v>
      </c>
      <c r="E888" s="35" t="s">
        <v>699</v>
      </c>
      <c r="F888" s="35" t="s">
        <v>634</v>
      </c>
      <c r="G888" s="37">
        <v>45930.378067129626</v>
      </c>
      <c r="H888" s="37" t="str">
        <f>INDEX(_xlfn.TEXTSPLIT(mvtst[[#This Row],[QR Suivis]],"_"),1,1)</f>
        <v>CA250029-2</v>
      </c>
      <c r="I888" s="35" t="str">
        <f>_xlfn.TEXTBEFORE(mvtst[[#This Row],[Num Suivis]],"-",,,1)</f>
        <v>CA250029</v>
      </c>
      <c r="J888" s="36">
        <f>SUMIF(mvtst[QR Suivis],mvtst[[#This Row],[QR Suivis]],mvtst[QTE SORTIS])-SUMIF(mvtst[QR Suivis],mvtst[[#This Row],[QR Suivis]],mvtst[QTE RETOUR])</f>
        <v>0</v>
      </c>
      <c r="K888" s="35" t="str">
        <f t="shared" si="13"/>
        <v>Usine</v>
      </c>
      <c r="L888" s="35" t="str">
        <f>_xlfn.XLOOKUP(mvtst[[#This Row],[Sous Traitant]],coordonnee_st[Identification],coordonnee_st[SERVICE],"Non Trouvé")</f>
        <v>Frange</v>
      </c>
      <c r="M888" s="35" t="str">
        <f>INDEX(_xlfn.TEXTSPLIT(mvtst[[#This Row],[QR Suivis]],"_"),1,2)</f>
        <v>All by Fouta</v>
      </c>
      <c r="N888" s="35" t="str">
        <f>INDEX(_xlfn.TEXTSPLIT(mvtst[[#This Row],[QR Suivis]],"_"),1,3)</f>
        <v>Stock</v>
      </c>
      <c r="O888" s="35" t="str">
        <f>INDEX(_xlfn.TEXTSPLIT(mvtst[[#This Row],[QR Suivis]],"_"),1,4)</f>
        <v>UNS2020-17</v>
      </c>
      <c r="P888" s="35" t="str">
        <f>INDEX(_xlfn.TEXTSPLIT(mvtst[[#This Row],[QR Suivis]],"_"),1,5)</f>
        <v>UNI SURPIQUE</v>
      </c>
      <c r="Q888" s="35" t="str">
        <f>_xlfn.TEXTAFTER(mvtst[[#This Row],[QR Suivis]],"_",5)</f>
        <v>2020</v>
      </c>
      <c r="R888" s="84" t="str">
        <f>IF(
   COUNTIFS($A$2:A888,A888,
             $B$2:B888,B888,
             $C$2:C888,C888,
             $D$2:D888,D888,
             $G$2:G888,G888)&gt;1,
   "Doublon",
   "Correcte"
)</f>
        <v>Correcte</v>
      </c>
    </row>
    <row r="889" spans="1:18" x14ac:dyDescent="0.25">
      <c r="A889" s="104" t="s">
        <v>1670</v>
      </c>
      <c r="B889" s="35" t="s">
        <v>712</v>
      </c>
      <c r="C889" s="36">
        <v>0</v>
      </c>
      <c r="D889" s="36">
        <v>5</v>
      </c>
      <c r="E889" s="35" t="s">
        <v>699</v>
      </c>
      <c r="F889" s="35" t="s">
        <v>634</v>
      </c>
      <c r="G889" s="37">
        <v>45930.378379629627</v>
      </c>
      <c r="H889" s="37" t="str">
        <f>INDEX(_xlfn.TEXTSPLIT(mvtst[[#This Row],[QR Suivis]],"_"),1,1)</f>
        <v>CA250048-6</v>
      </c>
      <c r="I889" s="35" t="str">
        <f>_xlfn.TEXTBEFORE(mvtst[[#This Row],[Num Suivis]],"-",,,1)</f>
        <v>CA250048</v>
      </c>
      <c r="J889" s="36">
        <f>SUMIF(mvtst[QR Suivis],mvtst[[#This Row],[QR Suivis]],mvtst[QTE SORTIS])-SUMIF(mvtst[QR Suivis],mvtst[[#This Row],[QR Suivis]],mvtst[QTE RETOUR])</f>
        <v>0</v>
      </c>
      <c r="K889" s="35" t="str">
        <f t="shared" si="13"/>
        <v>Usine</v>
      </c>
      <c r="L889" s="35" t="str">
        <f>_xlfn.XLOOKUP(mvtst[[#This Row],[Sous Traitant]],coordonnee_st[Identification],coordonnee_st[SERVICE],"Non Trouvé")</f>
        <v>Frange</v>
      </c>
      <c r="M889" s="35" t="str">
        <f>INDEX(_xlfn.TEXTSPLIT(mvtst[[#This Row],[QR Suivis]],"_"),1,2)</f>
        <v>All by Fouta</v>
      </c>
      <c r="N889" s="35" t="str">
        <f>INDEX(_xlfn.TEXTSPLIT(mvtst[[#This Row],[QR Suivis]],"_"),1,3)</f>
        <v>Stock</v>
      </c>
      <c r="O889" s="35" t="str">
        <f>INDEX(_xlfn.TEXTSPLIT(mvtst[[#This Row],[QR Suivis]],"_"),1,4)</f>
        <v>UNS1626-15</v>
      </c>
      <c r="P889" s="35" t="str">
        <f>INDEX(_xlfn.TEXTSPLIT(mvtst[[#This Row],[QR Suivis]],"_"),1,5)</f>
        <v>UNI SURPIQUE</v>
      </c>
      <c r="Q889" s="35" t="str">
        <f>_xlfn.TEXTAFTER(mvtst[[#This Row],[QR Suivis]],"_",5)</f>
        <v>1626</v>
      </c>
      <c r="R889" s="84" t="str">
        <f>IF(
   COUNTIFS($A$2:A889,A889,
             $B$2:B889,B889,
             $C$2:C889,C889,
             $D$2:D889,D889,
             $G$2:G889,G889)&gt;1,
   "Doublon",
   "Correcte"
)</f>
        <v>Correcte</v>
      </c>
    </row>
    <row r="890" spans="1:18" x14ac:dyDescent="0.25">
      <c r="A890" s="104" t="s">
        <v>1743</v>
      </c>
      <c r="B890" s="35" t="s">
        <v>712</v>
      </c>
      <c r="C890" s="36">
        <v>0</v>
      </c>
      <c r="D890" s="36">
        <v>5</v>
      </c>
      <c r="E890" s="35" t="s">
        <v>699</v>
      </c>
      <c r="F890" s="35" t="s">
        <v>634</v>
      </c>
      <c r="G890" s="37">
        <v>45930.378784722219</v>
      </c>
      <c r="H890" s="37" t="str">
        <f>INDEX(_xlfn.TEXTSPLIT(mvtst[[#This Row],[QR Suivis]],"_"),1,1)</f>
        <v>CA250029-3</v>
      </c>
      <c r="I890" s="35" t="str">
        <f>_xlfn.TEXTBEFORE(mvtst[[#This Row],[Num Suivis]],"-",,,1)</f>
        <v>CA250029</v>
      </c>
      <c r="J890" s="36">
        <f>SUMIF(mvtst[QR Suivis],mvtst[[#This Row],[QR Suivis]],mvtst[QTE SORTIS])-SUMIF(mvtst[QR Suivis],mvtst[[#This Row],[QR Suivis]],mvtst[QTE RETOUR])</f>
        <v>0</v>
      </c>
      <c r="K890" s="35" t="str">
        <f t="shared" si="13"/>
        <v>Usine</v>
      </c>
      <c r="L890" s="35" t="str">
        <f>_xlfn.XLOOKUP(mvtst[[#This Row],[Sous Traitant]],coordonnee_st[Identification],coordonnee_st[SERVICE],"Non Trouvé")</f>
        <v>Frange</v>
      </c>
      <c r="M890" s="35" t="str">
        <f>INDEX(_xlfn.TEXTSPLIT(mvtst[[#This Row],[QR Suivis]],"_"),1,2)</f>
        <v>All by Fouta</v>
      </c>
      <c r="N890" s="35" t="str">
        <f>INDEX(_xlfn.TEXTSPLIT(mvtst[[#This Row],[QR Suivis]],"_"),1,3)</f>
        <v>Stock</v>
      </c>
      <c r="O890" s="35" t="str">
        <f>INDEX(_xlfn.TEXTSPLIT(mvtst[[#This Row],[QR Suivis]],"_"),1,4)</f>
        <v>UNS2020-17</v>
      </c>
      <c r="P890" s="35" t="str">
        <f>INDEX(_xlfn.TEXTSPLIT(mvtst[[#This Row],[QR Suivis]],"_"),1,5)</f>
        <v>UNI SURPIQUE</v>
      </c>
      <c r="Q890" s="35" t="str">
        <f>_xlfn.TEXTAFTER(mvtst[[#This Row],[QR Suivis]],"_",5)</f>
        <v>2020</v>
      </c>
      <c r="R890" s="84" t="str">
        <f>IF(
   COUNTIFS($A$2:A890,A890,
             $B$2:B890,B890,
             $C$2:C890,C890,
             $D$2:D890,D890,
             $G$2:G890,G890)&gt;1,
   "Doublon",
   "Correcte"
)</f>
        <v>Correcte</v>
      </c>
    </row>
    <row r="891" spans="1:18" x14ac:dyDescent="0.25">
      <c r="A891" s="104" t="s">
        <v>1744</v>
      </c>
      <c r="B891" s="35" t="s">
        <v>712</v>
      </c>
      <c r="C891" s="36">
        <v>0</v>
      </c>
      <c r="D891" s="36">
        <v>5</v>
      </c>
      <c r="E891" s="35" t="s">
        <v>699</v>
      </c>
      <c r="F891" s="35" t="s">
        <v>634</v>
      </c>
      <c r="G891" s="37">
        <v>45930.379166666666</v>
      </c>
      <c r="H891" s="37" t="str">
        <f>INDEX(_xlfn.TEXTSPLIT(mvtst[[#This Row],[QR Suivis]],"_"),1,1)</f>
        <v>CA250029-4</v>
      </c>
      <c r="I891" s="35" t="str">
        <f>_xlfn.TEXTBEFORE(mvtst[[#This Row],[Num Suivis]],"-",,,1)</f>
        <v>CA250029</v>
      </c>
      <c r="J891" s="36">
        <f>SUMIF(mvtst[QR Suivis],mvtst[[#This Row],[QR Suivis]],mvtst[QTE SORTIS])-SUMIF(mvtst[QR Suivis],mvtst[[#This Row],[QR Suivis]],mvtst[QTE RETOUR])</f>
        <v>0</v>
      </c>
      <c r="K891" s="35" t="str">
        <f t="shared" si="13"/>
        <v>Usine</v>
      </c>
      <c r="L891" s="35" t="str">
        <f>_xlfn.XLOOKUP(mvtst[[#This Row],[Sous Traitant]],coordonnee_st[Identification],coordonnee_st[SERVICE],"Non Trouvé")</f>
        <v>Frange</v>
      </c>
      <c r="M891" s="35" t="str">
        <f>INDEX(_xlfn.TEXTSPLIT(mvtst[[#This Row],[QR Suivis]],"_"),1,2)</f>
        <v>All by Fouta</v>
      </c>
      <c r="N891" s="35" t="str">
        <f>INDEX(_xlfn.TEXTSPLIT(mvtst[[#This Row],[QR Suivis]],"_"),1,3)</f>
        <v>Stock</v>
      </c>
      <c r="O891" s="35" t="str">
        <f>INDEX(_xlfn.TEXTSPLIT(mvtst[[#This Row],[QR Suivis]],"_"),1,4)</f>
        <v>UNS2020-17</v>
      </c>
      <c r="P891" s="35" t="str">
        <f>INDEX(_xlfn.TEXTSPLIT(mvtst[[#This Row],[QR Suivis]],"_"),1,5)</f>
        <v>UNI SURPIQUE</v>
      </c>
      <c r="Q891" s="35" t="str">
        <f>_xlfn.TEXTAFTER(mvtst[[#This Row],[QR Suivis]],"_",5)</f>
        <v>2020</v>
      </c>
      <c r="R891" s="84" t="str">
        <f>IF(
   COUNTIFS($A$2:A891,A891,
             $B$2:B891,B891,
             $C$2:C891,C891,
             $D$2:D891,D891,
             $G$2:G891,G891)&gt;1,
   "Doublon",
   "Correcte"
)</f>
        <v>Correcte</v>
      </c>
    </row>
    <row r="892" spans="1:18" x14ac:dyDescent="0.25">
      <c r="A892" s="104" t="s">
        <v>1745</v>
      </c>
      <c r="B892" s="35" t="s">
        <v>712</v>
      </c>
      <c r="C892" s="36">
        <v>0</v>
      </c>
      <c r="D892" s="36">
        <v>5</v>
      </c>
      <c r="E892" s="35" t="s">
        <v>699</v>
      </c>
      <c r="F892" s="35" t="s">
        <v>634</v>
      </c>
      <c r="G892" s="37">
        <v>45930.379467592589</v>
      </c>
      <c r="H892" s="37" t="str">
        <f>INDEX(_xlfn.TEXTSPLIT(mvtst[[#This Row],[QR Suivis]],"_"),1,1)</f>
        <v>CA250029-5</v>
      </c>
      <c r="I892" s="35" t="str">
        <f>_xlfn.TEXTBEFORE(mvtst[[#This Row],[Num Suivis]],"-",,,1)</f>
        <v>CA250029</v>
      </c>
      <c r="J892" s="36">
        <f>SUMIF(mvtst[QR Suivis],mvtst[[#This Row],[QR Suivis]],mvtst[QTE SORTIS])-SUMIF(mvtst[QR Suivis],mvtst[[#This Row],[QR Suivis]],mvtst[QTE RETOUR])</f>
        <v>0</v>
      </c>
      <c r="K892" s="35" t="str">
        <f t="shared" si="13"/>
        <v>Usine</v>
      </c>
      <c r="L892" s="35" t="str">
        <f>_xlfn.XLOOKUP(mvtst[[#This Row],[Sous Traitant]],coordonnee_st[Identification],coordonnee_st[SERVICE],"Non Trouvé")</f>
        <v>Frange</v>
      </c>
      <c r="M892" s="35" t="str">
        <f>INDEX(_xlfn.TEXTSPLIT(mvtst[[#This Row],[QR Suivis]],"_"),1,2)</f>
        <v>All by Fouta</v>
      </c>
      <c r="N892" s="35" t="str">
        <f>INDEX(_xlfn.TEXTSPLIT(mvtst[[#This Row],[QR Suivis]],"_"),1,3)</f>
        <v>Stock</v>
      </c>
      <c r="O892" s="35" t="str">
        <f>INDEX(_xlfn.TEXTSPLIT(mvtst[[#This Row],[QR Suivis]],"_"),1,4)</f>
        <v>UNS2020-17</v>
      </c>
      <c r="P892" s="35" t="str">
        <f>INDEX(_xlfn.TEXTSPLIT(mvtst[[#This Row],[QR Suivis]],"_"),1,5)</f>
        <v>UNI SURPIQUE</v>
      </c>
      <c r="Q892" s="35" t="str">
        <f>_xlfn.TEXTAFTER(mvtst[[#This Row],[QR Suivis]],"_",5)</f>
        <v>2020</v>
      </c>
      <c r="R892" s="84" t="str">
        <f>IF(
   COUNTIFS($A$2:A892,A892,
             $B$2:B892,B892,
             $C$2:C892,C892,
             $D$2:D892,D892,
             $G$2:G892,G892)&gt;1,
   "Doublon",
   "Correcte"
)</f>
        <v>Correcte</v>
      </c>
    </row>
    <row r="893" spans="1:18" x14ac:dyDescent="0.25">
      <c r="A893" s="104" t="s">
        <v>1746</v>
      </c>
      <c r="B893" s="35" t="s">
        <v>712</v>
      </c>
      <c r="C893" s="36">
        <v>0</v>
      </c>
      <c r="D893" s="36">
        <v>1</v>
      </c>
      <c r="E893" s="35" t="s">
        <v>699</v>
      </c>
      <c r="F893" s="35" t="s">
        <v>634</v>
      </c>
      <c r="G893" s="37">
        <v>45930.379837962966</v>
      </c>
      <c r="H893" s="37" t="str">
        <f>INDEX(_xlfn.TEXTSPLIT(mvtst[[#This Row],[QR Suivis]],"_"),1,1)</f>
        <v>CA250029-7</v>
      </c>
      <c r="I893" s="35" t="str">
        <f>_xlfn.TEXTBEFORE(mvtst[[#This Row],[Num Suivis]],"-",,,1)</f>
        <v>CA250029</v>
      </c>
      <c r="J893" s="36">
        <f>SUMIF(mvtst[QR Suivis],mvtst[[#This Row],[QR Suivis]],mvtst[QTE SORTIS])-SUMIF(mvtst[QR Suivis],mvtst[[#This Row],[QR Suivis]],mvtst[QTE RETOUR])</f>
        <v>0</v>
      </c>
      <c r="K893" s="35" t="str">
        <f t="shared" si="13"/>
        <v>Usine</v>
      </c>
      <c r="L893" s="35" t="str">
        <f>_xlfn.XLOOKUP(mvtst[[#This Row],[Sous Traitant]],coordonnee_st[Identification],coordonnee_st[SERVICE],"Non Trouvé")</f>
        <v>Frange</v>
      </c>
      <c r="M893" s="35" t="str">
        <f>INDEX(_xlfn.TEXTSPLIT(mvtst[[#This Row],[QR Suivis]],"_"),1,2)</f>
        <v>All by Fouta</v>
      </c>
      <c r="N893" s="35" t="str">
        <f>INDEX(_xlfn.TEXTSPLIT(mvtst[[#This Row],[QR Suivis]],"_"),1,3)</f>
        <v>Stock</v>
      </c>
      <c r="O893" s="35" t="str">
        <f>INDEX(_xlfn.TEXTSPLIT(mvtst[[#This Row],[QR Suivis]],"_"),1,4)</f>
        <v>UNS2020-17</v>
      </c>
      <c r="P893" s="35" t="str">
        <f>INDEX(_xlfn.TEXTSPLIT(mvtst[[#This Row],[QR Suivis]],"_"),1,5)</f>
        <v>UNI SURPIQUE</v>
      </c>
      <c r="Q893" s="35" t="str">
        <f>_xlfn.TEXTAFTER(mvtst[[#This Row],[QR Suivis]],"_",5)</f>
        <v>2020</v>
      </c>
      <c r="R893" s="84" t="str">
        <f>IF(
   COUNTIFS($A$2:A893,A893,
             $B$2:B893,B893,
             $C$2:C893,C893,
             $D$2:D893,D893,
             $G$2:G893,G893)&gt;1,
   "Doublon",
   "Correcte"
)</f>
        <v>Correcte</v>
      </c>
    </row>
    <row r="894" spans="1:18" x14ac:dyDescent="0.25">
      <c r="A894" s="104" t="s">
        <v>1747</v>
      </c>
      <c r="B894" s="35" t="s">
        <v>712</v>
      </c>
      <c r="C894" s="36">
        <v>0</v>
      </c>
      <c r="D894" s="36">
        <v>5</v>
      </c>
      <c r="E894" s="35" t="s">
        <v>699</v>
      </c>
      <c r="F894" s="35" t="s">
        <v>634</v>
      </c>
      <c r="G894" s="37">
        <v>45930.380162037036</v>
      </c>
      <c r="H894" s="37" t="str">
        <f>INDEX(_xlfn.TEXTSPLIT(mvtst[[#This Row],[QR Suivis]],"_"),1,1)</f>
        <v>CA250029-6</v>
      </c>
      <c r="I894" s="35" t="str">
        <f>_xlfn.TEXTBEFORE(mvtst[[#This Row],[Num Suivis]],"-",,,1)</f>
        <v>CA250029</v>
      </c>
      <c r="J894" s="36">
        <f>SUMIF(mvtst[QR Suivis],mvtst[[#This Row],[QR Suivis]],mvtst[QTE SORTIS])-SUMIF(mvtst[QR Suivis],mvtst[[#This Row],[QR Suivis]],mvtst[QTE RETOUR])</f>
        <v>0</v>
      </c>
      <c r="K894" s="35" t="str">
        <f t="shared" si="13"/>
        <v>Usine</v>
      </c>
      <c r="L894" s="35" t="str">
        <f>_xlfn.XLOOKUP(mvtst[[#This Row],[Sous Traitant]],coordonnee_st[Identification],coordonnee_st[SERVICE],"Non Trouvé")</f>
        <v>Frange</v>
      </c>
      <c r="M894" s="35" t="str">
        <f>INDEX(_xlfn.TEXTSPLIT(mvtst[[#This Row],[QR Suivis]],"_"),1,2)</f>
        <v>All by Fouta</v>
      </c>
      <c r="N894" s="35" t="str">
        <f>INDEX(_xlfn.TEXTSPLIT(mvtst[[#This Row],[QR Suivis]],"_"),1,3)</f>
        <v>Stock</v>
      </c>
      <c r="O894" s="35" t="str">
        <f>INDEX(_xlfn.TEXTSPLIT(mvtst[[#This Row],[QR Suivis]],"_"),1,4)</f>
        <v>UNS2020-17</v>
      </c>
      <c r="P894" s="35" t="str">
        <f>INDEX(_xlfn.TEXTSPLIT(mvtst[[#This Row],[QR Suivis]],"_"),1,5)</f>
        <v>UNI SURPIQUE</v>
      </c>
      <c r="Q894" s="35" t="str">
        <f>_xlfn.TEXTAFTER(mvtst[[#This Row],[QR Suivis]],"_",5)</f>
        <v>2020</v>
      </c>
      <c r="R894" s="84" t="str">
        <f>IF(
   COUNTIFS($A$2:A894,A894,
             $B$2:B894,B894,
             $C$2:C894,C894,
             $D$2:D894,D894,
             $G$2:G894,G894)&gt;1,
   "Doublon",
   "Correcte"
)</f>
        <v>Correcte</v>
      </c>
    </row>
    <row r="895" spans="1:18" x14ac:dyDescent="0.25">
      <c r="A895" s="104" t="s">
        <v>1304</v>
      </c>
      <c r="B895" s="35" t="s">
        <v>712</v>
      </c>
      <c r="C895" s="36">
        <v>0</v>
      </c>
      <c r="D895" s="36">
        <v>5</v>
      </c>
      <c r="E895" s="35" t="s">
        <v>699</v>
      </c>
      <c r="F895" s="35" t="s">
        <v>634</v>
      </c>
      <c r="G895" s="37">
        <v>45930.380532407406</v>
      </c>
      <c r="H895" s="37" t="str">
        <f>INDEX(_xlfn.TEXTSPLIT(mvtst[[#This Row],[QR Suivis]],"_"),1,1)</f>
        <v>CA250026</v>
      </c>
      <c r="I895" s="35" t="str">
        <f>_xlfn.TEXTBEFORE(mvtst[[#This Row],[Num Suivis]],"-",,,1)</f>
        <v>CA250026</v>
      </c>
      <c r="J895" s="36">
        <f>SUMIF(mvtst[QR Suivis],mvtst[[#This Row],[QR Suivis]],mvtst[QTE SORTIS])-SUMIF(mvtst[QR Suivis],mvtst[[#This Row],[QR Suivis]],mvtst[QTE RETOUR])</f>
        <v>0</v>
      </c>
      <c r="K895" s="35" t="str">
        <f t="shared" si="13"/>
        <v>Usine</v>
      </c>
      <c r="L895" s="35" t="str">
        <f>_xlfn.XLOOKUP(mvtst[[#This Row],[Sous Traitant]],coordonnee_st[Identification],coordonnee_st[SERVICE],"Non Trouvé")</f>
        <v>Frange</v>
      </c>
      <c r="M895" s="35" t="str">
        <f>INDEX(_xlfn.TEXTSPLIT(mvtst[[#This Row],[QR Suivis]],"_"),1,2)</f>
        <v>All by Fouta</v>
      </c>
      <c r="N895" s="35" t="str">
        <f>INDEX(_xlfn.TEXTSPLIT(mvtst[[#This Row],[QR Suivis]],"_"),1,3)</f>
        <v>Stock</v>
      </c>
      <c r="O895" s="35" t="str">
        <f>INDEX(_xlfn.TEXTSPLIT(mvtst[[#This Row],[QR Suivis]],"_"),1,4)</f>
        <v>UNS2020-12</v>
      </c>
      <c r="P895" s="35" t="str">
        <f>INDEX(_xlfn.TEXTSPLIT(mvtst[[#This Row],[QR Suivis]],"_"),1,5)</f>
        <v>UNI SURPIQUE</v>
      </c>
      <c r="Q895" s="35" t="str">
        <f>_xlfn.TEXTAFTER(mvtst[[#This Row],[QR Suivis]],"_",5)</f>
        <v>2020</v>
      </c>
      <c r="R895" s="84" t="str">
        <f>IF(
   COUNTIFS($A$2:A895,A895,
             $B$2:B895,B895,
             $C$2:C895,C895,
             $D$2:D895,D895,
             $G$2:G895,G895)&gt;1,
   "Doublon",
   "Correcte"
)</f>
        <v>Correcte</v>
      </c>
    </row>
    <row r="896" spans="1:18" x14ac:dyDescent="0.25">
      <c r="A896" s="104" t="s">
        <v>1692</v>
      </c>
      <c r="B896" s="35" t="s">
        <v>712</v>
      </c>
      <c r="C896" s="36">
        <v>0</v>
      </c>
      <c r="D896" s="36">
        <v>5</v>
      </c>
      <c r="E896" s="35" t="s">
        <v>699</v>
      </c>
      <c r="F896" s="35" t="s">
        <v>634</v>
      </c>
      <c r="G896" s="37">
        <v>45930.380868055552</v>
      </c>
      <c r="H896" s="37" t="str">
        <f>INDEX(_xlfn.TEXTSPLIT(mvtst[[#This Row],[QR Suivis]],"_"),1,1)</f>
        <v>CA250022-1</v>
      </c>
      <c r="I896" s="35" t="str">
        <f>_xlfn.TEXTBEFORE(mvtst[[#This Row],[Num Suivis]],"-",,,1)</f>
        <v>CA250022</v>
      </c>
      <c r="J896" s="36">
        <f>SUMIF(mvtst[QR Suivis],mvtst[[#This Row],[QR Suivis]],mvtst[QTE SORTIS])-SUMIF(mvtst[QR Suivis],mvtst[[#This Row],[QR Suivis]],mvtst[QTE RETOUR])</f>
        <v>0</v>
      </c>
      <c r="K896" s="35" t="str">
        <f t="shared" si="13"/>
        <v>Usine</v>
      </c>
      <c r="L896" s="35" t="str">
        <f>_xlfn.XLOOKUP(mvtst[[#This Row],[Sous Traitant]],coordonnee_st[Identification],coordonnee_st[SERVICE],"Non Trouvé")</f>
        <v>Frange</v>
      </c>
      <c r="M896" s="35" t="str">
        <f>INDEX(_xlfn.TEXTSPLIT(mvtst[[#This Row],[QR Suivis]],"_"),1,2)</f>
        <v>All by Fouta</v>
      </c>
      <c r="N896" s="35" t="str">
        <f>INDEX(_xlfn.TEXTSPLIT(mvtst[[#This Row],[QR Suivis]],"_"),1,3)</f>
        <v>Stock</v>
      </c>
      <c r="O896" s="35" t="str">
        <f>INDEX(_xlfn.TEXTSPLIT(mvtst[[#This Row],[QR Suivis]],"_"),1,4)</f>
        <v>UNS2020-04</v>
      </c>
      <c r="P896" s="35" t="str">
        <f>INDEX(_xlfn.TEXTSPLIT(mvtst[[#This Row],[QR Suivis]],"_"),1,5)</f>
        <v>UNI SURPIQUE</v>
      </c>
      <c r="Q896" s="35" t="str">
        <f>_xlfn.TEXTAFTER(mvtst[[#This Row],[QR Suivis]],"_",5)</f>
        <v>2020</v>
      </c>
      <c r="R896" s="84" t="str">
        <f>IF(
   COUNTIFS($A$2:A896,A896,
             $B$2:B896,B896,
             $C$2:C896,C896,
             $D$2:D896,D896,
             $G$2:G896,G896)&gt;1,
   "Doublon",
   "Correcte"
)</f>
        <v>Correcte</v>
      </c>
    </row>
    <row r="897" spans="1:18" x14ac:dyDescent="0.25">
      <c r="A897" s="104" t="s">
        <v>1723</v>
      </c>
      <c r="B897" s="35" t="s">
        <v>712</v>
      </c>
      <c r="C897" s="36">
        <v>0</v>
      </c>
      <c r="D897" s="36">
        <v>5</v>
      </c>
      <c r="E897" s="35" t="s">
        <v>699</v>
      </c>
      <c r="F897" s="35" t="s">
        <v>634</v>
      </c>
      <c r="G897" s="37">
        <v>45930.381226851852</v>
      </c>
      <c r="H897" s="37" t="str">
        <f>INDEX(_xlfn.TEXTSPLIT(mvtst[[#This Row],[QR Suivis]],"_"),1,1)</f>
        <v>CA250049-2</v>
      </c>
      <c r="I897" s="35" t="str">
        <f>_xlfn.TEXTBEFORE(mvtst[[#This Row],[Num Suivis]],"-",,,1)</f>
        <v>CA250049</v>
      </c>
      <c r="J897" s="36">
        <f>SUMIF(mvtst[QR Suivis],mvtst[[#This Row],[QR Suivis]],mvtst[QTE SORTIS])-SUMIF(mvtst[QR Suivis],mvtst[[#This Row],[QR Suivis]],mvtst[QTE RETOUR])</f>
        <v>0</v>
      </c>
      <c r="K897" s="35" t="str">
        <f t="shared" si="13"/>
        <v>Usine</v>
      </c>
      <c r="L897" s="35" t="str">
        <f>_xlfn.XLOOKUP(mvtst[[#This Row],[Sous Traitant]],coordonnee_st[Identification],coordonnee_st[SERVICE],"Non Trouvé")</f>
        <v>Frange</v>
      </c>
      <c r="M897" s="35" t="str">
        <f>INDEX(_xlfn.TEXTSPLIT(mvtst[[#This Row],[QR Suivis]],"_"),1,2)</f>
        <v>All by Fouta</v>
      </c>
      <c r="N897" s="35" t="str">
        <f>INDEX(_xlfn.TEXTSPLIT(mvtst[[#This Row],[QR Suivis]],"_"),1,3)</f>
        <v>Stock</v>
      </c>
      <c r="O897" s="35" t="str">
        <f>INDEX(_xlfn.TEXTSPLIT(mvtst[[#This Row],[QR Suivis]],"_"),1,4)</f>
        <v>UNS1626-17</v>
      </c>
      <c r="P897" s="35" t="str">
        <f>INDEX(_xlfn.TEXTSPLIT(mvtst[[#This Row],[QR Suivis]],"_"),1,5)</f>
        <v>UNI SURPIQUE</v>
      </c>
      <c r="Q897" s="35" t="str">
        <f>_xlfn.TEXTAFTER(mvtst[[#This Row],[QR Suivis]],"_",5)</f>
        <v>1626</v>
      </c>
      <c r="R897" s="84" t="str">
        <f>IF(
   COUNTIFS($A$2:A897,A897,
             $B$2:B897,B897,
             $C$2:C897,C897,
             $D$2:D897,D897,
             $G$2:G897,G897)&gt;1,
   "Doublon",
   "Correcte"
)</f>
        <v>Correcte</v>
      </c>
    </row>
    <row r="898" spans="1:18" x14ac:dyDescent="0.25">
      <c r="A898" s="104" t="s">
        <v>1716</v>
      </c>
      <c r="B898" s="35" t="s">
        <v>712</v>
      </c>
      <c r="C898" s="36">
        <v>0</v>
      </c>
      <c r="D898" s="36">
        <v>5</v>
      </c>
      <c r="E898" s="35" t="s">
        <v>699</v>
      </c>
      <c r="F898" s="35" t="s">
        <v>634</v>
      </c>
      <c r="G898" s="37">
        <v>45930.381666666668</v>
      </c>
      <c r="H898" s="37" t="str">
        <f>INDEX(_xlfn.TEXTSPLIT(mvtst[[#This Row],[QR Suivis]],"_"),1,1)</f>
        <v>CA250058-2</v>
      </c>
      <c r="I898" s="35" t="str">
        <f>_xlfn.TEXTBEFORE(mvtst[[#This Row],[Num Suivis]],"-",,,1)</f>
        <v>CA250058</v>
      </c>
      <c r="J898" s="36">
        <f>SUMIF(mvtst[QR Suivis],mvtst[[#This Row],[QR Suivis]],mvtst[QTE SORTIS])-SUMIF(mvtst[QR Suivis],mvtst[[#This Row],[QR Suivis]],mvtst[QTE RETOUR])</f>
        <v>0</v>
      </c>
      <c r="K898" s="35" t="str">
        <f t="shared" si="13"/>
        <v>Usine</v>
      </c>
      <c r="L898" s="35" t="str">
        <f>_xlfn.XLOOKUP(mvtst[[#This Row],[Sous Traitant]],coordonnee_st[Identification],coordonnee_st[SERVICE],"Non Trouvé")</f>
        <v>Frange</v>
      </c>
      <c r="M898" s="35" t="str">
        <f>INDEX(_xlfn.TEXTSPLIT(mvtst[[#This Row],[QR Suivis]],"_"),1,2)</f>
        <v>All by Fouta</v>
      </c>
      <c r="N898" s="35" t="str">
        <f>INDEX(_xlfn.TEXTSPLIT(mvtst[[#This Row],[QR Suivis]],"_"),1,3)</f>
        <v>Stock</v>
      </c>
      <c r="O898" s="35" t="str">
        <f>INDEX(_xlfn.TEXTSPLIT(mvtst[[#This Row],[QR Suivis]],"_"),1,4)</f>
        <v>UNS1626-31</v>
      </c>
      <c r="P898" s="35" t="str">
        <f>INDEX(_xlfn.TEXTSPLIT(mvtst[[#This Row],[QR Suivis]],"_"),1,5)</f>
        <v>UNI SURPIQUE</v>
      </c>
      <c r="Q898" s="35" t="str">
        <f>_xlfn.TEXTAFTER(mvtst[[#This Row],[QR Suivis]],"_",5)</f>
        <v>1626</v>
      </c>
      <c r="R898" s="84" t="str">
        <f>IF(
   COUNTIFS($A$2:A898,A898,
             $B$2:B898,B898,
             $C$2:C898,C898,
             $D$2:D898,D898,
             $G$2:G898,G898)&gt;1,
   "Doublon",
   "Correcte"
)</f>
        <v>Correcte</v>
      </c>
    </row>
    <row r="899" spans="1:18" x14ac:dyDescent="0.25">
      <c r="A899" s="104" t="s">
        <v>1304</v>
      </c>
      <c r="B899" s="35" t="s">
        <v>712</v>
      </c>
      <c r="C899" s="36">
        <v>0</v>
      </c>
      <c r="D899" s="36">
        <v>5</v>
      </c>
      <c r="E899" s="35" t="s">
        <v>699</v>
      </c>
      <c r="F899" s="35" t="s">
        <v>634</v>
      </c>
      <c r="G899" s="37">
        <v>45930.382233796299</v>
      </c>
      <c r="H899" s="37" t="str">
        <f>INDEX(_xlfn.TEXTSPLIT(mvtst[[#This Row],[QR Suivis]],"_"),1,1)</f>
        <v>CA250026</v>
      </c>
      <c r="I899" s="35" t="str">
        <f>_xlfn.TEXTBEFORE(mvtst[[#This Row],[Num Suivis]],"-",,,1)</f>
        <v>CA250026</v>
      </c>
      <c r="J899" s="36">
        <f>SUMIF(mvtst[QR Suivis],mvtst[[#This Row],[QR Suivis]],mvtst[QTE SORTIS])-SUMIF(mvtst[QR Suivis],mvtst[[#This Row],[QR Suivis]],mvtst[QTE RETOUR])</f>
        <v>0</v>
      </c>
      <c r="K899" s="35" t="str">
        <f t="shared" ref="K899:K962" si="14">"Usine"</f>
        <v>Usine</v>
      </c>
      <c r="L899" s="35" t="str">
        <f>_xlfn.XLOOKUP(mvtst[[#This Row],[Sous Traitant]],coordonnee_st[Identification],coordonnee_st[SERVICE],"Non Trouvé")</f>
        <v>Frange</v>
      </c>
      <c r="M899" s="35" t="str">
        <f>INDEX(_xlfn.TEXTSPLIT(mvtst[[#This Row],[QR Suivis]],"_"),1,2)</f>
        <v>All by Fouta</v>
      </c>
      <c r="N899" s="35" t="str">
        <f>INDEX(_xlfn.TEXTSPLIT(mvtst[[#This Row],[QR Suivis]],"_"),1,3)</f>
        <v>Stock</v>
      </c>
      <c r="O899" s="35" t="str">
        <f>INDEX(_xlfn.TEXTSPLIT(mvtst[[#This Row],[QR Suivis]],"_"),1,4)</f>
        <v>UNS2020-12</v>
      </c>
      <c r="P899" s="35" t="str">
        <f>INDEX(_xlfn.TEXTSPLIT(mvtst[[#This Row],[QR Suivis]],"_"),1,5)</f>
        <v>UNI SURPIQUE</v>
      </c>
      <c r="Q899" s="35" t="str">
        <f>_xlfn.TEXTAFTER(mvtst[[#This Row],[QR Suivis]],"_",5)</f>
        <v>2020</v>
      </c>
      <c r="R899" s="84" t="str">
        <f>IF(
   COUNTIFS($A$2:A899,A899,
             $B$2:B899,B899,
             $C$2:C899,C899,
             $D$2:D899,D899,
             $G$2:G899,G899)&gt;1,
   "Doublon",
   "Correcte"
)</f>
        <v>Correcte</v>
      </c>
    </row>
    <row r="900" spans="1:18" x14ac:dyDescent="0.25">
      <c r="A900" s="104" t="s">
        <v>1693</v>
      </c>
      <c r="B900" s="35" t="s">
        <v>712</v>
      </c>
      <c r="C900" s="36">
        <v>0</v>
      </c>
      <c r="D900" s="36">
        <v>5</v>
      </c>
      <c r="E900" s="35" t="s">
        <v>699</v>
      </c>
      <c r="F900" s="35" t="s">
        <v>634</v>
      </c>
      <c r="G900" s="37">
        <v>45930.382650462961</v>
      </c>
      <c r="H900" s="37" t="str">
        <f>INDEX(_xlfn.TEXTSPLIT(mvtst[[#This Row],[QR Suivis]],"_"),1,1)</f>
        <v>CA250022-2</v>
      </c>
      <c r="I900" s="35" t="str">
        <f>_xlfn.TEXTBEFORE(mvtst[[#This Row],[Num Suivis]],"-",,,1)</f>
        <v>CA250022</v>
      </c>
      <c r="J900" s="36">
        <f>SUMIF(mvtst[QR Suivis],mvtst[[#This Row],[QR Suivis]],mvtst[QTE SORTIS])-SUMIF(mvtst[QR Suivis],mvtst[[#This Row],[QR Suivis]],mvtst[QTE RETOUR])</f>
        <v>0</v>
      </c>
      <c r="K900" s="35" t="str">
        <f t="shared" si="14"/>
        <v>Usine</v>
      </c>
      <c r="L900" s="35" t="str">
        <f>_xlfn.XLOOKUP(mvtst[[#This Row],[Sous Traitant]],coordonnee_st[Identification],coordonnee_st[SERVICE],"Non Trouvé")</f>
        <v>Frange</v>
      </c>
      <c r="M900" s="35" t="str">
        <f>INDEX(_xlfn.TEXTSPLIT(mvtst[[#This Row],[QR Suivis]],"_"),1,2)</f>
        <v>All by Fouta</v>
      </c>
      <c r="N900" s="35" t="str">
        <f>INDEX(_xlfn.TEXTSPLIT(mvtst[[#This Row],[QR Suivis]],"_"),1,3)</f>
        <v>Stock</v>
      </c>
      <c r="O900" s="35" t="str">
        <f>INDEX(_xlfn.TEXTSPLIT(mvtst[[#This Row],[QR Suivis]],"_"),1,4)</f>
        <v>UNS2020-04</v>
      </c>
      <c r="P900" s="35" t="str">
        <f>INDEX(_xlfn.TEXTSPLIT(mvtst[[#This Row],[QR Suivis]],"_"),1,5)</f>
        <v>UNI SURPIQUE</v>
      </c>
      <c r="Q900" s="35" t="str">
        <f>_xlfn.TEXTAFTER(mvtst[[#This Row],[QR Suivis]],"_",5)</f>
        <v>2020</v>
      </c>
      <c r="R900" s="84" t="str">
        <f>IF(
   COUNTIFS($A$2:A900,A900,
             $B$2:B900,B900,
             $C$2:C900,C900,
             $D$2:D900,D900,
             $G$2:G900,G900)&gt;1,
   "Doublon",
   "Correcte"
)</f>
        <v>Correcte</v>
      </c>
    </row>
    <row r="901" spans="1:18" x14ac:dyDescent="0.25">
      <c r="A901" s="104" t="s">
        <v>1694</v>
      </c>
      <c r="B901" s="35" t="s">
        <v>712</v>
      </c>
      <c r="C901" s="36">
        <v>0</v>
      </c>
      <c r="D901" s="36">
        <v>1</v>
      </c>
      <c r="E901" s="35" t="s">
        <v>699</v>
      </c>
      <c r="F901" s="35" t="s">
        <v>634</v>
      </c>
      <c r="G901" s="37">
        <v>45930.382905092592</v>
      </c>
      <c r="H901" s="37" t="str">
        <f>INDEX(_xlfn.TEXTSPLIT(mvtst[[#This Row],[QR Suivis]],"_"),1,1)</f>
        <v>CA250022-7</v>
      </c>
      <c r="I901" s="35" t="str">
        <f>_xlfn.TEXTBEFORE(mvtst[[#This Row],[Num Suivis]],"-",,,1)</f>
        <v>CA250022</v>
      </c>
      <c r="J901" s="36">
        <f>SUMIF(mvtst[QR Suivis],mvtst[[#This Row],[QR Suivis]],mvtst[QTE SORTIS])-SUMIF(mvtst[QR Suivis],mvtst[[#This Row],[QR Suivis]],mvtst[QTE RETOUR])</f>
        <v>0</v>
      </c>
      <c r="K901" s="35" t="str">
        <f t="shared" si="14"/>
        <v>Usine</v>
      </c>
      <c r="L901" s="35" t="str">
        <f>_xlfn.XLOOKUP(mvtst[[#This Row],[Sous Traitant]],coordonnee_st[Identification],coordonnee_st[SERVICE],"Non Trouvé")</f>
        <v>Frange</v>
      </c>
      <c r="M901" s="35" t="str">
        <f>INDEX(_xlfn.TEXTSPLIT(mvtst[[#This Row],[QR Suivis]],"_"),1,2)</f>
        <v>All by Fouta</v>
      </c>
      <c r="N901" s="35" t="str">
        <f>INDEX(_xlfn.TEXTSPLIT(mvtst[[#This Row],[QR Suivis]],"_"),1,3)</f>
        <v>Stock</v>
      </c>
      <c r="O901" s="35" t="str">
        <f>INDEX(_xlfn.TEXTSPLIT(mvtst[[#This Row],[QR Suivis]],"_"),1,4)</f>
        <v>UNS2020-04</v>
      </c>
      <c r="P901" s="35" t="str">
        <f>INDEX(_xlfn.TEXTSPLIT(mvtst[[#This Row],[QR Suivis]],"_"),1,5)</f>
        <v>UNI SURPIQUE</v>
      </c>
      <c r="Q901" s="35" t="str">
        <f>_xlfn.TEXTAFTER(mvtst[[#This Row],[QR Suivis]],"_",5)</f>
        <v>2020</v>
      </c>
      <c r="R901" s="84" t="str">
        <f>IF(
   COUNTIFS($A$2:A901,A901,
             $B$2:B901,B901,
             $C$2:C901,C901,
             $D$2:D901,D901,
             $G$2:G901,G901)&gt;1,
   "Doublon",
   "Correcte"
)</f>
        <v>Correcte</v>
      </c>
    </row>
    <row r="902" spans="1:18" x14ac:dyDescent="0.25">
      <c r="A902" s="104" t="s">
        <v>1681</v>
      </c>
      <c r="B902" s="35" t="s">
        <v>712</v>
      </c>
      <c r="C902" s="36">
        <v>0</v>
      </c>
      <c r="D902" s="36">
        <v>5</v>
      </c>
      <c r="E902" s="35" t="s">
        <v>699</v>
      </c>
      <c r="F902" s="35" t="s">
        <v>634</v>
      </c>
      <c r="G902" s="37">
        <v>45930.383275462962</v>
      </c>
      <c r="H902" s="37" t="str">
        <f>INDEX(_xlfn.TEXTSPLIT(mvtst[[#This Row],[QR Suivis]],"_"),1,1)</f>
        <v>CA250022-4</v>
      </c>
      <c r="I902" s="35" t="str">
        <f>_xlfn.TEXTBEFORE(mvtst[[#This Row],[Num Suivis]],"-",,,1)</f>
        <v>CA250022</v>
      </c>
      <c r="J902" s="36">
        <f>SUMIF(mvtst[QR Suivis],mvtst[[#This Row],[QR Suivis]],mvtst[QTE SORTIS])-SUMIF(mvtst[QR Suivis],mvtst[[#This Row],[QR Suivis]],mvtst[QTE RETOUR])</f>
        <v>0</v>
      </c>
      <c r="K902" s="35" t="str">
        <f t="shared" si="14"/>
        <v>Usine</v>
      </c>
      <c r="L902" s="35" t="str">
        <f>_xlfn.XLOOKUP(mvtst[[#This Row],[Sous Traitant]],coordonnee_st[Identification],coordonnee_st[SERVICE],"Non Trouvé")</f>
        <v>Frange</v>
      </c>
      <c r="M902" s="35" t="str">
        <f>INDEX(_xlfn.TEXTSPLIT(mvtst[[#This Row],[QR Suivis]],"_"),1,2)</f>
        <v>All by Fouta</v>
      </c>
      <c r="N902" s="35" t="str">
        <f>INDEX(_xlfn.TEXTSPLIT(mvtst[[#This Row],[QR Suivis]],"_"),1,3)</f>
        <v>Stock</v>
      </c>
      <c r="O902" s="35" t="str">
        <f>INDEX(_xlfn.TEXTSPLIT(mvtst[[#This Row],[QR Suivis]],"_"),1,4)</f>
        <v>UNS2020-04</v>
      </c>
      <c r="P902" s="35" t="str">
        <f>INDEX(_xlfn.TEXTSPLIT(mvtst[[#This Row],[QR Suivis]],"_"),1,5)</f>
        <v>UNI SURPIQUE</v>
      </c>
      <c r="Q902" s="35" t="str">
        <f>_xlfn.TEXTAFTER(mvtst[[#This Row],[QR Suivis]],"_",5)</f>
        <v>2020</v>
      </c>
      <c r="R902" s="84" t="str">
        <f>IF(
   COUNTIFS($A$2:A902,A902,
             $B$2:B902,B902,
             $C$2:C902,C902,
             $D$2:D902,D902,
             $G$2:G902,G902)&gt;1,
   "Doublon",
   "Correcte"
)</f>
        <v>Correcte</v>
      </c>
    </row>
    <row r="903" spans="1:18" x14ac:dyDescent="0.25">
      <c r="A903" s="104" t="s">
        <v>1305</v>
      </c>
      <c r="B903" s="35" t="s">
        <v>712</v>
      </c>
      <c r="C903" s="36">
        <v>0</v>
      </c>
      <c r="D903" s="36">
        <v>5</v>
      </c>
      <c r="E903" s="35" t="s">
        <v>699</v>
      </c>
      <c r="F903" s="35" t="s">
        <v>634</v>
      </c>
      <c r="G903" s="37">
        <v>45930.383599537039</v>
      </c>
      <c r="H903" s="37" t="str">
        <f>INDEX(_xlfn.TEXTSPLIT(mvtst[[#This Row],[QR Suivis]],"_"),1,1)</f>
        <v>CA250025</v>
      </c>
      <c r="I903" s="35" t="str">
        <f>_xlfn.TEXTBEFORE(mvtst[[#This Row],[Num Suivis]],"-",,,1)</f>
        <v>CA250025</v>
      </c>
      <c r="J903" s="36">
        <f>SUMIF(mvtst[QR Suivis],mvtst[[#This Row],[QR Suivis]],mvtst[QTE SORTIS])-SUMIF(mvtst[QR Suivis],mvtst[[#This Row],[QR Suivis]],mvtst[QTE RETOUR])</f>
        <v>0</v>
      </c>
      <c r="K903" s="35" t="str">
        <f t="shared" si="14"/>
        <v>Usine</v>
      </c>
      <c r="L903" s="35" t="str">
        <f>_xlfn.XLOOKUP(mvtst[[#This Row],[Sous Traitant]],coordonnee_st[Identification],coordonnee_st[SERVICE],"Non Trouvé")</f>
        <v>Frange</v>
      </c>
      <c r="M903" s="35" t="str">
        <f>INDEX(_xlfn.TEXTSPLIT(mvtst[[#This Row],[QR Suivis]],"_"),1,2)</f>
        <v>All by Fouta</v>
      </c>
      <c r="N903" s="35" t="str">
        <f>INDEX(_xlfn.TEXTSPLIT(mvtst[[#This Row],[QR Suivis]],"_"),1,3)</f>
        <v>Stock</v>
      </c>
      <c r="O903" s="35" t="str">
        <f>INDEX(_xlfn.TEXTSPLIT(mvtst[[#This Row],[QR Suivis]],"_"),1,4)</f>
        <v>UNS2020-10</v>
      </c>
      <c r="P903" s="35" t="str">
        <f>INDEX(_xlfn.TEXTSPLIT(mvtst[[#This Row],[QR Suivis]],"_"),1,5)</f>
        <v>UNI SURPIQUE</v>
      </c>
      <c r="Q903" s="35" t="str">
        <f>_xlfn.TEXTAFTER(mvtst[[#This Row],[QR Suivis]],"_",5)</f>
        <v>2020</v>
      </c>
      <c r="R903" s="84" t="str">
        <f>IF(
   COUNTIFS($A$2:A903,A903,
             $B$2:B903,B903,
             $C$2:C903,C903,
             $D$2:D903,D903,
             $G$2:G903,G903)&gt;1,
   "Doublon",
   "Correcte"
)</f>
        <v>Correcte</v>
      </c>
    </row>
    <row r="904" spans="1:18" x14ac:dyDescent="0.25">
      <c r="A904" s="104" t="s">
        <v>1697</v>
      </c>
      <c r="B904" s="35" t="s">
        <v>712</v>
      </c>
      <c r="C904" s="36">
        <v>0</v>
      </c>
      <c r="D904" s="36">
        <v>5</v>
      </c>
      <c r="E904" s="35" t="s">
        <v>699</v>
      </c>
      <c r="F904" s="35" t="s">
        <v>634</v>
      </c>
      <c r="G904" s="37">
        <v>45930.38386574074</v>
      </c>
      <c r="H904" s="37" t="str">
        <f>INDEX(_xlfn.TEXTSPLIT(mvtst[[#This Row],[QR Suivis]],"_"),1,1)</f>
        <v>CA250039-4</v>
      </c>
      <c r="I904" s="35" t="str">
        <f>_xlfn.TEXTBEFORE(mvtst[[#This Row],[Num Suivis]],"-",,,1)</f>
        <v>CA250039</v>
      </c>
      <c r="J904" s="36">
        <f>SUMIF(mvtst[QR Suivis],mvtst[[#This Row],[QR Suivis]],mvtst[QTE SORTIS])-SUMIF(mvtst[QR Suivis],mvtst[[#This Row],[QR Suivis]],mvtst[QTE RETOUR])</f>
        <v>0</v>
      </c>
      <c r="K904" s="35" t="str">
        <f t="shared" si="14"/>
        <v>Usine</v>
      </c>
      <c r="L904" s="35" t="str">
        <f>_xlfn.XLOOKUP(mvtst[[#This Row],[Sous Traitant]],coordonnee_st[Identification],coordonnee_st[SERVICE],"Non Trouvé")</f>
        <v>Frange</v>
      </c>
      <c r="M904" s="35" t="str">
        <f>INDEX(_xlfn.TEXTSPLIT(mvtst[[#This Row],[QR Suivis]],"_"),1,2)</f>
        <v>All by Fouta</v>
      </c>
      <c r="N904" s="35" t="str">
        <f>INDEX(_xlfn.TEXTSPLIT(mvtst[[#This Row],[QR Suivis]],"_"),1,3)</f>
        <v>Stock</v>
      </c>
      <c r="O904" s="35" t="str">
        <f>INDEX(_xlfn.TEXTSPLIT(mvtst[[#This Row],[QR Suivis]],"_"),1,4)</f>
        <v>UNS2020-32</v>
      </c>
      <c r="P904" s="35" t="str">
        <f>INDEX(_xlfn.TEXTSPLIT(mvtst[[#This Row],[QR Suivis]],"_"),1,5)</f>
        <v>UNI SURPIQUE</v>
      </c>
      <c r="Q904" s="35" t="str">
        <f>_xlfn.TEXTAFTER(mvtst[[#This Row],[QR Suivis]],"_",5)</f>
        <v>2020</v>
      </c>
      <c r="R904" s="84" t="str">
        <f>IF(
   COUNTIFS($A$2:A904,A904,
             $B$2:B904,B904,
             $C$2:C904,C904,
             $D$2:D904,D904,
             $G$2:G904,G904)&gt;1,
   "Doublon",
   "Correcte"
)</f>
        <v>Correcte</v>
      </c>
    </row>
    <row r="905" spans="1:18" x14ac:dyDescent="0.25">
      <c r="A905" s="104" t="s">
        <v>1702</v>
      </c>
      <c r="B905" s="35" t="s">
        <v>712</v>
      </c>
      <c r="C905" s="36">
        <v>0</v>
      </c>
      <c r="D905" s="36">
        <v>1</v>
      </c>
      <c r="E905" s="35" t="s">
        <v>699</v>
      </c>
      <c r="F905" s="35" t="s">
        <v>634</v>
      </c>
      <c r="G905" s="37">
        <v>45930.384097222224</v>
      </c>
      <c r="H905" s="37" t="str">
        <f>INDEX(_xlfn.TEXTSPLIT(mvtst[[#This Row],[QR Suivis]],"_"),1,1)</f>
        <v>CA250032-7</v>
      </c>
      <c r="I905" s="35" t="str">
        <f>_xlfn.TEXTBEFORE(mvtst[[#This Row],[Num Suivis]],"-",,,1)</f>
        <v>CA250032</v>
      </c>
      <c r="J905" s="36">
        <f>SUMIF(mvtst[QR Suivis],mvtst[[#This Row],[QR Suivis]],mvtst[QTE SORTIS])-SUMIF(mvtst[QR Suivis],mvtst[[#This Row],[QR Suivis]],mvtst[QTE RETOUR])</f>
        <v>0</v>
      </c>
      <c r="K905" s="35" t="str">
        <f t="shared" si="14"/>
        <v>Usine</v>
      </c>
      <c r="L905" s="35" t="str">
        <f>_xlfn.XLOOKUP(mvtst[[#This Row],[Sous Traitant]],coordonnee_st[Identification],coordonnee_st[SERVICE],"Non Trouvé")</f>
        <v>Frange</v>
      </c>
      <c r="M905" s="35" t="str">
        <f>INDEX(_xlfn.TEXTSPLIT(mvtst[[#This Row],[QR Suivis]],"_"),1,2)</f>
        <v>All by Fouta</v>
      </c>
      <c r="N905" s="35" t="str">
        <f>INDEX(_xlfn.TEXTSPLIT(mvtst[[#This Row],[QR Suivis]],"_"),1,3)</f>
        <v>Stock</v>
      </c>
      <c r="O905" s="35" t="str">
        <f>INDEX(_xlfn.TEXTSPLIT(mvtst[[#This Row],[QR Suivis]],"_"),1,4)</f>
        <v>UNS2020-20</v>
      </c>
      <c r="P905" s="35" t="str">
        <f>INDEX(_xlfn.TEXTSPLIT(mvtst[[#This Row],[QR Suivis]],"_"),1,5)</f>
        <v>UNI SURPIQUE</v>
      </c>
      <c r="Q905" s="35" t="str">
        <f>_xlfn.TEXTAFTER(mvtst[[#This Row],[QR Suivis]],"_",5)</f>
        <v>2020</v>
      </c>
      <c r="R905" s="84" t="str">
        <f>IF(
   COUNTIFS($A$2:A905,A905,
             $B$2:B905,B905,
             $C$2:C905,C905,
             $D$2:D905,D905,
             $G$2:G905,G905)&gt;1,
   "Doublon",
   "Correcte"
)</f>
        <v>Correcte</v>
      </c>
    </row>
    <row r="906" spans="1:18" x14ac:dyDescent="0.25">
      <c r="A906" s="104" t="s">
        <v>1698</v>
      </c>
      <c r="B906" s="35" t="s">
        <v>712</v>
      </c>
      <c r="C906" s="36">
        <v>0</v>
      </c>
      <c r="D906" s="36">
        <v>5</v>
      </c>
      <c r="E906" s="35" t="s">
        <v>699</v>
      </c>
      <c r="F906" s="35" t="s">
        <v>634</v>
      </c>
      <c r="G906" s="37">
        <v>45930.384363425925</v>
      </c>
      <c r="H906" s="37" t="str">
        <f>INDEX(_xlfn.TEXTSPLIT(mvtst[[#This Row],[QR Suivis]],"_"),1,1)</f>
        <v>CA250039-1</v>
      </c>
      <c r="I906" s="35" t="str">
        <f>_xlfn.TEXTBEFORE(mvtst[[#This Row],[Num Suivis]],"-",,,1)</f>
        <v>CA250039</v>
      </c>
      <c r="J906" s="36">
        <f>SUMIF(mvtst[QR Suivis],mvtst[[#This Row],[QR Suivis]],mvtst[QTE SORTIS])-SUMIF(mvtst[QR Suivis],mvtst[[#This Row],[QR Suivis]],mvtst[QTE RETOUR])</f>
        <v>0</v>
      </c>
      <c r="K906" s="35" t="str">
        <f t="shared" si="14"/>
        <v>Usine</v>
      </c>
      <c r="L906" s="35" t="str">
        <f>_xlfn.XLOOKUP(mvtst[[#This Row],[Sous Traitant]],coordonnee_st[Identification],coordonnee_st[SERVICE],"Non Trouvé")</f>
        <v>Frange</v>
      </c>
      <c r="M906" s="35" t="str">
        <f>INDEX(_xlfn.TEXTSPLIT(mvtst[[#This Row],[QR Suivis]],"_"),1,2)</f>
        <v>All by Fouta</v>
      </c>
      <c r="N906" s="35" t="str">
        <f>INDEX(_xlfn.TEXTSPLIT(mvtst[[#This Row],[QR Suivis]],"_"),1,3)</f>
        <v>Stock</v>
      </c>
      <c r="O906" s="35" t="str">
        <f>INDEX(_xlfn.TEXTSPLIT(mvtst[[#This Row],[QR Suivis]],"_"),1,4)</f>
        <v>UNS2020-32</v>
      </c>
      <c r="P906" s="35" t="str">
        <f>INDEX(_xlfn.TEXTSPLIT(mvtst[[#This Row],[QR Suivis]],"_"),1,5)</f>
        <v>UNI SURPIQUE</v>
      </c>
      <c r="Q906" s="35" t="str">
        <f>_xlfn.TEXTAFTER(mvtst[[#This Row],[QR Suivis]],"_",5)</f>
        <v>2020</v>
      </c>
      <c r="R906" s="84" t="str">
        <f>IF(
   COUNTIFS($A$2:A906,A906,
             $B$2:B906,B906,
             $C$2:C906,C906,
             $D$2:D906,D906,
             $G$2:G906,G906)&gt;1,
   "Doublon",
   "Correcte"
)</f>
        <v>Correcte</v>
      </c>
    </row>
    <row r="907" spans="1:18" x14ac:dyDescent="0.25">
      <c r="A907" s="104" t="s">
        <v>1724</v>
      </c>
      <c r="B907" s="35" t="s">
        <v>712</v>
      </c>
      <c r="C907" s="36">
        <v>0</v>
      </c>
      <c r="D907" s="36">
        <v>5</v>
      </c>
      <c r="E907" s="35" t="s">
        <v>699</v>
      </c>
      <c r="F907" s="35" t="s">
        <v>634</v>
      </c>
      <c r="G907" s="37">
        <v>45930.464942129627</v>
      </c>
      <c r="H907" s="37" t="str">
        <f>INDEX(_xlfn.TEXTSPLIT(mvtst[[#This Row],[QR Suivis]],"_"),1,1)</f>
        <v>CA250049-3</v>
      </c>
      <c r="I907" s="35" t="str">
        <f>_xlfn.TEXTBEFORE(mvtst[[#This Row],[Num Suivis]],"-",,,1)</f>
        <v>CA250049</v>
      </c>
      <c r="J907" s="36">
        <f>SUMIF(mvtst[QR Suivis],mvtst[[#This Row],[QR Suivis]],mvtst[QTE SORTIS])-SUMIF(mvtst[QR Suivis],mvtst[[#This Row],[QR Suivis]],mvtst[QTE RETOUR])</f>
        <v>0</v>
      </c>
      <c r="K907" s="35" t="str">
        <f t="shared" si="14"/>
        <v>Usine</v>
      </c>
      <c r="L907" s="35" t="str">
        <f>_xlfn.XLOOKUP(mvtst[[#This Row],[Sous Traitant]],coordonnee_st[Identification],coordonnee_st[SERVICE],"Non Trouvé")</f>
        <v>Frange</v>
      </c>
      <c r="M907" s="35" t="str">
        <f>INDEX(_xlfn.TEXTSPLIT(mvtst[[#This Row],[QR Suivis]],"_"),1,2)</f>
        <v>All by Fouta</v>
      </c>
      <c r="N907" s="35" t="str">
        <f>INDEX(_xlfn.TEXTSPLIT(mvtst[[#This Row],[QR Suivis]],"_"),1,3)</f>
        <v>Stock</v>
      </c>
      <c r="O907" s="35" t="str">
        <f>INDEX(_xlfn.TEXTSPLIT(mvtst[[#This Row],[QR Suivis]],"_"),1,4)</f>
        <v>UNS1626-17</v>
      </c>
      <c r="P907" s="35" t="str">
        <f>INDEX(_xlfn.TEXTSPLIT(mvtst[[#This Row],[QR Suivis]],"_"),1,5)</f>
        <v>UNI SURPIQUE</v>
      </c>
      <c r="Q907" s="35" t="str">
        <f>_xlfn.TEXTAFTER(mvtst[[#This Row],[QR Suivis]],"_",5)</f>
        <v>1626</v>
      </c>
      <c r="R907" s="84" t="str">
        <f>IF(
   COUNTIFS($A$2:A907,A907,
             $B$2:B907,B907,
             $C$2:C907,C907,
             $D$2:D907,D907,
             $G$2:G907,G907)&gt;1,
   "Doublon",
   "Correcte"
)</f>
        <v>Correcte</v>
      </c>
    </row>
    <row r="908" spans="1:18" x14ac:dyDescent="0.25">
      <c r="A908" s="104" t="s">
        <v>1703</v>
      </c>
      <c r="B908" s="35" t="s">
        <v>712</v>
      </c>
      <c r="C908" s="36">
        <v>0</v>
      </c>
      <c r="D908" s="36">
        <v>5</v>
      </c>
      <c r="E908" s="35" t="s">
        <v>699</v>
      </c>
      <c r="F908" s="35" t="s">
        <v>634</v>
      </c>
      <c r="G908" s="37">
        <v>45930.465104166666</v>
      </c>
      <c r="H908" s="37" t="str">
        <f>INDEX(_xlfn.TEXTSPLIT(mvtst[[#This Row],[QR Suivis]],"_"),1,1)</f>
        <v>CA250032-6</v>
      </c>
      <c r="I908" s="35" t="str">
        <f>_xlfn.TEXTBEFORE(mvtst[[#This Row],[Num Suivis]],"-",,,1)</f>
        <v>CA250032</v>
      </c>
      <c r="J908" s="36">
        <f>SUMIF(mvtst[QR Suivis],mvtst[[#This Row],[QR Suivis]],mvtst[QTE SORTIS])-SUMIF(mvtst[QR Suivis],mvtst[[#This Row],[QR Suivis]],mvtst[QTE RETOUR])</f>
        <v>0</v>
      </c>
      <c r="K908" s="35" t="str">
        <f t="shared" si="14"/>
        <v>Usine</v>
      </c>
      <c r="L908" s="35" t="str">
        <f>_xlfn.XLOOKUP(mvtst[[#This Row],[Sous Traitant]],coordonnee_st[Identification],coordonnee_st[SERVICE],"Non Trouvé")</f>
        <v>Frange</v>
      </c>
      <c r="M908" s="35" t="str">
        <f>INDEX(_xlfn.TEXTSPLIT(mvtst[[#This Row],[QR Suivis]],"_"),1,2)</f>
        <v>All by Fouta</v>
      </c>
      <c r="N908" s="35" t="str">
        <f>INDEX(_xlfn.TEXTSPLIT(mvtst[[#This Row],[QR Suivis]],"_"),1,3)</f>
        <v>Stock</v>
      </c>
      <c r="O908" s="35" t="str">
        <f>INDEX(_xlfn.TEXTSPLIT(mvtst[[#This Row],[QR Suivis]],"_"),1,4)</f>
        <v>UNS2020-20</v>
      </c>
      <c r="P908" s="35" t="str">
        <f>INDEX(_xlfn.TEXTSPLIT(mvtst[[#This Row],[QR Suivis]],"_"),1,5)</f>
        <v>UNI SURPIQUE</v>
      </c>
      <c r="Q908" s="35" t="str">
        <f>_xlfn.TEXTAFTER(mvtst[[#This Row],[QR Suivis]],"_",5)</f>
        <v>2020</v>
      </c>
      <c r="R908" s="84" t="str">
        <f>IF(
   COUNTIFS($A$2:A908,A908,
             $B$2:B908,B908,
             $C$2:C908,C908,
             $D$2:D908,D908,
             $G$2:G908,G908)&gt;1,
   "Doublon",
   "Correcte"
)</f>
        <v>Correcte</v>
      </c>
    </row>
    <row r="909" spans="1:18" x14ac:dyDescent="0.25">
      <c r="A909" s="104" t="s">
        <v>1304</v>
      </c>
      <c r="B909" s="35" t="s">
        <v>712</v>
      </c>
      <c r="C909" s="36">
        <v>0</v>
      </c>
      <c r="D909" s="36">
        <v>4</v>
      </c>
      <c r="E909" s="35" t="s">
        <v>699</v>
      </c>
      <c r="F909" s="35" t="s">
        <v>634</v>
      </c>
      <c r="G909" s="37">
        <v>45930.465462962966</v>
      </c>
      <c r="H909" s="37" t="str">
        <f>INDEX(_xlfn.TEXTSPLIT(mvtst[[#This Row],[QR Suivis]],"_"),1,1)</f>
        <v>CA250026</v>
      </c>
      <c r="I909" s="35" t="str">
        <f>_xlfn.TEXTBEFORE(mvtst[[#This Row],[Num Suivis]],"-",,,1)</f>
        <v>CA250026</v>
      </c>
      <c r="J909" s="36">
        <f>SUMIF(mvtst[QR Suivis],mvtst[[#This Row],[QR Suivis]],mvtst[QTE SORTIS])-SUMIF(mvtst[QR Suivis],mvtst[[#This Row],[QR Suivis]],mvtst[QTE RETOUR])</f>
        <v>0</v>
      </c>
      <c r="K909" s="35" t="str">
        <f t="shared" si="14"/>
        <v>Usine</v>
      </c>
      <c r="L909" s="35" t="str">
        <f>_xlfn.XLOOKUP(mvtst[[#This Row],[Sous Traitant]],coordonnee_st[Identification],coordonnee_st[SERVICE],"Non Trouvé")</f>
        <v>Frange</v>
      </c>
      <c r="M909" s="35" t="str">
        <f>INDEX(_xlfn.TEXTSPLIT(mvtst[[#This Row],[QR Suivis]],"_"),1,2)</f>
        <v>All by Fouta</v>
      </c>
      <c r="N909" s="35" t="str">
        <f>INDEX(_xlfn.TEXTSPLIT(mvtst[[#This Row],[QR Suivis]],"_"),1,3)</f>
        <v>Stock</v>
      </c>
      <c r="O909" s="35" t="str">
        <f>INDEX(_xlfn.TEXTSPLIT(mvtst[[#This Row],[QR Suivis]],"_"),1,4)</f>
        <v>UNS2020-12</v>
      </c>
      <c r="P909" s="35" t="str">
        <f>INDEX(_xlfn.TEXTSPLIT(mvtst[[#This Row],[QR Suivis]],"_"),1,5)</f>
        <v>UNI SURPIQUE</v>
      </c>
      <c r="Q909" s="35" t="str">
        <f>_xlfn.TEXTAFTER(mvtst[[#This Row],[QR Suivis]],"_",5)</f>
        <v>2020</v>
      </c>
      <c r="R909" s="84" t="str">
        <f>IF(
   COUNTIFS($A$2:A909,A909,
             $B$2:B909,B909,
             $C$2:C909,C909,
             $D$2:D909,D909,
             $G$2:G909,G909)&gt;1,
   "Doublon",
   "Correcte"
)</f>
        <v>Correcte</v>
      </c>
    </row>
    <row r="910" spans="1:18" x14ac:dyDescent="0.25">
      <c r="A910" s="104" t="s">
        <v>1699</v>
      </c>
      <c r="B910" s="35" t="s">
        <v>712</v>
      </c>
      <c r="C910" s="36">
        <v>0</v>
      </c>
      <c r="D910" s="36">
        <v>5</v>
      </c>
      <c r="E910" s="35" t="s">
        <v>699</v>
      </c>
      <c r="F910" s="35" t="s">
        <v>634</v>
      </c>
      <c r="G910" s="37">
        <v>45930.465671296297</v>
      </c>
      <c r="H910" s="37" t="str">
        <f>INDEX(_xlfn.TEXTSPLIT(mvtst[[#This Row],[QR Suivis]],"_"),1,1)</f>
        <v>CA250039-3</v>
      </c>
      <c r="I910" s="35" t="str">
        <f>_xlfn.TEXTBEFORE(mvtst[[#This Row],[Num Suivis]],"-",,,1)</f>
        <v>CA250039</v>
      </c>
      <c r="J910" s="36">
        <f>SUMIF(mvtst[QR Suivis],mvtst[[#This Row],[QR Suivis]],mvtst[QTE SORTIS])-SUMIF(mvtst[QR Suivis],mvtst[[#This Row],[QR Suivis]],mvtst[QTE RETOUR])</f>
        <v>0</v>
      </c>
      <c r="K910" s="35" t="str">
        <f t="shared" si="14"/>
        <v>Usine</v>
      </c>
      <c r="L910" s="35" t="str">
        <f>_xlfn.XLOOKUP(mvtst[[#This Row],[Sous Traitant]],coordonnee_st[Identification],coordonnee_st[SERVICE],"Non Trouvé")</f>
        <v>Frange</v>
      </c>
      <c r="M910" s="35" t="str">
        <f>INDEX(_xlfn.TEXTSPLIT(mvtst[[#This Row],[QR Suivis]],"_"),1,2)</f>
        <v>All by Fouta</v>
      </c>
      <c r="N910" s="35" t="str">
        <f>INDEX(_xlfn.TEXTSPLIT(mvtst[[#This Row],[QR Suivis]],"_"),1,3)</f>
        <v>Stock</v>
      </c>
      <c r="O910" s="35" t="str">
        <f>INDEX(_xlfn.TEXTSPLIT(mvtst[[#This Row],[QR Suivis]],"_"),1,4)</f>
        <v>UNS2020-32</v>
      </c>
      <c r="P910" s="35" t="str">
        <f>INDEX(_xlfn.TEXTSPLIT(mvtst[[#This Row],[QR Suivis]],"_"),1,5)</f>
        <v>UNI SURPIQUE</v>
      </c>
      <c r="Q910" s="35" t="str">
        <f>_xlfn.TEXTAFTER(mvtst[[#This Row],[QR Suivis]],"_",5)</f>
        <v>2020</v>
      </c>
      <c r="R910" s="84" t="str">
        <f>IF(
   COUNTIFS($A$2:A910,A910,
             $B$2:B910,B910,
             $C$2:C910,C910,
             $D$2:D910,D910,
             $G$2:G910,G910)&gt;1,
   "Doublon",
   "Correcte"
)</f>
        <v>Correcte</v>
      </c>
    </row>
    <row r="911" spans="1:18" x14ac:dyDescent="0.25">
      <c r="A911" s="104" t="s">
        <v>1679</v>
      </c>
      <c r="B911" s="35" t="s">
        <v>712</v>
      </c>
      <c r="C911" s="36">
        <v>0</v>
      </c>
      <c r="D911" s="36">
        <v>5</v>
      </c>
      <c r="E911" s="35" t="s">
        <v>699</v>
      </c>
      <c r="F911" s="35" t="s">
        <v>634</v>
      </c>
      <c r="G911" s="37">
        <v>45930.46601851852</v>
      </c>
      <c r="H911" s="37" t="str">
        <f>INDEX(_xlfn.TEXTSPLIT(mvtst[[#This Row],[QR Suivis]],"_"),1,1)</f>
        <v>CA250021-2</v>
      </c>
      <c r="I911" s="35" t="str">
        <f>_xlfn.TEXTBEFORE(mvtst[[#This Row],[Num Suivis]],"-",,,1)</f>
        <v>CA250021</v>
      </c>
      <c r="J911" s="36">
        <f>SUMIF(mvtst[QR Suivis],mvtst[[#This Row],[QR Suivis]],mvtst[QTE SORTIS])-SUMIF(mvtst[QR Suivis],mvtst[[#This Row],[QR Suivis]],mvtst[QTE RETOUR])</f>
        <v>0</v>
      </c>
      <c r="K911" s="35" t="str">
        <f t="shared" si="14"/>
        <v>Usine</v>
      </c>
      <c r="L911" s="35" t="str">
        <f>_xlfn.XLOOKUP(mvtst[[#This Row],[Sous Traitant]],coordonnee_st[Identification],coordonnee_st[SERVICE],"Non Trouvé")</f>
        <v>Frange</v>
      </c>
      <c r="M911" s="35" t="str">
        <f>INDEX(_xlfn.TEXTSPLIT(mvtst[[#This Row],[QR Suivis]],"_"),1,2)</f>
        <v>All by Fouta</v>
      </c>
      <c r="N911" s="35" t="str">
        <f>INDEX(_xlfn.TEXTSPLIT(mvtst[[#This Row],[QR Suivis]],"_"),1,3)</f>
        <v>Stock</v>
      </c>
      <c r="O911" s="35" t="str">
        <f>INDEX(_xlfn.TEXTSPLIT(mvtst[[#This Row],[QR Suivis]],"_"),1,4)</f>
        <v>UNS2020-03</v>
      </c>
      <c r="P911" s="35" t="str">
        <f>INDEX(_xlfn.TEXTSPLIT(mvtst[[#This Row],[QR Suivis]],"_"),1,5)</f>
        <v>UNI SURPIQUE</v>
      </c>
      <c r="Q911" s="35" t="str">
        <f>_xlfn.TEXTAFTER(mvtst[[#This Row],[QR Suivis]],"_",5)</f>
        <v>2020</v>
      </c>
      <c r="R911" s="84" t="str">
        <f>IF(
   COUNTIFS($A$2:A911,A911,
             $B$2:B911,B911,
             $C$2:C911,C911,
             $D$2:D911,D911,
             $G$2:G911,G911)&gt;1,
   "Doublon",
   "Correcte"
)</f>
        <v>Correcte</v>
      </c>
    </row>
    <row r="912" spans="1:18" x14ac:dyDescent="0.25">
      <c r="A912" s="104" t="s">
        <v>1591</v>
      </c>
      <c r="B912" s="35" t="s">
        <v>712</v>
      </c>
      <c r="C912" s="36">
        <v>0</v>
      </c>
      <c r="D912" s="36">
        <v>5</v>
      </c>
      <c r="E912" s="35" t="s">
        <v>699</v>
      </c>
      <c r="F912" s="35" t="s">
        <v>634</v>
      </c>
      <c r="G912" s="37">
        <v>45930.466574074075</v>
      </c>
      <c r="H912" s="37" t="str">
        <f>INDEX(_xlfn.TEXTSPLIT(mvtst[[#This Row],[QR Suivis]],"_"),1,1)</f>
        <v>CA250071-4</v>
      </c>
      <c r="I912" s="35" t="str">
        <f>_xlfn.TEXTBEFORE(mvtst[[#This Row],[Num Suivis]],"-",,,1)</f>
        <v>CA250071</v>
      </c>
      <c r="J912" s="36">
        <f>SUMIF(mvtst[QR Suivis],mvtst[[#This Row],[QR Suivis]],mvtst[QTE SORTIS])-SUMIF(mvtst[QR Suivis],mvtst[[#This Row],[QR Suivis]],mvtst[QTE RETOUR])</f>
        <v>0</v>
      </c>
      <c r="K912" s="35" t="str">
        <f t="shared" si="14"/>
        <v>Usine</v>
      </c>
      <c r="L912" s="35" t="str">
        <f>_xlfn.XLOOKUP(mvtst[[#This Row],[Sous Traitant]],coordonnee_st[Identification],coordonnee_st[SERVICE],"Non Trouvé")</f>
        <v>Frange</v>
      </c>
      <c r="M912" s="35" t="str">
        <f>INDEX(_xlfn.TEXTSPLIT(mvtst[[#This Row],[QR Suivis]],"_"),1,2)</f>
        <v>All by Fouta</v>
      </c>
      <c r="N912" s="35" t="str">
        <f>INDEX(_xlfn.TEXTSPLIT(mvtst[[#This Row],[QR Suivis]],"_"),1,3)</f>
        <v>Stock</v>
      </c>
      <c r="O912" s="35" t="str">
        <f>INDEX(_xlfn.TEXTSPLIT(mvtst[[#This Row],[QR Suivis]],"_"),1,4)</f>
        <v>UNS2030-19</v>
      </c>
      <c r="P912" s="35" t="str">
        <f>INDEX(_xlfn.TEXTSPLIT(mvtst[[#This Row],[QR Suivis]],"_"),1,5)</f>
        <v>UNI SURPIQUE</v>
      </c>
      <c r="Q912" s="35" t="str">
        <f>_xlfn.TEXTAFTER(mvtst[[#This Row],[QR Suivis]],"_",5)</f>
        <v>2030</v>
      </c>
      <c r="R912" s="84" t="str">
        <f>IF(
   COUNTIFS($A$2:A912,A912,
             $B$2:B912,B912,
             $C$2:C912,C912,
             $D$2:D912,D912,
             $G$2:G912,G912)&gt;1,
   "Doublon",
   "Correcte"
)</f>
        <v>Correcte</v>
      </c>
    </row>
    <row r="913" spans="1:18" x14ac:dyDescent="0.25">
      <c r="A913" s="104" t="s">
        <v>1305</v>
      </c>
      <c r="B913" s="35" t="s">
        <v>712</v>
      </c>
      <c r="C913" s="36">
        <v>0</v>
      </c>
      <c r="D913" s="36">
        <v>5</v>
      </c>
      <c r="E913" s="35" t="s">
        <v>699</v>
      </c>
      <c r="F913" s="35" t="s">
        <v>634</v>
      </c>
      <c r="G913" s="37">
        <v>45930.466921296298</v>
      </c>
      <c r="H913" s="37" t="str">
        <f>INDEX(_xlfn.TEXTSPLIT(mvtst[[#This Row],[QR Suivis]],"_"),1,1)</f>
        <v>CA250025</v>
      </c>
      <c r="I913" s="35" t="str">
        <f>_xlfn.TEXTBEFORE(mvtst[[#This Row],[Num Suivis]],"-",,,1)</f>
        <v>CA250025</v>
      </c>
      <c r="J913" s="36">
        <f>SUMIF(mvtst[QR Suivis],mvtst[[#This Row],[QR Suivis]],mvtst[QTE SORTIS])-SUMIF(mvtst[QR Suivis],mvtst[[#This Row],[QR Suivis]],mvtst[QTE RETOUR])</f>
        <v>0</v>
      </c>
      <c r="K913" s="35" t="str">
        <f t="shared" si="14"/>
        <v>Usine</v>
      </c>
      <c r="L913" s="35" t="str">
        <f>_xlfn.XLOOKUP(mvtst[[#This Row],[Sous Traitant]],coordonnee_st[Identification],coordonnee_st[SERVICE],"Non Trouvé")</f>
        <v>Frange</v>
      </c>
      <c r="M913" s="35" t="str">
        <f>INDEX(_xlfn.TEXTSPLIT(mvtst[[#This Row],[QR Suivis]],"_"),1,2)</f>
        <v>All by Fouta</v>
      </c>
      <c r="N913" s="35" t="str">
        <f>INDEX(_xlfn.TEXTSPLIT(mvtst[[#This Row],[QR Suivis]],"_"),1,3)</f>
        <v>Stock</v>
      </c>
      <c r="O913" s="35" t="str">
        <f>INDEX(_xlfn.TEXTSPLIT(mvtst[[#This Row],[QR Suivis]],"_"),1,4)</f>
        <v>UNS2020-10</v>
      </c>
      <c r="P913" s="35" t="str">
        <f>INDEX(_xlfn.TEXTSPLIT(mvtst[[#This Row],[QR Suivis]],"_"),1,5)</f>
        <v>UNI SURPIQUE</v>
      </c>
      <c r="Q913" s="35" t="str">
        <f>_xlfn.TEXTAFTER(mvtst[[#This Row],[QR Suivis]],"_",5)</f>
        <v>2020</v>
      </c>
      <c r="R913" s="84" t="str">
        <f>IF(
   COUNTIFS($A$2:A913,A913,
             $B$2:B913,B913,
             $C$2:C913,C913,
             $D$2:D913,D913,
             $G$2:G913,G913)&gt;1,
   "Doublon",
   "Correcte"
)</f>
        <v>Correcte</v>
      </c>
    </row>
    <row r="914" spans="1:18" x14ac:dyDescent="0.25">
      <c r="A914" s="104" t="s">
        <v>1304</v>
      </c>
      <c r="B914" s="35" t="s">
        <v>712</v>
      </c>
      <c r="C914" s="36">
        <v>0</v>
      </c>
      <c r="D914" s="36">
        <v>5</v>
      </c>
      <c r="E914" s="35" t="s">
        <v>699</v>
      </c>
      <c r="F914" s="35" t="s">
        <v>634</v>
      </c>
      <c r="G914" s="37">
        <v>45930.467187499999</v>
      </c>
      <c r="H914" s="37" t="str">
        <f>INDEX(_xlfn.TEXTSPLIT(mvtst[[#This Row],[QR Suivis]],"_"),1,1)</f>
        <v>CA250026</v>
      </c>
      <c r="I914" s="35" t="str">
        <f>_xlfn.TEXTBEFORE(mvtst[[#This Row],[Num Suivis]],"-",,,1)</f>
        <v>CA250026</v>
      </c>
      <c r="J914" s="36">
        <f>SUMIF(mvtst[QR Suivis],mvtst[[#This Row],[QR Suivis]],mvtst[QTE SORTIS])-SUMIF(mvtst[QR Suivis],mvtst[[#This Row],[QR Suivis]],mvtst[QTE RETOUR])</f>
        <v>0</v>
      </c>
      <c r="K914" s="35" t="str">
        <f t="shared" si="14"/>
        <v>Usine</v>
      </c>
      <c r="L914" s="35" t="str">
        <f>_xlfn.XLOOKUP(mvtst[[#This Row],[Sous Traitant]],coordonnee_st[Identification],coordonnee_st[SERVICE],"Non Trouvé")</f>
        <v>Frange</v>
      </c>
      <c r="M914" s="35" t="str">
        <f>INDEX(_xlfn.TEXTSPLIT(mvtst[[#This Row],[QR Suivis]],"_"),1,2)</f>
        <v>All by Fouta</v>
      </c>
      <c r="N914" s="35" t="str">
        <f>INDEX(_xlfn.TEXTSPLIT(mvtst[[#This Row],[QR Suivis]],"_"),1,3)</f>
        <v>Stock</v>
      </c>
      <c r="O914" s="35" t="str">
        <f>INDEX(_xlfn.TEXTSPLIT(mvtst[[#This Row],[QR Suivis]],"_"),1,4)</f>
        <v>UNS2020-12</v>
      </c>
      <c r="P914" s="35" t="str">
        <f>INDEX(_xlfn.TEXTSPLIT(mvtst[[#This Row],[QR Suivis]],"_"),1,5)</f>
        <v>UNI SURPIQUE</v>
      </c>
      <c r="Q914" s="35" t="str">
        <f>_xlfn.TEXTAFTER(mvtst[[#This Row],[QR Suivis]],"_",5)</f>
        <v>2020</v>
      </c>
      <c r="R914" s="84" t="str">
        <f>IF(
   COUNTIFS($A$2:A914,A914,
             $B$2:B914,B914,
             $C$2:C914,C914,
             $D$2:D914,D914,
             $G$2:G914,G914)&gt;1,
   "Doublon",
   "Correcte"
)</f>
        <v>Correcte</v>
      </c>
    </row>
    <row r="915" spans="1:18" x14ac:dyDescent="0.25">
      <c r="A915" s="104" t="s">
        <v>1704</v>
      </c>
      <c r="B915" s="35" t="s">
        <v>712</v>
      </c>
      <c r="C915" s="36">
        <v>0</v>
      </c>
      <c r="D915" s="36">
        <v>5</v>
      </c>
      <c r="E915" s="35" t="s">
        <v>699</v>
      </c>
      <c r="F915" s="35" t="s">
        <v>634</v>
      </c>
      <c r="G915" s="37">
        <v>45930.467407407406</v>
      </c>
      <c r="H915" s="37" t="str">
        <f>INDEX(_xlfn.TEXTSPLIT(mvtst[[#This Row],[QR Suivis]],"_"),1,1)</f>
        <v>CA250032-5</v>
      </c>
      <c r="I915" s="35" t="str">
        <f>_xlfn.TEXTBEFORE(mvtst[[#This Row],[Num Suivis]],"-",,,1)</f>
        <v>CA250032</v>
      </c>
      <c r="J915" s="36">
        <f>SUMIF(mvtst[QR Suivis],mvtst[[#This Row],[QR Suivis]],mvtst[QTE SORTIS])-SUMIF(mvtst[QR Suivis],mvtst[[#This Row],[QR Suivis]],mvtst[QTE RETOUR])</f>
        <v>0</v>
      </c>
      <c r="K915" s="35" t="str">
        <f t="shared" si="14"/>
        <v>Usine</v>
      </c>
      <c r="L915" s="35" t="str">
        <f>_xlfn.XLOOKUP(mvtst[[#This Row],[Sous Traitant]],coordonnee_st[Identification],coordonnee_st[SERVICE],"Non Trouvé")</f>
        <v>Frange</v>
      </c>
      <c r="M915" s="35" t="str">
        <f>INDEX(_xlfn.TEXTSPLIT(mvtst[[#This Row],[QR Suivis]],"_"),1,2)</f>
        <v>All by Fouta</v>
      </c>
      <c r="N915" s="35" t="str">
        <f>INDEX(_xlfn.TEXTSPLIT(mvtst[[#This Row],[QR Suivis]],"_"),1,3)</f>
        <v>Stock</v>
      </c>
      <c r="O915" s="35" t="str">
        <f>INDEX(_xlfn.TEXTSPLIT(mvtst[[#This Row],[QR Suivis]],"_"),1,4)</f>
        <v>UNS2020-20</v>
      </c>
      <c r="P915" s="35" t="str">
        <f>INDEX(_xlfn.TEXTSPLIT(mvtst[[#This Row],[QR Suivis]],"_"),1,5)</f>
        <v>UNI SURPIQUE</v>
      </c>
      <c r="Q915" s="35" t="str">
        <f>_xlfn.TEXTAFTER(mvtst[[#This Row],[QR Suivis]],"_",5)</f>
        <v>2020</v>
      </c>
      <c r="R915" s="84" t="str">
        <f>IF(
   COUNTIFS($A$2:A915,A915,
             $B$2:B915,B915,
             $C$2:C915,C915,
             $D$2:D915,D915,
             $G$2:G915,G915)&gt;1,
   "Doublon",
   "Correcte"
)</f>
        <v>Correcte</v>
      </c>
    </row>
    <row r="916" spans="1:18" x14ac:dyDescent="0.25">
      <c r="A916" s="104" t="s">
        <v>1717</v>
      </c>
      <c r="B916" s="35" t="s">
        <v>712</v>
      </c>
      <c r="C916" s="36">
        <v>0</v>
      </c>
      <c r="D916" s="36">
        <v>5</v>
      </c>
      <c r="E916" s="35" t="s">
        <v>699</v>
      </c>
      <c r="F916" s="35" t="s">
        <v>634</v>
      </c>
      <c r="G916" s="37">
        <v>45930.467615740738</v>
      </c>
      <c r="H916" s="37" t="str">
        <f>INDEX(_xlfn.TEXTSPLIT(mvtst[[#This Row],[QR Suivis]],"_"),1,1)</f>
        <v>CA250058-3</v>
      </c>
      <c r="I916" s="35" t="str">
        <f>_xlfn.TEXTBEFORE(mvtst[[#This Row],[Num Suivis]],"-",,,1)</f>
        <v>CA250058</v>
      </c>
      <c r="J916" s="36">
        <f>SUMIF(mvtst[QR Suivis],mvtst[[#This Row],[QR Suivis]],mvtst[QTE SORTIS])-SUMIF(mvtst[QR Suivis],mvtst[[#This Row],[QR Suivis]],mvtst[QTE RETOUR])</f>
        <v>0</v>
      </c>
      <c r="K916" s="35" t="str">
        <f t="shared" si="14"/>
        <v>Usine</v>
      </c>
      <c r="L916" s="35" t="str">
        <f>_xlfn.XLOOKUP(mvtst[[#This Row],[Sous Traitant]],coordonnee_st[Identification],coordonnee_st[SERVICE],"Non Trouvé")</f>
        <v>Frange</v>
      </c>
      <c r="M916" s="35" t="str">
        <f>INDEX(_xlfn.TEXTSPLIT(mvtst[[#This Row],[QR Suivis]],"_"),1,2)</f>
        <v>All by Fouta</v>
      </c>
      <c r="N916" s="35" t="str">
        <f>INDEX(_xlfn.TEXTSPLIT(mvtst[[#This Row],[QR Suivis]],"_"),1,3)</f>
        <v>Stock</v>
      </c>
      <c r="O916" s="35" t="str">
        <f>INDEX(_xlfn.TEXTSPLIT(mvtst[[#This Row],[QR Suivis]],"_"),1,4)</f>
        <v>UNS1626-31</v>
      </c>
      <c r="P916" s="35" t="str">
        <f>INDEX(_xlfn.TEXTSPLIT(mvtst[[#This Row],[QR Suivis]],"_"),1,5)</f>
        <v>UNI SURPIQUE</v>
      </c>
      <c r="Q916" s="35" t="str">
        <f>_xlfn.TEXTAFTER(mvtst[[#This Row],[QR Suivis]],"_",5)</f>
        <v>1626</v>
      </c>
      <c r="R916" s="84" t="str">
        <f>IF(
   COUNTIFS($A$2:A916,A916,
             $B$2:B916,B916,
             $C$2:C916,C916,
             $D$2:D916,D916,
             $G$2:G916,G916)&gt;1,
   "Doublon",
   "Correcte"
)</f>
        <v>Correcte</v>
      </c>
    </row>
    <row r="917" spans="1:18" x14ac:dyDescent="0.25">
      <c r="A917" s="104" t="s">
        <v>1718</v>
      </c>
      <c r="B917" s="35" t="s">
        <v>712</v>
      </c>
      <c r="C917" s="36">
        <v>0</v>
      </c>
      <c r="D917" s="36">
        <v>5</v>
      </c>
      <c r="E917" s="35" t="s">
        <v>699</v>
      </c>
      <c r="F917" s="35" t="s">
        <v>634</v>
      </c>
      <c r="G917" s="37">
        <v>45930.467824074076</v>
      </c>
      <c r="H917" s="37" t="str">
        <f>INDEX(_xlfn.TEXTSPLIT(mvtst[[#This Row],[QR Suivis]],"_"),1,1)</f>
        <v>CA250058-1</v>
      </c>
      <c r="I917" s="35" t="str">
        <f>_xlfn.TEXTBEFORE(mvtst[[#This Row],[Num Suivis]],"-",,,1)</f>
        <v>CA250058</v>
      </c>
      <c r="J917" s="36">
        <f>SUMIF(mvtst[QR Suivis],mvtst[[#This Row],[QR Suivis]],mvtst[QTE SORTIS])-SUMIF(mvtst[QR Suivis],mvtst[[#This Row],[QR Suivis]],mvtst[QTE RETOUR])</f>
        <v>0</v>
      </c>
      <c r="K917" s="35" t="str">
        <f t="shared" si="14"/>
        <v>Usine</v>
      </c>
      <c r="L917" s="35" t="str">
        <f>_xlfn.XLOOKUP(mvtst[[#This Row],[Sous Traitant]],coordonnee_st[Identification],coordonnee_st[SERVICE],"Non Trouvé")</f>
        <v>Frange</v>
      </c>
      <c r="M917" s="35" t="str">
        <f>INDEX(_xlfn.TEXTSPLIT(mvtst[[#This Row],[QR Suivis]],"_"),1,2)</f>
        <v>All by Fouta</v>
      </c>
      <c r="N917" s="35" t="str">
        <f>INDEX(_xlfn.TEXTSPLIT(mvtst[[#This Row],[QR Suivis]],"_"),1,3)</f>
        <v>Stock</v>
      </c>
      <c r="O917" s="35" t="str">
        <f>INDEX(_xlfn.TEXTSPLIT(mvtst[[#This Row],[QR Suivis]],"_"),1,4)</f>
        <v>UNS1626-31</v>
      </c>
      <c r="P917" s="35" t="str">
        <f>INDEX(_xlfn.TEXTSPLIT(mvtst[[#This Row],[QR Suivis]],"_"),1,5)</f>
        <v>UNI SURPIQUE</v>
      </c>
      <c r="Q917" s="35" t="str">
        <f>_xlfn.TEXTAFTER(mvtst[[#This Row],[QR Suivis]],"_",5)</f>
        <v>1626</v>
      </c>
      <c r="R917" s="84" t="str">
        <f>IF(
   COUNTIFS($A$2:A917,A917,
             $B$2:B917,B917,
             $C$2:C917,C917,
             $D$2:D917,D917,
             $G$2:G917,G917)&gt;1,
   "Doublon",
   "Correcte"
)</f>
        <v>Correcte</v>
      </c>
    </row>
    <row r="918" spans="1:18" x14ac:dyDescent="0.25">
      <c r="A918" s="104" t="s">
        <v>1680</v>
      </c>
      <c r="B918" s="35" t="s">
        <v>712</v>
      </c>
      <c r="C918" s="36">
        <v>0</v>
      </c>
      <c r="D918" s="36">
        <v>5</v>
      </c>
      <c r="E918" s="35" t="s">
        <v>699</v>
      </c>
      <c r="F918" s="35" t="s">
        <v>634</v>
      </c>
      <c r="G918" s="37">
        <v>45930.468124999999</v>
      </c>
      <c r="H918" s="37" t="str">
        <f>INDEX(_xlfn.TEXTSPLIT(mvtst[[#This Row],[QR Suivis]],"_"),1,1)</f>
        <v>CA250021-3</v>
      </c>
      <c r="I918" s="35" t="str">
        <f>_xlfn.TEXTBEFORE(mvtst[[#This Row],[Num Suivis]],"-",,,1)</f>
        <v>CA250021</v>
      </c>
      <c r="J918" s="36">
        <f>SUMIF(mvtst[QR Suivis],mvtst[[#This Row],[QR Suivis]],mvtst[QTE SORTIS])-SUMIF(mvtst[QR Suivis],mvtst[[#This Row],[QR Suivis]],mvtst[QTE RETOUR])</f>
        <v>0</v>
      </c>
      <c r="K918" s="35" t="str">
        <f t="shared" si="14"/>
        <v>Usine</v>
      </c>
      <c r="L918" s="35" t="str">
        <f>_xlfn.XLOOKUP(mvtst[[#This Row],[Sous Traitant]],coordonnee_st[Identification],coordonnee_st[SERVICE],"Non Trouvé")</f>
        <v>Frange</v>
      </c>
      <c r="M918" s="35" t="str">
        <f>INDEX(_xlfn.TEXTSPLIT(mvtst[[#This Row],[QR Suivis]],"_"),1,2)</f>
        <v>All by Fouta</v>
      </c>
      <c r="N918" s="35" t="str">
        <f>INDEX(_xlfn.TEXTSPLIT(mvtst[[#This Row],[QR Suivis]],"_"),1,3)</f>
        <v>Stock</v>
      </c>
      <c r="O918" s="35" t="str">
        <f>INDEX(_xlfn.TEXTSPLIT(mvtst[[#This Row],[QR Suivis]],"_"),1,4)</f>
        <v>UNS2020-03</v>
      </c>
      <c r="P918" s="35" t="str">
        <f>INDEX(_xlfn.TEXTSPLIT(mvtst[[#This Row],[QR Suivis]],"_"),1,5)</f>
        <v>UNI SURPIQUE</v>
      </c>
      <c r="Q918" s="35" t="str">
        <f>_xlfn.TEXTAFTER(mvtst[[#This Row],[QR Suivis]],"_",5)</f>
        <v>2020</v>
      </c>
      <c r="R918" s="84" t="str">
        <f>IF(
   COUNTIFS($A$2:A918,A918,
             $B$2:B918,B918,
             $C$2:C918,C918,
             $D$2:D918,D918,
             $G$2:G918,G918)&gt;1,
   "Doublon",
   "Correcte"
)</f>
        <v>Correcte</v>
      </c>
    </row>
    <row r="919" spans="1:18" x14ac:dyDescent="0.25">
      <c r="A919" s="104" t="s">
        <v>1803</v>
      </c>
      <c r="B919" s="35" t="s">
        <v>712</v>
      </c>
      <c r="C919" s="36">
        <v>5</v>
      </c>
      <c r="D919" s="36">
        <v>0</v>
      </c>
      <c r="E919" s="35" t="s">
        <v>699</v>
      </c>
      <c r="F919" s="35" t="s">
        <v>634</v>
      </c>
      <c r="G919" s="37">
        <v>45930.468356481484</v>
      </c>
      <c r="H919" s="37" t="str">
        <f>INDEX(_xlfn.TEXTSPLIT(mvtst[[#This Row],[QR Suivis]],"_"),1,1)</f>
        <v>CA250019-1</v>
      </c>
      <c r="I919" s="35" t="str">
        <f>_xlfn.TEXTBEFORE(mvtst[[#This Row],[Num Suivis]],"-",,,1)</f>
        <v>CA250019</v>
      </c>
      <c r="J919" s="36">
        <f>SUMIF(mvtst[QR Suivis],mvtst[[#This Row],[QR Suivis]],mvtst[QTE SORTIS])-SUMIF(mvtst[QR Suivis],mvtst[[#This Row],[QR Suivis]],mvtst[QTE RETOUR])</f>
        <v>0</v>
      </c>
      <c r="K919" s="35" t="str">
        <f t="shared" si="14"/>
        <v>Usine</v>
      </c>
      <c r="L919" s="35" t="str">
        <f>_xlfn.XLOOKUP(mvtst[[#This Row],[Sous Traitant]],coordonnee_st[Identification],coordonnee_st[SERVICE],"Non Trouvé")</f>
        <v>Frange</v>
      </c>
      <c r="M919" s="35" t="str">
        <f>INDEX(_xlfn.TEXTSPLIT(mvtst[[#This Row],[QR Suivis]],"_"),1,2)</f>
        <v>All by Fouta</v>
      </c>
      <c r="N919" s="35" t="str">
        <f>INDEX(_xlfn.TEXTSPLIT(mvtst[[#This Row],[QR Suivis]],"_"),1,3)</f>
        <v>Stock</v>
      </c>
      <c r="O919" s="35" t="str">
        <f>INDEX(_xlfn.TEXTSPLIT(mvtst[[#This Row],[QR Suivis]],"_"),1,4)</f>
        <v>UNS1020-32</v>
      </c>
      <c r="P919" s="35" t="str">
        <f>INDEX(_xlfn.TEXTSPLIT(mvtst[[#This Row],[QR Suivis]],"_"),1,5)</f>
        <v>UNI SURPIQUE</v>
      </c>
      <c r="Q919" s="35" t="str">
        <f>_xlfn.TEXTAFTER(mvtst[[#This Row],[QR Suivis]],"_",5)</f>
        <v>1020</v>
      </c>
      <c r="R919" s="84" t="str">
        <f>IF(
   COUNTIFS($A$2:A919,A919,
             $B$2:B919,B919,
             $C$2:C919,C919,
             $D$2:D919,D919,
             $G$2:G919,G919)&gt;1,
   "Doublon",
   "Correcte"
)</f>
        <v>Correcte</v>
      </c>
    </row>
    <row r="920" spans="1:18" x14ac:dyDescent="0.25">
      <c r="A920" s="104" t="s">
        <v>1804</v>
      </c>
      <c r="B920" s="35" t="s">
        <v>712</v>
      </c>
      <c r="C920" s="36">
        <v>5</v>
      </c>
      <c r="D920" s="36">
        <v>0</v>
      </c>
      <c r="E920" s="35"/>
      <c r="F920" s="35" t="s">
        <v>634</v>
      </c>
      <c r="G920" s="37">
        <v>45930.468356481484</v>
      </c>
      <c r="H920" s="37" t="str">
        <f>INDEX(_xlfn.TEXTSPLIT(mvtst[[#This Row],[QR Suivis]],"_"),1,1)</f>
        <v>CA250019-2</v>
      </c>
      <c r="I920" s="35" t="str">
        <f>_xlfn.TEXTBEFORE(mvtst[[#This Row],[Num Suivis]],"-",,,1)</f>
        <v>CA250019</v>
      </c>
      <c r="J920" s="36">
        <f>SUMIF(mvtst[QR Suivis],mvtst[[#This Row],[QR Suivis]],mvtst[QTE SORTIS])-SUMIF(mvtst[QR Suivis],mvtst[[#This Row],[QR Suivis]],mvtst[QTE RETOUR])</f>
        <v>5</v>
      </c>
      <c r="K920" s="35" t="str">
        <f t="shared" si="14"/>
        <v>Usine</v>
      </c>
      <c r="L920" s="35" t="str">
        <f>_xlfn.XLOOKUP(mvtst[[#This Row],[Sous Traitant]],coordonnee_st[Identification],coordonnee_st[SERVICE],"Non Trouvé")</f>
        <v>Frange</v>
      </c>
      <c r="M920" s="35" t="str">
        <f>INDEX(_xlfn.TEXTSPLIT(mvtst[[#This Row],[QR Suivis]],"_"),1,2)</f>
        <v>All by Fouta</v>
      </c>
      <c r="N920" s="35" t="str">
        <f>INDEX(_xlfn.TEXTSPLIT(mvtst[[#This Row],[QR Suivis]],"_"),1,3)</f>
        <v>Stock</v>
      </c>
      <c r="O920" s="35" t="str">
        <f>INDEX(_xlfn.TEXTSPLIT(mvtst[[#This Row],[QR Suivis]],"_"),1,4)</f>
        <v>UNS1020-32</v>
      </c>
      <c r="P920" s="35" t="str">
        <f>INDEX(_xlfn.TEXTSPLIT(mvtst[[#This Row],[QR Suivis]],"_"),1,5)</f>
        <v>UNI SURPIQUE</v>
      </c>
      <c r="Q920" s="35" t="str">
        <f>_xlfn.TEXTAFTER(mvtst[[#This Row],[QR Suivis]],"_",5)</f>
        <v>1020</v>
      </c>
      <c r="R920" s="84" t="str">
        <f>IF(
   COUNTIFS($A$2:A920,A920,
             $B$2:B920,B920,
             $C$2:C920,C920,
             $D$2:D920,D920,
             $G$2:G920,G920)&gt;1,
   "Doublon",
   "Correcte"
)</f>
        <v>Correcte</v>
      </c>
    </row>
    <row r="921" spans="1:18" x14ac:dyDescent="0.25">
      <c r="A921" s="104" t="s">
        <v>1566</v>
      </c>
      <c r="B921" s="35" t="s">
        <v>712</v>
      </c>
      <c r="C921" s="36">
        <v>0</v>
      </c>
      <c r="D921" s="36">
        <v>5</v>
      </c>
      <c r="E921" s="35" t="s">
        <v>699</v>
      </c>
      <c r="F921" s="35" t="s">
        <v>634</v>
      </c>
      <c r="G921" s="37">
        <v>45930.469085648147</v>
      </c>
      <c r="H921" s="37" t="str">
        <f>INDEX(_xlfn.TEXTSPLIT(mvtst[[#This Row],[QR Suivis]],"_"),1,1)</f>
        <v>CA250018-9</v>
      </c>
      <c r="I921" s="35" t="str">
        <f>_xlfn.TEXTBEFORE(mvtst[[#This Row],[Num Suivis]],"-",,,1)</f>
        <v>CA250018</v>
      </c>
      <c r="J921" s="36">
        <f>SUMIF(mvtst[QR Suivis],mvtst[[#This Row],[QR Suivis]],mvtst[QTE SORTIS])-SUMIF(mvtst[QR Suivis],mvtst[[#This Row],[QR Suivis]],mvtst[QTE RETOUR])</f>
        <v>0</v>
      </c>
      <c r="K921" s="35" t="str">
        <f t="shared" si="14"/>
        <v>Usine</v>
      </c>
      <c r="L921" s="35" t="str">
        <f>_xlfn.XLOOKUP(mvtst[[#This Row],[Sous Traitant]],coordonnee_st[Identification],coordonnee_st[SERVICE],"Non Trouvé")</f>
        <v>Frange</v>
      </c>
      <c r="M921" s="35" t="str">
        <f>INDEX(_xlfn.TEXTSPLIT(mvtst[[#This Row],[QR Suivis]],"_"),1,2)</f>
        <v>All by Fouta</v>
      </c>
      <c r="N921" s="35" t="str">
        <f>INDEX(_xlfn.TEXTSPLIT(mvtst[[#This Row],[QR Suivis]],"_"),1,3)</f>
        <v>Stock</v>
      </c>
      <c r="O921" s="35" t="str">
        <f>INDEX(_xlfn.TEXTSPLIT(mvtst[[#This Row],[QR Suivis]],"_"),1,4)</f>
        <v>UNS1020-31</v>
      </c>
      <c r="P921" s="35" t="str">
        <f>INDEX(_xlfn.TEXTSPLIT(mvtst[[#This Row],[QR Suivis]],"_"),1,5)</f>
        <v>UNI SURPIQUE</v>
      </c>
      <c r="Q921" s="35" t="str">
        <f>_xlfn.TEXTAFTER(mvtst[[#This Row],[QR Suivis]],"_",5)</f>
        <v>1020</v>
      </c>
      <c r="R921" s="84" t="str">
        <f>IF(
   COUNTIFS($A$2:A921,A921,
             $B$2:B921,B921,
             $C$2:C921,C921,
             $D$2:D921,D921,
             $G$2:G921,G921)&gt;1,
   "Doublon",
   "Correcte"
)</f>
        <v>Correcte</v>
      </c>
    </row>
    <row r="922" spans="1:18" x14ac:dyDescent="0.25">
      <c r="A922" s="104" t="s">
        <v>1567</v>
      </c>
      <c r="B922" s="35" t="s">
        <v>712</v>
      </c>
      <c r="C922" s="36">
        <v>0</v>
      </c>
      <c r="D922" s="36">
        <v>5</v>
      </c>
      <c r="E922" s="35" t="s">
        <v>699</v>
      </c>
      <c r="F922" s="35" t="s">
        <v>634</v>
      </c>
      <c r="G922" s="37">
        <v>45930.469259259262</v>
      </c>
      <c r="H922" s="37" t="str">
        <f>INDEX(_xlfn.TEXTSPLIT(mvtst[[#This Row],[QR Suivis]],"_"),1,1)</f>
        <v>CA250018-6</v>
      </c>
      <c r="I922" s="35" t="str">
        <f>_xlfn.TEXTBEFORE(mvtst[[#This Row],[Num Suivis]],"-",,,1)</f>
        <v>CA250018</v>
      </c>
      <c r="J922" s="36">
        <f>SUMIF(mvtst[QR Suivis],mvtst[[#This Row],[QR Suivis]],mvtst[QTE SORTIS])-SUMIF(mvtst[QR Suivis],mvtst[[#This Row],[QR Suivis]],mvtst[QTE RETOUR])</f>
        <v>0</v>
      </c>
      <c r="K922" s="35" t="str">
        <f t="shared" si="14"/>
        <v>Usine</v>
      </c>
      <c r="L922" s="35" t="str">
        <f>_xlfn.XLOOKUP(mvtst[[#This Row],[Sous Traitant]],coordonnee_st[Identification],coordonnee_st[SERVICE],"Non Trouvé")</f>
        <v>Frange</v>
      </c>
      <c r="M922" s="35" t="str">
        <f>INDEX(_xlfn.TEXTSPLIT(mvtst[[#This Row],[QR Suivis]],"_"),1,2)</f>
        <v>All by Fouta</v>
      </c>
      <c r="N922" s="35" t="str">
        <f>INDEX(_xlfn.TEXTSPLIT(mvtst[[#This Row],[QR Suivis]],"_"),1,3)</f>
        <v>Stock</v>
      </c>
      <c r="O922" s="35" t="str">
        <f>INDEX(_xlfn.TEXTSPLIT(mvtst[[#This Row],[QR Suivis]],"_"),1,4)</f>
        <v>UNS1020-31</v>
      </c>
      <c r="P922" s="35" t="str">
        <f>INDEX(_xlfn.TEXTSPLIT(mvtst[[#This Row],[QR Suivis]],"_"),1,5)</f>
        <v>UNI SURPIQUE</v>
      </c>
      <c r="Q922" s="35" t="str">
        <f>_xlfn.TEXTAFTER(mvtst[[#This Row],[QR Suivis]],"_",5)</f>
        <v>1020</v>
      </c>
      <c r="R922" s="84" t="str">
        <f>IF(
   COUNTIFS($A$2:A922,A922,
             $B$2:B922,B922,
             $C$2:C922,C922,
             $D$2:D922,D922,
             $G$2:G922,G922)&gt;1,
   "Doublon",
   "Correcte"
)</f>
        <v>Correcte</v>
      </c>
    </row>
    <row r="923" spans="1:18" x14ac:dyDescent="0.25">
      <c r="A923" s="104" t="s">
        <v>1458</v>
      </c>
      <c r="B923" s="35" t="s">
        <v>712</v>
      </c>
      <c r="C923" s="36">
        <v>0</v>
      </c>
      <c r="D923" s="36">
        <v>5</v>
      </c>
      <c r="E923" s="35" t="s">
        <v>699</v>
      </c>
      <c r="F923" s="35" t="s">
        <v>634</v>
      </c>
      <c r="G923" s="37">
        <v>45930.469710648147</v>
      </c>
      <c r="H923" s="37" t="str">
        <f>INDEX(_xlfn.TEXTSPLIT(mvtst[[#This Row],[QR Suivis]],"_"),1,1)</f>
        <v>CA250008-2</v>
      </c>
      <c r="I923" s="35" t="str">
        <f>_xlfn.TEXTBEFORE(mvtst[[#This Row],[Num Suivis]],"-",,,1)</f>
        <v>CA250008</v>
      </c>
      <c r="J923" s="36">
        <f>SUMIF(mvtst[QR Suivis],mvtst[[#This Row],[QR Suivis]],mvtst[QTE SORTIS])-SUMIF(mvtst[QR Suivis],mvtst[[#This Row],[QR Suivis]],mvtst[QTE RETOUR])</f>
        <v>0</v>
      </c>
      <c r="K923" s="35" t="str">
        <f t="shared" si="14"/>
        <v>Usine</v>
      </c>
      <c r="L923" s="35" t="str">
        <f>_xlfn.XLOOKUP(mvtst[[#This Row],[Sous Traitant]],coordonnee_st[Identification],coordonnee_st[SERVICE],"Non Trouvé")</f>
        <v>Frange</v>
      </c>
      <c r="M923" s="35" t="str">
        <f>INDEX(_xlfn.TEXTSPLIT(mvtst[[#This Row],[QR Suivis]],"_"),1,2)</f>
        <v>All by Fouta</v>
      </c>
      <c r="N923" s="35" t="str">
        <f>INDEX(_xlfn.TEXTSPLIT(mvtst[[#This Row],[QR Suivis]],"_"),1,3)</f>
        <v>Stock</v>
      </c>
      <c r="O923" s="35" t="str">
        <f>INDEX(_xlfn.TEXTSPLIT(mvtst[[#This Row],[QR Suivis]],"_"),1,4)</f>
        <v>UNS1020-15</v>
      </c>
      <c r="P923" s="35" t="str">
        <f>INDEX(_xlfn.TEXTSPLIT(mvtst[[#This Row],[QR Suivis]],"_"),1,5)</f>
        <v>UNI SURPIQUE</v>
      </c>
      <c r="Q923" s="35" t="str">
        <f>_xlfn.TEXTAFTER(mvtst[[#This Row],[QR Suivis]],"_",5)</f>
        <v>1020</v>
      </c>
      <c r="R923" s="84" t="str">
        <f>IF(
   COUNTIFS($A$2:A923,A923,
             $B$2:B923,B923,
             $C$2:C923,C923,
             $D$2:D923,D923,
             $G$2:G923,G923)&gt;1,
   "Doublon",
   "Correcte"
)</f>
        <v>Correcte</v>
      </c>
    </row>
    <row r="924" spans="1:18" x14ac:dyDescent="0.25">
      <c r="A924" s="104" t="s">
        <v>1459</v>
      </c>
      <c r="B924" s="35" t="s">
        <v>712</v>
      </c>
      <c r="C924" s="36">
        <v>0</v>
      </c>
      <c r="D924" s="36">
        <v>5</v>
      </c>
      <c r="E924" s="35" t="s">
        <v>699</v>
      </c>
      <c r="F924" s="35" t="s">
        <v>634</v>
      </c>
      <c r="G924" s="37">
        <v>45930.47</v>
      </c>
      <c r="H924" s="37" t="str">
        <f>INDEX(_xlfn.TEXTSPLIT(mvtst[[#This Row],[QR Suivis]],"_"),1,1)</f>
        <v>CA250008-7</v>
      </c>
      <c r="I924" s="35" t="str">
        <f>_xlfn.TEXTBEFORE(mvtst[[#This Row],[Num Suivis]],"-",,,1)</f>
        <v>CA250008</v>
      </c>
      <c r="J924" s="36">
        <f>SUMIF(mvtst[QR Suivis],mvtst[[#This Row],[QR Suivis]],mvtst[QTE SORTIS])-SUMIF(mvtst[QR Suivis],mvtst[[#This Row],[QR Suivis]],mvtst[QTE RETOUR])</f>
        <v>0</v>
      </c>
      <c r="K924" s="35" t="str">
        <f t="shared" si="14"/>
        <v>Usine</v>
      </c>
      <c r="L924" s="35" t="str">
        <f>_xlfn.XLOOKUP(mvtst[[#This Row],[Sous Traitant]],coordonnee_st[Identification],coordonnee_st[SERVICE],"Non Trouvé")</f>
        <v>Frange</v>
      </c>
      <c r="M924" s="35" t="str">
        <f>INDEX(_xlfn.TEXTSPLIT(mvtst[[#This Row],[QR Suivis]],"_"),1,2)</f>
        <v>All by Fouta</v>
      </c>
      <c r="N924" s="35" t="str">
        <f>INDEX(_xlfn.TEXTSPLIT(mvtst[[#This Row],[QR Suivis]],"_"),1,3)</f>
        <v>Stock</v>
      </c>
      <c r="O924" s="35" t="str">
        <f>INDEX(_xlfn.TEXTSPLIT(mvtst[[#This Row],[QR Suivis]],"_"),1,4)</f>
        <v>UNS1020-15</v>
      </c>
      <c r="P924" s="35" t="str">
        <f>INDEX(_xlfn.TEXTSPLIT(mvtst[[#This Row],[QR Suivis]],"_"),1,5)</f>
        <v>UNI SURPIQUE</v>
      </c>
      <c r="Q924" s="35" t="str">
        <f>_xlfn.TEXTAFTER(mvtst[[#This Row],[QR Suivis]],"_",5)</f>
        <v>1020</v>
      </c>
      <c r="R924" s="84" t="str">
        <f>IF(
   COUNTIFS($A$2:A924,A924,
             $B$2:B924,B924,
             $C$2:C924,C924,
             $D$2:D924,D924,
             $G$2:G924,G924)&gt;1,
   "Doublon",
   "Correcte"
)</f>
        <v>Correcte</v>
      </c>
    </row>
    <row r="925" spans="1:18" x14ac:dyDescent="0.25">
      <c r="A925" s="104" t="s">
        <v>1539</v>
      </c>
      <c r="B925" s="35" t="s">
        <v>712</v>
      </c>
      <c r="C925" s="36">
        <v>0</v>
      </c>
      <c r="D925" s="36">
        <v>5</v>
      </c>
      <c r="E925" s="35" t="s">
        <v>699</v>
      </c>
      <c r="F925" s="35" t="s">
        <v>634</v>
      </c>
      <c r="G925" s="37">
        <v>45930.470254629632</v>
      </c>
      <c r="H925" s="37" t="str">
        <f>INDEX(_xlfn.TEXTSPLIT(mvtst[[#This Row],[QR Suivis]],"_"),1,1)</f>
        <v>CA250013-1</v>
      </c>
      <c r="I925" s="35" t="str">
        <f>_xlfn.TEXTBEFORE(mvtst[[#This Row],[Num Suivis]],"-",,,1)</f>
        <v>CA250013</v>
      </c>
      <c r="J925" s="36">
        <f>SUMIF(mvtst[QR Suivis],mvtst[[#This Row],[QR Suivis]],mvtst[QTE SORTIS])-SUMIF(mvtst[QR Suivis],mvtst[[#This Row],[QR Suivis]],mvtst[QTE RETOUR])</f>
        <v>0</v>
      </c>
      <c r="K925" s="35" t="str">
        <f t="shared" si="14"/>
        <v>Usine</v>
      </c>
      <c r="L925" s="35" t="str">
        <f>_xlfn.XLOOKUP(mvtst[[#This Row],[Sous Traitant]],coordonnee_st[Identification],coordonnee_st[SERVICE],"Non Trouvé")</f>
        <v>Frange</v>
      </c>
      <c r="M925" s="35" t="str">
        <f>INDEX(_xlfn.TEXTSPLIT(mvtst[[#This Row],[QR Suivis]],"_"),1,2)</f>
        <v>All by Fouta</v>
      </c>
      <c r="N925" s="35" t="str">
        <f>INDEX(_xlfn.TEXTSPLIT(mvtst[[#This Row],[QR Suivis]],"_"),1,3)</f>
        <v>Stock</v>
      </c>
      <c r="O925" s="35" t="str">
        <f>INDEX(_xlfn.TEXTSPLIT(mvtst[[#This Row],[QR Suivis]],"_"),1,4)</f>
        <v>UNS1020-23</v>
      </c>
      <c r="P925" s="35" t="str">
        <f>INDEX(_xlfn.TEXTSPLIT(mvtst[[#This Row],[QR Suivis]],"_"),1,5)</f>
        <v>UNI SURPIQUE</v>
      </c>
      <c r="Q925" s="35" t="str">
        <f>_xlfn.TEXTAFTER(mvtst[[#This Row],[QR Suivis]],"_",5)</f>
        <v>1020</v>
      </c>
      <c r="R925" s="84" t="str">
        <f>IF(
   COUNTIFS($A$2:A925,A925,
             $B$2:B925,B925,
             $C$2:C925,C925,
             $D$2:D925,D925,
             $G$2:G925,G925)&gt;1,
   "Doublon",
   "Correcte"
)</f>
        <v>Correcte</v>
      </c>
    </row>
    <row r="926" spans="1:18" x14ac:dyDescent="0.25">
      <c r="A926" s="104" t="s">
        <v>1460</v>
      </c>
      <c r="B926" s="35" t="s">
        <v>712</v>
      </c>
      <c r="C926" s="36">
        <v>0</v>
      </c>
      <c r="D926" s="36">
        <v>5</v>
      </c>
      <c r="E926" s="35" t="s">
        <v>699</v>
      </c>
      <c r="F926" s="35" t="s">
        <v>634</v>
      </c>
      <c r="G926" s="37">
        <v>45930.470625000002</v>
      </c>
      <c r="H926" s="37" t="str">
        <f>INDEX(_xlfn.TEXTSPLIT(mvtst[[#This Row],[QR Suivis]],"_"),1,1)</f>
        <v>CA250008-8</v>
      </c>
      <c r="I926" s="35" t="str">
        <f>_xlfn.TEXTBEFORE(mvtst[[#This Row],[Num Suivis]],"-",,,1)</f>
        <v>CA250008</v>
      </c>
      <c r="J926" s="36">
        <f>SUMIF(mvtst[QR Suivis],mvtst[[#This Row],[QR Suivis]],mvtst[QTE SORTIS])-SUMIF(mvtst[QR Suivis],mvtst[[#This Row],[QR Suivis]],mvtst[QTE RETOUR])</f>
        <v>0</v>
      </c>
      <c r="K926" s="35" t="str">
        <f t="shared" si="14"/>
        <v>Usine</v>
      </c>
      <c r="L926" s="35" t="str">
        <f>_xlfn.XLOOKUP(mvtst[[#This Row],[Sous Traitant]],coordonnee_st[Identification],coordonnee_st[SERVICE],"Non Trouvé")</f>
        <v>Frange</v>
      </c>
      <c r="M926" s="35" t="str">
        <f>INDEX(_xlfn.TEXTSPLIT(mvtst[[#This Row],[QR Suivis]],"_"),1,2)</f>
        <v>All by Fouta</v>
      </c>
      <c r="N926" s="35" t="str">
        <f>INDEX(_xlfn.TEXTSPLIT(mvtst[[#This Row],[QR Suivis]],"_"),1,3)</f>
        <v>Stock</v>
      </c>
      <c r="O926" s="35" t="str">
        <f>INDEX(_xlfn.TEXTSPLIT(mvtst[[#This Row],[QR Suivis]],"_"),1,4)</f>
        <v>UNS1020-15</v>
      </c>
      <c r="P926" s="35" t="str">
        <f>INDEX(_xlfn.TEXTSPLIT(mvtst[[#This Row],[QR Suivis]],"_"),1,5)</f>
        <v>UNI SURPIQUE</v>
      </c>
      <c r="Q926" s="35" t="str">
        <f>_xlfn.TEXTAFTER(mvtst[[#This Row],[QR Suivis]],"_",5)</f>
        <v>1020</v>
      </c>
      <c r="R926" s="84" t="str">
        <f>IF(
   COUNTIFS($A$2:A926,A926,
             $B$2:B926,B926,
             $C$2:C926,C926,
             $D$2:D926,D926,
             $G$2:G926,G926)&gt;1,
   "Doublon",
   "Correcte"
)</f>
        <v>Correcte</v>
      </c>
    </row>
    <row r="927" spans="1:18" x14ac:dyDescent="0.25">
      <c r="A927" s="104" t="s">
        <v>1461</v>
      </c>
      <c r="B927" s="35" t="s">
        <v>712</v>
      </c>
      <c r="C927" s="36">
        <v>0</v>
      </c>
      <c r="D927" s="36">
        <v>5</v>
      </c>
      <c r="E927" s="35" t="s">
        <v>699</v>
      </c>
      <c r="F927" s="35" t="s">
        <v>634</v>
      </c>
      <c r="G927" s="37">
        <v>45930.47079861111</v>
      </c>
      <c r="H927" s="37" t="str">
        <f>INDEX(_xlfn.TEXTSPLIT(mvtst[[#This Row],[QR Suivis]],"_"),1,1)</f>
        <v>CA250008-5</v>
      </c>
      <c r="I927" s="35" t="str">
        <f>_xlfn.TEXTBEFORE(mvtst[[#This Row],[Num Suivis]],"-",,,1)</f>
        <v>CA250008</v>
      </c>
      <c r="J927" s="36">
        <f>SUMIF(mvtst[QR Suivis],mvtst[[#This Row],[QR Suivis]],mvtst[QTE SORTIS])-SUMIF(mvtst[QR Suivis],mvtst[[#This Row],[QR Suivis]],mvtst[QTE RETOUR])</f>
        <v>0</v>
      </c>
      <c r="K927" s="35" t="str">
        <f t="shared" si="14"/>
        <v>Usine</v>
      </c>
      <c r="L927" s="35" t="str">
        <f>_xlfn.XLOOKUP(mvtst[[#This Row],[Sous Traitant]],coordonnee_st[Identification],coordonnee_st[SERVICE],"Non Trouvé")</f>
        <v>Frange</v>
      </c>
      <c r="M927" s="35" t="str">
        <f>INDEX(_xlfn.TEXTSPLIT(mvtst[[#This Row],[QR Suivis]],"_"),1,2)</f>
        <v>All by Fouta</v>
      </c>
      <c r="N927" s="35" t="str">
        <f>INDEX(_xlfn.TEXTSPLIT(mvtst[[#This Row],[QR Suivis]],"_"),1,3)</f>
        <v>Stock</v>
      </c>
      <c r="O927" s="35" t="str">
        <f>INDEX(_xlfn.TEXTSPLIT(mvtst[[#This Row],[QR Suivis]],"_"),1,4)</f>
        <v>UNS1020-15</v>
      </c>
      <c r="P927" s="35" t="str">
        <f>INDEX(_xlfn.TEXTSPLIT(mvtst[[#This Row],[QR Suivis]],"_"),1,5)</f>
        <v>UNI SURPIQUE</v>
      </c>
      <c r="Q927" s="35" t="str">
        <f>_xlfn.TEXTAFTER(mvtst[[#This Row],[QR Suivis]],"_",5)</f>
        <v>1020</v>
      </c>
      <c r="R927" s="84" t="str">
        <f>IF(
   COUNTIFS($A$2:A927,A927,
             $B$2:B927,B927,
             $C$2:C927,C927,
             $D$2:D927,D927,
             $G$2:G927,G927)&gt;1,
   "Doublon",
   "Correcte"
)</f>
        <v>Correcte</v>
      </c>
    </row>
    <row r="928" spans="1:18" x14ac:dyDescent="0.25">
      <c r="A928" s="104" t="s">
        <v>1462</v>
      </c>
      <c r="B928" s="35" t="s">
        <v>712</v>
      </c>
      <c r="C928" s="36">
        <v>0</v>
      </c>
      <c r="D928" s="36">
        <v>5</v>
      </c>
      <c r="E928" s="35" t="s">
        <v>699</v>
      </c>
      <c r="F928" s="35" t="s">
        <v>634</v>
      </c>
      <c r="G928" s="37">
        <v>45930.471041666664</v>
      </c>
      <c r="H928" s="37" t="str">
        <f>INDEX(_xlfn.TEXTSPLIT(mvtst[[#This Row],[QR Suivis]],"_"),1,1)</f>
        <v>CA250008-3</v>
      </c>
      <c r="I928" s="35" t="str">
        <f>_xlfn.TEXTBEFORE(mvtst[[#This Row],[Num Suivis]],"-",,,1)</f>
        <v>CA250008</v>
      </c>
      <c r="J928" s="36">
        <f>SUMIF(mvtst[QR Suivis],mvtst[[#This Row],[QR Suivis]],mvtst[QTE SORTIS])-SUMIF(mvtst[QR Suivis],mvtst[[#This Row],[QR Suivis]],mvtst[QTE RETOUR])</f>
        <v>0</v>
      </c>
      <c r="K928" s="35" t="str">
        <f t="shared" si="14"/>
        <v>Usine</v>
      </c>
      <c r="L928" s="35" t="str">
        <f>_xlfn.XLOOKUP(mvtst[[#This Row],[Sous Traitant]],coordonnee_st[Identification],coordonnee_st[SERVICE],"Non Trouvé")</f>
        <v>Frange</v>
      </c>
      <c r="M928" s="35" t="str">
        <f>INDEX(_xlfn.TEXTSPLIT(mvtst[[#This Row],[QR Suivis]],"_"),1,2)</f>
        <v>All by Fouta</v>
      </c>
      <c r="N928" s="35" t="str">
        <f>INDEX(_xlfn.TEXTSPLIT(mvtst[[#This Row],[QR Suivis]],"_"),1,3)</f>
        <v>Stock</v>
      </c>
      <c r="O928" s="35" t="str">
        <f>INDEX(_xlfn.TEXTSPLIT(mvtst[[#This Row],[QR Suivis]],"_"),1,4)</f>
        <v>UNS1020-15</v>
      </c>
      <c r="P928" s="35" t="str">
        <f>INDEX(_xlfn.TEXTSPLIT(mvtst[[#This Row],[QR Suivis]],"_"),1,5)</f>
        <v>UNI SURPIQUE</v>
      </c>
      <c r="Q928" s="35" t="str">
        <f>_xlfn.TEXTAFTER(mvtst[[#This Row],[QR Suivis]],"_",5)</f>
        <v>1020</v>
      </c>
      <c r="R928" s="84" t="str">
        <f>IF(
   COUNTIFS($A$2:A928,A928,
             $B$2:B928,B928,
             $C$2:C928,C928,
             $D$2:D928,D928,
             $G$2:G928,G928)&gt;1,
   "Doublon",
   "Correcte"
)</f>
        <v>Correcte</v>
      </c>
    </row>
    <row r="929" spans="1:18" x14ac:dyDescent="0.25">
      <c r="A929" s="104" t="s">
        <v>1568</v>
      </c>
      <c r="B929" s="35" t="s">
        <v>712</v>
      </c>
      <c r="C929" s="36">
        <v>0</v>
      </c>
      <c r="D929" s="36">
        <v>5</v>
      </c>
      <c r="E929" s="35" t="s">
        <v>699</v>
      </c>
      <c r="F929" s="35" t="s">
        <v>634</v>
      </c>
      <c r="G929" s="37">
        <v>45930.471296296295</v>
      </c>
      <c r="H929" s="37" t="str">
        <f>INDEX(_xlfn.TEXTSPLIT(mvtst[[#This Row],[QR Suivis]],"_"),1,1)</f>
        <v>CA250018-11</v>
      </c>
      <c r="I929" s="35" t="str">
        <f>_xlfn.TEXTBEFORE(mvtst[[#This Row],[Num Suivis]],"-",,,1)</f>
        <v>CA250018</v>
      </c>
      <c r="J929" s="36">
        <f>SUMIF(mvtst[QR Suivis],mvtst[[#This Row],[QR Suivis]],mvtst[QTE SORTIS])-SUMIF(mvtst[QR Suivis],mvtst[[#This Row],[QR Suivis]],mvtst[QTE RETOUR])</f>
        <v>0</v>
      </c>
      <c r="K929" s="35" t="str">
        <f t="shared" si="14"/>
        <v>Usine</v>
      </c>
      <c r="L929" s="35" t="str">
        <f>_xlfn.XLOOKUP(mvtst[[#This Row],[Sous Traitant]],coordonnee_st[Identification],coordonnee_st[SERVICE],"Non Trouvé")</f>
        <v>Frange</v>
      </c>
      <c r="M929" s="35" t="str">
        <f>INDEX(_xlfn.TEXTSPLIT(mvtst[[#This Row],[QR Suivis]],"_"),1,2)</f>
        <v>All by Fouta</v>
      </c>
      <c r="N929" s="35" t="str">
        <f>INDEX(_xlfn.TEXTSPLIT(mvtst[[#This Row],[QR Suivis]],"_"),1,3)</f>
        <v>Stock</v>
      </c>
      <c r="O929" s="35" t="str">
        <f>INDEX(_xlfn.TEXTSPLIT(mvtst[[#This Row],[QR Suivis]],"_"),1,4)</f>
        <v>UNS1020-31</v>
      </c>
      <c r="P929" s="35" t="str">
        <f>INDEX(_xlfn.TEXTSPLIT(mvtst[[#This Row],[QR Suivis]],"_"),1,5)</f>
        <v>UNI SURPIQUE</v>
      </c>
      <c r="Q929" s="35" t="str">
        <f>_xlfn.TEXTAFTER(mvtst[[#This Row],[QR Suivis]],"_",5)</f>
        <v>1020</v>
      </c>
      <c r="R929" s="84" t="str">
        <f>IF(
   COUNTIFS($A$2:A929,A929,
             $B$2:B929,B929,
             $C$2:C929,C929,
             $D$2:D929,D929,
             $G$2:G929,G929)&gt;1,
   "Doublon",
   "Correcte"
)</f>
        <v>Correcte</v>
      </c>
    </row>
    <row r="930" spans="1:18" x14ac:dyDescent="0.25">
      <c r="A930" s="104" t="s">
        <v>1478</v>
      </c>
      <c r="B930" s="35" t="s">
        <v>712</v>
      </c>
      <c r="C930" s="36">
        <v>0</v>
      </c>
      <c r="D930" s="36">
        <v>5</v>
      </c>
      <c r="E930" s="35" t="s">
        <v>699</v>
      </c>
      <c r="F930" s="35" t="s">
        <v>634</v>
      </c>
      <c r="G930" s="37">
        <v>45930.471597222226</v>
      </c>
      <c r="H930" s="37" t="str">
        <f>INDEX(_xlfn.TEXTSPLIT(mvtst[[#This Row],[QR Suivis]],"_"),1,1)</f>
        <v>CA250011-2</v>
      </c>
      <c r="I930" s="35" t="str">
        <f>_xlfn.TEXTBEFORE(mvtst[[#This Row],[Num Suivis]],"-",,,1)</f>
        <v>CA250011</v>
      </c>
      <c r="J930" s="36">
        <f>SUMIF(mvtst[QR Suivis],mvtst[[#This Row],[QR Suivis]],mvtst[QTE SORTIS])-SUMIF(mvtst[QR Suivis],mvtst[[#This Row],[QR Suivis]],mvtst[QTE RETOUR])</f>
        <v>0</v>
      </c>
      <c r="K930" s="35" t="str">
        <f t="shared" si="14"/>
        <v>Usine</v>
      </c>
      <c r="L930" s="35" t="str">
        <f>_xlfn.XLOOKUP(mvtst[[#This Row],[Sous Traitant]],coordonnee_st[Identification],coordonnee_st[SERVICE],"Non Trouvé")</f>
        <v>Frange</v>
      </c>
      <c r="M930" s="35" t="str">
        <f>INDEX(_xlfn.TEXTSPLIT(mvtst[[#This Row],[QR Suivis]],"_"),1,2)</f>
        <v>All by Fouta</v>
      </c>
      <c r="N930" s="35" t="str">
        <f>INDEX(_xlfn.TEXTSPLIT(mvtst[[#This Row],[QR Suivis]],"_"),1,3)</f>
        <v>Stock</v>
      </c>
      <c r="O930" s="35" t="str">
        <f>INDEX(_xlfn.TEXTSPLIT(mvtst[[#This Row],[QR Suivis]],"_"),1,4)</f>
        <v>UNS1020-19</v>
      </c>
      <c r="P930" s="35" t="str">
        <f>INDEX(_xlfn.TEXTSPLIT(mvtst[[#This Row],[QR Suivis]],"_"),1,5)</f>
        <v>UNI SURPIQUE</v>
      </c>
      <c r="Q930" s="35" t="str">
        <f>_xlfn.TEXTAFTER(mvtst[[#This Row],[QR Suivis]],"_",5)</f>
        <v>1020</v>
      </c>
      <c r="R930" s="84" t="str">
        <f>IF(
   COUNTIFS($A$2:A930,A930,
             $B$2:B930,B930,
             $C$2:C930,C930,
             $D$2:D930,D930,
             $G$2:G930,G930)&gt;1,
   "Doublon",
   "Correcte"
)</f>
        <v>Correcte</v>
      </c>
    </row>
    <row r="931" spans="1:18" x14ac:dyDescent="0.25">
      <c r="A931" s="104" t="s">
        <v>1463</v>
      </c>
      <c r="B931" s="35" t="s">
        <v>712</v>
      </c>
      <c r="C931" s="36">
        <v>0</v>
      </c>
      <c r="D931" s="36">
        <v>5</v>
      </c>
      <c r="E931" s="35" t="s">
        <v>699</v>
      </c>
      <c r="F931" s="35" t="s">
        <v>634</v>
      </c>
      <c r="G931" s="37">
        <v>45930.472175925926</v>
      </c>
      <c r="H931" s="37" t="str">
        <f>INDEX(_xlfn.TEXTSPLIT(mvtst[[#This Row],[QR Suivis]],"_"),1,1)</f>
        <v>CA250008-10</v>
      </c>
      <c r="I931" s="35" t="str">
        <f>_xlfn.TEXTBEFORE(mvtst[[#This Row],[Num Suivis]],"-",,,1)</f>
        <v>CA250008</v>
      </c>
      <c r="J931" s="36">
        <f>SUMIF(mvtst[QR Suivis],mvtst[[#This Row],[QR Suivis]],mvtst[QTE SORTIS])-SUMIF(mvtst[QR Suivis],mvtst[[#This Row],[QR Suivis]],mvtst[QTE RETOUR])</f>
        <v>0</v>
      </c>
      <c r="K931" s="35" t="str">
        <f t="shared" si="14"/>
        <v>Usine</v>
      </c>
      <c r="L931" s="35" t="str">
        <f>_xlfn.XLOOKUP(mvtst[[#This Row],[Sous Traitant]],coordonnee_st[Identification],coordonnee_st[SERVICE],"Non Trouvé")</f>
        <v>Frange</v>
      </c>
      <c r="M931" s="35" t="str">
        <f>INDEX(_xlfn.TEXTSPLIT(mvtst[[#This Row],[QR Suivis]],"_"),1,2)</f>
        <v>All by Fouta</v>
      </c>
      <c r="N931" s="35" t="str">
        <f>INDEX(_xlfn.TEXTSPLIT(mvtst[[#This Row],[QR Suivis]],"_"),1,3)</f>
        <v>Stock</v>
      </c>
      <c r="O931" s="35" t="str">
        <f>INDEX(_xlfn.TEXTSPLIT(mvtst[[#This Row],[QR Suivis]],"_"),1,4)</f>
        <v>UNS1020-15</v>
      </c>
      <c r="P931" s="35" t="str">
        <f>INDEX(_xlfn.TEXTSPLIT(mvtst[[#This Row],[QR Suivis]],"_"),1,5)</f>
        <v>UNI SURPIQUE</v>
      </c>
      <c r="Q931" s="35" t="str">
        <f>_xlfn.TEXTAFTER(mvtst[[#This Row],[QR Suivis]],"_",5)</f>
        <v>1020</v>
      </c>
      <c r="R931" s="84" t="str">
        <f>IF(
   COUNTIFS($A$2:A931,A931,
             $B$2:B931,B931,
             $C$2:C931,C931,
             $D$2:D931,D931,
             $G$2:G931,G931)&gt;1,
   "Doublon",
   "Correcte"
)</f>
        <v>Correcte</v>
      </c>
    </row>
    <row r="932" spans="1:18" x14ac:dyDescent="0.25">
      <c r="A932" s="104" t="s">
        <v>1569</v>
      </c>
      <c r="B932" s="35" t="s">
        <v>712</v>
      </c>
      <c r="C932" s="36">
        <v>0</v>
      </c>
      <c r="D932" s="36">
        <v>5</v>
      </c>
      <c r="E932" s="35" t="s">
        <v>699</v>
      </c>
      <c r="F932" s="35" t="s">
        <v>634</v>
      </c>
      <c r="G932" s="37">
        <v>45930.472407407404</v>
      </c>
      <c r="H932" s="37" t="str">
        <f>INDEX(_xlfn.TEXTSPLIT(mvtst[[#This Row],[QR Suivis]],"_"),1,1)</f>
        <v>CA250018-5</v>
      </c>
      <c r="I932" s="35" t="str">
        <f>_xlfn.TEXTBEFORE(mvtst[[#This Row],[Num Suivis]],"-",,,1)</f>
        <v>CA250018</v>
      </c>
      <c r="J932" s="36">
        <f>SUMIF(mvtst[QR Suivis],mvtst[[#This Row],[QR Suivis]],mvtst[QTE SORTIS])-SUMIF(mvtst[QR Suivis],mvtst[[#This Row],[QR Suivis]],mvtst[QTE RETOUR])</f>
        <v>0</v>
      </c>
      <c r="K932" s="35" t="str">
        <f t="shared" si="14"/>
        <v>Usine</v>
      </c>
      <c r="L932" s="35" t="str">
        <f>_xlfn.XLOOKUP(mvtst[[#This Row],[Sous Traitant]],coordonnee_st[Identification],coordonnee_st[SERVICE],"Non Trouvé")</f>
        <v>Frange</v>
      </c>
      <c r="M932" s="35" t="str">
        <f>INDEX(_xlfn.TEXTSPLIT(mvtst[[#This Row],[QR Suivis]],"_"),1,2)</f>
        <v>All by Fouta</v>
      </c>
      <c r="N932" s="35" t="str">
        <f>INDEX(_xlfn.TEXTSPLIT(mvtst[[#This Row],[QR Suivis]],"_"),1,3)</f>
        <v>Stock</v>
      </c>
      <c r="O932" s="35" t="str">
        <f>INDEX(_xlfn.TEXTSPLIT(mvtst[[#This Row],[QR Suivis]],"_"),1,4)</f>
        <v>UNS1020-31</v>
      </c>
      <c r="P932" s="35" t="str">
        <f>INDEX(_xlfn.TEXTSPLIT(mvtst[[#This Row],[QR Suivis]],"_"),1,5)</f>
        <v>UNI SURPIQUE</v>
      </c>
      <c r="Q932" s="35" t="str">
        <f>_xlfn.TEXTAFTER(mvtst[[#This Row],[QR Suivis]],"_",5)</f>
        <v>1020</v>
      </c>
      <c r="R932" s="84" t="str">
        <f>IF(
   COUNTIFS($A$2:A932,A932,
             $B$2:B932,B932,
             $C$2:C932,C932,
             $D$2:D932,D932,
             $G$2:G932,G932)&gt;1,
   "Doublon",
   "Correcte"
)</f>
        <v>Correcte</v>
      </c>
    </row>
    <row r="933" spans="1:18" x14ac:dyDescent="0.25">
      <c r="A933" s="104" t="s">
        <v>1464</v>
      </c>
      <c r="B933" s="35" t="s">
        <v>712</v>
      </c>
      <c r="C933" s="36">
        <v>0</v>
      </c>
      <c r="D933" s="36">
        <v>5</v>
      </c>
      <c r="E933" s="35" t="s">
        <v>699</v>
      </c>
      <c r="F933" s="35" t="s">
        <v>634</v>
      </c>
      <c r="G933" s="37">
        <v>45930.473541666666</v>
      </c>
      <c r="H933" s="37" t="str">
        <f>INDEX(_xlfn.TEXTSPLIT(mvtst[[#This Row],[QR Suivis]],"_"),1,1)</f>
        <v>CA250008-12</v>
      </c>
      <c r="I933" s="35" t="str">
        <f>_xlfn.TEXTBEFORE(mvtst[[#This Row],[Num Suivis]],"-",,,1)</f>
        <v>CA250008</v>
      </c>
      <c r="J933" s="36">
        <f>SUMIF(mvtst[QR Suivis],mvtst[[#This Row],[QR Suivis]],mvtst[QTE SORTIS])-SUMIF(mvtst[QR Suivis],mvtst[[#This Row],[QR Suivis]],mvtst[QTE RETOUR])</f>
        <v>0</v>
      </c>
      <c r="K933" s="35" t="str">
        <f t="shared" si="14"/>
        <v>Usine</v>
      </c>
      <c r="L933" s="35" t="str">
        <f>_xlfn.XLOOKUP(mvtst[[#This Row],[Sous Traitant]],coordonnee_st[Identification],coordonnee_st[SERVICE],"Non Trouvé")</f>
        <v>Frange</v>
      </c>
      <c r="M933" s="35" t="str">
        <f>INDEX(_xlfn.TEXTSPLIT(mvtst[[#This Row],[QR Suivis]],"_"),1,2)</f>
        <v>All by Fouta</v>
      </c>
      <c r="N933" s="35" t="str">
        <f>INDEX(_xlfn.TEXTSPLIT(mvtst[[#This Row],[QR Suivis]],"_"),1,3)</f>
        <v>Stock</v>
      </c>
      <c r="O933" s="35" t="str">
        <f>INDEX(_xlfn.TEXTSPLIT(mvtst[[#This Row],[QR Suivis]],"_"),1,4)</f>
        <v>UNS1020-15</v>
      </c>
      <c r="P933" s="35" t="str">
        <f>INDEX(_xlfn.TEXTSPLIT(mvtst[[#This Row],[QR Suivis]],"_"),1,5)</f>
        <v>UNI SURPIQUE</v>
      </c>
      <c r="Q933" s="35" t="str">
        <f>_xlfn.TEXTAFTER(mvtst[[#This Row],[QR Suivis]],"_",5)</f>
        <v>1020</v>
      </c>
      <c r="R933" s="84" t="str">
        <f>IF(
   COUNTIFS($A$2:A933,A933,
             $B$2:B933,B933,
             $C$2:C933,C933,
             $D$2:D933,D933,
             $G$2:G933,G933)&gt;1,
   "Doublon",
   "Correcte"
)</f>
        <v>Correcte</v>
      </c>
    </row>
    <row r="934" spans="1:18" x14ac:dyDescent="0.25">
      <c r="A934" s="104" t="s">
        <v>1465</v>
      </c>
      <c r="B934" s="35" t="s">
        <v>712</v>
      </c>
      <c r="C934" s="36">
        <v>0</v>
      </c>
      <c r="D934" s="36">
        <v>5</v>
      </c>
      <c r="E934" s="35" t="s">
        <v>699</v>
      </c>
      <c r="F934" s="35" t="s">
        <v>634</v>
      </c>
      <c r="G934" s="37">
        <v>45930.473761574074</v>
      </c>
      <c r="H934" s="37" t="str">
        <f>INDEX(_xlfn.TEXTSPLIT(mvtst[[#This Row],[QR Suivis]],"_"),1,1)</f>
        <v>CA250008-6</v>
      </c>
      <c r="I934" s="35" t="str">
        <f>_xlfn.TEXTBEFORE(mvtst[[#This Row],[Num Suivis]],"-",,,1)</f>
        <v>CA250008</v>
      </c>
      <c r="J934" s="36">
        <f>SUMIF(mvtst[QR Suivis],mvtst[[#This Row],[QR Suivis]],mvtst[QTE SORTIS])-SUMIF(mvtst[QR Suivis],mvtst[[#This Row],[QR Suivis]],mvtst[QTE RETOUR])</f>
        <v>0</v>
      </c>
      <c r="K934" s="35" t="str">
        <f t="shared" si="14"/>
        <v>Usine</v>
      </c>
      <c r="L934" s="35" t="str">
        <f>_xlfn.XLOOKUP(mvtst[[#This Row],[Sous Traitant]],coordonnee_st[Identification],coordonnee_st[SERVICE],"Non Trouvé")</f>
        <v>Frange</v>
      </c>
      <c r="M934" s="35" t="str">
        <f>INDEX(_xlfn.TEXTSPLIT(mvtst[[#This Row],[QR Suivis]],"_"),1,2)</f>
        <v>All by Fouta</v>
      </c>
      <c r="N934" s="35" t="str">
        <f>INDEX(_xlfn.TEXTSPLIT(mvtst[[#This Row],[QR Suivis]],"_"),1,3)</f>
        <v>Stock</v>
      </c>
      <c r="O934" s="35" t="str">
        <f>INDEX(_xlfn.TEXTSPLIT(mvtst[[#This Row],[QR Suivis]],"_"),1,4)</f>
        <v>UNS1020-15</v>
      </c>
      <c r="P934" s="35" t="str">
        <f>INDEX(_xlfn.TEXTSPLIT(mvtst[[#This Row],[QR Suivis]],"_"),1,5)</f>
        <v>UNI SURPIQUE</v>
      </c>
      <c r="Q934" s="35" t="str">
        <f>_xlfn.TEXTAFTER(mvtst[[#This Row],[QR Suivis]],"_",5)</f>
        <v>1020</v>
      </c>
      <c r="R934" s="84" t="str">
        <f>IF(
   COUNTIFS($A$2:A934,A934,
             $B$2:B934,B934,
             $C$2:C934,C934,
             $D$2:D934,D934,
             $G$2:G934,G934)&gt;1,
   "Doublon",
   "Correcte"
)</f>
        <v>Correcte</v>
      </c>
    </row>
    <row r="935" spans="1:18" x14ac:dyDescent="0.25">
      <c r="A935" s="104" t="s">
        <v>1570</v>
      </c>
      <c r="B935" s="35" t="s">
        <v>712</v>
      </c>
      <c r="C935" s="36">
        <v>0</v>
      </c>
      <c r="D935" s="36">
        <v>5</v>
      </c>
      <c r="E935" s="35" t="s">
        <v>699</v>
      </c>
      <c r="F935" s="35" t="s">
        <v>634</v>
      </c>
      <c r="G935" s="37">
        <v>45930.473969907405</v>
      </c>
      <c r="H935" s="37" t="str">
        <f>INDEX(_xlfn.TEXTSPLIT(mvtst[[#This Row],[QR Suivis]],"_"),1,1)</f>
        <v>CA250018-7</v>
      </c>
      <c r="I935" s="35" t="str">
        <f>_xlfn.TEXTBEFORE(mvtst[[#This Row],[Num Suivis]],"-",,,1)</f>
        <v>CA250018</v>
      </c>
      <c r="J935" s="36">
        <f>SUMIF(mvtst[QR Suivis],mvtst[[#This Row],[QR Suivis]],mvtst[QTE SORTIS])-SUMIF(mvtst[QR Suivis],mvtst[[#This Row],[QR Suivis]],mvtst[QTE RETOUR])</f>
        <v>0</v>
      </c>
      <c r="K935" s="35" t="str">
        <f t="shared" si="14"/>
        <v>Usine</v>
      </c>
      <c r="L935" s="35" t="str">
        <f>_xlfn.XLOOKUP(mvtst[[#This Row],[Sous Traitant]],coordonnee_st[Identification],coordonnee_st[SERVICE],"Non Trouvé")</f>
        <v>Frange</v>
      </c>
      <c r="M935" s="35" t="str">
        <f>INDEX(_xlfn.TEXTSPLIT(mvtst[[#This Row],[QR Suivis]],"_"),1,2)</f>
        <v>All by Fouta</v>
      </c>
      <c r="N935" s="35" t="str">
        <f>INDEX(_xlfn.TEXTSPLIT(mvtst[[#This Row],[QR Suivis]],"_"),1,3)</f>
        <v>Stock</v>
      </c>
      <c r="O935" s="35" t="str">
        <f>INDEX(_xlfn.TEXTSPLIT(mvtst[[#This Row],[QR Suivis]],"_"),1,4)</f>
        <v>UNS1020-31</v>
      </c>
      <c r="P935" s="35" t="str">
        <f>INDEX(_xlfn.TEXTSPLIT(mvtst[[#This Row],[QR Suivis]],"_"),1,5)</f>
        <v>UNI SURPIQUE</v>
      </c>
      <c r="Q935" s="35" t="str">
        <f>_xlfn.TEXTAFTER(mvtst[[#This Row],[QR Suivis]],"_",5)</f>
        <v>1020</v>
      </c>
      <c r="R935" s="84" t="str">
        <f>IF(
   COUNTIFS($A$2:A935,A935,
             $B$2:B935,B935,
             $C$2:C935,C935,
             $D$2:D935,D935,
             $G$2:G935,G935)&gt;1,
   "Doublon",
   "Correcte"
)</f>
        <v>Correcte</v>
      </c>
    </row>
    <row r="936" spans="1:18" x14ac:dyDescent="0.25">
      <c r="A936" s="104" t="s">
        <v>1571</v>
      </c>
      <c r="B936" s="35" t="s">
        <v>712</v>
      </c>
      <c r="C936" s="36">
        <v>0</v>
      </c>
      <c r="D936" s="36">
        <v>5</v>
      </c>
      <c r="E936" s="35" t="s">
        <v>699</v>
      </c>
      <c r="F936" s="35" t="s">
        <v>634</v>
      </c>
      <c r="G936" s="37">
        <v>45930.474745370368</v>
      </c>
      <c r="H936" s="37" t="str">
        <f>INDEX(_xlfn.TEXTSPLIT(mvtst[[#This Row],[QR Suivis]],"_"),1,1)</f>
        <v>CA250018-12</v>
      </c>
      <c r="I936" s="35" t="str">
        <f>_xlfn.TEXTBEFORE(mvtst[[#This Row],[Num Suivis]],"-",,,1)</f>
        <v>CA250018</v>
      </c>
      <c r="J936" s="36">
        <f>SUMIF(mvtst[QR Suivis],mvtst[[#This Row],[QR Suivis]],mvtst[QTE SORTIS])-SUMIF(mvtst[QR Suivis],mvtst[[#This Row],[QR Suivis]],mvtst[QTE RETOUR])</f>
        <v>0</v>
      </c>
      <c r="K936" s="35" t="str">
        <f t="shared" si="14"/>
        <v>Usine</v>
      </c>
      <c r="L936" s="35" t="str">
        <f>_xlfn.XLOOKUP(mvtst[[#This Row],[Sous Traitant]],coordonnee_st[Identification],coordonnee_st[SERVICE],"Non Trouvé")</f>
        <v>Frange</v>
      </c>
      <c r="M936" s="35" t="str">
        <f>INDEX(_xlfn.TEXTSPLIT(mvtst[[#This Row],[QR Suivis]],"_"),1,2)</f>
        <v>All by Fouta</v>
      </c>
      <c r="N936" s="35" t="str">
        <f>INDEX(_xlfn.TEXTSPLIT(mvtst[[#This Row],[QR Suivis]],"_"),1,3)</f>
        <v>Stock</v>
      </c>
      <c r="O936" s="35" t="str">
        <f>INDEX(_xlfn.TEXTSPLIT(mvtst[[#This Row],[QR Suivis]],"_"),1,4)</f>
        <v>UNS1020-31</v>
      </c>
      <c r="P936" s="35" t="str">
        <f>INDEX(_xlfn.TEXTSPLIT(mvtst[[#This Row],[QR Suivis]],"_"),1,5)</f>
        <v>UNI SURPIQUE</v>
      </c>
      <c r="Q936" s="35" t="str">
        <f>_xlfn.TEXTAFTER(mvtst[[#This Row],[QR Suivis]],"_",5)</f>
        <v>1020</v>
      </c>
      <c r="R936" s="84" t="str">
        <f>IF(
   COUNTIFS($A$2:A936,A936,
             $B$2:B936,B936,
             $C$2:C936,C936,
             $D$2:D936,D936,
             $G$2:G936,G936)&gt;1,
   "Doublon",
   "Correcte"
)</f>
        <v>Correcte</v>
      </c>
    </row>
    <row r="937" spans="1:18" x14ac:dyDescent="0.25">
      <c r="A937" s="104" t="s">
        <v>1466</v>
      </c>
      <c r="B937" s="35" t="s">
        <v>712</v>
      </c>
      <c r="C937" s="36">
        <v>0</v>
      </c>
      <c r="D937" s="36">
        <v>5</v>
      </c>
      <c r="E937" s="35" t="s">
        <v>699</v>
      </c>
      <c r="F937" s="35" t="s">
        <v>634</v>
      </c>
      <c r="G937" s="37">
        <v>45930.474942129629</v>
      </c>
      <c r="H937" s="37" t="str">
        <f>INDEX(_xlfn.TEXTSPLIT(mvtst[[#This Row],[QR Suivis]],"_"),1,1)</f>
        <v>CA250008-11</v>
      </c>
      <c r="I937" s="35" t="str">
        <f>_xlfn.TEXTBEFORE(mvtst[[#This Row],[Num Suivis]],"-",,,1)</f>
        <v>CA250008</v>
      </c>
      <c r="J937" s="36">
        <f>SUMIF(mvtst[QR Suivis],mvtst[[#This Row],[QR Suivis]],mvtst[QTE SORTIS])-SUMIF(mvtst[QR Suivis],mvtst[[#This Row],[QR Suivis]],mvtst[QTE RETOUR])</f>
        <v>0</v>
      </c>
      <c r="K937" s="35" t="str">
        <f t="shared" si="14"/>
        <v>Usine</v>
      </c>
      <c r="L937" s="35" t="str">
        <f>_xlfn.XLOOKUP(mvtst[[#This Row],[Sous Traitant]],coordonnee_st[Identification],coordonnee_st[SERVICE],"Non Trouvé")</f>
        <v>Frange</v>
      </c>
      <c r="M937" s="35" t="str">
        <f>INDEX(_xlfn.TEXTSPLIT(mvtst[[#This Row],[QR Suivis]],"_"),1,2)</f>
        <v>All by Fouta</v>
      </c>
      <c r="N937" s="35" t="str">
        <f>INDEX(_xlfn.TEXTSPLIT(mvtst[[#This Row],[QR Suivis]],"_"),1,3)</f>
        <v>Stock</v>
      </c>
      <c r="O937" s="35" t="str">
        <f>INDEX(_xlfn.TEXTSPLIT(mvtst[[#This Row],[QR Suivis]],"_"),1,4)</f>
        <v>UNS1020-15</v>
      </c>
      <c r="P937" s="35" t="str">
        <f>INDEX(_xlfn.TEXTSPLIT(mvtst[[#This Row],[QR Suivis]],"_"),1,5)</f>
        <v>UNI SURPIQUE</v>
      </c>
      <c r="Q937" s="35" t="str">
        <f>_xlfn.TEXTAFTER(mvtst[[#This Row],[QR Suivis]],"_",5)</f>
        <v>1020</v>
      </c>
      <c r="R937" s="84" t="str">
        <f>IF(
   COUNTIFS($A$2:A937,A937,
             $B$2:B937,B937,
             $C$2:C937,C937,
             $D$2:D937,D937,
             $G$2:G937,G937)&gt;1,
   "Doublon",
   "Correcte"
)</f>
        <v>Correcte</v>
      </c>
    </row>
    <row r="938" spans="1:18" x14ac:dyDescent="0.25">
      <c r="A938" s="104" t="s">
        <v>1572</v>
      </c>
      <c r="B938" s="35" t="s">
        <v>712</v>
      </c>
      <c r="C938" s="36">
        <v>0</v>
      </c>
      <c r="D938" s="36">
        <v>5</v>
      </c>
      <c r="E938" s="35" t="s">
        <v>699</v>
      </c>
      <c r="F938" s="35" t="s">
        <v>634</v>
      </c>
      <c r="G938" s="37">
        <v>45930.475127314814</v>
      </c>
      <c r="H938" s="37" t="str">
        <f>INDEX(_xlfn.TEXTSPLIT(mvtst[[#This Row],[QR Suivis]],"_"),1,1)</f>
        <v>CA250018-4</v>
      </c>
      <c r="I938" s="35" t="str">
        <f>_xlfn.TEXTBEFORE(mvtst[[#This Row],[Num Suivis]],"-",,,1)</f>
        <v>CA250018</v>
      </c>
      <c r="J938" s="36">
        <f>SUMIF(mvtst[QR Suivis],mvtst[[#This Row],[QR Suivis]],mvtst[QTE SORTIS])-SUMIF(mvtst[QR Suivis],mvtst[[#This Row],[QR Suivis]],mvtst[QTE RETOUR])</f>
        <v>0</v>
      </c>
      <c r="K938" s="35" t="str">
        <f t="shared" si="14"/>
        <v>Usine</v>
      </c>
      <c r="L938" s="35" t="str">
        <f>_xlfn.XLOOKUP(mvtst[[#This Row],[Sous Traitant]],coordonnee_st[Identification],coordonnee_st[SERVICE],"Non Trouvé")</f>
        <v>Frange</v>
      </c>
      <c r="M938" s="35" t="str">
        <f>INDEX(_xlfn.TEXTSPLIT(mvtst[[#This Row],[QR Suivis]],"_"),1,2)</f>
        <v>All by Fouta</v>
      </c>
      <c r="N938" s="35" t="str">
        <f>INDEX(_xlfn.TEXTSPLIT(mvtst[[#This Row],[QR Suivis]],"_"),1,3)</f>
        <v>Stock</v>
      </c>
      <c r="O938" s="35" t="str">
        <f>INDEX(_xlfn.TEXTSPLIT(mvtst[[#This Row],[QR Suivis]],"_"),1,4)</f>
        <v>UNS1020-31</v>
      </c>
      <c r="P938" s="35" t="str">
        <f>INDEX(_xlfn.TEXTSPLIT(mvtst[[#This Row],[QR Suivis]],"_"),1,5)</f>
        <v>UNI SURPIQUE</v>
      </c>
      <c r="Q938" s="35" t="str">
        <f>_xlfn.TEXTAFTER(mvtst[[#This Row],[QR Suivis]],"_",5)</f>
        <v>1020</v>
      </c>
      <c r="R938" s="84" t="str">
        <f>IF(
   COUNTIFS($A$2:A938,A938,
             $B$2:B938,B938,
             $C$2:C938,C938,
             $D$2:D938,D938,
             $G$2:G938,G938)&gt;1,
   "Doublon",
   "Correcte"
)</f>
        <v>Correcte</v>
      </c>
    </row>
    <row r="939" spans="1:18" x14ac:dyDescent="0.25">
      <c r="A939" s="104" t="s">
        <v>1573</v>
      </c>
      <c r="B939" s="35" t="s">
        <v>712</v>
      </c>
      <c r="C939" s="36">
        <v>0</v>
      </c>
      <c r="D939" s="36">
        <v>5</v>
      </c>
      <c r="E939" s="35" t="s">
        <v>699</v>
      </c>
      <c r="F939" s="35" t="s">
        <v>634</v>
      </c>
      <c r="G939" s="37">
        <v>45930.475439814814</v>
      </c>
      <c r="H939" s="37" t="str">
        <f>INDEX(_xlfn.TEXTSPLIT(mvtst[[#This Row],[QR Suivis]],"_"),1,1)</f>
        <v>CA250018-10</v>
      </c>
      <c r="I939" s="35" t="str">
        <f>_xlfn.TEXTBEFORE(mvtst[[#This Row],[Num Suivis]],"-",,,1)</f>
        <v>CA250018</v>
      </c>
      <c r="J939" s="36">
        <f>SUMIF(mvtst[QR Suivis],mvtst[[#This Row],[QR Suivis]],mvtst[QTE SORTIS])-SUMIF(mvtst[QR Suivis],mvtst[[#This Row],[QR Suivis]],mvtst[QTE RETOUR])</f>
        <v>0</v>
      </c>
      <c r="K939" s="35" t="str">
        <f t="shared" si="14"/>
        <v>Usine</v>
      </c>
      <c r="L939" s="35" t="str">
        <f>_xlfn.XLOOKUP(mvtst[[#This Row],[Sous Traitant]],coordonnee_st[Identification],coordonnee_st[SERVICE],"Non Trouvé")</f>
        <v>Frange</v>
      </c>
      <c r="M939" s="35" t="str">
        <f>INDEX(_xlfn.TEXTSPLIT(mvtst[[#This Row],[QR Suivis]],"_"),1,2)</f>
        <v>All by Fouta</v>
      </c>
      <c r="N939" s="35" t="str">
        <f>INDEX(_xlfn.TEXTSPLIT(mvtst[[#This Row],[QR Suivis]],"_"),1,3)</f>
        <v>Stock</v>
      </c>
      <c r="O939" s="35" t="str">
        <f>INDEX(_xlfn.TEXTSPLIT(mvtst[[#This Row],[QR Suivis]],"_"),1,4)</f>
        <v>UNS1020-31</v>
      </c>
      <c r="P939" s="35" t="str">
        <f>INDEX(_xlfn.TEXTSPLIT(mvtst[[#This Row],[QR Suivis]],"_"),1,5)</f>
        <v>UNI SURPIQUE</v>
      </c>
      <c r="Q939" s="35" t="str">
        <f>_xlfn.TEXTAFTER(mvtst[[#This Row],[QR Suivis]],"_",5)</f>
        <v>1020</v>
      </c>
      <c r="R939" s="84" t="str">
        <f>IF(
   COUNTIFS($A$2:A939,A939,
             $B$2:B939,B939,
             $C$2:C939,C939,
             $D$2:D939,D939,
             $G$2:G939,G939)&gt;1,
   "Doublon",
   "Correcte"
)</f>
        <v>Correcte</v>
      </c>
    </row>
    <row r="940" spans="1:18" x14ac:dyDescent="0.25">
      <c r="A940" s="104" t="s">
        <v>1574</v>
      </c>
      <c r="B940" s="35" t="s">
        <v>712</v>
      </c>
      <c r="C940" s="36">
        <v>0</v>
      </c>
      <c r="D940" s="36">
        <v>5</v>
      </c>
      <c r="E940" s="35" t="s">
        <v>699</v>
      </c>
      <c r="F940" s="35" t="s">
        <v>634</v>
      </c>
      <c r="G940" s="37">
        <v>45930.475659722222</v>
      </c>
      <c r="H940" s="37" t="str">
        <f>INDEX(_xlfn.TEXTSPLIT(mvtst[[#This Row],[QR Suivis]],"_"),1,1)</f>
        <v>CA250018-8</v>
      </c>
      <c r="I940" s="35" t="str">
        <f>_xlfn.TEXTBEFORE(mvtst[[#This Row],[Num Suivis]],"-",,,1)</f>
        <v>CA250018</v>
      </c>
      <c r="J940" s="36">
        <f>SUMIF(mvtst[QR Suivis],mvtst[[#This Row],[QR Suivis]],mvtst[QTE SORTIS])-SUMIF(mvtst[QR Suivis],mvtst[[#This Row],[QR Suivis]],mvtst[QTE RETOUR])</f>
        <v>0</v>
      </c>
      <c r="K940" s="35" t="str">
        <f t="shared" si="14"/>
        <v>Usine</v>
      </c>
      <c r="L940" s="35" t="str">
        <f>_xlfn.XLOOKUP(mvtst[[#This Row],[Sous Traitant]],coordonnee_st[Identification],coordonnee_st[SERVICE],"Non Trouvé")</f>
        <v>Frange</v>
      </c>
      <c r="M940" s="35" t="str">
        <f>INDEX(_xlfn.TEXTSPLIT(mvtst[[#This Row],[QR Suivis]],"_"),1,2)</f>
        <v>All by Fouta</v>
      </c>
      <c r="N940" s="35" t="str">
        <f>INDEX(_xlfn.TEXTSPLIT(mvtst[[#This Row],[QR Suivis]],"_"),1,3)</f>
        <v>Stock</v>
      </c>
      <c r="O940" s="35" t="str">
        <f>INDEX(_xlfn.TEXTSPLIT(mvtst[[#This Row],[QR Suivis]],"_"),1,4)</f>
        <v>UNS1020-31</v>
      </c>
      <c r="P940" s="35" t="str">
        <f>INDEX(_xlfn.TEXTSPLIT(mvtst[[#This Row],[QR Suivis]],"_"),1,5)</f>
        <v>UNI SURPIQUE</v>
      </c>
      <c r="Q940" s="35" t="str">
        <f>_xlfn.TEXTAFTER(mvtst[[#This Row],[QR Suivis]],"_",5)</f>
        <v>1020</v>
      </c>
      <c r="R940" s="84" t="str">
        <f>IF(
   COUNTIFS($A$2:A940,A940,
             $B$2:B940,B940,
             $C$2:C940,C940,
             $D$2:D940,D940,
             $G$2:G940,G940)&gt;1,
   "Doublon",
   "Correcte"
)</f>
        <v>Correcte</v>
      </c>
    </row>
    <row r="941" spans="1:18" x14ac:dyDescent="0.25">
      <c r="A941" s="104" t="s">
        <v>1548</v>
      </c>
      <c r="B941" s="35" t="s">
        <v>712</v>
      </c>
      <c r="C941" s="36">
        <v>0</v>
      </c>
      <c r="D941" s="36">
        <v>5</v>
      </c>
      <c r="E941" s="35" t="s">
        <v>699</v>
      </c>
      <c r="F941" s="35" t="s">
        <v>634</v>
      </c>
      <c r="G941" s="37">
        <v>45930.475914351853</v>
      </c>
      <c r="H941" s="37" t="str">
        <f>INDEX(_xlfn.TEXTSPLIT(mvtst[[#This Row],[QR Suivis]],"_"),1,1)</f>
        <v>CA250014-2</v>
      </c>
      <c r="I941" s="35" t="str">
        <f>_xlfn.TEXTBEFORE(mvtst[[#This Row],[Num Suivis]],"-",,,1)</f>
        <v>CA250014</v>
      </c>
      <c r="J941" s="36">
        <f>SUMIF(mvtst[QR Suivis],mvtst[[#This Row],[QR Suivis]],mvtst[QTE SORTIS])-SUMIF(mvtst[QR Suivis],mvtst[[#This Row],[QR Suivis]],mvtst[QTE RETOUR])</f>
        <v>0</v>
      </c>
      <c r="K941" s="35" t="str">
        <f t="shared" si="14"/>
        <v>Usine</v>
      </c>
      <c r="L941" s="35" t="str">
        <f>_xlfn.XLOOKUP(mvtst[[#This Row],[Sous Traitant]],coordonnee_st[Identification],coordonnee_st[SERVICE],"Non Trouvé")</f>
        <v>Frange</v>
      </c>
      <c r="M941" s="35" t="str">
        <f>INDEX(_xlfn.TEXTSPLIT(mvtst[[#This Row],[QR Suivis]],"_"),1,2)</f>
        <v>All by Fouta</v>
      </c>
      <c r="N941" s="35" t="str">
        <f>INDEX(_xlfn.TEXTSPLIT(mvtst[[#This Row],[QR Suivis]],"_"),1,3)</f>
        <v>Stock</v>
      </c>
      <c r="O941" s="35" t="str">
        <f>INDEX(_xlfn.TEXTSPLIT(mvtst[[#This Row],[QR Suivis]],"_"),1,4)</f>
        <v>UNS1020-24</v>
      </c>
      <c r="P941" s="35" t="str">
        <f>INDEX(_xlfn.TEXTSPLIT(mvtst[[#This Row],[QR Suivis]],"_"),1,5)</f>
        <v>UNI SURPIQUE</v>
      </c>
      <c r="Q941" s="35" t="str">
        <f>_xlfn.TEXTAFTER(mvtst[[#This Row],[QR Suivis]],"_",5)</f>
        <v>1020</v>
      </c>
      <c r="R941" s="84" t="str">
        <f>IF(
   COUNTIFS($A$2:A941,A941,
             $B$2:B941,B941,
             $C$2:C941,C941,
             $D$2:D941,D941,
             $G$2:G941,G941)&gt;1,
   "Doublon",
   "Correcte"
)</f>
        <v>Correcte</v>
      </c>
    </row>
    <row r="942" spans="1:18" x14ac:dyDescent="0.25">
      <c r="A942" s="104" t="s">
        <v>1549</v>
      </c>
      <c r="B942" s="35" t="s">
        <v>712</v>
      </c>
      <c r="C942" s="36">
        <v>0</v>
      </c>
      <c r="D942" s="36">
        <v>5</v>
      </c>
      <c r="E942" s="35" t="s">
        <v>699</v>
      </c>
      <c r="F942" s="35" t="s">
        <v>634</v>
      </c>
      <c r="G942" s="37">
        <v>45930.476134259261</v>
      </c>
      <c r="H942" s="37" t="str">
        <f>INDEX(_xlfn.TEXTSPLIT(mvtst[[#This Row],[QR Suivis]],"_"),1,1)</f>
        <v>CA250014-3</v>
      </c>
      <c r="I942" s="35" t="str">
        <f>_xlfn.TEXTBEFORE(mvtst[[#This Row],[Num Suivis]],"-",,,1)</f>
        <v>CA250014</v>
      </c>
      <c r="J942" s="36">
        <f>SUMIF(mvtst[QR Suivis],mvtst[[#This Row],[QR Suivis]],mvtst[QTE SORTIS])-SUMIF(mvtst[QR Suivis],mvtst[[#This Row],[QR Suivis]],mvtst[QTE RETOUR])</f>
        <v>0</v>
      </c>
      <c r="K942" s="35" t="str">
        <f t="shared" si="14"/>
        <v>Usine</v>
      </c>
      <c r="L942" s="35" t="str">
        <f>_xlfn.XLOOKUP(mvtst[[#This Row],[Sous Traitant]],coordonnee_st[Identification],coordonnee_st[SERVICE],"Non Trouvé")</f>
        <v>Frange</v>
      </c>
      <c r="M942" s="35" t="str">
        <f>INDEX(_xlfn.TEXTSPLIT(mvtst[[#This Row],[QR Suivis]],"_"),1,2)</f>
        <v>All by Fouta</v>
      </c>
      <c r="N942" s="35" t="str">
        <f>INDEX(_xlfn.TEXTSPLIT(mvtst[[#This Row],[QR Suivis]],"_"),1,3)</f>
        <v>Stock</v>
      </c>
      <c r="O942" s="35" t="str">
        <f>INDEX(_xlfn.TEXTSPLIT(mvtst[[#This Row],[QR Suivis]],"_"),1,4)</f>
        <v>UNS1020-24</v>
      </c>
      <c r="P942" s="35" t="str">
        <f>INDEX(_xlfn.TEXTSPLIT(mvtst[[#This Row],[QR Suivis]],"_"),1,5)</f>
        <v>UNI SURPIQUE</v>
      </c>
      <c r="Q942" s="35" t="str">
        <f>_xlfn.TEXTAFTER(mvtst[[#This Row],[QR Suivis]],"_",5)</f>
        <v>1020</v>
      </c>
      <c r="R942" s="84" t="str">
        <f>IF(
   COUNTIFS($A$2:A942,A942,
             $B$2:B942,B942,
             $C$2:C942,C942,
             $D$2:D942,D942,
             $G$2:G942,G942)&gt;1,
   "Doublon",
   "Correcte"
)</f>
        <v>Correcte</v>
      </c>
    </row>
    <row r="943" spans="1:18" x14ac:dyDescent="0.25">
      <c r="A943" s="104" t="s">
        <v>1550</v>
      </c>
      <c r="B943" s="35" t="s">
        <v>712</v>
      </c>
      <c r="C943" s="36">
        <v>0</v>
      </c>
      <c r="D943" s="36">
        <v>5</v>
      </c>
      <c r="E943" s="35" t="s">
        <v>699</v>
      </c>
      <c r="F943" s="35" t="s">
        <v>634</v>
      </c>
      <c r="G943" s="37">
        <v>45930.476655092592</v>
      </c>
      <c r="H943" s="37" t="str">
        <f>INDEX(_xlfn.TEXTSPLIT(mvtst[[#This Row],[QR Suivis]],"_"),1,1)</f>
        <v>CA250014-9</v>
      </c>
      <c r="I943" s="35" t="str">
        <f>_xlfn.TEXTBEFORE(mvtst[[#This Row],[Num Suivis]],"-",,,1)</f>
        <v>CA250014</v>
      </c>
      <c r="J943" s="36">
        <f>SUMIF(mvtst[QR Suivis],mvtst[[#This Row],[QR Suivis]],mvtst[QTE SORTIS])-SUMIF(mvtst[QR Suivis],mvtst[[#This Row],[QR Suivis]],mvtst[QTE RETOUR])</f>
        <v>0</v>
      </c>
      <c r="K943" s="35" t="str">
        <f t="shared" si="14"/>
        <v>Usine</v>
      </c>
      <c r="L943" s="35" t="str">
        <f>_xlfn.XLOOKUP(mvtst[[#This Row],[Sous Traitant]],coordonnee_st[Identification],coordonnee_st[SERVICE],"Non Trouvé")</f>
        <v>Frange</v>
      </c>
      <c r="M943" s="35" t="str">
        <f>INDEX(_xlfn.TEXTSPLIT(mvtst[[#This Row],[QR Suivis]],"_"),1,2)</f>
        <v>All by Fouta</v>
      </c>
      <c r="N943" s="35" t="str">
        <f>INDEX(_xlfn.TEXTSPLIT(mvtst[[#This Row],[QR Suivis]],"_"),1,3)</f>
        <v>Stock</v>
      </c>
      <c r="O943" s="35" t="str">
        <f>INDEX(_xlfn.TEXTSPLIT(mvtst[[#This Row],[QR Suivis]],"_"),1,4)</f>
        <v>UNS1020-24</v>
      </c>
      <c r="P943" s="35" t="str">
        <f>INDEX(_xlfn.TEXTSPLIT(mvtst[[#This Row],[QR Suivis]],"_"),1,5)</f>
        <v>UNI SURPIQUE</v>
      </c>
      <c r="Q943" s="35" t="str">
        <f>_xlfn.TEXTAFTER(mvtst[[#This Row],[QR Suivis]],"_",5)</f>
        <v>1020</v>
      </c>
      <c r="R943" s="84" t="str">
        <f>IF(
   COUNTIFS($A$2:A943,A943,
             $B$2:B943,B943,
             $C$2:C943,C943,
             $D$2:D943,D943,
             $G$2:G943,G943)&gt;1,
   "Doublon",
   "Correcte"
)</f>
        <v>Correcte</v>
      </c>
    </row>
    <row r="944" spans="1:18" x14ac:dyDescent="0.25">
      <c r="A944" s="104" t="s">
        <v>1551</v>
      </c>
      <c r="B944" s="35" t="s">
        <v>712</v>
      </c>
      <c r="C944" s="36">
        <v>0</v>
      </c>
      <c r="D944" s="36">
        <v>5</v>
      </c>
      <c r="E944" s="35" t="s">
        <v>699</v>
      </c>
      <c r="F944" s="35" t="s">
        <v>634</v>
      </c>
      <c r="G944" s="37">
        <v>45930.476805555554</v>
      </c>
      <c r="H944" s="37" t="str">
        <f>INDEX(_xlfn.TEXTSPLIT(mvtst[[#This Row],[QR Suivis]],"_"),1,1)</f>
        <v>CA250014-6</v>
      </c>
      <c r="I944" s="35" t="str">
        <f>_xlfn.TEXTBEFORE(mvtst[[#This Row],[Num Suivis]],"-",,,1)</f>
        <v>CA250014</v>
      </c>
      <c r="J944" s="36">
        <f>SUMIF(mvtst[QR Suivis],mvtst[[#This Row],[QR Suivis]],mvtst[QTE SORTIS])-SUMIF(mvtst[QR Suivis],mvtst[[#This Row],[QR Suivis]],mvtst[QTE RETOUR])</f>
        <v>0</v>
      </c>
      <c r="K944" s="35" t="str">
        <f t="shared" si="14"/>
        <v>Usine</v>
      </c>
      <c r="L944" s="35" t="str">
        <f>_xlfn.XLOOKUP(mvtst[[#This Row],[Sous Traitant]],coordonnee_st[Identification],coordonnee_st[SERVICE],"Non Trouvé")</f>
        <v>Frange</v>
      </c>
      <c r="M944" s="35" t="str">
        <f>INDEX(_xlfn.TEXTSPLIT(mvtst[[#This Row],[QR Suivis]],"_"),1,2)</f>
        <v>All by Fouta</v>
      </c>
      <c r="N944" s="35" t="str">
        <f>INDEX(_xlfn.TEXTSPLIT(mvtst[[#This Row],[QR Suivis]],"_"),1,3)</f>
        <v>Stock</v>
      </c>
      <c r="O944" s="35" t="str">
        <f>INDEX(_xlfn.TEXTSPLIT(mvtst[[#This Row],[QR Suivis]],"_"),1,4)</f>
        <v>UNS1020-24</v>
      </c>
      <c r="P944" s="35" t="str">
        <f>INDEX(_xlfn.TEXTSPLIT(mvtst[[#This Row],[QR Suivis]],"_"),1,5)</f>
        <v>UNI SURPIQUE</v>
      </c>
      <c r="Q944" s="35" t="str">
        <f>_xlfn.TEXTAFTER(mvtst[[#This Row],[QR Suivis]],"_",5)</f>
        <v>1020</v>
      </c>
      <c r="R944" s="84" t="str">
        <f>IF(
   COUNTIFS($A$2:A944,A944,
             $B$2:B944,B944,
             $C$2:C944,C944,
             $D$2:D944,D944,
             $G$2:G944,G944)&gt;1,
   "Doublon",
   "Correcte"
)</f>
        <v>Correcte</v>
      </c>
    </row>
    <row r="945" spans="1:18" x14ac:dyDescent="0.25">
      <c r="A945" s="104" t="s">
        <v>1611</v>
      </c>
      <c r="B945" s="35" t="s">
        <v>596</v>
      </c>
      <c r="C945" s="36">
        <v>0</v>
      </c>
      <c r="D945" s="36">
        <v>5</v>
      </c>
      <c r="E945" s="35" t="s">
        <v>699</v>
      </c>
      <c r="F945" s="35" t="s">
        <v>634</v>
      </c>
      <c r="G945" s="37">
        <v>45930.478888888887</v>
      </c>
      <c r="H945" s="37" t="str">
        <f>INDEX(_xlfn.TEXTSPLIT(mvtst[[#This Row],[QR Suivis]],"_"),1,1)</f>
        <v>CA250044-6</v>
      </c>
      <c r="I945" s="35" t="str">
        <f>_xlfn.TEXTBEFORE(mvtst[[#This Row],[Num Suivis]],"-",,,1)</f>
        <v>CA250044</v>
      </c>
      <c r="J945" s="36">
        <f>SUMIF(mvtst[QR Suivis],mvtst[[#This Row],[QR Suivis]],mvtst[QTE SORTIS])-SUMIF(mvtst[QR Suivis],mvtst[[#This Row],[QR Suivis]],mvtst[QTE RETOUR])</f>
        <v>0</v>
      </c>
      <c r="K945" s="35" t="str">
        <f t="shared" si="14"/>
        <v>Usine</v>
      </c>
      <c r="L945" s="35" t="str">
        <f>_xlfn.XLOOKUP(mvtst[[#This Row],[Sous Traitant]],coordonnee_st[Identification],coordonnee_st[SERVICE],"Non Trouvé")</f>
        <v>Frange</v>
      </c>
      <c r="M945" s="35" t="str">
        <f>INDEX(_xlfn.TEXTSPLIT(mvtst[[#This Row],[QR Suivis]],"_"),1,2)</f>
        <v>All by Fouta</v>
      </c>
      <c r="N945" s="35" t="str">
        <f>INDEX(_xlfn.TEXTSPLIT(mvtst[[#This Row],[QR Suivis]],"_"),1,3)</f>
        <v>Stock</v>
      </c>
      <c r="O945" s="35" t="str">
        <f>INDEX(_xlfn.TEXTSPLIT(mvtst[[#This Row],[QR Suivis]],"_"),1,4)</f>
        <v>UNS1626-09</v>
      </c>
      <c r="P945" s="35" t="str">
        <f>INDEX(_xlfn.TEXTSPLIT(mvtst[[#This Row],[QR Suivis]],"_"),1,5)</f>
        <v>UNI SURPIQUE</v>
      </c>
      <c r="Q945" s="35" t="str">
        <f>_xlfn.TEXTAFTER(mvtst[[#This Row],[QR Suivis]],"_",5)</f>
        <v>1626</v>
      </c>
      <c r="R945" s="84" t="str">
        <f>IF(
   COUNTIFS($A$2:A945,A945,
             $B$2:B945,B945,
             $C$2:C945,C945,
             $D$2:D945,D945,
             $G$2:G945,G945)&gt;1,
   "Doublon",
   "Correcte"
)</f>
        <v>Correcte</v>
      </c>
    </row>
    <row r="946" spans="1:18" x14ac:dyDescent="0.25">
      <c r="A946" s="104" t="s">
        <v>1612</v>
      </c>
      <c r="B946" s="35" t="s">
        <v>596</v>
      </c>
      <c r="C946" s="36">
        <v>0</v>
      </c>
      <c r="D946" s="36">
        <v>5</v>
      </c>
      <c r="E946" s="35" t="s">
        <v>699</v>
      </c>
      <c r="F946" s="35" t="s">
        <v>634</v>
      </c>
      <c r="G946" s="37">
        <v>45930.479317129626</v>
      </c>
      <c r="H946" s="37" t="str">
        <f>INDEX(_xlfn.TEXTSPLIT(mvtst[[#This Row],[QR Suivis]],"_"),1,1)</f>
        <v>CA250044-1</v>
      </c>
      <c r="I946" s="35" t="str">
        <f>_xlfn.TEXTBEFORE(mvtst[[#This Row],[Num Suivis]],"-",,,1)</f>
        <v>CA250044</v>
      </c>
      <c r="J946" s="36">
        <f>SUMIF(mvtst[QR Suivis],mvtst[[#This Row],[QR Suivis]],mvtst[QTE SORTIS])-SUMIF(mvtst[QR Suivis],mvtst[[#This Row],[QR Suivis]],mvtst[QTE RETOUR])</f>
        <v>0</v>
      </c>
      <c r="K946" s="35" t="str">
        <f t="shared" si="14"/>
        <v>Usine</v>
      </c>
      <c r="L946" s="35" t="str">
        <f>_xlfn.XLOOKUP(mvtst[[#This Row],[Sous Traitant]],coordonnee_st[Identification],coordonnee_st[SERVICE],"Non Trouvé")</f>
        <v>Frange</v>
      </c>
      <c r="M946" s="35" t="str">
        <f>INDEX(_xlfn.TEXTSPLIT(mvtst[[#This Row],[QR Suivis]],"_"),1,2)</f>
        <v>All by Fouta</v>
      </c>
      <c r="N946" s="35" t="str">
        <f>INDEX(_xlfn.TEXTSPLIT(mvtst[[#This Row],[QR Suivis]],"_"),1,3)</f>
        <v>Stock</v>
      </c>
      <c r="O946" s="35" t="str">
        <f>INDEX(_xlfn.TEXTSPLIT(mvtst[[#This Row],[QR Suivis]],"_"),1,4)</f>
        <v>UNS1626-09</v>
      </c>
      <c r="P946" s="35" t="str">
        <f>INDEX(_xlfn.TEXTSPLIT(mvtst[[#This Row],[QR Suivis]],"_"),1,5)</f>
        <v>UNI SURPIQUE</v>
      </c>
      <c r="Q946" s="35" t="str">
        <f>_xlfn.TEXTAFTER(mvtst[[#This Row],[QR Suivis]],"_",5)</f>
        <v>1626</v>
      </c>
      <c r="R946" s="84" t="str">
        <f>IF(
   COUNTIFS($A$2:A946,A946,
             $B$2:B946,B946,
             $C$2:C946,C946,
             $D$2:D946,D946,
             $G$2:G946,G946)&gt;1,
   "Doublon",
   "Correcte"
)</f>
        <v>Correcte</v>
      </c>
    </row>
    <row r="947" spans="1:18" x14ac:dyDescent="0.25">
      <c r="A947" s="104" t="s">
        <v>1655</v>
      </c>
      <c r="B947" s="35" t="s">
        <v>596</v>
      </c>
      <c r="C947" s="36">
        <v>0</v>
      </c>
      <c r="D947" s="36">
        <v>5</v>
      </c>
      <c r="E947" s="35" t="s">
        <v>699</v>
      </c>
      <c r="F947" s="35" t="s">
        <v>634</v>
      </c>
      <c r="G947" s="37">
        <v>45930.479548611111</v>
      </c>
      <c r="H947" s="37" t="str">
        <f>INDEX(_xlfn.TEXTSPLIT(mvtst[[#This Row],[QR Suivis]],"_"),1,1)</f>
        <v>CA250048-2</v>
      </c>
      <c r="I947" s="35" t="str">
        <f>_xlfn.TEXTBEFORE(mvtst[[#This Row],[Num Suivis]],"-",,,1)</f>
        <v>CA250048</v>
      </c>
      <c r="J947" s="36">
        <f>SUMIF(mvtst[QR Suivis],mvtst[[#This Row],[QR Suivis]],mvtst[QTE SORTIS])-SUMIF(mvtst[QR Suivis],mvtst[[#This Row],[QR Suivis]],mvtst[QTE RETOUR])</f>
        <v>0</v>
      </c>
      <c r="K947" s="35" t="str">
        <f t="shared" si="14"/>
        <v>Usine</v>
      </c>
      <c r="L947" s="35" t="str">
        <f>_xlfn.XLOOKUP(mvtst[[#This Row],[Sous Traitant]],coordonnee_st[Identification],coordonnee_st[SERVICE],"Non Trouvé")</f>
        <v>Frange</v>
      </c>
      <c r="M947" s="35" t="str">
        <f>INDEX(_xlfn.TEXTSPLIT(mvtst[[#This Row],[QR Suivis]],"_"),1,2)</f>
        <v>All by Fouta</v>
      </c>
      <c r="N947" s="35" t="str">
        <f>INDEX(_xlfn.TEXTSPLIT(mvtst[[#This Row],[QR Suivis]],"_"),1,3)</f>
        <v>Stock</v>
      </c>
      <c r="O947" s="35" t="str">
        <f>INDEX(_xlfn.TEXTSPLIT(mvtst[[#This Row],[QR Suivis]],"_"),1,4)</f>
        <v>UNS1626-15</v>
      </c>
      <c r="P947" s="35" t="str">
        <f>INDEX(_xlfn.TEXTSPLIT(mvtst[[#This Row],[QR Suivis]],"_"),1,5)</f>
        <v>UNI SURPIQUE</v>
      </c>
      <c r="Q947" s="35" t="str">
        <f>_xlfn.TEXTAFTER(mvtst[[#This Row],[QR Suivis]],"_",5)</f>
        <v>1626</v>
      </c>
      <c r="R947" s="84" t="str">
        <f>IF(
   COUNTIFS($A$2:A947,A947,
             $B$2:B947,B947,
             $C$2:C947,C947,
             $D$2:D947,D947,
             $G$2:G947,G947)&gt;1,
   "Doublon",
   "Correcte"
)</f>
        <v>Correcte</v>
      </c>
    </row>
    <row r="948" spans="1:18" x14ac:dyDescent="0.25">
      <c r="A948" s="104" t="s">
        <v>1656</v>
      </c>
      <c r="B948" s="35" t="s">
        <v>596</v>
      </c>
      <c r="C948" s="36">
        <v>0</v>
      </c>
      <c r="D948" s="36">
        <v>5</v>
      </c>
      <c r="E948" s="35" t="s">
        <v>699</v>
      </c>
      <c r="F948" s="35" t="s">
        <v>634</v>
      </c>
      <c r="G948" s="37">
        <v>45930.479791666665</v>
      </c>
      <c r="H948" s="37" t="str">
        <f>INDEX(_xlfn.TEXTSPLIT(mvtst[[#This Row],[QR Suivis]],"_"),1,1)</f>
        <v>CA250048-1</v>
      </c>
      <c r="I948" s="35" t="str">
        <f>_xlfn.TEXTBEFORE(mvtst[[#This Row],[Num Suivis]],"-",,,1)</f>
        <v>CA250048</v>
      </c>
      <c r="J948" s="36">
        <f>SUMIF(mvtst[QR Suivis],mvtst[[#This Row],[QR Suivis]],mvtst[QTE SORTIS])-SUMIF(mvtst[QR Suivis],mvtst[[#This Row],[QR Suivis]],mvtst[QTE RETOUR])</f>
        <v>0</v>
      </c>
      <c r="K948" s="35" t="str">
        <f t="shared" si="14"/>
        <v>Usine</v>
      </c>
      <c r="L948" s="35" t="str">
        <f>_xlfn.XLOOKUP(mvtst[[#This Row],[Sous Traitant]],coordonnee_st[Identification],coordonnee_st[SERVICE],"Non Trouvé")</f>
        <v>Frange</v>
      </c>
      <c r="M948" s="35" t="str">
        <f>INDEX(_xlfn.TEXTSPLIT(mvtst[[#This Row],[QR Suivis]],"_"),1,2)</f>
        <v>All by Fouta</v>
      </c>
      <c r="N948" s="35" t="str">
        <f>INDEX(_xlfn.TEXTSPLIT(mvtst[[#This Row],[QR Suivis]],"_"),1,3)</f>
        <v>Stock</v>
      </c>
      <c r="O948" s="35" t="str">
        <f>INDEX(_xlfn.TEXTSPLIT(mvtst[[#This Row],[QR Suivis]],"_"),1,4)</f>
        <v>UNS1626-15</v>
      </c>
      <c r="P948" s="35" t="str">
        <f>INDEX(_xlfn.TEXTSPLIT(mvtst[[#This Row],[QR Suivis]],"_"),1,5)</f>
        <v>UNI SURPIQUE</v>
      </c>
      <c r="Q948" s="35" t="str">
        <f>_xlfn.TEXTAFTER(mvtst[[#This Row],[QR Suivis]],"_",5)</f>
        <v>1626</v>
      </c>
      <c r="R948" s="84" t="str">
        <f>IF(
   COUNTIFS($A$2:A948,A948,
             $B$2:B948,B948,
             $C$2:C948,C948,
             $D$2:D948,D948,
             $G$2:G948,G948)&gt;1,
   "Doublon",
   "Correcte"
)</f>
        <v>Correcte</v>
      </c>
    </row>
    <row r="949" spans="1:18" x14ac:dyDescent="0.25">
      <c r="A949" s="104" t="s">
        <v>1613</v>
      </c>
      <c r="B949" s="35" t="s">
        <v>596</v>
      </c>
      <c r="C949" s="36">
        <v>0</v>
      </c>
      <c r="D949" s="36">
        <v>5</v>
      </c>
      <c r="E949" s="35" t="s">
        <v>699</v>
      </c>
      <c r="F949" s="35" t="s">
        <v>634</v>
      </c>
      <c r="G949" s="37">
        <v>45930.480069444442</v>
      </c>
      <c r="H949" s="37" t="str">
        <f>INDEX(_xlfn.TEXTSPLIT(mvtst[[#This Row],[QR Suivis]],"_"),1,1)</f>
        <v>CA250044-4</v>
      </c>
      <c r="I949" s="35" t="str">
        <f>_xlfn.TEXTBEFORE(mvtst[[#This Row],[Num Suivis]],"-",,,1)</f>
        <v>CA250044</v>
      </c>
      <c r="J949" s="36">
        <f>SUMIF(mvtst[QR Suivis],mvtst[[#This Row],[QR Suivis]],mvtst[QTE SORTIS])-SUMIF(mvtst[QR Suivis],mvtst[[#This Row],[QR Suivis]],mvtst[QTE RETOUR])</f>
        <v>0</v>
      </c>
      <c r="K949" s="35" t="str">
        <f t="shared" si="14"/>
        <v>Usine</v>
      </c>
      <c r="L949" s="35" t="str">
        <f>_xlfn.XLOOKUP(mvtst[[#This Row],[Sous Traitant]],coordonnee_st[Identification],coordonnee_st[SERVICE],"Non Trouvé")</f>
        <v>Frange</v>
      </c>
      <c r="M949" s="35" t="str">
        <f>INDEX(_xlfn.TEXTSPLIT(mvtst[[#This Row],[QR Suivis]],"_"),1,2)</f>
        <v>All by Fouta</v>
      </c>
      <c r="N949" s="35" t="str">
        <f>INDEX(_xlfn.TEXTSPLIT(mvtst[[#This Row],[QR Suivis]],"_"),1,3)</f>
        <v>Stock</v>
      </c>
      <c r="O949" s="35" t="str">
        <f>INDEX(_xlfn.TEXTSPLIT(mvtst[[#This Row],[QR Suivis]],"_"),1,4)</f>
        <v>UNS1626-09</v>
      </c>
      <c r="P949" s="35" t="str">
        <f>INDEX(_xlfn.TEXTSPLIT(mvtst[[#This Row],[QR Suivis]],"_"),1,5)</f>
        <v>UNI SURPIQUE</v>
      </c>
      <c r="Q949" s="35" t="str">
        <f>_xlfn.TEXTAFTER(mvtst[[#This Row],[QR Suivis]],"_",5)</f>
        <v>1626</v>
      </c>
      <c r="R949" s="84" t="str">
        <f>IF(
   COUNTIFS($A$2:A949,A949,
             $B$2:B949,B949,
             $C$2:C949,C949,
             $D$2:D949,D949,
             $G$2:G949,G949)&gt;1,
   "Doublon",
   "Correcte"
)</f>
        <v>Correcte</v>
      </c>
    </row>
    <row r="950" spans="1:18" x14ac:dyDescent="0.25">
      <c r="A950" s="104" t="s">
        <v>1614</v>
      </c>
      <c r="B950" s="35" t="s">
        <v>596</v>
      </c>
      <c r="C950" s="36">
        <v>0</v>
      </c>
      <c r="D950" s="36">
        <v>5</v>
      </c>
      <c r="E950" s="35" t="s">
        <v>699</v>
      </c>
      <c r="F950" s="35" t="s">
        <v>634</v>
      </c>
      <c r="G950" s="37">
        <v>45930.480416666665</v>
      </c>
      <c r="H950" s="37" t="str">
        <f>INDEX(_xlfn.TEXTSPLIT(mvtst[[#This Row],[QR Suivis]],"_"),1,1)</f>
        <v>CA250044-2</v>
      </c>
      <c r="I950" s="35" t="str">
        <f>_xlfn.TEXTBEFORE(mvtst[[#This Row],[Num Suivis]],"-",,,1)</f>
        <v>CA250044</v>
      </c>
      <c r="J950" s="36">
        <f>SUMIF(mvtst[QR Suivis],mvtst[[#This Row],[QR Suivis]],mvtst[QTE SORTIS])-SUMIF(mvtst[QR Suivis],mvtst[[#This Row],[QR Suivis]],mvtst[QTE RETOUR])</f>
        <v>0</v>
      </c>
      <c r="K950" s="35" t="str">
        <f t="shared" si="14"/>
        <v>Usine</v>
      </c>
      <c r="L950" s="35" t="str">
        <f>_xlfn.XLOOKUP(mvtst[[#This Row],[Sous Traitant]],coordonnee_st[Identification],coordonnee_st[SERVICE],"Non Trouvé")</f>
        <v>Frange</v>
      </c>
      <c r="M950" s="35" t="str">
        <f>INDEX(_xlfn.TEXTSPLIT(mvtst[[#This Row],[QR Suivis]],"_"),1,2)</f>
        <v>All by Fouta</v>
      </c>
      <c r="N950" s="35" t="str">
        <f>INDEX(_xlfn.TEXTSPLIT(mvtst[[#This Row],[QR Suivis]],"_"),1,3)</f>
        <v>Stock</v>
      </c>
      <c r="O950" s="35" t="str">
        <f>INDEX(_xlfn.TEXTSPLIT(mvtst[[#This Row],[QR Suivis]],"_"),1,4)</f>
        <v>UNS1626-09</v>
      </c>
      <c r="P950" s="35" t="str">
        <f>INDEX(_xlfn.TEXTSPLIT(mvtst[[#This Row],[QR Suivis]],"_"),1,5)</f>
        <v>UNI SURPIQUE</v>
      </c>
      <c r="Q950" s="35" t="str">
        <f>_xlfn.TEXTAFTER(mvtst[[#This Row],[QR Suivis]],"_",5)</f>
        <v>1626</v>
      </c>
      <c r="R950" s="84" t="str">
        <f>IF(
   COUNTIFS($A$2:A950,A950,
             $B$2:B950,B950,
             $C$2:C950,C950,
             $D$2:D950,D950,
             $G$2:G950,G950)&gt;1,
   "Doublon",
   "Correcte"
)</f>
        <v>Correcte</v>
      </c>
    </row>
    <row r="951" spans="1:18" x14ac:dyDescent="0.25">
      <c r="A951" s="104" t="s">
        <v>1631</v>
      </c>
      <c r="B951" s="35" t="s">
        <v>596</v>
      </c>
      <c r="C951" s="36">
        <v>0</v>
      </c>
      <c r="D951" s="36">
        <v>5</v>
      </c>
      <c r="E951" s="35" t="s">
        <v>699</v>
      </c>
      <c r="F951" s="35" t="s">
        <v>634</v>
      </c>
      <c r="G951" s="37">
        <v>45930.480706018519</v>
      </c>
      <c r="H951" s="37" t="str">
        <f>INDEX(_xlfn.TEXTSPLIT(mvtst[[#This Row],[QR Suivis]],"_"),1,1)</f>
        <v>CA250033-3</v>
      </c>
      <c r="I951" s="35" t="str">
        <f>_xlfn.TEXTBEFORE(mvtst[[#This Row],[Num Suivis]],"-",,,1)</f>
        <v>CA250033</v>
      </c>
      <c r="J951" s="36">
        <f>SUMIF(mvtst[QR Suivis],mvtst[[#This Row],[QR Suivis]],mvtst[QTE SORTIS])-SUMIF(mvtst[QR Suivis],mvtst[[#This Row],[QR Suivis]],mvtst[QTE RETOUR])</f>
        <v>0</v>
      </c>
      <c r="K951" s="35" t="str">
        <f t="shared" si="14"/>
        <v>Usine</v>
      </c>
      <c r="L951" s="35" t="str">
        <f>_xlfn.XLOOKUP(mvtst[[#This Row],[Sous Traitant]],coordonnee_st[Identification],coordonnee_st[SERVICE],"Non Trouvé")</f>
        <v>Frange</v>
      </c>
      <c r="M951" s="35" t="str">
        <f>INDEX(_xlfn.TEXTSPLIT(mvtst[[#This Row],[QR Suivis]],"_"),1,2)</f>
        <v>All by Fouta</v>
      </c>
      <c r="N951" s="35" t="str">
        <f>INDEX(_xlfn.TEXTSPLIT(mvtst[[#This Row],[QR Suivis]],"_"),1,3)</f>
        <v>Stock</v>
      </c>
      <c r="O951" s="35" t="str">
        <f>INDEX(_xlfn.TEXTSPLIT(mvtst[[#This Row],[QR Suivis]],"_"),1,4)</f>
        <v>UNS2020-23</v>
      </c>
      <c r="P951" s="35" t="str">
        <f>INDEX(_xlfn.TEXTSPLIT(mvtst[[#This Row],[QR Suivis]],"_"),1,5)</f>
        <v>UNI SURPIQUE</v>
      </c>
      <c r="Q951" s="35" t="str">
        <f>_xlfn.TEXTAFTER(mvtst[[#This Row],[QR Suivis]],"_",5)</f>
        <v>2020</v>
      </c>
      <c r="R951" s="84" t="str">
        <f>IF(
   COUNTIFS($A$2:A951,A951,
             $B$2:B951,B951,
             $C$2:C951,C951,
             $D$2:D951,D951,
             $G$2:G951,G951)&gt;1,
   "Doublon",
   "Correcte"
)</f>
        <v>Correcte</v>
      </c>
    </row>
    <row r="952" spans="1:18" x14ac:dyDescent="0.25">
      <c r="A952" s="104" t="s">
        <v>1632</v>
      </c>
      <c r="B952" s="35" t="s">
        <v>596</v>
      </c>
      <c r="C952" s="36">
        <v>0</v>
      </c>
      <c r="D952" s="36">
        <v>5</v>
      </c>
      <c r="E952" s="35" t="s">
        <v>699</v>
      </c>
      <c r="F952" s="35" t="s">
        <v>634</v>
      </c>
      <c r="G952" s="37">
        <v>45930.480949074074</v>
      </c>
      <c r="H952" s="37" t="str">
        <f>INDEX(_xlfn.TEXTSPLIT(mvtst[[#This Row],[QR Suivis]],"_"),1,1)</f>
        <v>CA250033-1</v>
      </c>
      <c r="I952" s="35" t="str">
        <f>_xlfn.TEXTBEFORE(mvtst[[#This Row],[Num Suivis]],"-",,,1)</f>
        <v>CA250033</v>
      </c>
      <c r="J952" s="36">
        <f>SUMIF(mvtst[QR Suivis],mvtst[[#This Row],[QR Suivis]],mvtst[QTE SORTIS])-SUMIF(mvtst[QR Suivis],mvtst[[#This Row],[QR Suivis]],mvtst[QTE RETOUR])</f>
        <v>0</v>
      </c>
      <c r="K952" s="35" t="str">
        <f t="shared" si="14"/>
        <v>Usine</v>
      </c>
      <c r="L952" s="35" t="str">
        <f>_xlfn.XLOOKUP(mvtst[[#This Row],[Sous Traitant]],coordonnee_st[Identification],coordonnee_st[SERVICE],"Non Trouvé")</f>
        <v>Frange</v>
      </c>
      <c r="M952" s="35" t="str">
        <f>INDEX(_xlfn.TEXTSPLIT(mvtst[[#This Row],[QR Suivis]],"_"),1,2)</f>
        <v>All by Fouta</v>
      </c>
      <c r="N952" s="35" t="str">
        <f>INDEX(_xlfn.TEXTSPLIT(mvtst[[#This Row],[QR Suivis]],"_"),1,3)</f>
        <v>Stock</v>
      </c>
      <c r="O952" s="35" t="str">
        <f>INDEX(_xlfn.TEXTSPLIT(mvtst[[#This Row],[QR Suivis]],"_"),1,4)</f>
        <v>UNS2020-23</v>
      </c>
      <c r="P952" s="35" t="str">
        <f>INDEX(_xlfn.TEXTSPLIT(mvtst[[#This Row],[QR Suivis]],"_"),1,5)</f>
        <v>UNI SURPIQUE</v>
      </c>
      <c r="Q952" s="35" t="str">
        <f>_xlfn.TEXTAFTER(mvtst[[#This Row],[QR Suivis]],"_",5)</f>
        <v>2020</v>
      </c>
      <c r="R952" s="84" t="str">
        <f>IF(
   COUNTIFS($A$2:A952,A952,
             $B$2:B952,B952,
             $C$2:C952,C952,
             $D$2:D952,D952,
             $G$2:G952,G952)&gt;1,
   "Doublon",
   "Correcte"
)</f>
        <v>Correcte</v>
      </c>
    </row>
    <row r="953" spans="1:18" x14ac:dyDescent="0.25">
      <c r="A953" s="104" t="s">
        <v>1657</v>
      </c>
      <c r="B953" s="35" t="s">
        <v>596</v>
      </c>
      <c r="C953" s="36">
        <v>0</v>
      </c>
      <c r="D953" s="36">
        <v>5</v>
      </c>
      <c r="E953" s="35" t="s">
        <v>699</v>
      </c>
      <c r="F953" s="35" t="s">
        <v>634</v>
      </c>
      <c r="G953" s="37">
        <v>45930.481458333335</v>
      </c>
      <c r="H953" s="37" t="str">
        <f>INDEX(_xlfn.TEXTSPLIT(mvtst[[#This Row],[QR Suivis]],"_"),1,1)</f>
        <v>CA250048-5</v>
      </c>
      <c r="I953" s="35" t="str">
        <f>_xlfn.TEXTBEFORE(mvtst[[#This Row],[Num Suivis]],"-",,,1)</f>
        <v>CA250048</v>
      </c>
      <c r="J953" s="36">
        <f>SUMIF(mvtst[QR Suivis],mvtst[[#This Row],[QR Suivis]],mvtst[QTE SORTIS])-SUMIF(mvtst[QR Suivis],mvtst[[#This Row],[QR Suivis]],mvtst[QTE RETOUR])</f>
        <v>0</v>
      </c>
      <c r="K953" s="35" t="str">
        <f t="shared" si="14"/>
        <v>Usine</v>
      </c>
      <c r="L953" s="35" t="str">
        <f>_xlfn.XLOOKUP(mvtst[[#This Row],[Sous Traitant]],coordonnee_st[Identification],coordonnee_st[SERVICE],"Non Trouvé")</f>
        <v>Frange</v>
      </c>
      <c r="M953" s="35" t="str">
        <f>INDEX(_xlfn.TEXTSPLIT(mvtst[[#This Row],[QR Suivis]],"_"),1,2)</f>
        <v>All by Fouta</v>
      </c>
      <c r="N953" s="35" t="str">
        <f>INDEX(_xlfn.TEXTSPLIT(mvtst[[#This Row],[QR Suivis]],"_"),1,3)</f>
        <v>Stock</v>
      </c>
      <c r="O953" s="35" t="str">
        <f>INDEX(_xlfn.TEXTSPLIT(mvtst[[#This Row],[QR Suivis]],"_"),1,4)</f>
        <v>UNS1626-15</v>
      </c>
      <c r="P953" s="35" t="str">
        <f>INDEX(_xlfn.TEXTSPLIT(mvtst[[#This Row],[QR Suivis]],"_"),1,5)</f>
        <v>UNI SURPIQUE</v>
      </c>
      <c r="Q953" s="35" t="str">
        <f>_xlfn.TEXTAFTER(mvtst[[#This Row],[QR Suivis]],"_",5)</f>
        <v>1626</v>
      </c>
      <c r="R953" s="84" t="str">
        <f>IF(
   COUNTIFS($A$2:A953,A953,
             $B$2:B953,B953,
             $C$2:C953,C953,
             $D$2:D953,D953,
             $G$2:G953,G953)&gt;1,
   "Doublon",
   "Correcte"
)</f>
        <v>Correcte</v>
      </c>
    </row>
    <row r="954" spans="1:18" x14ac:dyDescent="0.25">
      <c r="A954" s="104" t="s">
        <v>1658</v>
      </c>
      <c r="B954" s="35" t="s">
        <v>596</v>
      </c>
      <c r="C954" s="36">
        <v>0</v>
      </c>
      <c r="D954" s="36">
        <v>5</v>
      </c>
      <c r="E954" s="35" t="s">
        <v>699</v>
      </c>
      <c r="F954" s="35" t="s">
        <v>634</v>
      </c>
      <c r="G954" s="37">
        <v>45930.48170138889</v>
      </c>
      <c r="H954" s="37" t="str">
        <f>INDEX(_xlfn.TEXTSPLIT(mvtst[[#This Row],[QR Suivis]],"_"),1,1)</f>
        <v>CA250048-3</v>
      </c>
      <c r="I954" s="35" t="str">
        <f>_xlfn.TEXTBEFORE(mvtst[[#This Row],[Num Suivis]],"-",,,1)</f>
        <v>CA250048</v>
      </c>
      <c r="J954" s="36">
        <f>SUMIF(mvtst[QR Suivis],mvtst[[#This Row],[QR Suivis]],mvtst[QTE SORTIS])-SUMIF(mvtst[QR Suivis],mvtst[[#This Row],[QR Suivis]],mvtst[QTE RETOUR])</f>
        <v>0</v>
      </c>
      <c r="K954" s="35" t="str">
        <f t="shared" si="14"/>
        <v>Usine</v>
      </c>
      <c r="L954" s="35" t="str">
        <f>_xlfn.XLOOKUP(mvtst[[#This Row],[Sous Traitant]],coordonnee_st[Identification],coordonnee_st[SERVICE],"Non Trouvé")</f>
        <v>Frange</v>
      </c>
      <c r="M954" s="35" t="str">
        <f>INDEX(_xlfn.TEXTSPLIT(mvtst[[#This Row],[QR Suivis]],"_"),1,2)</f>
        <v>All by Fouta</v>
      </c>
      <c r="N954" s="35" t="str">
        <f>INDEX(_xlfn.TEXTSPLIT(mvtst[[#This Row],[QR Suivis]],"_"),1,3)</f>
        <v>Stock</v>
      </c>
      <c r="O954" s="35" t="str">
        <f>INDEX(_xlfn.TEXTSPLIT(mvtst[[#This Row],[QR Suivis]],"_"),1,4)</f>
        <v>UNS1626-15</v>
      </c>
      <c r="P954" s="35" t="str">
        <f>INDEX(_xlfn.TEXTSPLIT(mvtst[[#This Row],[QR Suivis]],"_"),1,5)</f>
        <v>UNI SURPIQUE</v>
      </c>
      <c r="Q954" s="35" t="str">
        <f>_xlfn.TEXTAFTER(mvtst[[#This Row],[QR Suivis]],"_",5)</f>
        <v>1626</v>
      </c>
      <c r="R954" s="84" t="str">
        <f>IF(
   COUNTIFS($A$2:A954,A954,
             $B$2:B954,B954,
             $C$2:C954,C954,
             $D$2:D954,D954,
             $G$2:G954,G954)&gt;1,
   "Doublon",
   "Correcte"
)</f>
        <v>Correcte</v>
      </c>
    </row>
    <row r="955" spans="1:18" x14ac:dyDescent="0.25">
      <c r="A955" s="104" t="s">
        <v>1467</v>
      </c>
      <c r="B955" s="35" t="s">
        <v>712</v>
      </c>
      <c r="C955" s="36">
        <v>0</v>
      </c>
      <c r="D955" s="36">
        <v>5</v>
      </c>
      <c r="E955" s="35" t="s">
        <v>699</v>
      </c>
      <c r="F955" s="35" t="s">
        <v>634</v>
      </c>
      <c r="G955" s="37">
        <v>45931.469710590274</v>
      </c>
      <c r="H955" s="37" t="str">
        <f>INDEX(_xlfn.TEXTSPLIT(mvtst[[#This Row],[QR Suivis]],"_"),1,1)</f>
        <v>CA250008-4</v>
      </c>
      <c r="I955" s="35" t="str">
        <f>_xlfn.TEXTBEFORE(mvtst[[#This Row],[Num Suivis]],"-",,,1)</f>
        <v>CA250008</v>
      </c>
      <c r="J955" s="36">
        <f>SUMIF(mvtst[QR Suivis],mvtst[[#This Row],[QR Suivis]],mvtst[QTE SORTIS])-SUMIF(mvtst[QR Suivis],mvtst[[#This Row],[QR Suivis]],mvtst[QTE RETOUR])</f>
        <v>0</v>
      </c>
      <c r="K955" s="35" t="str">
        <f t="shared" si="14"/>
        <v>Usine</v>
      </c>
      <c r="L955" s="35" t="str">
        <f>_xlfn.XLOOKUP(mvtst[[#This Row],[Sous Traitant]],coordonnee_st[Identification],coordonnee_st[SERVICE],"Non Trouvé")</f>
        <v>Frange</v>
      </c>
      <c r="M955" s="35" t="str">
        <f>INDEX(_xlfn.TEXTSPLIT(mvtst[[#This Row],[QR Suivis]],"_"),1,2)</f>
        <v>All by Fouta</v>
      </c>
      <c r="N955" s="35" t="str">
        <f>INDEX(_xlfn.TEXTSPLIT(mvtst[[#This Row],[QR Suivis]],"_"),1,3)</f>
        <v>Stock</v>
      </c>
      <c r="O955" s="35" t="str">
        <f>INDEX(_xlfn.TEXTSPLIT(mvtst[[#This Row],[QR Suivis]],"_"),1,4)</f>
        <v>UNS1020-15</v>
      </c>
      <c r="P955" s="35" t="str">
        <f>INDEX(_xlfn.TEXTSPLIT(mvtst[[#This Row],[QR Suivis]],"_"),1,5)</f>
        <v>UNI SURPIQUE</v>
      </c>
      <c r="Q955" s="35" t="str">
        <f>_xlfn.TEXTAFTER(mvtst[[#This Row],[QR Suivis]],"_",5)</f>
        <v>1020</v>
      </c>
      <c r="R955" s="84" t="str">
        <f>IF(
   COUNTIFS($A$2:A955,A955,
             $B$2:B955,B955,
             $C$2:C955,C955,
             $D$2:D955,D955,
             $G$2:G955,G955)&gt;1,
   "Doublon",
   "Correcte"
)</f>
        <v>Correcte</v>
      </c>
    </row>
    <row r="956" spans="1:18" x14ac:dyDescent="0.25">
      <c r="A956" s="104" t="s">
        <v>1633</v>
      </c>
      <c r="B956" s="35" t="s">
        <v>596</v>
      </c>
      <c r="C956" s="36">
        <v>0</v>
      </c>
      <c r="D956" s="36">
        <v>1</v>
      </c>
      <c r="E956" s="35" t="s">
        <v>699</v>
      </c>
      <c r="F956" s="35" t="s">
        <v>634</v>
      </c>
      <c r="G956" s="37">
        <v>45932.578599537039</v>
      </c>
      <c r="H956" s="37" t="str">
        <f>INDEX(_xlfn.TEXTSPLIT(mvtst[[#This Row],[QR Suivis]],"_"),1,1)</f>
        <v>CA250033-7</v>
      </c>
      <c r="I956" s="35" t="str">
        <f>_xlfn.TEXTBEFORE(mvtst[[#This Row],[Num Suivis]],"-",,,1)</f>
        <v>CA250033</v>
      </c>
      <c r="J956" s="36">
        <f>SUMIF(mvtst[QR Suivis],mvtst[[#This Row],[QR Suivis]],mvtst[QTE SORTIS])-SUMIF(mvtst[QR Suivis],mvtst[[#This Row],[QR Suivis]],mvtst[QTE RETOUR])</f>
        <v>0</v>
      </c>
      <c r="K956" s="35" t="str">
        <f t="shared" si="14"/>
        <v>Usine</v>
      </c>
      <c r="L956" s="35" t="str">
        <f>_xlfn.XLOOKUP(mvtst[[#This Row],[Sous Traitant]],coordonnee_st[Identification],coordonnee_st[SERVICE],"Non Trouvé")</f>
        <v>Frange</v>
      </c>
      <c r="M956" s="35" t="str">
        <f>INDEX(_xlfn.TEXTSPLIT(mvtst[[#This Row],[QR Suivis]],"_"),1,2)</f>
        <v>All by Fouta</v>
      </c>
      <c r="N956" s="35" t="str">
        <f>INDEX(_xlfn.TEXTSPLIT(mvtst[[#This Row],[QR Suivis]],"_"),1,3)</f>
        <v>Stock</v>
      </c>
      <c r="O956" s="35" t="str">
        <f>INDEX(_xlfn.TEXTSPLIT(mvtst[[#This Row],[QR Suivis]],"_"),1,4)</f>
        <v>UNS2020-23</v>
      </c>
      <c r="P956" s="35" t="str">
        <f>INDEX(_xlfn.TEXTSPLIT(mvtst[[#This Row],[QR Suivis]],"_"),1,5)</f>
        <v>UNI SURPIQUE</v>
      </c>
      <c r="Q956" s="35" t="str">
        <f>_xlfn.TEXTAFTER(mvtst[[#This Row],[QR Suivis]],"_",5)</f>
        <v>2020</v>
      </c>
      <c r="R956" s="84" t="str">
        <f>IF(
   COUNTIFS($A$2:A956,A956,
             $B$2:B956,B956,
             $C$2:C956,C956,
             $D$2:D956,D956,
             $G$2:G956,G956)&gt;1,
   "Doublon",
   "Correcte"
)</f>
        <v>Correcte</v>
      </c>
    </row>
    <row r="957" spans="1:18" x14ac:dyDescent="0.25">
      <c r="A957" s="104" t="s">
        <v>1648</v>
      </c>
      <c r="B957" s="35" t="s">
        <v>596</v>
      </c>
      <c r="C957" s="36">
        <v>0</v>
      </c>
      <c r="D957" s="36">
        <v>5</v>
      </c>
      <c r="E957" s="35" t="s">
        <v>699</v>
      </c>
      <c r="F957" s="35" t="s">
        <v>634</v>
      </c>
      <c r="G957" s="37">
        <v>45932.578842592593</v>
      </c>
      <c r="H957" s="37" t="str">
        <f>INDEX(_xlfn.TEXTSPLIT(mvtst[[#This Row],[QR Suivis]],"_"),1,1)</f>
        <v>CA250045-6</v>
      </c>
      <c r="I957" s="35" t="str">
        <f>_xlfn.TEXTBEFORE(mvtst[[#This Row],[Num Suivis]],"-",,,1)</f>
        <v>CA250045</v>
      </c>
      <c r="J957" s="36">
        <f>SUMIF(mvtst[QR Suivis],mvtst[[#This Row],[QR Suivis]],mvtst[QTE SORTIS])-SUMIF(mvtst[QR Suivis],mvtst[[#This Row],[QR Suivis]],mvtst[QTE RETOUR])</f>
        <v>0</v>
      </c>
      <c r="K957" s="35" t="str">
        <f t="shared" si="14"/>
        <v>Usine</v>
      </c>
      <c r="L957" s="35" t="str">
        <f>_xlfn.XLOOKUP(mvtst[[#This Row],[Sous Traitant]],coordonnee_st[Identification],coordonnee_st[SERVICE],"Non Trouvé")</f>
        <v>Frange</v>
      </c>
      <c r="M957" s="35" t="str">
        <f>INDEX(_xlfn.TEXTSPLIT(mvtst[[#This Row],[QR Suivis]],"_"),1,2)</f>
        <v>All by Fouta</v>
      </c>
      <c r="N957" s="35" t="str">
        <f>INDEX(_xlfn.TEXTSPLIT(mvtst[[#This Row],[QR Suivis]],"_"),1,3)</f>
        <v>Stock</v>
      </c>
      <c r="O957" s="35" t="str">
        <f>INDEX(_xlfn.TEXTSPLIT(mvtst[[#This Row],[QR Suivis]],"_"),1,4)</f>
        <v>UNS1626-10</v>
      </c>
      <c r="P957" s="35" t="str">
        <f>INDEX(_xlfn.TEXTSPLIT(mvtst[[#This Row],[QR Suivis]],"_"),1,5)</f>
        <v>UNI SURPIQUE</v>
      </c>
      <c r="Q957" s="35" t="str">
        <f>_xlfn.TEXTAFTER(mvtst[[#This Row],[QR Suivis]],"_",5)</f>
        <v>1626</v>
      </c>
      <c r="R957" s="84" t="str">
        <f>IF(
   COUNTIFS($A$2:A957,A957,
             $B$2:B957,B957,
             $C$2:C957,C957,
             $D$2:D957,D957,
             $G$2:G957,G957)&gt;1,
   "Doublon",
   "Correcte"
)</f>
        <v>Correcte</v>
      </c>
    </row>
    <row r="958" spans="1:18" x14ac:dyDescent="0.25">
      <c r="A958" s="104" t="s">
        <v>1635</v>
      </c>
      <c r="B958" s="35" t="s">
        <v>596</v>
      </c>
      <c r="C958" s="36">
        <v>0</v>
      </c>
      <c r="D958" s="36">
        <v>5</v>
      </c>
      <c r="E958" s="35" t="s">
        <v>699</v>
      </c>
      <c r="F958" s="35" t="s">
        <v>634</v>
      </c>
      <c r="G958" s="37">
        <v>45932.579340277778</v>
      </c>
      <c r="H958" s="37" t="str">
        <f>INDEX(_xlfn.TEXTSPLIT(mvtst[[#This Row],[QR Suivis]],"_"),1,1)</f>
        <v>CA250023-1</v>
      </c>
      <c r="I958" s="35" t="str">
        <f>_xlfn.TEXTBEFORE(mvtst[[#This Row],[Num Suivis]],"-",,,1)</f>
        <v>CA250023</v>
      </c>
      <c r="J958" s="36">
        <f>SUMIF(mvtst[QR Suivis],mvtst[[#This Row],[QR Suivis]],mvtst[QTE SORTIS])-SUMIF(mvtst[QR Suivis],mvtst[[#This Row],[QR Suivis]],mvtst[QTE RETOUR])</f>
        <v>0</v>
      </c>
      <c r="K958" s="35" t="str">
        <f t="shared" si="14"/>
        <v>Usine</v>
      </c>
      <c r="L958" s="35" t="str">
        <f>_xlfn.XLOOKUP(mvtst[[#This Row],[Sous Traitant]],coordonnee_st[Identification],coordonnee_st[SERVICE],"Non Trouvé")</f>
        <v>Frange</v>
      </c>
      <c r="M958" s="35" t="str">
        <f>INDEX(_xlfn.TEXTSPLIT(mvtst[[#This Row],[QR Suivis]],"_"),1,2)</f>
        <v>All by Fouta</v>
      </c>
      <c r="N958" s="35" t="str">
        <f>INDEX(_xlfn.TEXTSPLIT(mvtst[[#This Row],[QR Suivis]],"_"),1,3)</f>
        <v>Stock</v>
      </c>
      <c r="O958" s="35" t="str">
        <f>INDEX(_xlfn.TEXTSPLIT(mvtst[[#This Row],[QR Suivis]],"_"),1,4)</f>
        <v>UNS2020-06</v>
      </c>
      <c r="P958" s="35" t="str">
        <f>INDEX(_xlfn.TEXTSPLIT(mvtst[[#This Row],[QR Suivis]],"_"),1,5)</f>
        <v>UNI SURPIQUE</v>
      </c>
      <c r="Q958" s="35" t="str">
        <f>_xlfn.TEXTAFTER(mvtst[[#This Row],[QR Suivis]],"_",5)</f>
        <v>2020</v>
      </c>
      <c r="R958" s="84" t="str">
        <f>IF(
   COUNTIFS($A$2:A958,A958,
             $B$2:B958,B958,
             $C$2:C958,C958,
             $D$2:D958,D958,
             $G$2:G958,G958)&gt;1,
   "Doublon",
   "Correcte"
)</f>
        <v>Correcte</v>
      </c>
    </row>
    <row r="959" spans="1:18" x14ac:dyDescent="0.25">
      <c r="A959" s="104" t="s">
        <v>1649</v>
      </c>
      <c r="B959" s="35" t="s">
        <v>596</v>
      </c>
      <c r="C959" s="36">
        <v>0</v>
      </c>
      <c r="D959" s="36">
        <v>5</v>
      </c>
      <c r="E959" s="35" t="s">
        <v>699</v>
      </c>
      <c r="F959" s="35" t="s">
        <v>634</v>
      </c>
      <c r="G959" s="37">
        <v>45932.579791666663</v>
      </c>
      <c r="H959" s="37" t="str">
        <f>INDEX(_xlfn.TEXTSPLIT(mvtst[[#This Row],[QR Suivis]],"_"),1,1)</f>
        <v>CA250045-5</v>
      </c>
      <c r="I959" s="35" t="str">
        <f>_xlfn.TEXTBEFORE(mvtst[[#This Row],[Num Suivis]],"-",,,1)</f>
        <v>CA250045</v>
      </c>
      <c r="J959" s="36">
        <f>SUMIF(mvtst[QR Suivis],mvtst[[#This Row],[QR Suivis]],mvtst[QTE SORTIS])-SUMIF(mvtst[QR Suivis],mvtst[[#This Row],[QR Suivis]],mvtst[QTE RETOUR])</f>
        <v>0</v>
      </c>
      <c r="K959" s="35" t="str">
        <f t="shared" si="14"/>
        <v>Usine</v>
      </c>
      <c r="L959" s="35" t="str">
        <f>_xlfn.XLOOKUP(mvtst[[#This Row],[Sous Traitant]],coordonnee_st[Identification],coordonnee_st[SERVICE],"Non Trouvé")</f>
        <v>Frange</v>
      </c>
      <c r="M959" s="35" t="str">
        <f>INDEX(_xlfn.TEXTSPLIT(mvtst[[#This Row],[QR Suivis]],"_"),1,2)</f>
        <v>All by Fouta</v>
      </c>
      <c r="N959" s="35" t="str">
        <f>INDEX(_xlfn.TEXTSPLIT(mvtst[[#This Row],[QR Suivis]],"_"),1,3)</f>
        <v>Stock</v>
      </c>
      <c r="O959" s="35" t="str">
        <f>INDEX(_xlfn.TEXTSPLIT(mvtst[[#This Row],[QR Suivis]],"_"),1,4)</f>
        <v>UNS1626-10</v>
      </c>
      <c r="P959" s="35" t="str">
        <f>INDEX(_xlfn.TEXTSPLIT(mvtst[[#This Row],[QR Suivis]],"_"),1,5)</f>
        <v>UNI SURPIQUE</v>
      </c>
      <c r="Q959" s="35" t="str">
        <f>_xlfn.TEXTAFTER(mvtst[[#This Row],[QR Suivis]],"_",5)</f>
        <v>1626</v>
      </c>
      <c r="R959" s="84" t="str">
        <f>IF(
   COUNTIFS($A$2:A959,A959,
             $B$2:B959,B959,
             $C$2:C959,C959,
             $D$2:D959,D959,
             $G$2:G959,G959)&gt;1,
   "Doublon",
   "Correcte"
)</f>
        <v>Correcte</v>
      </c>
    </row>
    <row r="960" spans="1:18" x14ac:dyDescent="0.25">
      <c r="A960" s="104" t="s">
        <v>1636</v>
      </c>
      <c r="B960" s="35" t="s">
        <v>596</v>
      </c>
      <c r="C960" s="36">
        <v>0</v>
      </c>
      <c r="D960" s="36">
        <v>5</v>
      </c>
      <c r="E960" s="35" t="s">
        <v>699</v>
      </c>
      <c r="F960" s="35" t="s">
        <v>634</v>
      </c>
      <c r="G960" s="37">
        <v>45932.580034722225</v>
      </c>
      <c r="H960" s="37" t="str">
        <f>INDEX(_xlfn.TEXTSPLIT(mvtst[[#This Row],[QR Suivis]],"_"),1,1)</f>
        <v>CA250023-5</v>
      </c>
      <c r="I960" s="35" t="str">
        <f>_xlfn.TEXTBEFORE(mvtst[[#This Row],[Num Suivis]],"-",,,1)</f>
        <v>CA250023</v>
      </c>
      <c r="J960" s="36">
        <f>SUMIF(mvtst[QR Suivis],mvtst[[#This Row],[QR Suivis]],mvtst[QTE SORTIS])-SUMIF(mvtst[QR Suivis],mvtst[[#This Row],[QR Suivis]],mvtst[QTE RETOUR])</f>
        <v>0</v>
      </c>
      <c r="K960" s="35" t="str">
        <f t="shared" si="14"/>
        <v>Usine</v>
      </c>
      <c r="L960" s="35" t="str">
        <f>_xlfn.XLOOKUP(mvtst[[#This Row],[Sous Traitant]],coordonnee_st[Identification],coordonnee_st[SERVICE],"Non Trouvé")</f>
        <v>Frange</v>
      </c>
      <c r="M960" s="35" t="str">
        <f>INDEX(_xlfn.TEXTSPLIT(mvtst[[#This Row],[QR Suivis]],"_"),1,2)</f>
        <v>All by Fouta</v>
      </c>
      <c r="N960" s="35" t="str">
        <f>INDEX(_xlfn.TEXTSPLIT(mvtst[[#This Row],[QR Suivis]],"_"),1,3)</f>
        <v>Stock</v>
      </c>
      <c r="O960" s="35" t="str">
        <f>INDEX(_xlfn.TEXTSPLIT(mvtst[[#This Row],[QR Suivis]],"_"),1,4)</f>
        <v>UNS2020-06</v>
      </c>
      <c r="P960" s="35" t="str">
        <f>INDEX(_xlfn.TEXTSPLIT(mvtst[[#This Row],[QR Suivis]],"_"),1,5)</f>
        <v>UNI SURPIQUE</v>
      </c>
      <c r="Q960" s="35" t="str">
        <f>_xlfn.TEXTAFTER(mvtst[[#This Row],[QR Suivis]],"_",5)</f>
        <v>2020</v>
      </c>
      <c r="R960" s="84" t="str">
        <f>IF(
   COUNTIFS($A$2:A960,A960,
             $B$2:B960,B960,
             $C$2:C960,C960,
             $D$2:D960,D960,
             $G$2:G960,G960)&gt;1,
   "Doublon",
   "Correcte"
)</f>
        <v>Correcte</v>
      </c>
    </row>
    <row r="961" spans="1:18" x14ac:dyDescent="0.25">
      <c r="A961" s="104" t="s">
        <v>1615</v>
      </c>
      <c r="B961" s="35" t="s">
        <v>596</v>
      </c>
      <c r="C961" s="36">
        <v>0</v>
      </c>
      <c r="D961" s="36">
        <v>4</v>
      </c>
      <c r="E961" s="35" t="s">
        <v>699</v>
      </c>
      <c r="F961" s="35" t="s">
        <v>634</v>
      </c>
      <c r="G961" s="37">
        <v>45932.580381944441</v>
      </c>
      <c r="H961" s="37" t="str">
        <f>INDEX(_xlfn.TEXTSPLIT(mvtst[[#This Row],[QR Suivis]],"_"),1,1)</f>
        <v>CA250044-5</v>
      </c>
      <c r="I961" s="35" t="str">
        <f>_xlfn.TEXTBEFORE(mvtst[[#This Row],[Num Suivis]],"-",,,1)</f>
        <v>CA250044</v>
      </c>
      <c r="J961" s="36">
        <f>SUMIF(mvtst[QR Suivis],mvtst[[#This Row],[QR Suivis]],mvtst[QTE SORTIS])-SUMIF(mvtst[QR Suivis],mvtst[[#This Row],[QR Suivis]],mvtst[QTE RETOUR])</f>
        <v>0</v>
      </c>
      <c r="K961" s="35" t="str">
        <f t="shared" si="14"/>
        <v>Usine</v>
      </c>
      <c r="L961" s="35" t="str">
        <f>_xlfn.XLOOKUP(mvtst[[#This Row],[Sous Traitant]],coordonnee_st[Identification],coordonnee_st[SERVICE],"Non Trouvé")</f>
        <v>Frange</v>
      </c>
      <c r="M961" s="35" t="str">
        <f>INDEX(_xlfn.TEXTSPLIT(mvtst[[#This Row],[QR Suivis]],"_"),1,2)</f>
        <v>All by Fouta</v>
      </c>
      <c r="N961" s="35" t="str">
        <f>INDEX(_xlfn.TEXTSPLIT(mvtst[[#This Row],[QR Suivis]],"_"),1,3)</f>
        <v>Stock</v>
      </c>
      <c r="O961" s="35" t="str">
        <f>INDEX(_xlfn.TEXTSPLIT(mvtst[[#This Row],[QR Suivis]],"_"),1,4)</f>
        <v>UNS1626-09</v>
      </c>
      <c r="P961" s="35" t="str">
        <f>INDEX(_xlfn.TEXTSPLIT(mvtst[[#This Row],[QR Suivis]],"_"),1,5)</f>
        <v>UNI SURPIQUE</v>
      </c>
      <c r="Q961" s="35" t="str">
        <f>_xlfn.TEXTAFTER(mvtst[[#This Row],[QR Suivis]],"_",5)</f>
        <v>1626</v>
      </c>
      <c r="R961" s="84" t="str">
        <f>IF(
   COUNTIFS($A$2:A961,A961,
             $B$2:B961,B961,
             $C$2:C961,C961,
             $D$2:D961,D961,
             $G$2:G961,G961)&gt;1,
   "Doublon",
   "Correcte"
)</f>
        <v>Correcte</v>
      </c>
    </row>
    <row r="962" spans="1:18" x14ac:dyDescent="0.25">
      <c r="A962" s="104" t="s">
        <v>1652</v>
      </c>
      <c r="B962" s="35" t="s">
        <v>596</v>
      </c>
      <c r="C962" s="36">
        <v>0</v>
      </c>
      <c r="D962" s="36">
        <v>5</v>
      </c>
      <c r="E962" s="35" t="s">
        <v>699</v>
      </c>
      <c r="F962" s="35" t="s">
        <v>634</v>
      </c>
      <c r="G962" s="37">
        <v>45932.580543981479</v>
      </c>
      <c r="H962" s="37" t="str">
        <f>INDEX(_xlfn.TEXTSPLIT(mvtst[[#This Row],[QR Suivis]],"_"),1,1)</f>
        <v>CA250046-4</v>
      </c>
      <c r="I962" s="35" t="str">
        <f>_xlfn.TEXTBEFORE(mvtst[[#This Row],[Num Suivis]],"-",,,1)</f>
        <v>CA250046</v>
      </c>
      <c r="J962" s="36">
        <f>SUMIF(mvtst[QR Suivis],mvtst[[#This Row],[QR Suivis]],mvtst[QTE SORTIS])-SUMIF(mvtst[QR Suivis],mvtst[[#This Row],[QR Suivis]],mvtst[QTE RETOUR])</f>
        <v>0</v>
      </c>
      <c r="K962" s="35" t="str">
        <f t="shared" si="14"/>
        <v>Usine</v>
      </c>
      <c r="L962" s="35" t="str">
        <f>_xlfn.XLOOKUP(mvtst[[#This Row],[Sous Traitant]],coordonnee_st[Identification],coordonnee_st[SERVICE],"Non Trouvé")</f>
        <v>Frange</v>
      </c>
      <c r="M962" s="35" t="str">
        <f>INDEX(_xlfn.TEXTSPLIT(mvtst[[#This Row],[QR Suivis]],"_"),1,2)</f>
        <v>All by Fouta</v>
      </c>
      <c r="N962" s="35" t="str">
        <f>INDEX(_xlfn.TEXTSPLIT(mvtst[[#This Row],[QR Suivis]],"_"),1,3)</f>
        <v>Stock</v>
      </c>
      <c r="O962" s="35" t="str">
        <f>INDEX(_xlfn.TEXTSPLIT(mvtst[[#This Row],[QR Suivis]],"_"),1,4)</f>
        <v>UNS1626-12</v>
      </c>
      <c r="P962" s="35" t="str">
        <f>INDEX(_xlfn.TEXTSPLIT(mvtst[[#This Row],[QR Suivis]],"_"),1,5)</f>
        <v>UNI SURPIQUE</v>
      </c>
      <c r="Q962" s="35" t="str">
        <f>_xlfn.TEXTAFTER(mvtst[[#This Row],[QR Suivis]],"_",5)</f>
        <v>1626</v>
      </c>
      <c r="R962" s="84" t="str">
        <f>IF(
   COUNTIFS($A$2:A962,A962,
             $B$2:B962,B962,
             $C$2:C962,C962,
             $D$2:D962,D962,
             $G$2:G962,G962)&gt;1,
   "Doublon",
   "Correcte"
)</f>
        <v>Correcte</v>
      </c>
    </row>
    <row r="963" spans="1:18" x14ac:dyDescent="0.25">
      <c r="A963" s="104" t="s">
        <v>1624</v>
      </c>
      <c r="B963" s="35" t="s">
        <v>596</v>
      </c>
      <c r="C963" s="36">
        <v>0</v>
      </c>
      <c r="D963" s="36">
        <v>5</v>
      </c>
      <c r="E963" s="35" t="s">
        <v>699</v>
      </c>
      <c r="F963" s="35" t="s">
        <v>634</v>
      </c>
      <c r="G963" s="37">
        <v>45932.580833333333</v>
      </c>
      <c r="H963" s="37" t="str">
        <f>INDEX(_xlfn.TEXTSPLIT(mvtst[[#This Row],[QR Suivis]],"_"),1,1)</f>
        <v>CA250043-1</v>
      </c>
      <c r="I963" s="35" t="str">
        <f>_xlfn.TEXTBEFORE(mvtst[[#This Row],[Num Suivis]],"-",,,1)</f>
        <v>CA250043</v>
      </c>
      <c r="J963" s="36">
        <f>SUMIF(mvtst[QR Suivis],mvtst[[#This Row],[QR Suivis]],mvtst[QTE SORTIS])-SUMIF(mvtst[QR Suivis],mvtst[[#This Row],[QR Suivis]],mvtst[QTE RETOUR])</f>
        <v>0</v>
      </c>
      <c r="K963" s="35" t="str">
        <f t="shared" ref="K963:K1026" si="15">"Usine"</f>
        <v>Usine</v>
      </c>
      <c r="L963" s="35" t="str">
        <f>_xlfn.XLOOKUP(mvtst[[#This Row],[Sous Traitant]],coordonnee_st[Identification],coordonnee_st[SERVICE],"Non Trouvé")</f>
        <v>Frange</v>
      </c>
      <c r="M963" s="35" t="str">
        <f>INDEX(_xlfn.TEXTSPLIT(mvtst[[#This Row],[QR Suivis]],"_"),1,2)</f>
        <v>All by Fouta</v>
      </c>
      <c r="N963" s="35" t="str">
        <f>INDEX(_xlfn.TEXTSPLIT(mvtst[[#This Row],[QR Suivis]],"_"),1,3)</f>
        <v>Stock</v>
      </c>
      <c r="O963" s="35" t="str">
        <f>INDEX(_xlfn.TEXTSPLIT(mvtst[[#This Row],[QR Suivis]],"_"),1,4)</f>
        <v>UNS1626-06</v>
      </c>
      <c r="P963" s="35" t="str">
        <f>INDEX(_xlfn.TEXTSPLIT(mvtst[[#This Row],[QR Suivis]],"_"),1,5)</f>
        <v>UNI SURPIQUE</v>
      </c>
      <c r="Q963" s="35" t="str">
        <f>_xlfn.TEXTAFTER(mvtst[[#This Row],[QR Suivis]],"_",5)</f>
        <v>1626</v>
      </c>
      <c r="R963" s="84" t="str">
        <f>IF(
   COUNTIFS($A$2:A963,A963,
             $B$2:B963,B963,
             $C$2:C963,C963,
             $D$2:D963,D963,
             $G$2:G963,G963)&gt;1,
   "Doublon",
   "Correcte"
)</f>
        <v>Correcte</v>
      </c>
    </row>
    <row r="964" spans="1:18" x14ac:dyDescent="0.25">
      <c r="A964" s="104" t="s">
        <v>1593</v>
      </c>
      <c r="B964" s="35" t="s">
        <v>596</v>
      </c>
      <c r="C964" s="36">
        <v>0</v>
      </c>
      <c r="D964" s="36">
        <v>5</v>
      </c>
      <c r="E964" s="35" t="s">
        <v>699</v>
      </c>
      <c r="F964" s="35" t="s">
        <v>634</v>
      </c>
      <c r="G964" s="37">
        <v>45932.581099537034</v>
      </c>
      <c r="H964" s="37" t="str">
        <f>INDEX(_xlfn.TEXTSPLIT(mvtst[[#This Row],[QR Suivis]],"_"),1,1)</f>
        <v>CA250021-1</v>
      </c>
      <c r="I964" s="35" t="str">
        <f>_xlfn.TEXTBEFORE(mvtst[[#This Row],[Num Suivis]],"-",,,1)</f>
        <v>CA250021</v>
      </c>
      <c r="J964" s="36">
        <f>SUMIF(mvtst[QR Suivis],mvtst[[#This Row],[QR Suivis]],mvtst[QTE SORTIS])-SUMIF(mvtst[QR Suivis],mvtst[[#This Row],[QR Suivis]],mvtst[QTE RETOUR])</f>
        <v>0</v>
      </c>
      <c r="K964" s="35" t="str">
        <f t="shared" si="15"/>
        <v>Usine</v>
      </c>
      <c r="L964" s="35" t="str">
        <f>_xlfn.XLOOKUP(mvtst[[#This Row],[Sous Traitant]],coordonnee_st[Identification],coordonnee_st[SERVICE],"Non Trouvé")</f>
        <v>Frange</v>
      </c>
      <c r="M964" s="35" t="str">
        <f>INDEX(_xlfn.TEXTSPLIT(mvtst[[#This Row],[QR Suivis]],"_"),1,2)</f>
        <v>All by Fouta</v>
      </c>
      <c r="N964" s="35" t="str">
        <f>INDEX(_xlfn.TEXTSPLIT(mvtst[[#This Row],[QR Suivis]],"_"),1,3)</f>
        <v>Stock</v>
      </c>
      <c r="O964" s="35" t="str">
        <f>INDEX(_xlfn.TEXTSPLIT(mvtst[[#This Row],[QR Suivis]],"_"),1,4)</f>
        <v>UNS2020-03</v>
      </c>
      <c r="P964" s="35" t="str">
        <f>INDEX(_xlfn.TEXTSPLIT(mvtst[[#This Row],[QR Suivis]],"_"),1,5)</f>
        <v>UNI SURPIQUE</v>
      </c>
      <c r="Q964" s="35" t="str">
        <f>_xlfn.TEXTAFTER(mvtst[[#This Row],[QR Suivis]],"_",5)</f>
        <v>2020</v>
      </c>
      <c r="R964" s="84" t="str">
        <f>IF(
   COUNTIFS($A$2:A964,A964,
             $B$2:B964,B964,
             $C$2:C964,C964,
             $D$2:D964,D964,
             $G$2:G964,G964)&gt;1,
   "Doublon",
   "Correcte"
)</f>
        <v>Correcte</v>
      </c>
    </row>
    <row r="965" spans="1:18" x14ac:dyDescent="0.25">
      <c r="A965" s="104" t="s">
        <v>1625</v>
      </c>
      <c r="B965" s="35" t="s">
        <v>596</v>
      </c>
      <c r="C965" s="36">
        <v>0</v>
      </c>
      <c r="D965" s="36">
        <v>1</v>
      </c>
      <c r="E965" s="35" t="s">
        <v>699</v>
      </c>
      <c r="F965" s="35" t="s">
        <v>634</v>
      </c>
      <c r="G965" s="37">
        <v>45932.581365740742</v>
      </c>
      <c r="H965" s="37" t="str">
        <f>INDEX(_xlfn.TEXTSPLIT(mvtst[[#This Row],[QR Suivis]],"_"),1,1)</f>
        <v>CA250043-7</v>
      </c>
      <c r="I965" s="35" t="str">
        <f>_xlfn.TEXTBEFORE(mvtst[[#This Row],[Num Suivis]],"-",,,1)</f>
        <v>CA250043</v>
      </c>
      <c r="J965" s="36">
        <f>SUMIF(mvtst[QR Suivis],mvtst[[#This Row],[QR Suivis]],mvtst[QTE SORTIS])-SUMIF(mvtst[QR Suivis],mvtst[[#This Row],[QR Suivis]],mvtst[QTE RETOUR])</f>
        <v>0</v>
      </c>
      <c r="K965" s="35" t="str">
        <f t="shared" si="15"/>
        <v>Usine</v>
      </c>
      <c r="L965" s="35" t="str">
        <f>_xlfn.XLOOKUP(mvtst[[#This Row],[Sous Traitant]],coordonnee_st[Identification],coordonnee_st[SERVICE],"Non Trouvé")</f>
        <v>Frange</v>
      </c>
      <c r="M965" s="35" t="str">
        <f>INDEX(_xlfn.TEXTSPLIT(mvtst[[#This Row],[QR Suivis]],"_"),1,2)</f>
        <v>All by Fouta</v>
      </c>
      <c r="N965" s="35" t="str">
        <f>INDEX(_xlfn.TEXTSPLIT(mvtst[[#This Row],[QR Suivis]],"_"),1,3)</f>
        <v>Stock</v>
      </c>
      <c r="O965" s="35" t="str">
        <f>INDEX(_xlfn.TEXTSPLIT(mvtst[[#This Row],[QR Suivis]],"_"),1,4)</f>
        <v>UNS1626-06</v>
      </c>
      <c r="P965" s="35" t="str">
        <f>INDEX(_xlfn.TEXTSPLIT(mvtst[[#This Row],[QR Suivis]],"_"),1,5)</f>
        <v>UNI SURPIQUE</v>
      </c>
      <c r="Q965" s="35" t="str">
        <f>_xlfn.TEXTAFTER(mvtst[[#This Row],[QR Suivis]],"_",5)</f>
        <v>1626</v>
      </c>
      <c r="R965" s="84" t="str">
        <f>IF(
   COUNTIFS($A$2:A965,A965,
             $B$2:B965,B965,
             $C$2:C965,C965,
             $D$2:D965,D965,
             $G$2:G965,G965)&gt;1,
   "Doublon",
   "Correcte"
)</f>
        <v>Correcte</v>
      </c>
    </row>
    <row r="966" spans="1:18" x14ac:dyDescent="0.25">
      <c r="A966" s="104" t="s">
        <v>1626</v>
      </c>
      <c r="B966" s="35" t="s">
        <v>596</v>
      </c>
      <c r="C966" s="36">
        <v>0</v>
      </c>
      <c r="D966" s="36">
        <v>5</v>
      </c>
      <c r="E966" s="35" t="s">
        <v>699</v>
      </c>
      <c r="F966" s="35" t="s">
        <v>634</v>
      </c>
      <c r="G966" s="37">
        <v>45932.581550925926</v>
      </c>
      <c r="H966" s="37" t="str">
        <f>INDEX(_xlfn.TEXTSPLIT(mvtst[[#This Row],[QR Suivis]],"_"),1,1)</f>
        <v>CA250043-3</v>
      </c>
      <c r="I966" s="35" t="str">
        <f>_xlfn.TEXTBEFORE(mvtst[[#This Row],[Num Suivis]],"-",,,1)</f>
        <v>CA250043</v>
      </c>
      <c r="J966" s="36">
        <f>SUMIF(mvtst[QR Suivis],mvtst[[#This Row],[QR Suivis]],mvtst[QTE SORTIS])-SUMIF(mvtst[QR Suivis],mvtst[[#This Row],[QR Suivis]],mvtst[QTE RETOUR])</f>
        <v>0</v>
      </c>
      <c r="K966" s="35" t="str">
        <f t="shared" si="15"/>
        <v>Usine</v>
      </c>
      <c r="L966" s="35" t="str">
        <f>_xlfn.XLOOKUP(mvtst[[#This Row],[Sous Traitant]],coordonnee_st[Identification],coordonnee_st[SERVICE],"Non Trouvé")</f>
        <v>Frange</v>
      </c>
      <c r="M966" s="35" t="str">
        <f>INDEX(_xlfn.TEXTSPLIT(mvtst[[#This Row],[QR Suivis]],"_"),1,2)</f>
        <v>All by Fouta</v>
      </c>
      <c r="N966" s="35" t="str">
        <f>INDEX(_xlfn.TEXTSPLIT(mvtst[[#This Row],[QR Suivis]],"_"),1,3)</f>
        <v>Stock</v>
      </c>
      <c r="O966" s="35" t="str">
        <f>INDEX(_xlfn.TEXTSPLIT(mvtst[[#This Row],[QR Suivis]],"_"),1,4)</f>
        <v>UNS1626-06</v>
      </c>
      <c r="P966" s="35" t="str">
        <f>INDEX(_xlfn.TEXTSPLIT(mvtst[[#This Row],[QR Suivis]],"_"),1,5)</f>
        <v>UNI SURPIQUE</v>
      </c>
      <c r="Q966" s="35" t="str">
        <f>_xlfn.TEXTAFTER(mvtst[[#This Row],[QR Suivis]],"_",5)</f>
        <v>1626</v>
      </c>
      <c r="R966" s="84" t="str">
        <f>IF(
   COUNTIFS($A$2:A966,A966,
             $B$2:B966,B966,
             $C$2:C966,C966,
             $D$2:D966,D966,
             $G$2:G966,G966)&gt;1,
   "Doublon",
   "Correcte"
)</f>
        <v>Correcte</v>
      </c>
    </row>
    <row r="967" spans="1:18" x14ac:dyDescent="0.25">
      <c r="A967" s="104" t="s">
        <v>1616</v>
      </c>
      <c r="B967" s="35" t="s">
        <v>596</v>
      </c>
      <c r="C967" s="36">
        <v>0</v>
      </c>
      <c r="D967" s="36">
        <v>5</v>
      </c>
      <c r="E967" s="35" t="s">
        <v>699</v>
      </c>
      <c r="F967" s="35" t="s">
        <v>634</v>
      </c>
      <c r="G967" s="37">
        <v>45932.581770833334</v>
      </c>
      <c r="H967" s="37" t="str">
        <f>INDEX(_xlfn.TEXTSPLIT(mvtst[[#This Row],[QR Suivis]],"_"),1,1)</f>
        <v>CA250044-3</v>
      </c>
      <c r="I967" s="35" t="str">
        <f>_xlfn.TEXTBEFORE(mvtst[[#This Row],[Num Suivis]],"-",,,1)</f>
        <v>CA250044</v>
      </c>
      <c r="J967" s="36">
        <f>SUMIF(mvtst[QR Suivis],mvtst[[#This Row],[QR Suivis]],mvtst[QTE SORTIS])-SUMIF(mvtst[QR Suivis],mvtst[[#This Row],[QR Suivis]],mvtst[QTE RETOUR])</f>
        <v>0</v>
      </c>
      <c r="K967" s="35" t="str">
        <f t="shared" si="15"/>
        <v>Usine</v>
      </c>
      <c r="L967" s="35" t="str">
        <f>_xlfn.XLOOKUP(mvtst[[#This Row],[Sous Traitant]],coordonnee_st[Identification],coordonnee_st[SERVICE],"Non Trouvé")</f>
        <v>Frange</v>
      </c>
      <c r="M967" s="35" t="str">
        <f>INDEX(_xlfn.TEXTSPLIT(mvtst[[#This Row],[QR Suivis]],"_"),1,2)</f>
        <v>All by Fouta</v>
      </c>
      <c r="N967" s="35" t="str">
        <f>INDEX(_xlfn.TEXTSPLIT(mvtst[[#This Row],[QR Suivis]],"_"),1,3)</f>
        <v>Stock</v>
      </c>
      <c r="O967" s="35" t="str">
        <f>INDEX(_xlfn.TEXTSPLIT(mvtst[[#This Row],[QR Suivis]],"_"),1,4)</f>
        <v>UNS1626-09</v>
      </c>
      <c r="P967" s="35" t="str">
        <f>INDEX(_xlfn.TEXTSPLIT(mvtst[[#This Row],[QR Suivis]],"_"),1,5)</f>
        <v>UNI SURPIQUE</v>
      </c>
      <c r="Q967" s="35" t="str">
        <f>_xlfn.TEXTAFTER(mvtst[[#This Row],[QR Suivis]],"_",5)</f>
        <v>1626</v>
      </c>
      <c r="R967" s="84" t="str">
        <f>IF(
   COUNTIFS($A$2:A967,A967,
             $B$2:B967,B967,
             $C$2:C967,C967,
             $D$2:D967,D967,
             $G$2:G967,G967)&gt;1,
   "Doublon",
   "Correcte"
)</f>
        <v>Correcte</v>
      </c>
    </row>
    <row r="968" spans="1:18" x14ac:dyDescent="0.25">
      <c r="A968" s="104" t="s">
        <v>1620</v>
      </c>
      <c r="B968" s="35" t="s">
        <v>596</v>
      </c>
      <c r="C968" s="36">
        <v>0</v>
      </c>
      <c r="D968" s="36">
        <v>5</v>
      </c>
      <c r="E968" s="35" t="s">
        <v>699</v>
      </c>
      <c r="F968" s="35" t="s">
        <v>634</v>
      </c>
      <c r="G968" s="37">
        <v>45932.582175925927</v>
      </c>
      <c r="H968" s="37" t="str">
        <f>INDEX(_xlfn.TEXTSPLIT(mvtst[[#This Row],[QR Suivis]],"_"),1,1)</f>
        <v>CA250032-4</v>
      </c>
      <c r="I968" s="35" t="str">
        <f>_xlfn.TEXTBEFORE(mvtst[[#This Row],[Num Suivis]],"-",,,1)</f>
        <v>CA250032</v>
      </c>
      <c r="J968" s="36">
        <f>SUMIF(mvtst[QR Suivis],mvtst[[#This Row],[QR Suivis]],mvtst[QTE SORTIS])-SUMIF(mvtst[QR Suivis],mvtst[[#This Row],[QR Suivis]],mvtst[QTE RETOUR])</f>
        <v>0</v>
      </c>
      <c r="K968" s="35" t="str">
        <f t="shared" si="15"/>
        <v>Usine</v>
      </c>
      <c r="L968" s="35" t="str">
        <f>_xlfn.XLOOKUP(mvtst[[#This Row],[Sous Traitant]],coordonnee_st[Identification],coordonnee_st[SERVICE],"Non Trouvé")</f>
        <v>Frange</v>
      </c>
      <c r="M968" s="35" t="str">
        <f>INDEX(_xlfn.TEXTSPLIT(mvtst[[#This Row],[QR Suivis]],"_"),1,2)</f>
        <v>All by Fouta</v>
      </c>
      <c r="N968" s="35" t="str">
        <f>INDEX(_xlfn.TEXTSPLIT(mvtst[[#This Row],[QR Suivis]],"_"),1,3)</f>
        <v>Stock</v>
      </c>
      <c r="O968" s="35" t="str">
        <f>INDEX(_xlfn.TEXTSPLIT(mvtst[[#This Row],[QR Suivis]],"_"),1,4)</f>
        <v>UNS2020-20</v>
      </c>
      <c r="P968" s="35" t="str">
        <f>INDEX(_xlfn.TEXTSPLIT(mvtst[[#This Row],[QR Suivis]],"_"),1,5)</f>
        <v>UNI SURPIQUE</v>
      </c>
      <c r="Q968" s="35" t="str">
        <f>_xlfn.TEXTAFTER(mvtst[[#This Row],[QR Suivis]],"_",5)</f>
        <v>2020</v>
      </c>
      <c r="R968" s="84" t="str">
        <f>IF(
   COUNTIFS($A$2:A968,A968,
             $B$2:B968,B968,
             $C$2:C968,C968,
             $D$2:D968,D968,
             $G$2:G968,G968)&gt;1,
   "Doublon",
   "Correcte"
)</f>
        <v>Correcte</v>
      </c>
    </row>
    <row r="969" spans="1:18" x14ac:dyDescent="0.25">
      <c r="A969" s="104" t="s">
        <v>1617</v>
      </c>
      <c r="B969" s="35" t="s">
        <v>596</v>
      </c>
      <c r="C969" s="36">
        <v>0</v>
      </c>
      <c r="D969" s="36">
        <v>1</v>
      </c>
      <c r="E969" s="35" t="s">
        <v>699</v>
      </c>
      <c r="F969" s="35" t="s">
        <v>634</v>
      </c>
      <c r="G969" s="37">
        <v>45932.582395833335</v>
      </c>
      <c r="H969" s="37" t="str">
        <f>INDEX(_xlfn.TEXTSPLIT(mvtst[[#This Row],[QR Suivis]],"_"),1,1)</f>
        <v>CA250044-7</v>
      </c>
      <c r="I969" s="35" t="str">
        <f>_xlfn.TEXTBEFORE(mvtst[[#This Row],[Num Suivis]],"-",,,1)</f>
        <v>CA250044</v>
      </c>
      <c r="J969" s="36">
        <f>SUMIF(mvtst[QR Suivis],mvtst[[#This Row],[QR Suivis]],mvtst[QTE SORTIS])-SUMIF(mvtst[QR Suivis],mvtst[[#This Row],[QR Suivis]],mvtst[QTE RETOUR])</f>
        <v>0</v>
      </c>
      <c r="K969" s="35" t="str">
        <f t="shared" si="15"/>
        <v>Usine</v>
      </c>
      <c r="L969" s="35" t="str">
        <f>_xlfn.XLOOKUP(mvtst[[#This Row],[Sous Traitant]],coordonnee_st[Identification],coordonnee_st[SERVICE],"Non Trouvé")</f>
        <v>Frange</v>
      </c>
      <c r="M969" s="35" t="str">
        <f>INDEX(_xlfn.TEXTSPLIT(mvtst[[#This Row],[QR Suivis]],"_"),1,2)</f>
        <v>All by Fouta</v>
      </c>
      <c r="N969" s="35" t="str">
        <f>INDEX(_xlfn.TEXTSPLIT(mvtst[[#This Row],[QR Suivis]],"_"),1,3)</f>
        <v>Stock</v>
      </c>
      <c r="O969" s="35" t="str">
        <f>INDEX(_xlfn.TEXTSPLIT(mvtst[[#This Row],[QR Suivis]],"_"),1,4)</f>
        <v>UNS1626-09</v>
      </c>
      <c r="P969" s="35" t="str">
        <f>INDEX(_xlfn.TEXTSPLIT(mvtst[[#This Row],[QR Suivis]],"_"),1,5)</f>
        <v>UNI SURPIQUE</v>
      </c>
      <c r="Q969" s="35" t="str">
        <f>_xlfn.TEXTAFTER(mvtst[[#This Row],[QR Suivis]],"_",5)</f>
        <v>1626</v>
      </c>
      <c r="R969" s="84" t="str">
        <f>IF(
   COUNTIFS($A$2:A969,A969,
             $B$2:B969,B969,
             $C$2:C969,C969,
             $D$2:D969,D969,
             $G$2:G969,G969)&gt;1,
   "Doublon",
   "Correcte"
)</f>
        <v>Correcte</v>
      </c>
    </row>
    <row r="970" spans="1:18" x14ac:dyDescent="0.25">
      <c r="A970" s="104" t="s">
        <v>1621</v>
      </c>
      <c r="B970" s="35" t="s">
        <v>596</v>
      </c>
      <c r="C970" s="36">
        <v>0</v>
      </c>
      <c r="D970" s="36">
        <v>5</v>
      </c>
      <c r="E970" s="35" t="s">
        <v>699</v>
      </c>
      <c r="F970" s="35" t="s">
        <v>634</v>
      </c>
      <c r="G970" s="37">
        <v>45932.582592592589</v>
      </c>
      <c r="H970" s="37" t="str">
        <f>INDEX(_xlfn.TEXTSPLIT(mvtst[[#This Row],[QR Suivis]],"_"),1,1)</f>
        <v>CA250032-1</v>
      </c>
      <c r="I970" s="35" t="str">
        <f>_xlfn.TEXTBEFORE(mvtst[[#This Row],[Num Suivis]],"-",,,1)</f>
        <v>CA250032</v>
      </c>
      <c r="J970" s="36">
        <f>SUMIF(mvtst[QR Suivis],mvtst[[#This Row],[QR Suivis]],mvtst[QTE SORTIS])-SUMIF(mvtst[QR Suivis],mvtst[[#This Row],[QR Suivis]],mvtst[QTE RETOUR])</f>
        <v>0</v>
      </c>
      <c r="K970" s="35" t="str">
        <f t="shared" si="15"/>
        <v>Usine</v>
      </c>
      <c r="L970" s="35" t="str">
        <f>_xlfn.XLOOKUP(mvtst[[#This Row],[Sous Traitant]],coordonnee_st[Identification],coordonnee_st[SERVICE],"Non Trouvé")</f>
        <v>Frange</v>
      </c>
      <c r="M970" s="35" t="str">
        <f>INDEX(_xlfn.TEXTSPLIT(mvtst[[#This Row],[QR Suivis]],"_"),1,2)</f>
        <v>All by Fouta</v>
      </c>
      <c r="N970" s="35" t="str">
        <f>INDEX(_xlfn.TEXTSPLIT(mvtst[[#This Row],[QR Suivis]],"_"),1,3)</f>
        <v>Stock</v>
      </c>
      <c r="O970" s="35" t="str">
        <f>INDEX(_xlfn.TEXTSPLIT(mvtst[[#This Row],[QR Suivis]],"_"),1,4)</f>
        <v>UNS2020-20</v>
      </c>
      <c r="P970" s="35" t="str">
        <f>INDEX(_xlfn.TEXTSPLIT(mvtst[[#This Row],[QR Suivis]],"_"),1,5)</f>
        <v>UNI SURPIQUE</v>
      </c>
      <c r="Q970" s="35" t="str">
        <f>_xlfn.TEXTAFTER(mvtst[[#This Row],[QR Suivis]],"_",5)</f>
        <v>2020</v>
      </c>
      <c r="R970" s="84" t="str">
        <f>IF(
   COUNTIFS($A$2:A970,A970,
             $B$2:B970,B970,
             $C$2:C970,C970,
             $D$2:D970,D970,
             $G$2:G970,G970)&gt;1,
   "Doublon",
   "Correcte"
)</f>
        <v>Correcte</v>
      </c>
    </row>
    <row r="971" spans="1:18" x14ac:dyDescent="0.25">
      <c r="A971" s="104" t="s">
        <v>1627</v>
      </c>
      <c r="B971" s="35" t="s">
        <v>596</v>
      </c>
      <c r="C971" s="36">
        <v>0</v>
      </c>
      <c r="D971" s="36">
        <v>5</v>
      </c>
      <c r="E971" s="35" t="s">
        <v>699</v>
      </c>
      <c r="F971" s="35" t="s">
        <v>634</v>
      </c>
      <c r="G971" s="37">
        <v>45932.582928240743</v>
      </c>
      <c r="H971" s="37" t="str">
        <f>INDEX(_xlfn.TEXTSPLIT(mvtst[[#This Row],[QR Suivis]],"_"),1,1)</f>
        <v>CA250043-2</v>
      </c>
      <c r="I971" s="35" t="str">
        <f>_xlfn.TEXTBEFORE(mvtst[[#This Row],[Num Suivis]],"-",,,1)</f>
        <v>CA250043</v>
      </c>
      <c r="J971" s="36">
        <f>SUMIF(mvtst[QR Suivis],mvtst[[#This Row],[QR Suivis]],mvtst[QTE SORTIS])-SUMIF(mvtst[QR Suivis],mvtst[[#This Row],[QR Suivis]],mvtst[QTE RETOUR])</f>
        <v>0</v>
      </c>
      <c r="K971" s="35" t="str">
        <f t="shared" si="15"/>
        <v>Usine</v>
      </c>
      <c r="L971" s="35" t="str">
        <f>_xlfn.XLOOKUP(mvtst[[#This Row],[Sous Traitant]],coordonnee_st[Identification],coordonnee_st[SERVICE],"Non Trouvé")</f>
        <v>Frange</v>
      </c>
      <c r="M971" s="35" t="str">
        <f>INDEX(_xlfn.TEXTSPLIT(mvtst[[#This Row],[QR Suivis]],"_"),1,2)</f>
        <v>All by Fouta</v>
      </c>
      <c r="N971" s="35" t="str">
        <f>INDEX(_xlfn.TEXTSPLIT(mvtst[[#This Row],[QR Suivis]],"_"),1,3)</f>
        <v>Stock</v>
      </c>
      <c r="O971" s="35" t="str">
        <f>INDEX(_xlfn.TEXTSPLIT(mvtst[[#This Row],[QR Suivis]],"_"),1,4)</f>
        <v>UNS1626-06</v>
      </c>
      <c r="P971" s="35" t="str">
        <f>INDEX(_xlfn.TEXTSPLIT(mvtst[[#This Row],[QR Suivis]],"_"),1,5)</f>
        <v>UNI SURPIQUE</v>
      </c>
      <c r="Q971" s="35" t="str">
        <f>_xlfn.TEXTAFTER(mvtst[[#This Row],[QR Suivis]],"_",5)</f>
        <v>1626</v>
      </c>
      <c r="R971" s="84" t="str">
        <f>IF(
   COUNTIFS($A$2:A971,A971,
             $B$2:B971,B971,
             $C$2:C971,C971,
             $D$2:D971,D971,
             $G$2:G971,G971)&gt;1,
   "Doublon",
   "Correcte"
)</f>
        <v>Correcte</v>
      </c>
    </row>
    <row r="972" spans="1:18" x14ac:dyDescent="0.25">
      <c r="A972" s="104" t="s">
        <v>1634</v>
      </c>
      <c r="B972" s="35" t="s">
        <v>596</v>
      </c>
      <c r="C972" s="36">
        <v>0</v>
      </c>
      <c r="D972" s="36">
        <v>5</v>
      </c>
      <c r="E972" s="35" t="s">
        <v>699</v>
      </c>
      <c r="F972" s="35" t="s">
        <v>634</v>
      </c>
      <c r="G972" s="37">
        <v>45932.583136574074</v>
      </c>
      <c r="H972" s="37" t="str">
        <f>INDEX(_xlfn.TEXTSPLIT(mvtst[[#This Row],[QR Suivis]],"_"),1,1)</f>
        <v>CA250033-2</v>
      </c>
      <c r="I972" s="35" t="str">
        <f>_xlfn.TEXTBEFORE(mvtst[[#This Row],[Num Suivis]],"-",,,1)</f>
        <v>CA250033</v>
      </c>
      <c r="J972" s="36">
        <f>SUMIF(mvtst[QR Suivis],mvtst[[#This Row],[QR Suivis]],mvtst[QTE SORTIS])-SUMIF(mvtst[QR Suivis],mvtst[[#This Row],[QR Suivis]],mvtst[QTE RETOUR])</f>
        <v>0</v>
      </c>
      <c r="K972" s="35" t="str">
        <f t="shared" si="15"/>
        <v>Usine</v>
      </c>
      <c r="L972" s="35" t="str">
        <f>_xlfn.XLOOKUP(mvtst[[#This Row],[Sous Traitant]],coordonnee_st[Identification],coordonnee_st[SERVICE],"Non Trouvé")</f>
        <v>Frange</v>
      </c>
      <c r="M972" s="35" t="str">
        <f>INDEX(_xlfn.TEXTSPLIT(mvtst[[#This Row],[QR Suivis]],"_"),1,2)</f>
        <v>All by Fouta</v>
      </c>
      <c r="N972" s="35" t="str">
        <f>INDEX(_xlfn.TEXTSPLIT(mvtst[[#This Row],[QR Suivis]],"_"),1,3)</f>
        <v>Stock</v>
      </c>
      <c r="O972" s="35" t="str">
        <f>INDEX(_xlfn.TEXTSPLIT(mvtst[[#This Row],[QR Suivis]],"_"),1,4)</f>
        <v>UNS2020-23</v>
      </c>
      <c r="P972" s="35" t="str">
        <f>INDEX(_xlfn.TEXTSPLIT(mvtst[[#This Row],[QR Suivis]],"_"),1,5)</f>
        <v>UNI SURPIQUE</v>
      </c>
      <c r="Q972" s="35" t="str">
        <f>_xlfn.TEXTAFTER(mvtst[[#This Row],[QR Suivis]],"_",5)</f>
        <v>2020</v>
      </c>
      <c r="R972" s="84" t="str">
        <f>IF(
   COUNTIFS($A$2:A972,A972,
             $B$2:B972,B972,
             $C$2:C972,C972,
             $D$2:D972,D972,
             $G$2:G972,G972)&gt;1,
   "Doublon",
   "Correcte"
)</f>
        <v>Correcte</v>
      </c>
    </row>
    <row r="973" spans="1:18" x14ac:dyDescent="0.25">
      <c r="A973" s="104" t="s">
        <v>1637</v>
      </c>
      <c r="B973" s="35" t="s">
        <v>596</v>
      </c>
      <c r="C973" s="36">
        <v>0</v>
      </c>
      <c r="D973" s="36">
        <v>5</v>
      </c>
      <c r="E973" s="35" t="s">
        <v>699</v>
      </c>
      <c r="F973" s="35" t="s">
        <v>634</v>
      </c>
      <c r="G973" s="37">
        <v>45932.583472222221</v>
      </c>
      <c r="H973" s="37" t="str">
        <f>INDEX(_xlfn.TEXTSPLIT(mvtst[[#This Row],[QR Suivis]],"_"),1,1)</f>
        <v>CA250023-3</v>
      </c>
      <c r="I973" s="35" t="str">
        <f>_xlfn.TEXTBEFORE(mvtst[[#This Row],[Num Suivis]],"-",,,1)</f>
        <v>CA250023</v>
      </c>
      <c r="J973" s="36">
        <f>SUMIF(mvtst[QR Suivis],mvtst[[#This Row],[QR Suivis]],mvtst[QTE SORTIS])-SUMIF(mvtst[QR Suivis],mvtst[[#This Row],[QR Suivis]],mvtst[QTE RETOUR])</f>
        <v>0</v>
      </c>
      <c r="K973" s="35" t="str">
        <f t="shared" si="15"/>
        <v>Usine</v>
      </c>
      <c r="L973" s="35" t="str">
        <f>_xlfn.XLOOKUP(mvtst[[#This Row],[Sous Traitant]],coordonnee_st[Identification],coordonnee_st[SERVICE],"Non Trouvé")</f>
        <v>Frange</v>
      </c>
      <c r="M973" s="35" t="str">
        <f>INDEX(_xlfn.TEXTSPLIT(mvtst[[#This Row],[QR Suivis]],"_"),1,2)</f>
        <v>All by Fouta</v>
      </c>
      <c r="N973" s="35" t="str">
        <f>INDEX(_xlfn.TEXTSPLIT(mvtst[[#This Row],[QR Suivis]],"_"),1,3)</f>
        <v>Stock</v>
      </c>
      <c r="O973" s="35" t="str">
        <f>INDEX(_xlfn.TEXTSPLIT(mvtst[[#This Row],[QR Suivis]],"_"),1,4)</f>
        <v>UNS2020-06</v>
      </c>
      <c r="P973" s="35" t="str">
        <f>INDEX(_xlfn.TEXTSPLIT(mvtst[[#This Row],[QR Suivis]],"_"),1,5)</f>
        <v>UNI SURPIQUE</v>
      </c>
      <c r="Q973" s="35" t="str">
        <f>_xlfn.TEXTAFTER(mvtst[[#This Row],[QR Suivis]],"_",5)</f>
        <v>2020</v>
      </c>
      <c r="R973" s="84" t="str">
        <f>IF(
   COUNTIFS($A$2:A973,A973,
             $B$2:B973,B973,
             $C$2:C973,C973,
             $D$2:D973,D973,
             $G$2:G973,G973)&gt;1,
   "Doublon",
   "Correcte"
)</f>
        <v>Correcte</v>
      </c>
    </row>
    <row r="974" spans="1:18" x14ac:dyDescent="0.25">
      <c r="A974" s="104" t="s">
        <v>1638</v>
      </c>
      <c r="B974" s="35" t="s">
        <v>596</v>
      </c>
      <c r="C974" s="36">
        <v>0</v>
      </c>
      <c r="D974" s="36">
        <v>5</v>
      </c>
      <c r="E974" s="35" t="s">
        <v>699</v>
      </c>
      <c r="F974" s="35" t="s">
        <v>634</v>
      </c>
      <c r="G974" s="37">
        <v>45932.583692129629</v>
      </c>
      <c r="H974" s="37" t="str">
        <f>INDEX(_xlfn.TEXTSPLIT(mvtst[[#This Row],[QR Suivis]],"_"),1,1)</f>
        <v>CA250023-2</v>
      </c>
      <c r="I974" s="35" t="str">
        <f>_xlfn.TEXTBEFORE(mvtst[[#This Row],[Num Suivis]],"-",,,1)</f>
        <v>CA250023</v>
      </c>
      <c r="J974" s="36">
        <f>SUMIF(mvtst[QR Suivis],mvtst[[#This Row],[QR Suivis]],mvtst[QTE SORTIS])-SUMIF(mvtst[QR Suivis],mvtst[[#This Row],[QR Suivis]],mvtst[QTE RETOUR])</f>
        <v>0</v>
      </c>
      <c r="K974" s="35" t="str">
        <f t="shared" si="15"/>
        <v>Usine</v>
      </c>
      <c r="L974" s="35" t="str">
        <f>_xlfn.XLOOKUP(mvtst[[#This Row],[Sous Traitant]],coordonnee_st[Identification],coordonnee_st[SERVICE],"Non Trouvé")</f>
        <v>Frange</v>
      </c>
      <c r="M974" s="35" t="str">
        <f>INDEX(_xlfn.TEXTSPLIT(mvtst[[#This Row],[QR Suivis]],"_"),1,2)</f>
        <v>All by Fouta</v>
      </c>
      <c r="N974" s="35" t="str">
        <f>INDEX(_xlfn.TEXTSPLIT(mvtst[[#This Row],[QR Suivis]],"_"),1,3)</f>
        <v>Stock</v>
      </c>
      <c r="O974" s="35" t="str">
        <f>INDEX(_xlfn.TEXTSPLIT(mvtst[[#This Row],[QR Suivis]],"_"),1,4)</f>
        <v>UNS2020-06</v>
      </c>
      <c r="P974" s="35" t="str">
        <f>INDEX(_xlfn.TEXTSPLIT(mvtst[[#This Row],[QR Suivis]],"_"),1,5)</f>
        <v>UNI SURPIQUE</v>
      </c>
      <c r="Q974" s="35" t="str">
        <f>_xlfn.TEXTAFTER(mvtst[[#This Row],[QR Suivis]],"_",5)</f>
        <v>2020</v>
      </c>
      <c r="R974" s="84" t="str">
        <f>IF(
   COUNTIFS($A$2:A974,A974,
             $B$2:B974,B974,
             $C$2:C974,C974,
             $D$2:D974,D974,
             $G$2:G974,G974)&gt;1,
   "Doublon",
   "Correcte"
)</f>
        <v>Correcte</v>
      </c>
    </row>
    <row r="975" spans="1:18" x14ac:dyDescent="0.25">
      <c r="A975" s="104" t="s">
        <v>1805</v>
      </c>
      <c r="B975" s="35" t="s">
        <v>712</v>
      </c>
      <c r="C975" s="36">
        <v>5</v>
      </c>
      <c r="D975" s="36">
        <v>0</v>
      </c>
      <c r="E975" s="35" t="s">
        <v>699</v>
      </c>
      <c r="F975" s="35" t="s">
        <v>634</v>
      </c>
      <c r="G975" s="37">
        <v>45932.68005787037</v>
      </c>
      <c r="H975" s="37" t="str">
        <f>INDEX(_xlfn.TEXTSPLIT(mvtst[[#This Row],[QR Suivis]],"_"),1,1)</f>
        <v>CA250052-4</v>
      </c>
      <c r="I975" s="35" t="str">
        <f>_xlfn.TEXTBEFORE(mvtst[[#This Row],[Num Suivis]],"-",,,1)</f>
        <v>CA250052</v>
      </c>
      <c r="J975" s="36">
        <f>SUMIF(mvtst[QR Suivis],mvtst[[#This Row],[QR Suivis]],mvtst[QTE SORTIS])-SUMIF(mvtst[QR Suivis],mvtst[[#This Row],[QR Suivis]],mvtst[QTE RETOUR])</f>
        <v>0</v>
      </c>
      <c r="K975" s="35" t="str">
        <f t="shared" si="15"/>
        <v>Usine</v>
      </c>
      <c r="L975" s="35" t="str">
        <f>_xlfn.XLOOKUP(mvtst[[#This Row],[Sous Traitant]],coordonnee_st[Identification],coordonnee_st[SERVICE],"Non Trouvé")</f>
        <v>Frange</v>
      </c>
      <c r="M975" s="35" t="str">
        <f>INDEX(_xlfn.TEXTSPLIT(mvtst[[#This Row],[QR Suivis]],"_"),1,2)</f>
        <v>All by Fouta</v>
      </c>
      <c r="N975" s="35" t="str">
        <f>INDEX(_xlfn.TEXTSPLIT(mvtst[[#This Row],[QR Suivis]],"_"),1,3)</f>
        <v>Stock</v>
      </c>
      <c r="O975" s="35" t="str">
        <f>INDEX(_xlfn.TEXTSPLIT(mvtst[[#This Row],[QR Suivis]],"_"),1,4)</f>
        <v>UNS1626-20</v>
      </c>
      <c r="P975" s="35" t="str">
        <f>INDEX(_xlfn.TEXTSPLIT(mvtst[[#This Row],[QR Suivis]],"_"),1,5)</f>
        <v>UNI SURPIQUE</v>
      </c>
      <c r="Q975" s="35" t="str">
        <f>_xlfn.TEXTAFTER(mvtst[[#This Row],[QR Suivis]],"_",5)</f>
        <v>1626</v>
      </c>
      <c r="R975" s="84" t="str">
        <f>IF(
   COUNTIFS($A$2:A975,A975,
             $B$2:B975,B975,
             $C$2:C975,C975,
             $D$2:D975,D975,
             $G$2:G975,G975)&gt;1,
   "Doublon",
   "Correcte"
)</f>
        <v>Correcte</v>
      </c>
    </row>
    <row r="976" spans="1:18" x14ac:dyDescent="0.25">
      <c r="A976" s="104" t="s">
        <v>1806</v>
      </c>
      <c r="B976" s="35" t="s">
        <v>712</v>
      </c>
      <c r="C976" s="36">
        <v>5</v>
      </c>
      <c r="D976" s="36">
        <v>0</v>
      </c>
      <c r="E976" s="35" t="s">
        <v>699</v>
      </c>
      <c r="F976" s="35" t="s">
        <v>634</v>
      </c>
      <c r="G976" s="37">
        <v>45932.68037037037</v>
      </c>
      <c r="H976" s="37" t="str">
        <f>INDEX(_xlfn.TEXTSPLIT(mvtst[[#This Row],[QR Suivis]],"_"),1,1)</f>
        <v>CA250052-2</v>
      </c>
      <c r="I976" s="35" t="str">
        <f>_xlfn.TEXTBEFORE(mvtst[[#This Row],[Num Suivis]],"-",,,1)</f>
        <v>CA250052</v>
      </c>
      <c r="J976" s="36">
        <f>SUMIF(mvtst[QR Suivis],mvtst[[#This Row],[QR Suivis]],mvtst[QTE SORTIS])-SUMIF(mvtst[QR Suivis],mvtst[[#This Row],[QR Suivis]],mvtst[QTE RETOUR])</f>
        <v>0</v>
      </c>
      <c r="K976" s="35" t="str">
        <f t="shared" si="15"/>
        <v>Usine</v>
      </c>
      <c r="L976" s="35" t="str">
        <f>_xlfn.XLOOKUP(mvtst[[#This Row],[Sous Traitant]],coordonnee_st[Identification],coordonnee_st[SERVICE],"Non Trouvé")</f>
        <v>Frange</v>
      </c>
      <c r="M976" s="35" t="str">
        <f>INDEX(_xlfn.TEXTSPLIT(mvtst[[#This Row],[QR Suivis]],"_"),1,2)</f>
        <v>All by Fouta</v>
      </c>
      <c r="N976" s="35" t="str">
        <f>INDEX(_xlfn.TEXTSPLIT(mvtst[[#This Row],[QR Suivis]],"_"),1,3)</f>
        <v>Stock</v>
      </c>
      <c r="O976" s="35" t="str">
        <f>INDEX(_xlfn.TEXTSPLIT(mvtst[[#This Row],[QR Suivis]],"_"),1,4)</f>
        <v>UNS1626-20</v>
      </c>
      <c r="P976" s="35" t="str">
        <f>INDEX(_xlfn.TEXTSPLIT(mvtst[[#This Row],[QR Suivis]],"_"),1,5)</f>
        <v>UNI SURPIQUE</v>
      </c>
      <c r="Q976" s="35" t="str">
        <f>_xlfn.TEXTAFTER(mvtst[[#This Row],[QR Suivis]],"_",5)</f>
        <v>1626</v>
      </c>
      <c r="R976" s="84" t="str">
        <f>IF(
   COUNTIFS($A$2:A976,A976,
             $B$2:B976,B976,
             $C$2:C976,C976,
             $D$2:D976,D976,
             $G$2:G976,G976)&gt;1,
   "Doublon",
   "Correcte"
)</f>
        <v>Correcte</v>
      </c>
    </row>
    <row r="977" spans="1:18" x14ac:dyDescent="0.25">
      <c r="A977" s="104" t="s">
        <v>1807</v>
      </c>
      <c r="B977" s="35" t="s">
        <v>712</v>
      </c>
      <c r="C977" s="36">
        <v>5</v>
      </c>
      <c r="D977" s="36">
        <v>0</v>
      </c>
      <c r="E977" s="35" t="s">
        <v>699</v>
      </c>
      <c r="F977" s="35" t="s">
        <v>634</v>
      </c>
      <c r="G977" s="37">
        <v>45932.680532407408</v>
      </c>
      <c r="H977" s="37" t="str">
        <f>INDEX(_xlfn.TEXTSPLIT(mvtst[[#This Row],[QR Suivis]],"_"),1,1)</f>
        <v>CA250052-1</v>
      </c>
      <c r="I977" s="35" t="str">
        <f>_xlfn.TEXTBEFORE(mvtst[[#This Row],[Num Suivis]],"-",,,1)</f>
        <v>CA250052</v>
      </c>
      <c r="J977" s="36">
        <f>SUMIF(mvtst[QR Suivis],mvtst[[#This Row],[QR Suivis]],mvtst[QTE SORTIS])-SUMIF(mvtst[QR Suivis],mvtst[[#This Row],[QR Suivis]],mvtst[QTE RETOUR])</f>
        <v>0</v>
      </c>
      <c r="K977" s="35" t="str">
        <f t="shared" si="15"/>
        <v>Usine</v>
      </c>
      <c r="L977" s="35" t="str">
        <f>_xlfn.XLOOKUP(mvtst[[#This Row],[Sous Traitant]],coordonnee_st[Identification],coordonnee_st[SERVICE],"Non Trouvé")</f>
        <v>Frange</v>
      </c>
      <c r="M977" s="35" t="str">
        <f>INDEX(_xlfn.TEXTSPLIT(mvtst[[#This Row],[QR Suivis]],"_"),1,2)</f>
        <v>All by Fouta</v>
      </c>
      <c r="N977" s="35" t="str">
        <f>INDEX(_xlfn.TEXTSPLIT(mvtst[[#This Row],[QR Suivis]],"_"),1,3)</f>
        <v>Stock</v>
      </c>
      <c r="O977" s="35" t="str">
        <f>INDEX(_xlfn.TEXTSPLIT(mvtst[[#This Row],[QR Suivis]],"_"),1,4)</f>
        <v>UNS1626-20</v>
      </c>
      <c r="P977" s="35" t="str">
        <f>INDEX(_xlfn.TEXTSPLIT(mvtst[[#This Row],[QR Suivis]],"_"),1,5)</f>
        <v>UNI SURPIQUE</v>
      </c>
      <c r="Q977" s="35" t="str">
        <f>_xlfn.TEXTAFTER(mvtst[[#This Row],[QR Suivis]],"_",5)</f>
        <v>1626</v>
      </c>
      <c r="R977" s="84" t="str">
        <f>IF(
   COUNTIFS($A$2:A977,A977,
             $B$2:B977,B977,
             $C$2:C977,C977,
             $D$2:D977,D977,
             $G$2:G977,G977)&gt;1,
   "Doublon",
   "Correcte"
)</f>
        <v>Correcte</v>
      </c>
    </row>
    <row r="978" spans="1:18" x14ac:dyDescent="0.25">
      <c r="A978" s="104" t="s">
        <v>1808</v>
      </c>
      <c r="B978" s="35" t="s">
        <v>712</v>
      </c>
      <c r="C978" s="36">
        <v>5</v>
      </c>
      <c r="D978" s="36">
        <v>0</v>
      </c>
      <c r="E978" s="35" t="s">
        <v>699</v>
      </c>
      <c r="F978" s="35" t="s">
        <v>634</v>
      </c>
      <c r="G978" s="37">
        <v>45932.681203703702</v>
      </c>
      <c r="H978" s="37" t="str">
        <f>INDEX(_xlfn.TEXTSPLIT(mvtst[[#This Row],[QR Suivis]],"_"),1,1)</f>
        <v>CA250019-11</v>
      </c>
      <c r="I978" s="35" t="str">
        <f>_xlfn.TEXTBEFORE(mvtst[[#This Row],[Num Suivis]],"-",,,1)</f>
        <v>CA250019</v>
      </c>
      <c r="J978" s="36">
        <f>SUMIF(mvtst[QR Suivis],mvtst[[#This Row],[QR Suivis]],mvtst[QTE SORTIS])-SUMIF(mvtst[QR Suivis],mvtst[[#This Row],[QR Suivis]],mvtst[QTE RETOUR])</f>
        <v>0</v>
      </c>
      <c r="K978" s="35" t="str">
        <f t="shared" si="15"/>
        <v>Usine</v>
      </c>
      <c r="L978" s="35" t="str">
        <f>_xlfn.XLOOKUP(mvtst[[#This Row],[Sous Traitant]],coordonnee_st[Identification],coordonnee_st[SERVICE],"Non Trouvé")</f>
        <v>Frange</v>
      </c>
      <c r="M978" s="35" t="str">
        <f>INDEX(_xlfn.TEXTSPLIT(mvtst[[#This Row],[QR Suivis]],"_"),1,2)</f>
        <v>All by Fouta</v>
      </c>
      <c r="N978" s="35" t="str">
        <f>INDEX(_xlfn.TEXTSPLIT(mvtst[[#This Row],[QR Suivis]],"_"),1,3)</f>
        <v>Stock</v>
      </c>
      <c r="O978" s="35" t="str">
        <f>INDEX(_xlfn.TEXTSPLIT(mvtst[[#This Row],[QR Suivis]],"_"),1,4)</f>
        <v>UNS1020-32</v>
      </c>
      <c r="P978" s="35" t="str">
        <f>INDEX(_xlfn.TEXTSPLIT(mvtst[[#This Row],[QR Suivis]],"_"),1,5)</f>
        <v>UNI SURPIQUE</v>
      </c>
      <c r="Q978" s="35" t="str">
        <f>_xlfn.TEXTAFTER(mvtst[[#This Row],[QR Suivis]],"_",5)</f>
        <v>1020</v>
      </c>
      <c r="R978" s="84" t="str">
        <f>IF(
   COUNTIFS($A$2:A978,A978,
             $B$2:B978,B978,
             $C$2:C978,C978,
             $D$2:D978,D978,
             $G$2:G978,G978)&gt;1,
   "Doublon",
   "Correcte"
)</f>
        <v>Correcte</v>
      </c>
    </row>
    <row r="979" spans="1:18" x14ac:dyDescent="0.25">
      <c r="A979" s="104" t="s">
        <v>1809</v>
      </c>
      <c r="B979" s="35" t="s">
        <v>712</v>
      </c>
      <c r="C979" s="36">
        <v>5</v>
      </c>
      <c r="D979" s="36">
        <v>0</v>
      </c>
      <c r="E979" s="35" t="s">
        <v>699</v>
      </c>
      <c r="F979" s="35" t="s">
        <v>634</v>
      </c>
      <c r="G979" s="37">
        <v>45932.681400462963</v>
      </c>
      <c r="H979" s="37" t="str">
        <f>INDEX(_xlfn.TEXTSPLIT(mvtst[[#This Row],[QR Suivis]],"_"),1,1)</f>
        <v>CA250052-6</v>
      </c>
      <c r="I979" s="35" t="str">
        <f>_xlfn.TEXTBEFORE(mvtst[[#This Row],[Num Suivis]],"-",,,1)</f>
        <v>CA250052</v>
      </c>
      <c r="J979" s="36">
        <f>SUMIF(mvtst[QR Suivis],mvtst[[#This Row],[QR Suivis]],mvtst[QTE SORTIS])-SUMIF(mvtst[QR Suivis],mvtst[[#This Row],[QR Suivis]],mvtst[QTE RETOUR])</f>
        <v>0</v>
      </c>
      <c r="K979" s="35" t="str">
        <f t="shared" si="15"/>
        <v>Usine</v>
      </c>
      <c r="L979" s="35" t="str">
        <f>_xlfn.XLOOKUP(mvtst[[#This Row],[Sous Traitant]],coordonnee_st[Identification],coordonnee_st[SERVICE],"Non Trouvé")</f>
        <v>Frange</v>
      </c>
      <c r="M979" s="35" t="str">
        <f>INDEX(_xlfn.TEXTSPLIT(mvtst[[#This Row],[QR Suivis]],"_"),1,2)</f>
        <v>All by Fouta</v>
      </c>
      <c r="N979" s="35" t="str">
        <f>INDEX(_xlfn.TEXTSPLIT(mvtst[[#This Row],[QR Suivis]],"_"),1,3)</f>
        <v>Stock</v>
      </c>
      <c r="O979" s="35" t="str">
        <f>INDEX(_xlfn.TEXTSPLIT(mvtst[[#This Row],[QR Suivis]],"_"),1,4)</f>
        <v>UNS1626-20</v>
      </c>
      <c r="P979" s="35" t="str">
        <f>INDEX(_xlfn.TEXTSPLIT(mvtst[[#This Row],[QR Suivis]],"_"),1,5)</f>
        <v>UNI SURPIQUE</v>
      </c>
      <c r="Q979" s="35" t="str">
        <f>_xlfn.TEXTAFTER(mvtst[[#This Row],[QR Suivis]],"_",5)</f>
        <v>1626</v>
      </c>
      <c r="R979" s="84" t="str">
        <f>IF(
   COUNTIFS($A$2:A979,A979,
             $B$2:B979,B979,
             $C$2:C979,C979,
             $D$2:D979,D979,
             $G$2:G979,G979)&gt;1,
   "Doublon",
   "Correcte"
)</f>
        <v>Correcte</v>
      </c>
    </row>
    <row r="980" spans="1:18" x14ac:dyDescent="0.25">
      <c r="A980" s="104" t="s">
        <v>1810</v>
      </c>
      <c r="B980" s="35" t="s">
        <v>712</v>
      </c>
      <c r="C980" s="36">
        <v>1</v>
      </c>
      <c r="D980" s="36">
        <v>0</v>
      </c>
      <c r="E980" s="35" t="s">
        <v>699</v>
      </c>
      <c r="F980" s="35" t="s">
        <v>634</v>
      </c>
      <c r="G980" s="37">
        <v>45932.681585648148</v>
      </c>
      <c r="H980" s="37" t="str">
        <f>INDEX(_xlfn.TEXTSPLIT(mvtst[[#This Row],[QR Suivis]],"_"),1,1)</f>
        <v>CA250052-7</v>
      </c>
      <c r="I980" s="35" t="str">
        <f>_xlfn.TEXTBEFORE(mvtst[[#This Row],[Num Suivis]],"-",,,1)</f>
        <v>CA250052</v>
      </c>
      <c r="J980" s="36">
        <f>SUMIF(mvtst[QR Suivis],mvtst[[#This Row],[QR Suivis]],mvtst[QTE SORTIS])-SUMIF(mvtst[QR Suivis],mvtst[[#This Row],[QR Suivis]],mvtst[QTE RETOUR])</f>
        <v>0</v>
      </c>
      <c r="K980" s="35" t="str">
        <f t="shared" si="15"/>
        <v>Usine</v>
      </c>
      <c r="L980" s="35" t="str">
        <f>_xlfn.XLOOKUP(mvtst[[#This Row],[Sous Traitant]],coordonnee_st[Identification],coordonnee_st[SERVICE],"Non Trouvé")</f>
        <v>Frange</v>
      </c>
      <c r="M980" s="35" t="str">
        <f>INDEX(_xlfn.TEXTSPLIT(mvtst[[#This Row],[QR Suivis]],"_"),1,2)</f>
        <v>All by Fouta</v>
      </c>
      <c r="N980" s="35" t="str">
        <f>INDEX(_xlfn.TEXTSPLIT(mvtst[[#This Row],[QR Suivis]],"_"),1,3)</f>
        <v>Stock</v>
      </c>
      <c r="O980" s="35" t="str">
        <f>INDEX(_xlfn.TEXTSPLIT(mvtst[[#This Row],[QR Suivis]],"_"),1,4)</f>
        <v>UNS1626-20</v>
      </c>
      <c r="P980" s="35" t="str">
        <f>INDEX(_xlfn.TEXTSPLIT(mvtst[[#This Row],[QR Suivis]],"_"),1,5)</f>
        <v>UNI SURPIQUE</v>
      </c>
      <c r="Q980" s="35" t="str">
        <f>_xlfn.TEXTAFTER(mvtst[[#This Row],[QR Suivis]],"_",5)</f>
        <v>1626</v>
      </c>
      <c r="R980" s="84" t="str">
        <f>IF(
   COUNTIFS($A$2:A980,A980,
             $B$2:B980,B980,
             $C$2:C980,C980,
             $D$2:D980,D980,
             $G$2:G980,G980)&gt;1,
   "Doublon",
   "Correcte"
)</f>
        <v>Correcte</v>
      </c>
    </row>
    <row r="981" spans="1:18" x14ac:dyDescent="0.25">
      <c r="A981" s="104" t="s">
        <v>1811</v>
      </c>
      <c r="B981" s="35" t="s">
        <v>712</v>
      </c>
      <c r="C981" s="36">
        <v>5</v>
      </c>
      <c r="D981" s="36">
        <v>0</v>
      </c>
      <c r="E981" s="35" t="s">
        <v>699</v>
      </c>
      <c r="F981" s="35" t="s">
        <v>634</v>
      </c>
      <c r="G981" s="37">
        <v>45932.68178240741</v>
      </c>
      <c r="H981" s="37" t="str">
        <f>INDEX(_xlfn.TEXTSPLIT(mvtst[[#This Row],[QR Suivis]],"_"),1,1)</f>
        <v>CA250056-3</v>
      </c>
      <c r="I981" s="35" t="str">
        <f>_xlfn.TEXTBEFORE(mvtst[[#This Row],[Num Suivis]],"-",,,1)</f>
        <v>CA250056</v>
      </c>
      <c r="J981" s="36">
        <f>SUMIF(mvtst[QR Suivis],mvtst[[#This Row],[QR Suivis]],mvtst[QTE SORTIS])-SUMIF(mvtst[QR Suivis],mvtst[[#This Row],[QR Suivis]],mvtst[QTE RETOUR])</f>
        <v>0</v>
      </c>
      <c r="K981" s="35" t="str">
        <f t="shared" si="15"/>
        <v>Usine</v>
      </c>
      <c r="L981" s="35" t="str">
        <f>_xlfn.XLOOKUP(mvtst[[#This Row],[Sous Traitant]],coordonnee_st[Identification],coordonnee_st[SERVICE],"Non Trouvé")</f>
        <v>Frange</v>
      </c>
      <c r="M981" s="35" t="str">
        <f>INDEX(_xlfn.TEXTSPLIT(mvtst[[#This Row],[QR Suivis]],"_"),1,2)</f>
        <v>All by Fouta</v>
      </c>
      <c r="N981" s="35" t="str">
        <f>INDEX(_xlfn.TEXTSPLIT(mvtst[[#This Row],[QR Suivis]],"_"),1,3)</f>
        <v>Stock</v>
      </c>
      <c r="O981" s="35" t="str">
        <f>INDEX(_xlfn.TEXTSPLIT(mvtst[[#This Row],[QR Suivis]],"_"),1,4)</f>
        <v>UNS1626-27</v>
      </c>
      <c r="P981" s="35" t="str">
        <f>INDEX(_xlfn.TEXTSPLIT(mvtst[[#This Row],[QR Suivis]],"_"),1,5)</f>
        <v>UNI SURPIQUE</v>
      </c>
      <c r="Q981" s="35" t="str">
        <f>_xlfn.TEXTAFTER(mvtst[[#This Row],[QR Suivis]],"_",5)</f>
        <v>1626</v>
      </c>
      <c r="R981" s="84" t="str">
        <f>IF(
   COUNTIFS($A$2:A981,A981,
             $B$2:B981,B981,
             $C$2:C981,C981,
             $D$2:D981,D981,
             $G$2:G981,G981)&gt;1,
   "Doublon",
   "Correcte"
)</f>
        <v>Correcte</v>
      </c>
    </row>
    <row r="982" spans="1:18" x14ac:dyDescent="0.25">
      <c r="A982" s="104" t="s">
        <v>1812</v>
      </c>
      <c r="B982" s="35" t="s">
        <v>712</v>
      </c>
      <c r="C982" s="36">
        <v>5</v>
      </c>
      <c r="D982" s="36">
        <v>0</v>
      </c>
      <c r="E982" s="35" t="s">
        <v>699</v>
      </c>
      <c r="F982" s="35" t="s">
        <v>634</v>
      </c>
      <c r="G982" s="37">
        <v>45932.681956018518</v>
      </c>
      <c r="H982" s="37" t="str">
        <f>INDEX(_xlfn.TEXTSPLIT(mvtst[[#This Row],[QR Suivis]],"_"),1,1)</f>
        <v>CA250056-1</v>
      </c>
      <c r="I982" s="35" t="str">
        <f>_xlfn.TEXTBEFORE(mvtst[[#This Row],[Num Suivis]],"-",,,1)</f>
        <v>CA250056</v>
      </c>
      <c r="J982" s="36">
        <f>SUMIF(mvtst[QR Suivis],mvtst[[#This Row],[QR Suivis]],mvtst[QTE SORTIS])-SUMIF(mvtst[QR Suivis],mvtst[[#This Row],[QR Suivis]],mvtst[QTE RETOUR])</f>
        <v>0</v>
      </c>
      <c r="K982" s="35" t="str">
        <f t="shared" si="15"/>
        <v>Usine</v>
      </c>
      <c r="L982" s="35" t="str">
        <f>_xlfn.XLOOKUP(mvtst[[#This Row],[Sous Traitant]],coordonnee_st[Identification],coordonnee_st[SERVICE],"Non Trouvé")</f>
        <v>Frange</v>
      </c>
      <c r="M982" s="35" t="str">
        <f>INDEX(_xlfn.TEXTSPLIT(mvtst[[#This Row],[QR Suivis]],"_"),1,2)</f>
        <v>All by Fouta</v>
      </c>
      <c r="N982" s="35" t="str">
        <f>INDEX(_xlfn.TEXTSPLIT(mvtst[[#This Row],[QR Suivis]],"_"),1,3)</f>
        <v>Stock</v>
      </c>
      <c r="O982" s="35" t="str">
        <f>INDEX(_xlfn.TEXTSPLIT(mvtst[[#This Row],[QR Suivis]],"_"),1,4)</f>
        <v>UNS1626-27</v>
      </c>
      <c r="P982" s="35" t="str">
        <f>INDEX(_xlfn.TEXTSPLIT(mvtst[[#This Row],[QR Suivis]],"_"),1,5)</f>
        <v>UNI SURPIQUE</v>
      </c>
      <c r="Q982" s="35" t="str">
        <f>_xlfn.TEXTAFTER(mvtst[[#This Row],[QR Suivis]],"_",5)</f>
        <v>1626</v>
      </c>
      <c r="R982" s="84" t="str">
        <f>IF(
   COUNTIFS($A$2:A982,A982,
             $B$2:B982,B982,
             $C$2:C982,C982,
             $D$2:D982,D982,
             $G$2:G982,G982)&gt;1,
   "Doublon",
   "Correcte"
)</f>
        <v>Correcte</v>
      </c>
    </row>
    <row r="983" spans="1:18" x14ac:dyDescent="0.25">
      <c r="A983" s="104" t="s">
        <v>1813</v>
      </c>
      <c r="B983" s="35" t="s">
        <v>712</v>
      </c>
      <c r="C983" s="36">
        <v>5</v>
      </c>
      <c r="D983" s="36">
        <v>0</v>
      </c>
      <c r="E983" s="35" t="s">
        <v>699</v>
      </c>
      <c r="F983" s="35" t="s">
        <v>634</v>
      </c>
      <c r="G983" s="37">
        <v>45932.682106481479</v>
      </c>
      <c r="H983" s="37" t="str">
        <f>INDEX(_xlfn.TEXTSPLIT(mvtst[[#This Row],[QR Suivis]],"_"),1,1)</f>
        <v>CA250051-5</v>
      </c>
      <c r="I983" s="35" t="str">
        <f>_xlfn.TEXTBEFORE(mvtst[[#This Row],[Num Suivis]],"-",,,1)</f>
        <v>CA250051</v>
      </c>
      <c r="J983" s="36">
        <f>SUMIF(mvtst[QR Suivis],mvtst[[#This Row],[QR Suivis]],mvtst[QTE SORTIS])-SUMIF(mvtst[QR Suivis],mvtst[[#This Row],[QR Suivis]],mvtst[QTE RETOUR])</f>
        <v>0</v>
      </c>
      <c r="K983" s="35" t="str">
        <f t="shared" si="15"/>
        <v>Usine</v>
      </c>
      <c r="L983" s="35" t="str">
        <f>_xlfn.XLOOKUP(mvtst[[#This Row],[Sous Traitant]],coordonnee_st[Identification],coordonnee_st[SERVICE],"Non Trouvé")</f>
        <v>Frange</v>
      </c>
      <c r="M983" s="35" t="str">
        <f>INDEX(_xlfn.TEXTSPLIT(mvtst[[#This Row],[QR Suivis]],"_"),1,2)</f>
        <v>All by Fouta</v>
      </c>
      <c r="N983" s="35" t="str">
        <f>INDEX(_xlfn.TEXTSPLIT(mvtst[[#This Row],[QR Suivis]],"_"),1,3)</f>
        <v>Stock</v>
      </c>
      <c r="O983" s="35" t="str">
        <f>INDEX(_xlfn.TEXTSPLIT(mvtst[[#This Row],[QR Suivis]],"_"),1,4)</f>
        <v>UNS1626-19</v>
      </c>
      <c r="P983" s="35" t="str">
        <f>INDEX(_xlfn.TEXTSPLIT(mvtst[[#This Row],[QR Suivis]],"_"),1,5)</f>
        <v>UNI SURPIQUE</v>
      </c>
      <c r="Q983" s="35" t="str">
        <f>_xlfn.TEXTAFTER(mvtst[[#This Row],[QR Suivis]],"_",5)</f>
        <v>1626</v>
      </c>
      <c r="R983" s="84" t="str">
        <f>IF(
   COUNTIFS($A$2:A983,A983,
             $B$2:B983,B983,
             $C$2:C983,C983,
             $D$2:D983,D983,
             $G$2:G983,G983)&gt;1,
   "Doublon",
   "Correcte"
)</f>
        <v>Correcte</v>
      </c>
    </row>
    <row r="984" spans="1:18" x14ac:dyDescent="0.25">
      <c r="A984" s="104" t="s">
        <v>1814</v>
      </c>
      <c r="B984" s="35" t="s">
        <v>712</v>
      </c>
      <c r="C984" s="36">
        <v>5</v>
      </c>
      <c r="D984" s="36">
        <v>0</v>
      </c>
      <c r="E984" s="35" t="s">
        <v>699</v>
      </c>
      <c r="F984" s="35" t="s">
        <v>634</v>
      </c>
      <c r="G984" s="37">
        <v>45932.682349537034</v>
      </c>
      <c r="H984" s="37" t="str">
        <f>INDEX(_xlfn.TEXTSPLIT(mvtst[[#This Row],[QR Suivis]],"_"),1,1)</f>
        <v>CA250052-5</v>
      </c>
      <c r="I984" s="35" t="str">
        <f>_xlfn.TEXTBEFORE(mvtst[[#This Row],[Num Suivis]],"-",,,1)</f>
        <v>CA250052</v>
      </c>
      <c r="J984" s="36">
        <f>SUMIF(mvtst[QR Suivis],mvtst[[#This Row],[QR Suivis]],mvtst[QTE SORTIS])-SUMIF(mvtst[QR Suivis],mvtst[[#This Row],[QR Suivis]],mvtst[QTE RETOUR])</f>
        <v>0</v>
      </c>
      <c r="K984" s="35" t="str">
        <f t="shared" si="15"/>
        <v>Usine</v>
      </c>
      <c r="L984" s="35" t="str">
        <f>_xlfn.XLOOKUP(mvtst[[#This Row],[Sous Traitant]],coordonnee_st[Identification],coordonnee_st[SERVICE],"Non Trouvé")</f>
        <v>Frange</v>
      </c>
      <c r="M984" s="35" t="str">
        <f>INDEX(_xlfn.TEXTSPLIT(mvtst[[#This Row],[QR Suivis]],"_"),1,2)</f>
        <v>All by Fouta</v>
      </c>
      <c r="N984" s="35" t="str">
        <f>INDEX(_xlfn.TEXTSPLIT(mvtst[[#This Row],[QR Suivis]],"_"),1,3)</f>
        <v>Stock</v>
      </c>
      <c r="O984" s="35" t="str">
        <f>INDEX(_xlfn.TEXTSPLIT(mvtst[[#This Row],[QR Suivis]],"_"),1,4)</f>
        <v>UNS1626-20</v>
      </c>
      <c r="P984" s="35" t="str">
        <f>INDEX(_xlfn.TEXTSPLIT(mvtst[[#This Row],[QR Suivis]],"_"),1,5)</f>
        <v>UNI SURPIQUE</v>
      </c>
      <c r="Q984" s="35" t="str">
        <f>_xlfn.TEXTAFTER(mvtst[[#This Row],[QR Suivis]],"_",5)</f>
        <v>1626</v>
      </c>
      <c r="R984" s="84" t="str">
        <f>IF(
   COUNTIFS($A$2:A984,A984,
             $B$2:B984,B984,
             $C$2:C984,C984,
             $D$2:D984,D984,
             $G$2:G984,G984)&gt;1,
   "Doublon",
   "Correcte"
)</f>
        <v>Correcte</v>
      </c>
    </row>
    <row r="985" spans="1:18" x14ac:dyDescent="0.25">
      <c r="A985" s="104" t="s">
        <v>1815</v>
      </c>
      <c r="B985" s="35" t="s">
        <v>712</v>
      </c>
      <c r="C985" s="36">
        <v>5</v>
      </c>
      <c r="D985" s="36">
        <v>0</v>
      </c>
      <c r="E985" s="35" t="s">
        <v>699</v>
      </c>
      <c r="F985" s="35" t="s">
        <v>634</v>
      </c>
      <c r="G985" s="37">
        <v>45932.682500000003</v>
      </c>
      <c r="H985" s="37" t="str">
        <f>INDEX(_xlfn.TEXTSPLIT(mvtst[[#This Row],[QR Suivis]],"_"),1,1)</f>
        <v>CA250052-3</v>
      </c>
      <c r="I985" s="35" t="str">
        <f>_xlfn.TEXTBEFORE(mvtst[[#This Row],[Num Suivis]],"-",,,1)</f>
        <v>CA250052</v>
      </c>
      <c r="J985" s="36">
        <f>SUMIF(mvtst[QR Suivis],mvtst[[#This Row],[QR Suivis]],mvtst[QTE SORTIS])-SUMIF(mvtst[QR Suivis],mvtst[[#This Row],[QR Suivis]],mvtst[QTE RETOUR])</f>
        <v>0</v>
      </c>
      <c r="K985" s="35" t="str">
        <f t="shared" si="15"/>
        <v>Usine</v>
      </c>
      <c r="L985" s="35" t="str">
        <f>_xlfn.XLOOKUP(mvtst[[#This Row],[Sous Traitant]],coordonnee_st[Identification],coordonnee_st[SERVICE],"Non Trouvé")</f>
        <v>Frange</v>
      </c>
      <c r="M985" s="35" t="str">
        <f>INDEX(_xlfn.TEXTSPLIT(mvtst[[#This Row],[QR Suivis]],"_"),1,2)</f>
        <v>All by Fouta</v>
      </c>
      <c r="N985" s="35" t="str">
        <f>INDEX(_xlfn.TEXTSPLIT(mvtst[[#This Row],[QR Suivis]],"_"),1,3)</f>
        <v>Stock</v>
      </c>
      <c r="O985" s="35" t="str">
        <f>INDEX(_xlfn.TEXTSPLIT(mvtst[[#This Row],[QR Suivis]],"_"),1,4)</f>
        <v>UNS1626-20</v>
      </c>
      <c r="P985" s="35" t="str">
        <f>INDEX(_xlfn.TEXTSPLIT(mvtst[[#This Row],[QR Suivis]],"_"),1,5)</f>
        <v>UNI SURPIQUE</v>
      </c>
      <c r="Q985" s="35" t="str">
        <f>_xlfn.TEXTAFTER(mvtst[[#This Row],[QR Suivis]],"_",5)</f>
        <v>1626</v>
      </c>
      <c r="R985" s="84" t="str">
        <f>IF(
   COUNTIFS($A$2:A985,A985,
             $B$2:B985,B985,
             $C$2:C985,C985,
             $D$2:D985,D985,
             $G$2:G985,G985)&gt;1,
   "Doublon",
   "Correcte"
)</f>
        <v>Correcte</v>
      </c>
    </row>
    <row r="986" spans="1:18" x14ac:dyDescent="0.25">
      <c r="A986" s="104" t="s">
        <v>1816</v>
      </c>
      <c r="B986" s="35" t="s">
        <v>712</v>
      </c>
      <c r="C986" s="36">
        <v>5</v>
      </c>
      <c r="D986" s="36">
        <v>0</v>
      </c>
      <c r="E986" s="35" t="s">
        <v>699</v>
      </c>
      <c r="F986" s="35" t="s">
        <v>634</v>
      </c>
      <c r="G986" s="37">
        <v>45932.682708333334</v>
      </c>
      <c r="H986" s="37" t="str">
        <f>INDEX(_xlfn.TEXTSPLIT(mvtst[[#This Row],[QR Suivis]],"_"),1,1)</f>
        <v>CA250019-9</v>
      </c>
      <c r="I986" s="35" t="str">
        <f>_xlfn.TEXTBEFORE(mvtst[[#This Row],[Num Suivis]],"-",,,1)</f>
        <v>CA250019</v>
      </c>
      <c r="J986" s="36">
        <f>SUMIF(mvtst[QR Suivis],mvtst[[#This Row],[QR Suivis]],mvtst[QTE SORTIS])-SUMIF(mvtst[QR Suivis],mvtst[[#This Row],[QR Suivis]],mvtst[QTE RETOUR])</f>
        <v>0</v>
      </c>
      <c r="K986" s="35" t="str">
        <f t="shared" si="15"/>
        <v>Usine</v>
      </c>
      <c r="L986" s="35" t="str">
        <f>_xlfn.XLOOKUP(mvtst[[#This Row],[Sous Traitant]],coordonnee_st[Identification],coordonnee_st[SERVICE],"Non Trouvé")</f>
        <v>Frange</v>
      </c>
      <c r="M986" s="35" t="str">
        <f>INDEX(_xlfn.TEXTSPLIT(mvtst[[#This Row],[QR Suivis]],"_"),1,2)</f>
        <v>All by Fouta</v>
      </c>
      <c r="N986" s="35" t="str">
        <f>INDEX(_xlfn.TEXTSPLIT(mvtst[[#This Row],[QR Suivis]],"_"),1,3)</f>
        <v>Stock</v>
      </c>
      <c r="O986" s="35" t="str">
        <f>INDEX(_xlfn.TEXTSPLIT(mvtst[[#This Row],[QR Suivis]],"_"),1,4)</f>
        <v>UNS1020-32</v>
      </c>
      <c r="P986" s="35" t="str">
        <f>INDEX(_xlfn.TEXTSPLIT(mvtst[[#This Row],[QR Suivis]],"_"),1,5)</f>
        <v>UNI SURPIQUE</v>
      </c>
      <c r="Q986" s="35" t="str">
        <f>_xlfn.TEXTAFTER(mvtst[[#This Row],[QR Suivis]],"_",5)</f>
        <v>1020</v>
      </c>
      <c r="R986" s="84" t="str">
        <f>IF(
   COUNTIFS($A$2:A986,A986,
             $B$2:B986,B986,
             $C$2:C986,C986,
             $D$2:D986,D986,
             $G$2:G986,G986)&gt;1,
   "Doublon",
   "Correcte"
)</f>
        <v>Correcte</v>
      </c>
    </row>
    <row r="987" spans="1:18" x14ac:dyDescent="0.25">
      <c r="A987" s="104" t="s">
        <v>1817</v>
      </c>
      <c r="B987" s="35" t="s">
        <v>712</v>
      </c>
      <c r="C987" s="36">
        <v>5</v>
      </c>
      <c r="D987" s="36">
        <v>0</v>
      </c>
      <c r="E987" s="35" t="s">
        <v>699</v>
      </c>
      <c r="F987" s="35" t="s">
        <v>634</v>
      </c>
      <c r="G987" s="37">
        <v>45932.683553240742</v>
      </c>
      <c r="H987" s="37" t="str">
        <f>INDEX(_xlfn.TEXTSPLIT(mvtst[[#This Row],[QR Suivis]],"_"),1,1)</f>
        <v>CA250056-2</v>
      </c>
      <c r="I987" s="35" t="str">
        <f>_xlfn.TEXTBEFORE(mvtst[[#This Row],[Num Suivis]],"-",,,1)</f>
        <v>CA250056</v>
      </c>
      <c r="J987" s="36">
        <f>SUMIF(mvtst[QR Suivis],mvtst[[#This Row],[QR Suivis]],mvtst[QTE SORTIS])-SUMIF(mvtst[QR Suivis],mvtst[[#This Row],[QR Suivis]],mvtst[QTE RETOUR])</f>
        <v>0</v>
      </c>
      <c r="K987" s="35" t="str">
        <f t="shared" si="15"/>
        <v>Usine</v>
      </c>
      <c r="L987" s="35" t="str">
        <f>_xlfn.XLOOKUP(mvtst[[#This Row],[Sous Traitant]],coordonnee_st[Identification],coordonnee_st[SERVICE],"Non Trouvé")</f>
        <v>Frange</v>
      </c>
      <c r="M987" s="35" t="str">
        <f>INDEX(_xlfn.TEXTSPLIT(mvtst[[#This Row],[QR Suivis]],"_"),1,2)</f>
        <v>All by Fouta</v>
      </c>
      <c r="N987" s="35" t="str">
        <f>INDEX(_xlfn.TEXTSPLIT(mvtst[[#This Row],[QR Suivis]],"_"),1,3)</f>
        <v>Stock</v>
      </c>
      <c r="O987" s="35" t="str">
        <f>INDEX(_xlfn.TEXTSPLIT(mvtst[[#This Row],[QR Suivis]],"_"),1,4)</f>
        <v>UNS1626-27</v>
      </c>
      <c r="P987" s="35" t="str">
        <f>INDEX(_xlfn.TEXTSPLIT(mvtst[[#This Row],[QR Suivis]],"_"),1,5)</f>
        <v>UNI SURPIQUE</v>
      </c>
      <c r="Q987" s="35" t="str">
        <f>_xlfn.TEXTAFTER(mvtst[[#This Row],[QR Suivis]],"_",5)</f>
        <v>1626</v>
      </c>
      <c r="R987" s="84" t="str">
        <f>IF(
   COUNTIFS($A$2:A987,A987,
             $B$2:B987,B987,
             $C$2:C987,C987,
             $D$2:D987,D987,
             $G$2:G987,G987)&gt;1,
   "Doublon",
   "Correcte"
)</f>
        <v>Correcte</v>
      </c>
    </row>
    <row r="988" spans="1:18" x14ac:dyDescent="0.25">
      <c r="A988" s="104" t="s">
        <v>1818</v>
      </c>
      <c r="B988" s="35" t="s">
        <v>712</v>
      </c>
      <c r="C988" s="36">
        <v>5</v>
      </c>
      <c r="D988" s="36">
        <v>0</v>
      </c>
      <c r="E988" s="35" t="s">
        <v>699</v>
      </c>
      <c r="F988" s="35" t="s">
        <v>634</v>
      </c>
      <c r="G988" s="37">
        <v>45932.683877314812</v>
      </c>
      <c r="H988" s="37" t="str">
        <f>INDEX(_xlfn.TEXTSPLIT(mvtst[[#This Row],[QR Suivis]],"_"),1,1)</f>
        <v>CA250019-10</v>
      </c>
      <c r="I988" s="35" t="str">
        <f>_xlfn.TEXTBEFORE(mvtst[[#This Row],[Num Suivis]],"-",,,1)</f>
        <v>CA250019</v>
      </c>
      <c r="J988" s="36">
        <f>SUMIF(mvtst[QR Suivis],mvtst[[#This Row],[QR Suivis]],mvtst[QTE SORTIS])-SUMIF(mvtst[QR Suivis],mvtst[[#This Row],[QR Suivis]],mvtst[QTE RETOUR])</f>
        <v>0</v>
      </c>
      <c r="K988" s="35" t="str">
        <f t="shared" si="15"/>
        <v>Usine</v>
      </c>
      <c r="L988" s="35" t="str">
        <f>_xlfn.XLOOKUP(mvtst[[#This Row],[Sous Traitant]],coordonnee_st[Identification],coordonnee_st[SERVICE],"Non Trouvé")</f>
        <v>Frange</v>
      </c>
      <c r="M988" s="35" t="str">
        <f>INDEX(_xlfn.TEXTSPLIT(mvtst[[#This Row],[QR Suivis]],"_"),1,2)</f>
        <v>All by Fouta</v>
      </c>
      <c r="N988" s="35" t="str">
        <f>INDEX(_xlfn.TEXTSPLIT(mvtst[[#This Row],[QR Suivis]],"_"),1,3)</f>
        <v>Stock</v>
      </c>
      <c r="O988" s="35" t="str">
        <f>INDEX(_xlfn.TEXTSPLIT(mvtst[[#This Row],[QR Suivis]],"_"),1,4)</f>
        <v>UNS1020-32</v>
      </c>
      <c r="P988" s="35" t="str">
        <f>INDEX(_xlfn.TEXTSPLIT(mvtst[[#This Row],[QR Suivis]],"_"),1,5)</f>
        <v>UNI SURPIQUE</v>
      </c>
      <c r="Q988" s="35" t="str">
        <f>_xlfn.TEXTAFTER(mvtst[[#This Row],[QR Suivis]],"_",5)</f>
        <v>1020</v>
      </c>
      <c r="R988" s="84" t="str">
        <f>IF(
   COUNTIFS($A$2:A988,A988,
             $B$2:B988,B988,
             $C$2:C988,C988,
             $D$2:D988,D988,
             $G$2:G988,G988)&gt;1,
   "Doublon",
   "Correcte"
)</f>
        <v>Correcte</v>
      </c>
    </row>
    <row r="989" spans="1:18" x14ac:dyDescent="0.25">
      <c r="A989" s="104" t="s">
        <v>1819</v>
      </c>
      <c r="B989" s="35" t="s">
        <v>712</v>
      </c>
      <c r="C989" s="36">
        <v>5</v>
      </c>
      <c r="D989" s="36">
        <v>0</v>
      </c>
      <c r="E989" s="35" t="s">
        <v>699</v>
      </c>
      <c r="F989" s="35" t="s">
        <v>634</v>
      </c>
      <c r="G989" s="37">
        <v>45932.684166666666</v>
      </c>
      <c r="H989" s="37" t="str">
        <f>INDEX(_xlfn.TEXTSPLIT(mvtst[[#This Row],[QR Suivis]],"_"),1,1)</f>
        <v>CA250019-7</v>
      </c>
      <c r="I989" s="35" t="str">
        <f>_xlfn.TEXTBEFORE(mvtst[[#This Row],[Num Suivis]],"-",,,1)</f>
        <v>CA250019</v>
      </c>
      <c r="J989" s="36">
        <f>SUMIF(mvtst[QR Suivis],mvtst[[#This Row],[QR Suivis]],mvtst[QTE SORTIS])-SUMIF(mvtst[QR Suivis],mvtst[[#This Row],[QR Suivis]],mvtst[QTE RETOUR])</f>
        <v>0</v>
      </c>
      <c r="K989" s="35" t="str">
        <f t="shared" si="15"/>
        <v>Usine</v>
      </c>
      <c r="L989" s="35" t="str">
        <f>_xlfn.XLOOKUP(mvtst[[#This Row],[Sous Traitant]],coordonnee_st[Identification],coordonnee_st[SERVICE],"Non Trouvé")</f>
        <v>Frange</v>
      </c>
      <c r="M989" s="35" t="str">
        <f>INDEX(_xlfn.TEXTSPLIT(mvtst[[#This Row],[QR Suivis]],"_"),1,2)</f>
        <v>All by Fouta</v>
      </c>
      <c r="N989" s="35" t="str">
        <f>INDEX(_xlfn.TEXTSPLIT(mvtst[[#This Row],[QR Suivis]],"_"),1,3)</f>
        <v>Stock</v>
      </c>
      <c r="O989" s="35" t="str">
        <f>INDEX(_xlfn.TEXTSPLIT(mvtst[[#This Row],[QR Suivis]],"_"),1,4)</f>
        <v>UNS1020-32</v>
      </c>
      <c r="P989" s="35" t="str">
        <f>INDEX(_xlfn.TEXTSPLIT(mvtst[[#This Row],[QR Suivis]],"_"),1,5)</f>
        <v>UNI SURPIQUE</v>
      </c>
      <c r="Q989" s="35" t="str">
        <f>_xlfn.TEXTAFTER(mvtst[[#This Row],[QR Suivis]],"_",5)</f>
        <v>1020</v>
      </c>
      <c r="R989" s="84" t="str">
        <f>IF(
   COUNTIFS($A$2:A989,A989,
             $B$2:B989,B989,
             $C$2:C989,C989,
             $D$2:D989,D989,
             $G$2:G989,G989)&gt;1,
   "Doublon",
   "Correcte"
)</f>
        <v>Correcte</v>
      </c>
    </row>
    <row r="990" spans="1:18" x14ac:dyDescent="0.25">
      <c r="A990" s="104" t="s">
        <v>1820</v>
      </c>
      <c r="B990" s="35" t="s">
        <v>712</v>
      </c>
      <c r="C990" s="36">
        <v>5</v>
      </c>
      <c r="D990" s="36">
        <v>0</v>
      </c>
      <c r="E990" s="35" t="s">
        <v>699</v>
      </c>
      <c r="F990" s="35" t="s">
        <v>634</v>
      </c>
      <c r="G990" s="37">
        <v>45932.684340277781</v>
      </c>
      <c r="H990" s="37" t="str">
        <f>INDEX(_xlfn.TEXTSPLIT(mvtst[[#This Row],[QR Suivis]],"_"),1,1)</f>
        <v>CA250019-8</v>
      </c>
      <c r="I990" s="35" t="str">
        <f>_xlfn.TEXTBEFORE(mvtst[[#This Row],[Num Suivis]],"-",,,1)</f>
        <v>CA250019</v>
      </c>
      <c r="J990" s="36">
        <f>SUMIF(mvtst[QR Suivis],mvtst[[#This Row],[QR Suivis]],mvtst[QTE SORTIS])-SUMIF(mvtst[QR Suivis],mvtst[[#This Row],[QR Suivis]],mvtst[QTE RETOUR])</f>
        <v>0</v>
      </c>
      <c r="K990" s="35" t="str">
        <f t="shared" si="15"/>
        <v>Usine</v>
      </c>
      <c r="L990" s="35" t="str">
        <f>_xlfn.XLOOKUP(mvtst[[#This Row],[Sous Traitant]],coordonnee_st[Identification],coordonnee_st[SERVICE],"Non Trouvé")</f>
        <v>Frange</v>
      </c>
      <c r="M990" s="35" t="str">
        <f>INDEX(_xlfn.TEXTSPLIT(mvtst[[#This Row],[QR Suivis]],"_"),1,2)</f>
        <v>All by Fouta</v>
      </c>
      <c r="N990" s="35" t="str">
        <f>INDEX(_xlfn.TEXTSPLIT(mvtst[[#This Row],[QR Suivis]],"_"),1,3)</f>
        <v>Stock</v>
      </c>
      <c r="O990" s="35" t="str">
        <f>INDEX(_xlfn.TEXTSPLIT(mvtst[[#This Row],[QR Suivis]],"_"),1,4)</f>
        <v>UNS1020-32</v>
      </c>
      <c r="P990" s="35" t="str">
        <f>INDEX(_xlfn.TEXTSPLIT(mvtst[[#This Row],[QR Suivis]],"_"),1,5)</f>
        <v>UNI SURPIQUE</v>
      </c>
      <c r="Q990" s="35" t="str">
        <f>_xlfn.TEXTAFTER(mvtst[[#This Row],[QR Suivis]],"_",5)</f>
        <v>1020</v>
      </c>
      <c r="R990" s="84" t="str">
        <f>IF(
   COUNTIFS($A$2:A990,A990,
             $B$2:B990,B990,
             $C$2:C990,C990,
             $D$2:D990,D990,
             $G$2:G990,G990)&gt;1,
   "Doublon",
   "Correcte"
)</f>
        <v>Correcte</v>
      </c>
    </row>
    <row r="991" spans="1:18" x14ac:dyDescent="0.25">
      <c r="A991" s="104" t="s">
        <v>1821</v>
      </c>
      <c r="B991" s="35" t="s">
        <v>712</v>
      </c>
      <c r="C991" s="36">
        <v>5</v>
      </c>
      <c r="D991" s="36">
        <v>0</v>
      </c>
      <c r="E991" s="35" t="s">
        <v>699</v>
      </c>
      <c r="F991" s="35" t="s">
        <v>634</v>
      </c>
      <c r="G991" s="37">
        <v>45932.685810185183</v>
      </c>
      <c r="H991" s="37" t="str">
        <f>INDEX(_xlfn.TEXTSPLIT(mvtst[[#This Row],[QR Suivis]],"_"),1,1)</f>
        <v>CA250037-4</v>
      </c>
      <c r="I991" s="35" t="str">
        <f>_xlfn.TEXTBEFORE(mvtst[[#This Row],[Num Suivis]],"-",,,1)</f>
        <v>CA250037</v>
      </c>
      <c r="J991" s="36">
        <f>SUMIF(mvtst[QR Suivis],mvtst[[#This Row],[QR Suivis]],mvtst[QTE SORTIS])-SUMIF(mvtst[QR Suivis],mvtst[[#This Row],[QR Suivis]],mvtst[QTE RETOUR])</f>
        <v>0</v>
      </c>
      <c r="K991" s="35" t="str">
        <f t="shared" si="15"/>
        <v>Usine</v>
      </c>
      <c r="L991" s="35" t="str">
        <f>_xlfn.XLOOKUP(mvtst[[#This Row],[Sous Traitant]],coordonnee_st[Identification],coordonnee_st[SERVICE],"Non Trouvé")</f>
        <v>Frange</v>
      </c>
      <c r="M991" s="35" t="str">
        <f>INDEX(_xlfn.TEXTSPLIT(mvtst[[#This Row],[QR Suivis]],"_"),1,2)</f>
        <v>All by Fouta</v>
      </c>
      <c r="N991" s="35" t="str">
        <f>INDEX(_xlfn.TEXTSPLIT(mvtst[[#This Row],[QR Suivis]],"_"),1,3)</f>
        <v>Stock</v>
      </c>
      <c r="O991" s="35" t="str">
        <f>INDEX(_xlfn.TEXTSPLIT(mvtst[[#This Row],[QR Suivis]],"_"),1,4)</f>
        <v>UNS2020-30</v>
      </c>
      <c r="P991" s="35" t="str">
        <f>INDEX(_xlfn.TEXTSPLIT(mvtst[[#This Row],[QR Suivis]],"_"),1,5)</f>
        <v>UNI SURPIQUE</v>
      </c>
      <c r="Q991" s="35" t="str">
        <f>_xlfn.TEXTAFTER(mvtst[[#This Row],[QR Suivis]],"_",5)</f>
        <v>2020</v>
      </c>
      <c r="R991" s="84" t="str">
        <f>IF(
   COUNTIFS($A$2:A991,A991,
             $B$2:B991,B991,
             $C$2:C991,C991,
             $D$2:D991,D991,
             $G$2:G991,G991)&gt;1,
   "Doublon",
   "Correcte"
)</f>
        <v>Correcte</v>
      </c>
    </row>
    <row r="992" spans="1:18" x14ac:dyDescent="0.25">
      <c r="A992" s="104" t="s">
        <v>1822</v>
      </c>
      <c r="B992" s="35" t="s">
        <v>712</v>
      </c>
      <c r="C992" s="36">
        <v>5</v>
      </c>
      <c r="D992" s="36">
        <v>0</v>
      </c>
      <c r="E992" s="35" t="s">
        <v>699</v>
      </c>
      <c r="F992" s="35" t="s">
        <v>634</v>
      </c>
      <c r="G992" s="37">
        <v>45932.685937499999</v>
      </c>
      <c r="H992" s="37" t="str">
        <f>INDEX(_xlfn.TEXTSPLIT(mvtst[[#This Row],[QR Suivis]],"_"),1,1)</f>
        <v>CA250037-3</v>
      </c>
      <c r="I992" s="35" t="str">
        <f>_xlfn.TEXTBEFORE(mvtst[[#This Row],[Num Suivis]],"-",,,1)</f>
        <v>CA250037</v>
      </c>
      <c r="J992" s="36">
        <f>SUMIF(mvtst[QR Suivis],mvtst[[#This Row],[QR Suivis]],mvtst[QTE SORTIS])-SUMIF(mvtst[QR Suivis],mvtst[[#This Row],[QR Suivis]],mvtst[QTE RETOUR])</f>
        <v>0</v>
      </c>
      <c r="K992" s="35" t="str">
        <f t="shared" si="15"/>
        <v>Usine</v>
      </c>
      <c r="L992" s="35" t="str">
        <f>_xlfn.XLOOKUP(mvtst[[#This Row],[Sous Traitant]],coordonnee_st[Identification],coordonnee_st[SERVICE],"Non Trouvé")</f>
        <v>Frange</v>
      </c>
      <c r="M992" s="35" t="str">
        <f>INDEX(_xlfn.TEXTSPLIT(mvtst[[#This Row],[QR Suivis]],"_"),1,2)</f>
        <v>All by Fouta</v>
      </c>
      <c r="N992" s="35" t="str">
        <f>INDEX(_xlfn.TEXTSPLIT(mvtst[[#This Row],[QR Suivis]],"_"),1,3)</f>
        <v>Stock</v>
      </c>
      <c r="O992" s="35" t="str">
        <f>INDEX(_xlfn.TEXTSPLIT(mvtst[[#This Row],[QR Suivis]],"_"),1,4)</f>
        <v>UNS2020-30</v>
      </c>
      <c r="P992" s="35" t="str">
        <f>INDEX(_xlfn.TEXTSPLIT(mvtst[[#This Row],[QR Suivis]],"_"),1,5)</f>
        <v>UNI SURPIQUE</v>
      </c>
      <c r="Q992" s="35" t="str">
        <f>_xlfn.TEXTAFTER(mvtst[[#This Row],[QR Suivis]],"_",5)</f>
        <v>2020</v>
      </c>
      <c r="R992" s="84" t="str">
        <f>IF(
   COUNTIFS($A$2:A992,A992,
             $B$2:B992,B992,
             $C$2:C992,C992,
             $D$2:D992,D992,
             $G$2:G992,G992)&gt;1,
   "Doublon",
   "Correcte"
)</f>
        <v>Correcte</v>
      </c>
    </row>
    <row r="993" spans="1:18" x14ac:dyDescent="0.25">
      <c r="A993" s="104" t="s">
        <v>1823</v>
      </c>
      <c r="B993" s="35" t="s">
        <v>712</v>
      </c>
      <c r="C993" s="36">
        <v>5</v>
      </c>
      <c r="D993" s="36">
        <v>0</v>
      </c>
      <c r="E993" s="35" t="s">
        <v>699</v>
      </c>
      <c r="F993" s="35" t="s">
        <v>634</v>
      </c>
      <c r="G993" s="37">
        <v>45932.686099537037</v>
      </c>
      <c r="H993" s="37" t="str">
        <f>INDEX(_xlfn.TEXTSPLIT(mvtst[[#This Row],[QR Suivis]],"_"),1,1)</f>
        <v>CA250037-2</v>
      </c>
      <c r="I993" s="35" t="str">
        <f>_xlfn.TEXTBEFORE(mvtst[[#This Row],[Num Suivis]],"-",,,1)</f>
        <v>CA250037</v>
      </c>
      <c r="J993" s="36">
        <f>SUMIF(mvtst[QR Suivis],mvtst[[#This Row],[QR Suivis]],mvtst[QTE SORTIS])-SUMIF(mvtst[QR Suivis],mvtst[[#This Row],[QR Suivis]],mvtst[QTE RETOUR])</f>
        <v>0</v>
      </c>
      <c r="K993" s="35" t="str">
        <f t="shared" si="15"/>
        <v>Usine</v>
      </c>
      <c r="L993" s="35" t="str">
        <f>_xlfn.XLOOKUP(mvtst[[#This Row],[Sous Traitant]],coordonnee_st[Identification],coordonnee_st[SERVICE],"Non Trouvé")</f>
        <v>Frange</v>
      </c>
      <c r="M993" s="35" t="str">
        <f>INDEX(_xlfn.TEXTSPLIT(mvtst[[#This Row],[QR Suivis]],"_"),1,2)</f>
        <v>All by Fouta</v>
      </c>
      <c r="N993" s="35" t="str">
        <f>INDEX(_xlfn.TEXTSPLIT(mvtst[[#This Row],[QR Suivis]],"_"),1,3)</f>
        <v>Stock</v>
      </c>
      <c r="O993" s="35" t="str">
        <f>INDEX(_xlfn.TEXTSPLIT(mvtst[[#This Row],[QR Suivis]],"_"),1,4)</f>
        <v>UNS2020-30</v>
      </c>
      <c r="P993" s="35" t="str">
        <f>INDEX(_xlfn.TEXTSPLIT(mvtst[[#This Row],[QR Suivis]],"_"),1,5)</f>
        <v>UNI SURPIQUE</v>
      </c>
      <c r="Q993" s="35" t="str">
        <f>_xlfn.TEXTAFTER(mvtst[[#This Row],[QR Suivis]],"_",5)</f>
        <v>2020</v>
      </c>
      <c r="R993" s="84" t="str">
        <f>IF(
   COUNTIFS($A$2:A993,A993,
             $B$2:B993,B993,
             $C$2:C993,C993,
             $D$2:D993,D993,
             $G$2:G993,G993)&gt;1,
   "Doublon",
   "Correcte"
)</f>
        <v>Correcte</v>
      </c>
    </row>
    <row r="994" spans="1:18" x14ac:dyDescent="0.25">
      <c r="A994" s="104" t="s">
        <v>1824</v>
      </c>
      <c r="B994" s="35" t="s">
        <v>712</v>
      </c>
      <c r="C994" s="36">
        <v>1</v>
      </c>
      <c r="D994" s="36">
        <v>0</v>
      </c>
      <c r="E994" s="35" t="s">
        <v>699</v>
      </c>
      <c r="F994" s="35" t="s">
        <v>634</v>
      </c>
      <c r="G994" s="37">
        <v>45932.686319444445</v>
      </c>
      <c r="H994" s="37" t="str">
        <f>INDEX(_xlfn.TEXTSPLIT(mvtst[[#This Row],[QR Suivis]],"_"),1,1)</f>
        <v>CA250037-7</v>
      </c>
      <c r="I994" s="35" t="str">
        <f>_xlfn.TEXTBEFORE(mvtst[[#This Row],[Num Suivis]],"-",,,1)</f>
        <v>CA250037</v>
      </c>
      <c r="J994" s="36">
        <f>SUMIF(mvtst[QR Suivis],mvtst[[#This Row],[QR Suivis]],mvtst[QTE SORTIS])-SUMIF(mvtst[QR Suivis],mvtst[[#This Row],[QR Suivis]],mvtst[QTE RETOUR])</f>
        <v>0</v>
      </c>
      <c r="K994" s="35" t="str">
        <f t="shared" si="15"/>
        <v>Usine</v>
      </c>
      <c r="L994" s="35" t="str">
        <f>_xlfn.XLOOKUP(mvtst[[#This Row],[Sous Traitant]],coordonnee_st[Identification],coordonnee_st[SERVICE],"Non Trouvé")</f>
        <v>Frange</v>
      </c>
      <c r="M994" s="35" t="str">
        <f>INDEX(_xlfn.TEXTSPLIT(mvtst[[#This Row],[QR Suivis]],"_"),1,2)</f>
        <v>All by Fouta</v>
      </c>
      <c r="N994" s="35" t="str">
        <f>INDEX(_xlfn.TEXTSPLIT(mvtst[[#This Row],[QR Suivis]],"_"),1,3)</f>
        <v>Stock</v>
      </c>
      <c r="O994" s="35" t="str">
        <f>INDEX(_xlfn.TEXTSPLIT(mvtst[[#This Row],[QR Suivis]],"_"),1,4)</f>
        <v>UNS2020-30</v>
      </c>
      <c r="P994" s="35" t="str">
        <f>INDEX(_xlfn.TEXTSPLIT(mvtst[[#This Row],[QR Suivis]],"_"),1,5)</f>
        <v>UNI SURPIQUE</v>
      </c>
      <c r="Q994" s="35" t="str">
        <f>_xlfn.TEXTAFTER(mvtst[[#This Row],[QR Suivis]],"_",5)</f>
        <v>2020</v>
      </c>
      <c r="R994" s="84" t="str">
        <f>IF(
   COUNTIFS($A$2:A994,A994,
             $B$2:B994,B994,
             $C$2:C994,C994,
             $D$2:D994,D994,
             $G$2:G994,G994)&gt;1,
   "Doublon",
   "Correcte"
)</f>
        <v>Correcte</v>
      </c>
    </row>
    <row r="995" spans="1:18" x14ac:dyDescent="0.25">
      <c r="A995" s="104" t="s">
        <v>1825</v>
      </c>
      <c r="B995" s="35" t="s">
        <v>712</v>
      </c>
      <c r="C995" s="36">
        <v>5</v>
      </c>
      <c r="D995" s="36">
        <v>0</v>
      </c>
      <c r="E995" s="35" t="s">
        <v>699</v>
      </c>
      <c r="F995" s="35" t="s">
        <v>634</v>
      </c>
      <c r="G995" s="37">
        <v>45932.686493055553</v>
      </c>
      <c r="H995" s="37" t="str">
        <f>INDEX(_xlfn.TEXTSPLIT(mvtst[[#This Row],[QR Suivis]],"_"),1,1)</f>
        <v>CA250037-1</v>
      </c>
      <c r="I995" s="35" t="str">
        <f>_xlfn.TEXTBEFORE(mvtst[[#This Row],[Num Suivis]],"-",,,1)</f>
        <v>CA250037</v>
      </c>
      <c r="J995" s="36">
        <f>SUMIF(mvtst[QR Suivis],mvtst[[#This Row],[QR Suivis]],mvtst[QTE SORTIS])-SUMIF(mvtst[QR Suivis],mvtst[[#This Row],[QR Suivis]],mvtst[QTE RETOUR])</f>
        <v>0</v>
      </c>
      <c r="K995" s="35" t="str">
        <f t="shared" si="15"/>
        <v>Usine</v>
      </c>
      <c r="L995" s="35" t="str">
        <f>_xlfn.XLOOKUP(mvtst[[#This Row],[Sous Traitant]],coordonnee_st[Identification],coordonnee_st[SERVICE],"Non Trouvé")</f>
        <v>Frange</v>
      </c>
      <c r="M995" s="35" t="str">
        <f>INDEX(_xlfn.TEXTSPLIT(mvtst[[#This Row],[QR Suivis]],"_"),1,2)</f>
        <v>All by Fouta</v>
      </c>
      <c r="N995" s="35" t="str">
        <f>INDEX(_xlfn.TEXTSPLIT(mvtst[[#This Row],[QR Suivis]],"_"),1,3)</f>
        <v>Stock</v>
      </c>
      <c r="O995" s="35" t="str">
        <f>INDEX(_xlfn.TEXTSPLIT(mvtst[[#This Row],[QR Suivis]],"_"),1,4)</f>
        <v>UNS2020-30</v>
      </c>
      <c r="P995" s="35" t="str">
        <f>INDEX(_xlfn.TEXTSPLIT(mvtst[[#This Row],[QR Suivis]],"_"),1,5)</f>
        <v>UNI SURPIQUE</v>
      </c>
      <c r="Q995" s="35" t="str">
        <f>_xlfn.TEXTAFTER(mvtst[[#This Row],[QR Suivis]],"_",5)</f>
        <v>2020</v>
      </c>
      <c r="R995" s="84" t="str">
        <f>IF(
   COUNTIFS($A$2:A995,A995,
             $B$2:B995,B995,
             $C$2:C995,C995,
             $D$2:D995,D995,
             $G$2:G995,G995)&gt;1,
   "Doublon",
   "Correcte"
)</f>
        <v>Correcte</v>
      </c>
    </row>
    <row r="996" spans="1:18" x14ac:dyDescent="0.25">
      <c r="A996" s="104" t="s">
        <v>1826</v>
      </c>
      <c r="B996" s="35" t="s">
        <v>712</v>
      </c>
      <c r="C996" s="36">
        <v>5</v>
      </c>
      <c r="D996" s="36">
        <v>0</v>
      </c>
      <c r="E996" s="35" t="s">
        <v>699</v>
      </c>
      <c r="F996" s="35" t="s">
        <v>634</v>
      </c>
      <c r="G996" s="37">
        <v>45932.686666666668</v>
      </c>
      <c r="H996" s="37" t="str">
        <f>INDEX(_xlfn.TEXTSPLIT(mvtst[[#This Row],[QR Suivis]],"_"),1,1)</f>
        <v>CA250038-1</v>
      </c>
      <c r="I996" s="35" t="str">
        <f>_xlfn.TEXTBEFORE(mvtst[[#This Row],[Num Suivis]],"-",,,1)</f>
        <v>CA250038</v>
      </c>
      <c r="J996" s="36">
        <f>SUMIF(mvtst[QR Suivis],mvtst[[#This Row],[QR Suivis]],mvtst[QTE SORTIS])-SUMIF(mvtst[QR Suivis],mvtst[[#This Row],[QR Suivis]],mvtst[QTE RETOUR])</f>
        <v>0</v>
      </c>
      <c r="K996" s="35" t="str">
        <f t="shared" si="15"/>
        <v>Usine</v>
      </c>
      <c r="L996" s="35" t="str">
        <f>_xlfn.XLOOKUP(mvtst[[#This Row],[Sous Traitant]],coordonnee_st[Identification],coordonnee_st[SERVICE],"Non Trouvé")</f>
        <v>Frange</v>
      </c>
      <c r="M996" s="35" t="str">
        <f>INDEX(_xlfn.TEXTSPLIT(mvtst[[#This Row],[QR Suivis]],"_"),1,2)</f>
        <v>All by Fouta</v>
      </c>
      <c r="N996" s="35" t="str">
        <f>INDEX(_xlfn.TEXTSPLIT(mvtst[[#This Row],[QR Suivis]],"_"),1,3)</f>
        <v>Stock</v>
      </c>
      <c r="O996" s="35" t="str">
        <f>INDEX(_xlfn.TEXTSPLIT(mvtst[[#This Row],[QR Suivis]],"_"),1,4)</f>
        <v>UNS2020-31</v>
      </c>
      <c r="P996" s="35" t="str">
        <f>INDEX(_xlfn.TEXTSPLIT(mvtst[[#This Row],[QR Suivis]],"_"),1,5)</f>
        <v>UNI SURPIQUE</v>
      </c>
      <c r="Q996" s="35" t="str">
        <f>_xlfn.TEXTAFTER(mvtst[[#This Row],[QR Suivis]],"_",5)</f>
        <v>2020</v>
      </c>
      <c r="R996" s="84" t="str">
        <f>IF(
   COUNTIFS($A$2:A996,A996,
             $B$2:B996,B996,
             $C$2:C996,C996,
             $D$2:D996,D996,
             $G$2:G996,G996)&gt;1,
   "Doublon",
   "Correcte"
)</f>
        <v>Correcte</v>
      </c>
    </row>
    <row r="997" spans="1:18" x14ac:dyDescent="0.25">
      <c r="A997" s="104" t="s">
        <v>1827</v>
      </c>
      <c r="B997" s="35" t="s">
        <v>712</v>
      </c>
      <c r="C997" s="36">
        <v>5</v>
      </c>
      <c r="D997" s="36">
        <v>0</v>
      </c>
      <c r="E997" s="35" t="s">
        <v>699</v>
      </c>
      <c r="F997" s="35" t="s">
        <v>634</v>
      </c>
      <c r="G997" s="37">
        <v>45932.686828703707</v>
      </c>
      <c r="H997" s="37" t="str">
        <f>INDEX(_xlfn.TEXTSPLIT(mvtst[[#This Row],[QR Suivis]],"_"),1,1)</f>
        <v>CA250038-5</v>
      </c>
      <c r="I997" s="35" t="str">
        <f>_xlfn.TEXTBEFORE(mvtst[[#This Row],[Num Suivis]],"-",,,1)</f>
        <v>CA250038</v>
      </c>
      <c r="J997" s="36">
        <f>SUMIF(mvtst[QR Suivis],mvtst[[#This Row],[QR Suivis]],mvtst[QTE SORTIS])-SUMIF(mvtst[QR Suivis],mvtst[[#This Row],[QR Suivis]],mvtst[QTE RETOUR])</f>
        <v>0</v>
      </c>
      <c r="K997" s="35" t="str">
        <f t="shared" si="15"/>
        <v>Usine</v>
      </c>
      <c r="L997" s="35" t="str">
        <f>_xlfn.XLOOKUP(mvtst[[#This Row],[Sous Traitant]],coordonnee_st[Identification],coordonnee_st[SERVICE],"Non Trouvé")</f>
        <v>Frange</v>
      </c>
      <c r="M997" s="35" t="str">
        <f>INDEX(_xlfn.TEXTSPLIT(mvtst[[#This Row],[QR Suivis]],"_"),1,2)</f>
        <v>All by Fouta</v>
      </c>
      <c r="N997" s="35" t="str">
        <f>INDEX(_xlfn.TEXTSPLIT(mvtst[[#This Row],[QR Suivis]],"_"),1,3)</f>
        <v>Stock</v>
      </c>
      <c r="O997" s="35" t="str">
        <f>INDEX(_xlfn.TEXTSPLIT(mvtst[[#This Row],[QR Suivis]],"_"),1,4)</f>
        <v>UNS2020-31</v>
      </c>
      <c r="P997" s="35" t="str">
        <f>INDEX(_xlfn.TEXTSPLIT(mvtst[[#This Row],[QR Suivis]],"_"),1,5)</f>
        <v>UNI SURPIQUE</v>
      </c>
      <c r="Q997" s="35" t="str">
        <f>_xlfn.TEXTAFTER(mvtst[[#This Row],[QR Suivis]],"_",5)</f>
        <v>2020</v>
      </c>
      <c r="R997" s="84" t="str">
        <f>IF(
   COUNTIFS($A$2:A997,A997,
             $B$2:B997,B997,
             $C$2:C997,C997,
             $D$2:D997,D997,
             $G$2:G997,G997)&gt;1,
   "Doublon",
   "Correcte"
)</f>
        <v>Correcte</v>
      </c>
    </row>
    <row r="998" spans="1:18" x14ac:dyDescent="0.25">
      <c r="A998" s="104" t="s">
        <v>1828</v>
      </c>
      <c r="B998" s="35" t="s">
        <v>712</v>
      </c>
      <c r="C998" s="36">
        <v>5</v>
      </c>
      <c r="D998" s="36">
        <v>0</v>
      </c>
      <c r="E998" s="35" t="s">
        <v>699</v>
      </c>
      <c r="F998" s="35" t="s">
        <v>634</v>
      </c>
      <c r="G998" s="37">
        <v>45932.687013888892</v>
      </c>
      <c r="H998" s="37" t="str">
        <f>INDEX(_xlfn.TEXTSPLIT(mvtst[[#This Row],[QR Suivis]],"_"),1,1)</f>
        <v>CA250038-4</v>
      </c>
      <c r="I998" s="35" t="str">
        <f>_xlfn.TEXTBEFORE(mvtst[[#This Row],[Num Suivis]],"-",,,1)</f>
        <v>CA250038</v>
      </c>
      <c r="J998" s="36">
        <f>SUMIF(mvtst[QR Suivis],mvtst[[#This Row],[QR Suivis]],mvtst[QTE SORTIS])-SUMIF(mvtst[QR Suivis],mvtst[[#This Row],[QR Suivis]],mvtst[QTE RETOUR])</f>
        <v>0</v>
      </c>
      <c r="K998" s="35" t="str">
        <f t="shared" si="15"/>
        <v>Usine</v>
      </c>
      <c r="L998" s="35" t="str">
        <f>_xlfn.XLOOKUP(mvtst[[#This Row],[Sous Traitant]],coordonnee_st[Identification],coordonnee_st[SERVICE],"Non Trouvé")</f>
        <v>Frange</v>
      </c>
      <c r="M998" s="35" t="str">
        <f>INDEX(_xlfn.TEXTSPLIT(mvtst[[#This Row],[QR Suivis]],"_"),1,2)</f>
        <v>All by Fouta</v>
      </c>
      <c r="N998" s="35" t="str">
        <f>INDEX(_xlfn.TEXTSPLIT(mvtst[[#This Row],[QR Suivis]],"_"),1,3)</f>
        <v>Stock</v>
      </c>
      <c r="O998" s="35" t="str">
        <f>INDEX(_xlfn.TEXTSPLIT(mvtst[[#This Row],[QR Suivis]],"_"),1,4)</f>
        <v>UNS2020-31</v>
      </c>
      <c r="P998" s="35" t="str">
        <f>INDEX(_xlfn.TEXTSPLIT(mvtst[[#This Row],[QR Suivis]],"_"),1,5)</f>
        <v>UNI SURPIQUE</v>
      </c>
      <c r="Q998" s="35" t="str">
        <f>_xlfn.TEXTAFTER(mvtst[[#This Row],[QR Suivis]],"_",5)</f>
        <v>2020</v>
      </c>
      <c r="R998" s="84" t="str">
        <f>IF(
   COUNTIFS($A$2:A998,A998,
             $B$2:B998,B998,
             $C$2:C998,C998,
             $D$2:D998,D998,
             $G$2:G998,G998)&gt;1,
   "Doublon",
   "Correcte"
)</f>
        <v>Correcte</v>
      </c>
    </row>
    <row r="999" spans="1:18" x14ac:dyDescent="0.25">
      <c r="A999" s="104" t="s">
        <v>1829</v>
      </c>
      <c r="B999" s="35" t="s">
        <v>712</v>
      </c>
      <c r="C999" s="36">
        <v>5</v>
      </c>
      <c r="D999" s="36">
        <v>0</v>
      </c>
      <c r="E999" s="35" t="s">
        <v>699</v>
      </c>
      <c r="F999" s="35" t="s">
        <v>634</v>
      </c>
      <c r="G999" s="37">
        <v>45932.687245370369</v>
      </c>
      <c r="H999" s="37" t="str">
        <f>INDEX(_xlfn.TEXTSPLIT(mvtst[[#This Row],[QR Suivis]],"_"),1,1)</f>
        <v>CA250037-5</v>
      </c>
      <c r="I999" s="35" t="str">
        <f>_xlfn.TEXTBEFORE(mvtst[[#This Row],[Num Suivis]],"-",,,1)</f>
        <v>CA250037</v>
      </c>
      <c r="J999" s="36">
        <f>SUMIF(mvtst[QR Suivis],mvtst[[#This Row],[QR Suivis]],mvtst[QTE SORTIS])-SUMIF(mvtst[QR Suivis],mvtst[[#This Row],[QR Suivis]],mvtst[QTE RETOUR])</f>
        <v>0</v>
      </c>
      <c r="K999" s="35" t="str">
        <f t="shared" si="15"/>
        <v>Usine</v>
      </c>
      <c r="L999" s="35" t="str">
        <f>_xlfn.XLOOKUP(mvtst[[#This Row],[Sous Traitant]],coordonnee_st[Identification],coordonnee_st[SERVICE],"Non Trouvé")</f>
        <v>Frange</v>
      </c>
      <c r="M999" s="35" t="str">
        <f>INDEX(_xlfn.TEXTSPLIT(mvtst[[#This Row],[QR Suivis]],"_"),1,2)</f>
        <v>All by Fouta</v>
      </c>
      <c r="N999" s="35" t="str">
        <f>INDEX(_xlfn.TEXTSPLIT(mvtst[[#This Row],[QR Suivis]],"_"),1,3)</f>
        <v>Stock</v>
      </c>
      <c r="O999" s="35" t="str">
        <f>INDEX(_xlfn.TEXTSPLIT(mvtst[[#This Row],[QR Suivis]],"_"),1,4)</f>
        <v>UNS2020-30</v>
      </c>
      <c r="P999" s="35" t="str">
        <f>INDEX(_xlfn.TEXTSPLIT(mvtst[[#This Row],[QR Suivis]],"_"),1,5)</f>
        <v>UNI SURPIQUE</v>
      </c>
      <c r="Q999" s="35" t="str">
        <f>_xlfn.TEXTAFTER(mvtst[[#This Row],[QR Suivis]],"_",5)</f>
        <v>2020</v>
      </c>
      <c r="R999" s="84" t="str">
        <f>IF(
   COUNTIFS($A$2:A999,A999,
             $B$2:B999,B999,
             $C$2:C999,C999,
             $D$2:D999,D999,
             $G$2:G999,G999)&gt;1,
   "Doublon",
   "Correcte"
)</f>
        <v>Correcte</v>
      </c>
    </row>
    <row r="1000" spans="1:18" x14ac:dyDescent="0.25">
      <c r="A1000" s="104" t="s">
        <v>1830</v>
      </c>
      <c r="B1000" s="35" t="s">
        <v>712</v>
      </c>
      <c r="C1000" s="36">
        <v>5</v>
      </c>
      <c r="D1000" s="36">
        <v>0</v>
      </c>
      <c r="E1000" s="35" t="s">
        <v>699</v>
      </c>
      <c r="F1000" s="35" t="s">
        <v>634</v>
      </c>
      <c r="G1000" s="37">
        <v>45932.687384259261</v>
      </c>
      <c r="H1000" s="37" t="str">
        <f>INDEX(_xlfn.TEXTSPLIT(mvtst[[#This Row],[QR Suivis]],"_"),1,1)</f>
        <v>CA250038-6</v>
      </c>
      <c r="I1000" s="35" t="str">
        <f>_xlfn.TEXTBEFORE(mvtst[[#This Row],[Num Suivis]],"-",,,1)</f>
        <v>CA250038</v>
      </c>
      <c r="J1000" s="36">
        <f>SUMIF(mvtst[QR Suivis],mvtst[[#This Row],[QR Suivis]],mvtst[QTE SORTIS])-SUMIF(mvtst[QR Suivis],mvtst[[#This Row],[QR Suivis]],mvtst[QTE RETOUR])</f>
        <v>0</v>
      </c>
      <c r="K1000" s="35" t="str">
        <f t="shared" si="15"/>
        <v>Usine</v>
      </c>
      <c r="L1000" s="35" t="str">
        <f>_xlfn.XLOOKUP(mvtst[[#This Row],[Sous Traitant]],coordonnee_st[Identification],coordonnee_st[SERVICE],"Non Trouvé")</f>
        <v>Frange</v>
      </c>
      <c r="M1000" s="35" t="str">
        <f>INDEX(_xlfn.TEXTSPLIT(mvtst[[#This Row],[QR Suivis]],"_"),1,2)</f>
        <v>All by Fouta</v>
      </c>
      <c r="N1000" s="35" t="str">
        <f>INDEX(_xlfn.TEXTSPLIT(mvtst[[#This Row],[QR Suivis]],"_"),1,3)</f>
        <v>Stock</v>
      </c>
      <c r="O1000" s="35" t="str">
        <f>INDEX(_xlfn.TEXTSPLIT(mvtst[[#This Row],[QR Suivis]],"_"),1,4)</f>
        <v>UNS2020-31</v>
      </c>
      <c r="P1000" s="35" t="str">
        <f>INDEX(_xlfn.TEXTSPLIT(mvtst[[#This Row],[QR Suivis]],"_"),1,5)</f>
        <v>UNI SURPIQUE</v>
      </c>
      <c r="Q1000" s="35" t="str">
        <f>_xlfn.TEXTAFTER(mvtst[[#This Row],[QR Suivis]],"_",5)</f>
        <v>2020</v>
      </c>
      <c r="R1000" s="84" t="str">
        <f>IF(
   COUNTIFS($A$2:A1000,A1000,
             $B$2:B1000,B1000,
             $C$2:C1000,C1000,
             $D$2:D1000,D1000,
             $G$2:G1000,G1000)&gt;1,
   "Doublon",
   "Correcte"
)</f>
        <v>Correcte</v>
      </c>
    </row>
    <row r="1001" spans="1:18" x14ac:dyDescent="0.25">
      <c r="A1001" s="104" t="s">
        <v>1831</v>
      </c>
      <c r="B1001" s="35" t="s">
        <v>712</v>
      </c>
      <c r="C1001" s="36">
        <v>5</v>
      </c>
      <c r="D1001" s="36">
        <v>0</v>
      </c>
      <c r="E1001" s="35" t="s">
        <v>699</v>
      </c>
      <c r="F1001" s="35" t="s">
        <v>634</v>
      </c>
      <c r="G1001" s="37">
        <v>45932.687615740739</v>
      </c>
      <c r="H1001" s="37" t="str">
        <f>INDEX(_xlfn.TEXTSPLIT(mvtst[[#This Row],[QR Suivis]],"_"),1,1)</f>
        <v>CA250051-2</v>
      </c>
      <c r="I1001" s="35" t="str">
        <f>_xlfn.TEXTBEFORE(mvtst[[#This Row],[Num Suivis]],"-",,,1)</f>
        <v>CA250051</v>
      </c>
      <c r="J1001" s="36">
        <f>SUMIF(mvtst[QR Suivis],mvtst[[#This Row],[QR Suivis]],mvtst[QTE SORTIS])-SUMIF(mvtst[QR Suivis],mvtst[[#This Row],[QR Suivis]],mvtst[QTE RETOUR])</f>
        <v>0</v>
      </c>
      <c r="K1001" s="35" t="str">
        <f t="shared" si="15"/>
        <v>Usine</v>
      </c>
      <c r="L1001" s="35" t="str">
        <f>_xlfn.XLOOKUP(mvtst[[#This Row],[Sous Traitant]],coordonnee_st[Identification],coordonnee_st[SERVICE],"Non Trouvé")</f>
        <v>Frange</v>
      </c>
      <c r="M1001" s="35" t="str">
        <f>INDEX(_xlfn.TEXTSPLIT(mvtst[[#This Row],[QR Suivis]],"_"),1,2)</f>
        <v>All by Fouta</v>
      </c>
      <c r="N1001" s="35" t="str">
        <f>INDEX(_xlfn.TEXTSPLIT(mvtst[[#This Row],[QR Suivis]],"_"),1,3)</f>
        <v>Stock</v>
      </c>
      <c r="O1001" s="35" t="str">
        <f>INDEX(_xlfn.TEXTSPLIT(mvtst[[#This Row],[QR Suivis]],"_"),1,4)</f>
        <v>UNS1626-19</v>
      </c>
      <c r="P1001" s="35" t="str">
        <f>INDEX(_xlfn.TEXTSPLIT(mvtst[[#This Row],[QR Suivis]],"_"),1,5)</f>
        <v>UNI SURPIQUE</v>
      </c>
      <c r="Q1001" s="35" t="str">
        <f>_xlfn.TEXTAFTER(mvtst[[#This Row],[QR Suivis]],"_",5)</f>
        <v>1626</v>
      </c>
      <c r="R1001" s="84" t="str">
        <f>IF(
   COUNTIFS($A$2:A1001,A1001,
             $B$2:B1001,B1001,
             $C$2:C1001,C1001,
             $D$2:D1001,D1001,
             $G$2:G1001,G1001)&gt;1,
   "Doublon",
   "Correcte"
)</f>
        <v>Correcte</v>
      </c>
    </row>
    <row r="1002" spans="1:18" x14ac:dyDescent="0.25">
      <c r="A1002" s="104" t="s">
        <v>1832</v>
      </c>
      <c r="B1002" s="35" t="s">
        <v>712</v>
      </c>
      <c r="C1002" s="36">
        <v>5</v>
      </c>
      <c r="D1002" s="36">
        <v>0</v>
      </c>
      <c r="E1002" s="35" t="s">
        <v>699</v>
      </c>
      <c r="F1002" s="35" t="s">
        <v>634</v>
      </c>
      <c r="G1002" s="37">
        <v>45932.6877662037</v>
      </c>
      <c r="H1002" s="37" t="str">
        <f>INDEX(_xlfn.TEXTSPLIT(mvtst[[#This Row],[QR Suivis]],"_"),1,1)</f>
        <v>CA250038-2</v>
      </c>
      <c r="I1002" s="35" t="str">
        <f>_xlfn.TEXTBEFORE(mvtst[[#This Row],[Num Suivis]],"-",,,1)</f>
        <v>CA250038</v>
      </c>
      <c r="J1002" s="36">
        <f>SUMIF(mvtst[QR Suivis],mvtst[[#This Row],[QR Suivis]],mvtst[QTE SORTIS])-SUMIF(mvtst[QR Suivis],mvtst[[#This Row],[QR Suivis]],mvtst[QTE RETOUR])</f>
        <v>0</v>
      </c>
      <c r="K1002" s="35" t="str">
        <f t="shared" si="15"/>
        <v>Usine</v>
      </c>
      <c r="L1002" s="35" t="str">
        <f>_xlfn.XLOOKUP(mvtst[[#This Row],[Sous Traitant]],coordonnee_st[Identification],coordonnee_st[SERVICE],"Non Trouvé")</f>
        <v>Frange</v>
      </c>
      <c r="M1002" s="35" t="str">
        <f>INDEX(_xlfn.TEXTSPLIT(mvtst[[#This Row],[QR Suivis]],"_"),1,2)</f>
        <v>All by Fouta</v>
      </c>
      <c r="N1002" s="35" t="str">
        <f>INDEX(_xlfn.TEXTSPLIT(mvtst[[#This Row],[QR Suivis]],"_"),1,3)</f>
        <v>Stock</v>
      </c>
      <c r="O1002" s="35" t="str">
        <f>INDEX(_xlfn.TEXTSPLIT(mvtst[[#This Row],[QR Suivis]],"_"),1,4)</f>
        <v>UNS2020-31</v>
      </c>
      <c r="P1002" s="35" t="str">
        <f>INDEX(_xlfn.TEXTSPLIT(mvtst[[#This Row],[QR Suivis]],"_"),1,5)</f>
        <v>UNI SURPIQUE</v>
      </c>
      <c r="Q1002" s="35" t="str">
        <f>_xlfn.TEXTAFTER(mvtst[[#This Row],[QR Suivis]],"_",5)</f>
        <v>2020</v>
      </c>
      <c r="R1002" s="84" t="str">
        <f>IF(
   COUNTIFS($A$2:A1002,A1002,
             $B$2:B1002,B1002,
             $C$2:C1002,C1002,
             $D$2:D1002,D1002,
             $G$2:G1002,G1002)&gt;1,
   "Doublon",
   "Correcte"
)</f>
        <v>Correcte</v>
      </c>
    </row>
    <row r="1003" spans="1:18" x14ac:dyDescent="0.25">
      <c r="A1003" s="104" t="s">
        <v>1833</v>
      </c>
      <c r="B1003" s="35" t="s">
        <v>712</v>
      </c>
      <c r="C1003" s="36">
        <v>5</v>
      </c>
      <c r="D1003" s="36">
        <v>0</v>
      </c>
      <c r="E1003" s="35" t="s">
        <v>699</v>
      </c>
      <c r="F1003" s="35" t="s">
        <v>634</v>
      </c>
      <c r="G1003" s="37">
        <v>45932.687951388885</v>
      </c>
      <c r="H1003" s="37" t="str">
        <f>INDEX(_xlfn.TEXTSPLIT(mvtst[[#This Row],[QR Suivis]],"_"),1,1)</f>
        <v>CA250037-6</v>
      </c>
      <c r="I1003" s="35" t="str">
        <f>_xlfn.TEXTBEFORE(mvtst[[#This Row],[Num Suivis]],"-",,,1)</f>
        <v>CA250037</v>
      </c>
      <c r="J1003" s="36">
        <f>SUMIF(mvtst[QR Suivis],mvtst[[#This Row],[QR Suivis]],mvtst[QTE SORTIS])-SUMIF(mvtst[QR Suivis],mvtst[[#This Row],[QR Suivis]],mvtst[QTE RETOUR])</f>
        <v>0</v>
      </c>
      <c r="K1003" s="35" t="str">
        <f t="shared" si="15"/>
        <v>Usine</v>
      </c>
      <c r="L1003" s="35" t="str">
        <f>_xlfn.XLOOKUP(mvtst[[#This Row],[Sous Traitant]],coordonnee_st[Identification],coordonnee_st[SERVICE],"Non Trouvé")</f>
        <v>Frange</v>
      </c>
      <c r="M1003" s="35" t="str">
        <f>INDEX(_xlfn.TEXTSPLIT(mvtst[[#This Row],[QR Suivis]],"_"),1,2)</f>
        <v>All by Fouta</v>
      </c>
      <c r="N1003" s="35" t="str">
        <f>INDEX(_xlfn.TEXTSPLIT(mvtst[[#This Row],[QR Suivis]],"_"),1,3)</f>
        <v>Stock</v>
      </c>
      <c r="O1003" s="35" t="str">
        <f>INDEX(_xlfn.TEXTSPLIT(mvtst[[#This Row],[QR Suivis]],"_"),1,4)</f>
        <v>UNS2020-30</v>
      </c>
      <c r="P1003" s="35" t="str">
        <f>INDEX(_xlfn.TEXTSPLIT(mvtst[[#This Row],[QR Suivis]],"_"),1,5)</f>
        <v>UNI SURPIQUE</v>
      </c>
      <c r="Q1003" s="35" t="str">
        <f>_xlfn.TEXTAFTER(mvtst[[#This Row],[QR Suivis]],"_",5)</f>
        <v>2020</v>
      </c>
      <c r="R1003" s="84" t="str">
        <f>IF(
   COUNTIFS($A$2:A1003,A1003,
             $B$2:B1003,B1003,
             $C$2:C1003,C1003,
             $D$2:D1003,D1003,
             $G$2:G1003,G1003)&gt;1,
   "Doublon",
   "Correcte"
)</f>
        <v>Correcte</v>
      </c>
    </row>
    <row r="1004" spans="1:18" x14ac:dyDescent="0.25">
      <c r="A1004" s="104" t="s">
        <v>1834</v>
      </c>
      <c r="B1004" s="35" t="s">
        <v>712</v>
      </c>
      <c r="C1004" s="36">
        <v>5</v>
      </c>
      <c r="D1004" s="36">
        <v>0</v>
      </c>
      <c r="E1004" s="35" t="s">
        <v>699</v>
      </c>
      <c r="F1004" s="35" t="s">
        <v>634</v>
      </c>
      <c r="G1004" s="37">
        <v>45932.688125000001</v>
      </c>
      <c r="H1004" s="37" t="str">
        <f>INDEX(_xlfn.TEXTSPLIT(mvtst[[#This Row],[QR Suivis]],"_"),1,1)</f>
        <v>CA250038-3</v>
      </c>
      <c r="I1004" s="35" t="str">
        <f>_xlfn.TEXTBEFORE(mvtst[[#This Row],[Num Suivis]],"-",,,1)</f>
        <v>CA250038</v>
      </c>
      <c r="J1004" s="36">
        <f>SUMIF(mvtst[QR Suivis],mvtst[[#This Row],[QR Suivis]],mvtst[QTE SORTIS])-SUMIF(mvtst[QR Suivis],mvtst[[#This Row],[QR Suivis]],mvtst[QTE RETOUR])</f>
        <v>0</v>
      </c>
      <c r="K1004" s="35" t="str">
        <f t="shared" si="15"/>
        <v>Usine</v>
      </c>
      <c r="L1004" s="35" t="str">
        <f>_xlfn.XLOOKUP(mvtst[[#This Row],[Sous Traitant]],coordonnee_st[Identification],coordonnee_st[SERVICE],"Non Trouvé")</f>
        <v>Frange</v>
      </c>
      <c r="M1004" s="35" t="str">
        <f>INDEX(_xlfn.TEXTSPLIT(mvtst[[#This Row],[QR Suivis]],"_"),1,2)</f>
        <v>All by Fouta</v>
      </c>
      <c r="N1004" s="35" t="str">
        <f>INDEX(_xlfn.TEXTSPLIT(mvtst[[#This Row],[QR Suivis]],"_"),1,3)</f>
        <v>Stock</v>
      </c>
      <c r="O1004" s="35" t="str">
        <f>INDEX(_xlfn.TEXTSPLIT(mvtst[[#This Row],[QR Suivis]],"_"),1,4)</f>
        <v>UNS2020-31</v>
      </c>
      <c r="P1004" s="35" t="str">
        <f>INDEX(_xlfn.TEXTSPLIT(mvtst[[#This Row],[QR Suivis]],"_"),1,5)</f>
        <v>UNI SURPIQUE</v>
      </c>
      <c r="Q1004" s="35" t="str">
        <f>_xlfn.TEXTAFTER(mvtst[[#This Row],[QR Suivis]],"_",5)</f>
        <v>2020</v>
      </c>
      <c r="R1004" s="84" t="str">
        <f>IF(
   COUNTIFS($A$2:A1004,A1004,
             $B$2:B1004,B1004,
             $C$2:C1004,C1004,
             $D$2:D1004,D1004,
             $G$2:G1004,G1004)&gt;1,
   "Doublon",
   "Correcte"
)</f>
        <v>Correcte</v>
      </c>
    </row>
    <row r="1005" spans="1:18" x14ac:dyDescent="0.25">
      <c r="A1005" s="104" t="s">
        <v>1835</v>
      </c>
      <c r="B1005" s="35" t="s">
        <v>712</v>
      </c>
      <c r="C1005" s="36">
        <v>5</v>
      </c>
      <c r="D1005" s="36">
        <v>0</v>
      </c>
      <c r="E1005" s="35" t="s">
        <v>699</v>
      </c>
      <c r="F1005" s="35" t="s">
        <v>634</v>
      </c>
      <c r="G1005" s="37">
        <v>45932.688310185185</v>
      </c>
      <c r="H1005" s="37" t="str">
        <f>INDEX(_xlfn.TEXTSPLIT(mvtst[[#This Row],[QR Suivis]],"_"),1,1)</f>
        <v>CA250036-6</v>
      </c>
      <c r="I1005" s="35" t="str">
        <f>_xlfn.TEXTBEFORE(mvtst[[#This Row],[Num Suivis]],"-",,,1)</f>
        <v>CA250036</v>
      </c>
      <c r="J1005" s="36">
        <f>SUMIF(mvtst[QR Suivis],mvtst[[#This Row],[QR Suivis]],mvtst[QTE SORTIS])-SUMIF(mvtst[QR Suivis],mvtst[[#This Row],[QR Suivis]],mvtst[QTE RETOUR])</f>
        <v>0</v>
      </c>
      <c r="K1005" s="35" t="str">
        <f t="shared" si="15"/>
        <v>Usine</v>
      </c>
      <c r="L1005" s="35" t="str">
        <f>_xlfn.XLOOKUP(mvtst[[#This Row],[Sous Traitant]],coordonnee_st[Identification],coordonnee_st[SERVICE],"Non Trouvé")</f>
        <v>Frange</v>
      </c>
      <c r="M1005" s="35" t="str">
        <f>INDEX(_xlfn.TEXTSPLIT(mvtst[[#This Row],[QR Suivis]],"_"),1,2)</f>
        <v>All by Fouta</v>
      </c>
      <c r="N1005" s="35" t="str">
        <f>INDEX(_xlfn.TEXTSPLIT(mvtst[[#This Row],[QR Suivis]],"_"),1,3)</f>
        <v>Stock</v>
      </c>
      <c r="O1005" s="35" t="str">
        <f>INDEX(_xlfn.TEXTSPLIT(mvtst[[#This Row],[QR Suivis]],"_"),1,4)</f>
        <v>UNS2020-27</v>
      </c>
      <c r="P1005" s="35" t="str">
        <f>INDEX(_xlfn.TEXTSPLIT(mvtst[[#This Row],[QR Suivis]],"_"),1,5)</f>
        <v>UNI SURPIQUE</v>
      </c>
      <c r="Q1005" s="35" t="str">
        <f>_xlfn.TEXTAFTER(mvtst[[#This Row],[QR Suivis]],"_",5)</f>
        <v>2020</v>
      </c>
      <c r="R1005" s="84" t="str">
        <f>IF(
   COUNTIFS($A$2:A1005,A1005,
             $B$2:B1005,B1005,
             $C$2:C1005,C1005,
             $D$2:D1005,D1005,
             $G$2:G1005,G1005)&gt;1,
   "Doublon",
   "Correcte"
)</f>
        <v>Correcte</v>
      </c>
    </row>
    <row r="1006" spans="1:18" x14ac:dyDescent="0.25">
      <c r="A1006" s="104" t="s">
        <v>1836</v>
      </c>
      <c r="B1006" s="35" t="s">
        <v>712</v>
      </c>
      <c r="C1006" s="36">
        <v>2</v>
      </c>
      <c r="D1006" s="36">
        <v>0</v>
      </c>
      <c r="E1006" s="35" t="s">
        <v>699</v>
      </c>
      <c r="F1006" s="35" t="s">
        <v>634</v>
      </c>
      <c r="G1006" s="37">
        <v>45932.688460648147</v>
      </c>
      <c r="H1006" s="37" t="str">
        <f>INDEX(_xlfn.TEXTSPLIT(mvtst[[#This Row],[QR Suivis]],"_"),1,1)</f>
        <v>CA250038-7</v>
      </c>
      <c r="I1006" s="35" t="str">
        <f>_xlfn.TEXTBEFORE(mvtst[[#This Row],[Num Suivis]],"-",,,1)</f>
        <v>CA250038</v>
      </c>
      <c r="J1006" s="36">
        <f>SUMIF(mvtst[QR Suivis],mvtst[[#This Row],[QR Suivis]],mvtst[QTE SORTIS])-SUMIF(mvtst[QR Suivis],mvtst[[#This Row],[QR Suivis]],mvtst[QTE RETOUR])</f>
        <v>0</v>
      </c>
      <c r="K1006" s="35" t="str">
        <f t="shared" si="15"/>
        <v>Usine</v>
      </c>
      <c r="L1006" s="35" t="str">
        <f>_xlfn.XLOOKUP(mvtst[[#This Row],[Sous Traitant]],coordonnee_st[Identification],coordonnee_st[SERVICE],"Non Trouvé")</f>
        <v>Frange</v>
      </c>
      <c r="M1006" s="35" t="str">
        <f>INDEX(_xlfn.TEXTSPLIT(mvtst[[#This Row],[QR Suivis]],"_"),1,2)</f>
        <v>All by Fouta</v>
      </c>
      <c r="N1006" s="35" t="str">
        <f>INDEX(_xlfn.TEXTSPLIT(mvtst[[#This Row],[QR Suivis]],"_"),1,3)</f>
        <v>Stock</v>
      </c>
      <c r="O1006" s="35" t="str">
        <f>INDEX(_xlfn.TEXTSPLIT(mvtst[[#This Row],[QR Suivis]],"_"),1,4)</f>
        <v>UNS2020-31</v>
      </c>
      <c r="P1006" s="35" t="str">
        <f>INDEX(_xlfn.TEXTSPLIT(mvtst[[#This Row],[QR Suivis]],"_"),1,5)</f>
        <v>UNI SURPIQUE</v>
      </c>
      <c r="Q1006" s="35" t="str">
        <f>_xlfn.TEXTAFTER(mvtst[[#This Row],[QR Suivis]],"_",5)</f>
        <v>2020</v>
      </c>
      <c r="R1006" s="84" t="str">
        <f>IF(
   COUNTIFS($A$2:A1006,A1006,
             $B$2:B1006,B1006,
             $C$2:C1006,C1006,
             $D$2:D1006,D1006,
             $G$2:G1006,G1006)&gt;1,
   "Doublon",
   "Correcte"
)</f>
        <v>Correcte</v>
      </c>
    </row>
    <row r="1007" spans="1:18" x14ac:dyDescent="0.25">
      <c r="A1007" s="104" t="s">
        <v>1837</v>
      </c>
      <c r="B1007" s="35" t="s">
        <v>712</v>
      </c>
      <c r="C1007" s="36">
        <v>5</v>
      </c>
      <c r="D1007" s="36">
        <v>0</v>
      </c>
      <c r="E1007" s="35" t="s">
        <v>699</v>
      </c>
      <c r="F1007" s="35" t="s">
        <v>634</v>
      </c>
      <c r="G1007" s="37">
        <v>45932.688680555555</v>
      </c>
      <c r="H1007" s="37" t="str">
        <f>INDEX(_xlfn.TEXTSPLIT(mvtst[[#This Row],[QR Suivis]],"_"),1,1)</f>
        <v>CA250051-4</v>
      </c>
      <c r="I1007" s="35" t="str">
        <f>_xlfn.TEXTBEFORE(mvtst[[#This Row],[Num Suivis]],"-",,,1)</f>
        <v>CA250051</v>
      </c>
      <c r="J1007" s="36">
        <f>SUMIF(mvtst[QR Suivis],mvtst[[#This Row],[QR Suivis]],mvtst[QTE SORTIS])-SUMIF(mvtst[QR Suivis],mvtst[[#This Row],[QR Suivis]],mvtst[QTE RETOUR])</f>
        <v>0</v>
      </c>
      <c r="K1007" s="35" t="str">
        <f t="shared" si="15"/>
        <v>Usine</v>
      </c>
      <c r="L1007" s="35" t="str">
        <f>_xlfn.XLOOKUP(mvtst[[#This Row],[Sous Traitant]],coordonnee_st[Identification],coordonnee_st[SERVICE],"Non Trouvé")</f>
        <v>Frange</v>
      </c>
      <c r="M1007" s="35" t="str">
        <f>INDEX(_xlfn.TEXTSPLIT(mvtst[[#This Row],[QR Suivis]],"_"),1,2)</f>
        <v>All by Fouta</v>
      </c>
      <c r="N1007" s="35" t="str">
        <f>INDEX(_xlfn.TEXTSPLIT(mvtst[[#This Row],[QR Suivis]],"_"),1,3)</f>
        <v>Stock</v>
      </c>
      <c r="O1007" s="35" t="str">
        <f>INDEX(_xlfn.TEXTSPLIT(mvtst[[#This Row],[QR Suivis]],"_"),1,4)</f>
        <v>UNS1626-19</v>
      </c>
      <c r="P1007" s="35" t="str">
        <f>INDEX(_xlfn.TEXTSPLIT(mvtst[[#This Row],[QR Suivis]],"_"),1,5)</f>
        <v>UNI SURPIQUE</v>
      </c>
      <c r="Q1007" s="35" t="str">
        <f>_xlfn.TEXTAFTER(mvtst[[#This Row],[QR Suivis]],"_",5)</f>
        <v>1626</v>
      </c>
      <c r="R1007" s="84" t="str">
        <f>IF(
   COUNTIFS($A$2:A1007,A1007,
             $B$2:B1007,B1007,
             $C$2:C1007,C1007,
             $D$2:D1007,D1007,
             $G$2:G1007,G1007)&gt;1,
   "Doublon",
   "Correcte"
)</f>
        <v>Correcte</v>
      </c>
    </row>
    <row r="1008" spans="1:18" x14ac:dyDescent="0.25">
      <c r="A1008" s="104" t="s">
        <v>1838</v>
      </c>
      <c r="B1008" s="35" t="s">
        <v>712</v>
      </c>
      <c r="C1008" s="36">
        <v>5</v>
      </c>
      <c r="D1008" s="36">
        <v>0</v>
      </c>
      <c r="E1008" s="35" t="s">
        <v>699</v>
      </c>
      <c r="F1008" s="35" t="s">
        <v>634</v>
      </c>
      <c r="G1008" s="37">
        <v>45932.688900462963</v>
      </c>
      <c r="H1008" s="37" t="str">
        <f>INDEX(_xlfn.TEXTSPLIT(mvtst[[#This Row],[QR Suivis]],"_"),1,1)</f>
        <v>CA250053-2</v>
      </c>
      <c r="I1008" s="35" t="str">
        <f>_xlfn.TEXTBEFORE(mvtst[[#This Row],[Num Suivis]],"-",,,1)</f>
        <v>CA250053</v>
      </c>
      <c r="J1008" s="36">
        <f>SUMIF(mvtst[QR Suivis],mvtst[[#This Row],[QR Suivis]],mvtst[QTE SORTIS])-SUMIF(mvtst[QR Suivis],mvtst[[#This Row],[QR Suivis]],mvtst[QTE RETOUR])</f>
        <v>0</v>
      </c>
      <c r="K1008" s="35" t="str">
        <f t="shared" si="15"/>
        <v>Usine</v>
      </c>
      <c r="L1008" s="35" t="str">
        <f>_xlfn.XLOOKUP(mvtst[[#This Row],[Sous Traitant]],coordonnee_st[Identification],coordonnee_st[SERVICE],"Non Trouvé")</f>
        <v>Frange</v>
      </c>
      <c r="M1008" s="35" t="str">
        <f>INDEX(_xlfn.TEXTSPLIT(mvtst[[#This Row],[QR Suivis]],"_"),1,2)</f>
        <v>All by Fouta</v>
      </c>
      <c r="N1008" s="35" t="str">
        <f>INDEX(_xlfn.TEXTSPLIT(mvtst[[#This Row],[QR Suivis]],"_"),1,3)</f>
        <v>Stock</v>
      </c>
      <c r="O1008" s="35" t="str">
        <f>INDEX(_xlfn.TEXTSPLIT(mvtst[[#This Row],[QR Suivis]],"_"),1,4)</f>
        <v>UNS1626-23</v>
      </c>
      <c r="P1008" s="35" t="str">
        <f>INDEX(_xlfn.TEXTSPLIT(mvtst[[#This Row],[QR Suivis]],"_"),1,5)</f>
        <v>UNI SURPIQUE</v>
      </c>
      <c r="Q1008" s="35" t="str">
        <f>_xlfn.TEXTAFTER(mvtst[[#This Row],[QR Suivis]],"_",5)</f>
        <v>1626</v>
      </c>
      <c r="R1008" s="84" t="str">
        <f>IF(
   COUNTIFS($A$2:A1008,A1008,
             $B$2:B1008,B1008,
             $C$2:C1008,C1008,
             $D$2:D1008,D1008,
             $G$2:G1008,G1008)&gt;1,
   "Doublon",
   "Correcte"
)</f>
        <v>Correcte</v>
      </c>
    </row>
    <row r="1009" spans="1:18" x14ac:dyDescent="0.25">
      <c r="A1009" s="104" t="s">
        <v>1839</v>
      </c>
      <c r="B1009" s="35" t="s">
        <v>712</v>
      </c>
      <c r="C1009" s="36">
        <v>5</v>
      </c>
      <c r="D1009" s="36">
        <v>0</v>
      </c>
      <c r="E1009" s="35" t="s">
        <v>699</v>
      </c>
      <c r="F1009" s="35" t="s">
        <v>634</v>
      </c>
      <c r="G1009" s="37">
        <v>45932.689097222225</v>
      </c>
      <c r="H1009" s="37" t="str">
        <f>INDEX(_xlfn.TEXTSPLIT(mvtst[[#This Row],[QR Suivis]],"_"),1,1)</f>
        <v>CA250053-1</v>
      </c>
      <c r="I1009" s="35" t="str">
        <f>_xlfn.TEXTBEFORE(mvtst[[#This Row],[Num Suivis]],"-",,,1)</f>
        <v>CA250053</v>
      </c>
      <c r="J1009" s="36">
        <f>SUMIF(mvtst[QR Suivis],mvtst[[#This Row],[QR Suivis]],mvtst[QTE SORTIS])-SUMIF(mvtst[QR Suivis],mvtst[[#This Row],[QR Suivis]],mvtst[QTE RETOUR])</f>
        <v>0</v>
      </c>
      <c r="K1009" s="35" t="str">
        <f t="shared" si="15"/>
        <v>Usine</v>
      </c>
      <c r="L1009" s="35" t="str">
        <f>_xlfn.XLOOKUP(mvtst[[#This Row],[Sous Traitant]],coordonnee_st[Identification],coordonnee_st[SERVICE],"Non Trouvé")</f>
        <v>Frange</v>
      </c>
      <c r="M1009" s="35" t="str">
        <f>INDEX(_xlfn.TEXTSPLIT(mvtst[[#This Row],[QR Suivis]],"_"),1,2)</f>
        <v>All by Fouta</v>
      </c>
      <c r="N1009" s="35" t="str">
        <f>INDEX(_xlfn.TEXTSPLIT(mvtst[[#This Row],[QR Suivis]],"_"),1,3)</f>
        <v>Stock</v>
      </c>
      <c r="O1009" s="35" t="str">
        <f>INDEX(_xlfn.TEXTSPLIT(mvtst[[#This Row],[QR Suivis]],"_"),1,4)</f>
        <v>UNS1626-23</v>
      </c>
      <c r="P1009" s="35" t="str">
        <f>INDEX(_xlfn.TEXTSPLIT(mvtst[[#This Row],[QR Suivis]],"_"),1,5)</f>
        <v>UNI SURPIQUE</v>
      </c>
      <c r="Q1009" s="35" t="str">
        <f>_xlfn.TEXTAFTER(mvtst[[#This Row],[QR Suivis]],"_",5)</f>
        <v>1626</v>
      </c>
      <c r="R1009" s="84" t="str">
        <f>IF(
   COUNTIFS($A$2:A1009,A1009,
             $B$2:B1009,B1009,
             $C$2:C1009,C1009,
             $D$2:D1009,D1009,
             $G$2:G1009,G1009)&gt;1,
   "Doublon",
   "Correcte"
)</f>
        <v>Correcte</v>
      </c>
    </row>
    <row r="1010" spans="1:18" x14ac:dyDescent="0.25">
      <c r="A1010" s="104" t="s">
        <v>1840</v>
      </c>
      <c r="B1010" s="35" t="s">
        <v>712</v>
      </c>
      <c r="C1010" s="36">
        <v>5</v>
      </c>
      <c r="D1010" s="36">
        <v>0</v>
      </c>
      <c r="E1010" s="35" t="s">
        <v>699</v>
      </c>
      <c r="F1010" s="35" t="s">
        <v>634</v>
      </c>
      <c r="G1010" s="37">
        <v>45932.689363425925</v>
      </c>
      <c r="H1010" s="37" t="str">
        <f>INDEX(_xlfn.TEXTSPLIT(mvtst[[#This Row],[QR Suivis]],"_"),1,1)</f>
        <v>CA250051-3</v>
      </c>
      <c r="I1010" s="35" t="str">
        <f>_xlfn.TEXTBEFORE(mvtst[[#This Row],[Num Suivis]],"-",,,1)</f>
        <v>CA250051</v>
      </c>
      <c r="J1010" s="36">
        <f>SUMIF(mvtst[QR Suivis],mvtst[[#This Row],[QR Suivis]],mvtst[QTE SORTIS])-SUMIF(mvtst[QR Suivis],mvtst[[#This Row],[QR Suivis]],mvtst[QTE RETOUR])</f>
        <v>0</v>
      </c>
      <c r="K1010" s="35" t="str">
        <f t="shared" si="15"/>
        <v>Usine</v>
      </c>
      <c r="L1010" s="35" t="str">
        <f>_xlfn.XLOOKUP(mvtst[[#This Row],[Sous Traitant]],coordonnee_st[Identification],coordonnee_st[SERVICE],"Non Trouvé")</f>
        <v>Frange</v>
      </c>
      <c r="M1010" s="35" t="str">
        <f>INDEX(_xlfn.TEXTSPLIT(mvtst[[#This Row],[QR Suivis]],"_"),1,2)</f>
        <v>All by Fouta</v>
      </c>
      <c r="N1010" s="35" t="str">
        <f>INDEX(_xlfn.TEXTSPLIT(mvtst[[#This Row],[QR Suivis]],"_"),1,3)</f>
        <v>Stock</v>
      </c>
      <c r="O1010" s="35" t="str">
        <f>INDEX(_xlfn.TEXTSPLIT(mvtst[[#This Row],[QR Suivis]],"_"),1,4)</f>
        <v>UNS1626-19</v>
      </c>
      <c r="P1010" s="35" t="str">
        <f>INDEX(_xlfn.TEXTSPLIT(mvtst[[#This Row],[QR Suivis]],"_"),1,5)</f>
        <v>UNI SURPIQUE</v>
      </c>
      <c r="Q1010" s="35" t="str">
        <f>_xlfn.TEXTAFTER(mvtst[[#This Row],[QR Suivis]],"_",5)</f>
        <v>1626</v>
      </c>
      <c r="R1010" s="84" t="str">
        <f>IF(
   COUNTIFS($A$2:A1010,A1010,
             $B$2:B1010,B1010,
             $C$2:C1010,C1010,
             $D$2:D1010,D1010,
             $G$2:G1010,G1010)&gt;1,
   "Doublon",
   "Correcte"
)</f>
        <v>Correcte</v>
      </c>
    </row>
    <row r="1011" spans="1:18" x14ac:dyDescent="0.25">
      <c r="A1011" s="104" t="s">
        <v>1841</v>
      </c>
      <c r="B1011" s="35" t="s">
        <v>712</v>
      </c>
      <c r="C1011" s="36">
        <v>5</v>
      </c>
      <c r="D1011" s="36">
        <v>0</v>
      </c>
      <c r="E1011" s="35" t="s">
        <v>699</v>
      </c>
      <c r="F1011" s="35" t="s">
        <v>634</v>
      </c>
      <c r="G1011" s="37">
        <v>45932.689583333333</v>
      </c>
      <c r="H1011" s="37" t="str">
        <f>INDEX(_xlfn.TEXTSPLIT(mvtst[[#This Row],[QR Suivis]],"_"),1,1)</f>
        <v>CA250051-1</v>
      </c>
      <c r="I1011" s="35" t="str">
        <f>_xlfn.TEXTBEFORE(mvtst[[#This Row],[Num Suivis]],"-",,,1)</f>
        <v>CA250051</v>
      </c>
      <c r="J1011" s="36">
        <f>SUMIF(mvtst[QR Suivis],mvtst[[#This Row],[QR Suivis]],mvtst[QTE SORTIS])-SUMIF(mvtst[QR Suivis],mvtst[[#This Row],[QR Suivis]],mvtst[QTE RETOUR])</f>
        <v>0</v>
      </c>
      <c r="K1011" s="35" t="str">
        <f t="shared" si="15"/>
        <v>Usine</v>
      </c>
      <c r="L1011" s="35" t="str">
        <f>_xlfn.XLOOKUP(mvtst[[#This Row],[Sous Traitant]],coordonnee_st[Identification],coordonnee_st[SERVICE],"Non Trouvé")</f>
        <v>Frange</v>
      </c>
      <c r="M1011" s="35" t="str">
        <f>INDEX(_xlfn.TEXTSPLIT(mvtst[[#This Row],[QR Suivis]],"_"),1,2)</f>
        <v>All by Fouta</v>
      </c>
      <c r="N1011" s="35" t="str">
        <f>INDEX(_xlfn.TEXTSPLIT(mvtst[[#This Row],[QR Suivis]],"_"),1,3)</f>
        <v>Stock</v>
      </c>
      <c r="O1011" s="35" t="str">
        <f>INDEX(_xlfn.TEXTSPLIT(mvtst[[#This Row],[QR Suivis]],"_"),1,4)</f>
        <v>UNS1626-19</v>
      </c>
      <c r="P1011" s="35" t="str">
        <f>INDEX(_xlfn.TEXTSPLIT(mvtst[[#This Row],[QR Suivis]],"_"),1,5)</f>
        <v>UNI SURPIQUE</v>
      </c>
      <c r="Q1011" s="35" t="str">
        <f>_xlfn.TEXTAFTER(mvtst[[#This Row],[QR Suivis]],"_",5)</f>
        <v>1626</v>
      </c>
      <c r="R1011" s="84" t="str">
        <f>IF(
   COUNTIFS($A$2:A1011,A1011,
             $B$2:B1011,B1011,
             $C$2:C1011,C1011,
             $D$2:D1011,D1011,
             $G$2:G1011,G1011)&gt;1,
   "Doublon",
   "Correcte"
)</f>
        <v>Correcte</v>
      </c>
    </row>
    <row r="1012" spans="1:18" x14ac:dyDescent="0.25">
      <c r="A1012" s="104" t="s">
        <v>1842</v>
      </c>
      <c r="B1012" s="35" t="s">
        <v>595</v>
      </c>
      <c r="C1012" s="36">
        <v>5</v>
      </c>
      <c r="D1012" s="36">
        <v>0</v>
      </c>
      <c r="E1012" s="35" t="s">
        <v>699</v>
      </c>
      <c r="F1012" s="35" t="s">
        <v>634</v>
      </c>
      <c r="G1012" s="37">
        <v>45932.694143518522</v>
      </c>
      <c r="H1012" s="37" t="str">
        <f>INDEX(_xlfn.TEXTSPLIT(mvtst[[#This Row],[QR Suivis]],"_"),1,1)</f>
        <v>OF246535-6</v>
      </c>
      <c r="I1012" s="35" t="str">
        <f>_xlfn.TEXTBEFORE(mvtst[[#This Row],[Num Suivis]],"-",,,1)</f>
        <v>OF246535</v>
      </c>
      <c r="J1012" s="36">
        <f>SUMIF(mvtst[QR Suivis],mvtst[[#This Row],[QR Suivis]],mvtst[QTE SORTIS])-SUMIF(mvtst[QR Suivis],mvtst[[#This Row],[QR Suivis]],mvtst[QTE RETOUR])</f>
        <v>0</v>
      </c>
      <c r="K1012" s="35" t="str">
        <f t="shared" si="15"/>
        <v>Usine</v>
      </c>
      <c r="L1012" s="35" t="str">
        <f>_xlfn.XLOOKUP(mvtst[[#This Row],[Sous Traitant]],coordonnee_st[Identification],coordonnee_st[SERVICE],"Non Trouvé")</f>
        <v>Frange</v>
      </c>
      <c r="M1012" s="35" t="str">
        <f>INDEX(_xlfn.TEXTSPLIT(mvtst[[#This Row],[QR Suivis]],"_"),1,2)</f>
        <v>CL00296</v>
      </c>
      <c r="N1012" s="35" t="str">
        <f>INDEX(_xlfn.TEXTSPLIT(mvtst[[#This Row],[QR Suivis]],"_"),1,3)</f>
        <v>CM-FT0108</v>
      </c>
      <c r="O1012" s="35" t="str">
        <f>INDEX(_xlfn.TEXTSPLIT(mvtst[[#This Row],[QR Suivis]],"_"),1,4)</f>
        <v>EPMA0919-B03-02</v>
      </c>
      <c r="P1012" s="35" t="str">
        <f>INDEX(_xlfn.TEXTSPLIT(mvtst[[#This Row],[QR Suivis]],"_"),1,5)</f>
        <v>MARINIERE</v>
      </c>
      <c r="Q1012" s="35" t="str">
        <f>_xlfn.TEXTAFTER(mvtst[[#This Row],[QR Suivis]],"_",5)</f>
        <v>0919</v>
      </c>
      <c r="R1012" s="84" t="str">
        <f>IF(
   COUNTIFS($A$2:A1012,A1012,
             $B$2:B1012,B1012,
             $C$2:C1012,C1012,
             $D$2:D1012,D1012,
             $G$2:G1012,G1012)&gt;1,
   "Doublon",
   "Correcte"
)</f>
        <v>Correcte</v>
      </c>
    </row>
    <row r="1013" spans="1:18" x14ac:dyDescent="0.25">
      <c r="A1013" s="104" t="s">
        <v>1843</v>
      </c>
      <c r="B1013" s="35" t="s">
        <v>595</v>
      </c>
      <c r="C1013" s="36">
        <v>5</v>
      </c>
      <c r="D1013" s="36">
        <v>0</v>
      </c>
      <c r="E1013" s="35" t="s">
        <v>699</v>
      </c>
      <c r="F1013" s="35" t="s">
        <v>634</v>
      </c>
      <c r="G1013" s="37">
        <v>45932.694340277776</v>
      </c>
      <c r="H1013" s="37" t="str">
        <f>INDEX(_xlfn.TEXTSPLIT(mvtst[[#This Row],[QR Suivis]],"_"),1,1)</f>
        <v>OF249869-2</v>
      </c>
      <c r="I1013" s="35" t="str">
        <f>_xlfn.TEXTBEFORE(mvtst[[#This Row],[Num Suivis]],"-",,,1)</f>
        <v>OF249869</v>
      </c>
      <c r="J1013" s="36">
        <f>SUMIF(mvtst[QR Suivis],mvtst[[#This Row],[QR Suivis]],mvtst[QTE SORTIS])-SUMIF(mvtst[QR Suivis],mvtst[[#This Row],[QR Suivis]],mvtst[QTE RETOUR])</f>
        <v>0</v>
      </c>
      <c r="K1013" s="35" t="str">
        <f t="shared" si="15"/>
        <v>Usine</v>
      </c>
      <c r="L1013" s="35" t="str">
        <f>_xlfn.XLOOKUP(mvtst[[#This Row],[Sous Traitant]],coordonnee_st[Identification],coordonnee_st[SERVICE],"Non Trouvé")</f>
        <v>Frange</v>
      </c>
      <c r="M1013" s="35" t="str">
        <f>INDEX(_xlfn.TEXTSPLIT(mvtst[[#This Row],[QR Suivis]],"_"),1,2)</f>
        <v>CL00884</v>
      </c>
      <c r="N1013" s="35" t="str">
        <f>INDEX(_xlfn.TEXTSPLIT(mvtst[[#This Row],[QR Suivis]],"_"),1,3)</f>
        <v>CM-FT0119</v>
      </c>
      <c r="O1013" s="35" t="str">
        <f>INDEX(_xlfn.TEXTSPLIT(mvtst[[#This Row],[QR Suivis]],"_"),1,4)</f>
        <v>EPMA0919-B29-02</v>
      </c>
      <c r="P1013" s="35" t="str">
        <f>INDEX(_xlfn.TEXTSPLIT(mvtst[[#This Row],[QR Suivis]],"_"),1,5)</f>
        <v>MARINIERE</v>
      </c>
      <c r="Q1013" s="35" t="str">
        <f>_xlfn.TEXTAFTER(mvtst[[#This Row],[QR Suivis]],"_",5)</f>
        <v>0919</v>
      </c>
      <c r="R1013" s="84" t="str">
        <f>IF(
   COUNTIFS($A$2:A1013,A1013,
             $B$2:B1013,B1013,
             $C$2:C1013,C1013,
             $D$2:D1013,D1013,
             $G$2:G1013,G1013)&gt;1,
   "Doublon",
   "Correcte"
)</f>
        <v>Correcte</v>
      </c>
    </row>
    <row r="1014" spans="1:18" x14ac:dyDescent="0.25">
      <c r="A1014" s="104" t="s">
        <v>1844</v>
      </c>
      <c r="B1014" s="35" t="s">
        <v>595</v>
      </c>
      <c r="C1014" s="36">
        <v>5</v>
      </c>
      <c r="D1014" s="36">
        <v>0</v>
      </c>
      <c r="E1014" s="35" t="s">
        <v>699</v>
      </c>
      <c r="F1014" s="35" t="s">
        <v>634</v>
      </c>
      <c r="G1014" s="37">
        <v>45932.694525462961</v>
      </c>
      <c r="H1014" s="37" t="str">
        <f>INDEX(_xlfn.TEXTSPLIT(mvtst[[#This Row],[QR Suivis]],"_"),1,1)</f>
        <v>OF249869-3</v>
      </c>
      <c r="I1014" s="35" t="str">
        <f>_xlfn.TEXTBEFORE(mvtst[[#This Row],[Num Suivis]],"-",,,1)</f>
        <v>OF249869</v>
      </c>
      <c r="J1014" s="36">
        <f>SUMIF(mvtst[QR Suivis],mvtst[[#This Row],[QR Suivis]],mvtst[QTE SORTIS])-SUMIF(mvtst[QR Suivis],mvtst[[#This Row],[QR Suivis]],mvtst[QTE RETOUR])</f>
        <v>0</v>
      </c>
      <c r="K1014" s="35" t="str">
        <f t="shared" si="15"/>
        <v>Usine</v>
      </c>
      <c r="L1014" s="35" t="str">
        <f>_xlfn.XLOOKUP(mvtst[[#This Row],[Sous Traitant]],coordonnee_st[Identification],coordonnee_st[SERVICE],"Non Trouvé")</f>
        <v>Frange</v>
      </c>
      <c r="M1014" s="35" t="str">
        <f>INDEX(_xlfn.TEXTSPLIT(mvtst[[#This Row],[QR Suivis]],"_"),1,2)</f>
        <v>CL00884</v>
      </c>
      <c r="N1014" s="35" t="str">
        <f>INDEX(_xlfn.TEXTSPLIT(mvtst[[#This Row],[QR Suivis]],"_"),1,3)</f>
        <v>CM-FT0119</v>
      </c>
      <c r="O1014" s="35" t="str">
        <f>INDEX(_xlfn.TEXTSPLIT(mvtst[[#This Row],[QR Suivis]],"_"),1,4)</f>
        <v>EPMA0919-B29-02</v>
      </c>
      <c r="P1014" s="35" t="str">
        <f>INDEX(_xlfn.TEXTSPLIT(mvtst[[#This Row],[QR Suivis]],"_"),1,5)</f>
        <v>MARINIERE</v>
      </c>
      <c r="Q1014" s="35" t="str">
        <f>_xlfn.TEXTAFTER(mvtst[[#This Row],[QR Suivis]],"_",5)</f>
        <v>0919</v>
      </c>
      <c r="R1014" s="84" t="str">
        <f>IF(
   COUNTIFS($A$2:A1014,A1014,
             $B$2:B1014,B1014,
             $C$2:C1014,C1014,
             $D$2:D1014,D1014,
             $G$2:G1014,G1014)&gt;1,
   "Doublon",
   "Correcte"
)</f>
        <v>Correcte</v>
      </c>
    </row>
    <row r="1015" spans="1:18" x14ac:dyDescent="0.25">
      <c r="A1015" s="104" t="s">
        <v>1845</v>
      </c>
      <c r="B1015" s="35" t="s">
        <v>595</v>
      </c>
      <c r="C1015" s="36">
        <v>5</v>
      </c>
      <c r="D1015" s="36">
        <v>0</v>
      </c>
      <c r="E1015" s="35" t="s">
        <v>699</v>
      </c>
      <c r="F1015" s="35" t="s">
        <v>634</v>
      </c>
      <c r="G1015" s="37">
        <v>45932.694710648146</v>
      </c>
      <c r="H1015" s="37" t="str">
        <f>INDEX(_xlfn.TEXTSPLIT(mvtst[[#This Row],[QR Suivis]],"_"),1,1)</f>
        <v>OF249869-4</v>
      </c>
      <c r="I1015" s="35" t="str">
        <f>_xlfn.TEXTBEFORE(mvtst[[#This Row],[Num Suivis]],"-",,,1)</f>
        <v>OF249869</v>
      </c>
      <c r="J1015" s="36">
        <f>SUMIF(mvtst[QR Suivis],mvtst[[#This Row],[QR Suivis]],mvtst[QTE SORTIS])-SUMIF(mvtst[QR Suivis],mvtst[[#This Row],[QR Suivis]],mvtst[QTE RETOUR])</f>
        <v>0</v>
      </c>
      <c r="K1015" s="35" t="str">
        <f t="shared" si="15"/>
        <v>Usine</v>
      </c>
      <c r="L1015" s="35" t="str">
        <f>_xlfn.XLOOKUP(mvtst[[#This Row],[Sous Traitant]],coordonnee_st[Identification],coordonnee_st[SERVICE],"Non Trouvé")</f>
        <v>Frange</v>
      </c>
      <c r="M1015" s="35" t="str">
        <f>INDEX(_xlfn.TEXTSPLIT(mvtst[[#This Row],[QR Suivis]],"_"),1,2)</f>
        <v>CL00884</v>
      </c>
      <c r="N1015" s="35" t="str">
        <f>INDEX(_xlfn.TEXTSPLIT(mvtst[[#This Row],[QR Suivis]],"_"),1,3)</f>
        <v>CM-FT0119</v>
      </c>
      <c r="O1015" s="35" t="str">
        <f>INDEX(_xlfn.TEXTSPLIT(mvtst[[#This Row],[QR Suivis]],"_"),1,4)</f>
        <v>EPMA0919-B29-02</v>
      </c>
      <c r="P1015" s="35" t="str">
        <f>INDEX(_xlfn.TEXTSPLIT(mvtst[[#This Row],[QR Suivis]],"_"),1,5)</f>
        <v>MARINIERE</v>
      </c>
      <c r="Q1015" s="35" t="str">
        <f>_xlfn.TEXTAFTER(mvtst[[#This Row],[QR Suivis]],"_",5)</f>
        <v>0919</v>
      </c>
      <c r="R1015" s="84" t="str">
        <f>IF(
   COUNTIFS($A$2:A1015,A1015,
             $B$2:B1015,B1015,
             $C$2:C1015,C1015,
             $D$2:D1015,D1015,
             $G$2:G1015,G1015)&gt;1,
   "Doublon",
   "Correcte"
)</f>
        <v>Correcte</v>
      </c>
    </row>
    <row r="1016" spans="1:18" x14ac:dyDescent="0.25">
      <c r="A1016" s="104" t="s">
        <v>1846</v>
      </c>
      <c r="B1016" s="35" t="s">
        <v>595</v>
      </c>
      <c r="C1016" s="36">
        <v>4</v>
      </c>
      <c r="D1016" s="36">
        <v>0</v>
      </c>
      <c r="E1016" s="35" t="s">
        <v>699</v>
      </c>
      <c r="F1016" s="35" t="s">
        <v>634</v>
      </c>
      <c r="G1016" s="37">
        <v>45932.695081018515</v>
      </c>
      <c r="H1016" s="37" t="str">
        <f>INDEX(_xlfn.TEXTSPLIT(mvtst[[#This Row],[QR Suivis]],"_"),1,1)</f>
        <v>OF246547-16</v>
      </c>
      <c r="I1016" s="35" t="str">
        <f>_xlfn.TEXTBEFORE(mvtst[[#This Row],[Num Suivis]],"-",,,1)</f>
        <v>OF246547</v>
      </c>
      <c r="J1016" s="36">
        <f>SUMIF(mvtst[QR Suivis],mvtst[[#This Row],[QR Suivis]],mvtst[QTE SORTIS])-SUMIF(mvtst[QR Suivis],mvtst[[#This Row],[QR Suivis]],mvtst[QTE RETOUR])</f>
        <v>0</v>
      </c>
      <c r="K1016" s="35" t="str">
        <f t="shared" si="15"/>
        <v>Usine</v>
      </c>
      <c r="L1016" s="35" t="str">
        <f>_xlfn.XLOOKUP(mvtst[[#This Row],[Sous Traitant]],coordonnee_st[Identification],coordonnee_st[SERVICE],"Non Trouvé")</f>
        <v>Frange</v>
      </c>
      <c r="M1016" s="35" t="str">
        <f>INDEX(_xlfn.TEXTSPLIT(mvtst[[#This Row],[QR Suivis]],"_"),1,2)</f>
        <v>CL00296</v>
      </c>
      <c r="N1016" s="35" t="str">
        <f>INDEX(_xlfn.TEXTSPLIT(mvtst[[#This Row],[QR Suivis]],"_"),1,3)</f>
        <v>CM-FT0108</v>
      </c>
      <c r="O1016" s="35" t="str">
        <f>INDEX(_xlfn.TEXTSPLIT(mvtst[[#This Row],[QR Suivis]],"_"),1,4)</f>
        <v>EPMA0919-B11-02</v>
      </c>
      <c r="P1016" s="35" t="str">
        <f>INDEX(_xlfn.TEXTSPLIT(mvtst[[#This Row],[QR Suivis]],"_"),1,5)</f>
        <v>MARINIERE</v>
      </c>
      <c r="Q1016" s="35" t="str">
        <f>_xlfn.TEXTAFTER(mvtst[[#This Row],[QR Suivis]],"_",5)</f>
        <v>0919</v>
      </c>
      <c r="R1016" s="84" t="str">
        <f>IF(
   COUNTIFS($A$2:A1016,A1016,
             $B$2:B1016,B1016,
             $C$2:C1016,C1016,
             $D$2:D1016,D1016,
             $G$2:G1016,G1016)&gt;1,
   "Doublon",
   "Correcte"
)</f>
        <v>Correcte</v>
      </c>
    </row>
    <row r="1017" spans="1:18" x14ac:dyDescent="0.25">
      <c r="A1017" s="104" t="s">
        <v>1847</v>
      </c>
      <c r="B1017" s="35" t="s">
        <v>595</v>
      </c>
      <c r="C1017" s="36">
        <v>5</v>
      </c>
      <c r="D1017" s="36">
        <v>0</v>
      </c>
      <c r="E1017" s="35" t="s">
        <v>699</v>
      </c>
      <c r="F1017" s="35" t="s">
        <v>634</v>
      </c>
      <c r="G1017" s="37">
        <v>45932.695300925923</v>
      </c>
      <c r="H1017" s="37" t="str">
        <f>INDEX(_xlfn.TEXTSPLIT(mvtst[[#This Row],[QR Suivis]],"_"),1,1)</f>
        <v>OF246535-5</v>
      </c>
      <c r="I1017" s="35" t="str">
        <f>_xlfn.TEXTBEFORE(mvtst[[#This Row],[Num Suivis]],"-",,,1)</f>
        <v>OF246535</v>
      </c>
      <c r="J1017" s="36">
        <f>SUMIF(mvtst[QR Suivis],mvtst[[#This Row],[QR Suivis]],mvtst[QTE SORTIS])-SUMIF(mvtst[QR Suivis],mvtst[[#This Row],[QR Suivis]],mvtst[QTE RETOUR])</f>
        <v>0</v>
      </c>
      <c r="K1017" s="35" t="str">
        <f t="shared" si="15"/>
        <v>Usine</v>
      </c>
      <c r="L1017" s="35" t="str">
        <f>_xlfn.XLOOKUP(mvtst[[#This Row],[Sous Traitant]],coordonnee_st[Identification],coordonnee_st[SERVICE],"Non Trouvé")</f>
        <v>Frange</v>
      </c>
      <c r="M1017" s="35" t="str">
        <f>INDEX(_xlfn.TEXTSPLIT(mvtst[[#This Row],[QR Suivis]],"_"),1,2)</f>
        <v>CL00296</v>
      </c>
      <c r="N1017" s="35" t="str">
        <f>INDEX(_xlfn.TEXTSPLIT(mvtst[[#This Row],[QR Suivis]],"_"),1,3)</f>
        <v>CM-FT0108</v>
      </c>
      <c r="O1017" s="35" t="str">
        <f>INDEX(_xlfn.TEXTSPLIT(mvtst[[#This Row],[QR Suivis]],"_"),1,4)</f>
        <v>EPMA0919-B03-02</v>
      </c>
      <c r="P1017" s="35" t="str">
        <f>INDEX(_xlfn.TEXTSPLIT(mvtst[[#This Row],[QR Suivis]],"_"),1,5)</f>
        <v>MARINIERE</v>
      </c>
      <c r="Q1017" s="35" t="str">
        <f>_xlfn.TEXTAFTER(mvtst[[#This Row],[QR Suivis]],"_",5)</f>
        <v>0919</v>
      </c>
      <c r="R1017" s="84" t="str">
        <f>IF(
   COUNTIFS($A$2:A1017,A1017,
             $B$2:B1017,B1017,
             $C$2:C1017,C1017,
             $D$2:D1017,D1017,
             $G$2:G1017,G1017)&gt;1,
   "Doublon",
   "Correcte"
)</f>
        <v>Correcte</v>
      </c>
    </row>
    <row r="1018" spans="1:18" x14ac:dyDescent="0.25">
      <c r="A1018" s="104" t="s">
        <v>1848</v>
      </c>
      <c r="B1018" s="35" t="s">
        <v>595</v>
      </c>
      <c r="C1018" s="36">
        <v>1</v>
      </c>
      <c r="D1018" s="36">
        <v>0</v>
      </c>
      <c r="E1018" s="35" t="s">
        <v>699</v>
      </c>
      <c r="F1018" s="35" t="s">
        <v>634</v>
      </c>
      <c r="G1018" s="37">
        <v>45932.695497685185</v>
      </c>
      <c r="H1018" s="37" t="str">
        <f>INDEX(_xlfn.TEXTSPLIT(mvtst[[#This Row],[QR Suivis]],"_"),1,1)</f>
        <v>OF246544-17</v>
      </c>
      <c r="I1018" s="35" t="str">
        <f>_xlfn.TEXTBEFORE(mvtst[[#This Row],[Num Suivis]],"-",,,1)</f>
        <v>OF246544</v>
      </c>
      <c r="J1018" s="36">
        <f>SUMIF(mvtst[QR Suivis],mvtst[[#This Row],[QR Suivis]],mvtst[QTE SORTIS])-SUMIF(mvtst[QR Suivis],mvtst[[#This Row],[QR Suivis]],mvtst[QTE RETOUR])</f>
        <v>0</v>
      </c>
      <c r="K1018" s="35" t="str">
        <f t="shared" si="15"/>
        <v>Usine</v>
      </c>
      <c r="L1018" s="35" t="str">
        <f>_xlfn.XLOOKUP(mvtst[[#This Row],[Sous Traitant]],coordonnee_st[Identification],coordonnee_st[SERVICE],"Non Trouvé")</f>
        <v>Frange</v>
      </c>
      <c r="M1018" s="35" t="str">
        <f>INDEX(_xlfn.TEXTSPLIT(mvtst[[#This Row],[QR Suivis]],"_"),1,2)</f>
        <v>CL00296</v>
      </c>
      <c r="N1018" s="35" t="str">
        <f>INDEX(_xlfn.TEXTSPLIT(mvtst[[#This Row],[QR Suivis]],"_"),1,3)</f>
        <v>CM-FT0108</v>
      </c>
      <c r="O1018" s="35" t="str">
        <f>INDEX(_xlfn.TEXTSPLIT(mvtst[[#This Row],[QR Suivis]],"_"),1,4)</f>
        <v>EPMA0919-B03-02</v>
      </c>
      <c r="P1018" s="35" t="str">
        <f>INDEX(_xlfn.TEXTSPLIT(mvtst[[#This Row],[QR Suivis]],"_"),1,5)</f>
        <v>MARINIERE</v>
      </c>
      <c r="Q1018" s="35" t="str">
        <f>_xlfn.TEXTAFTER(mvtst[[#This Row],[QR Suivis]],"_",5)</f>
        <v>0919</v>
      </c>
      <c r="R1018" s="84" t="str">
        <f>IF(
   COUNTIFS($A$2:A1018,A1018,
             $B$2:B1018,B1018,
             $C$2:C1018,C1018,
             $D$2:D1018,D1018,
             $G$2:G1018,G1018)&gt;1,
   "Doublon",
   "Correcte"
)</f>
        <v>Correcte</v>
      </c>
    </row>
    <row r="1019" spans="1:18" x14ac:dyDescent="0.25">
      <c r="A1019" s="104" t="s">
        <v>1849</v>
      </c>
      <c r="B1019" s="35" t="s">
        <v>595</v>
      </c>
      <c r="C1019" s="36">
        <v>5</v>
      </c>
      <c r="D1019" s="36">
        <v>0</v>
      </c>
      <c r="E1019" s="35" t="s">
        <v>699</v>
      </c>
      <c r="F1019" s="35" t="s">
        <v>634</v>
      </c>
      <c r="G1019" s="37">
        <v>45932.695648148147</v>
      </c>
      <c r="H1019" s="37" t="str">
        <f>INDEX(_xlfn.TEXTSPLIT(mvtst[[#This Row],[QR Suivis]],"_"),1,1)</f>
        <v>OF249869-7</v>
      </c>
      <c r="I1019" s="35" t="str">
        <f>_xlfn.TEXTBEFORE(mvtst[[#This Row],[Num Suivis]],"-",,,1)</f>
        <v>OF249869</v>
      </c>
      <c r="J1019" s="36">
        <f>SUMIF(mvtst[QR Suivis],mvtst[[#This Row],[QR Suivis]],mvtst[QTE SORTIS])-SUMIF(mvtst[QR Suivis],mvtst[[#This Row],[QR Suivis]],mvtst[QTE RETOUR])</f>
        <v>0</v>
      </c>
      <c r="K1019" s="35" t="str">
        <f t="shared" si="15"/>
        <v>Usine</v>
      </c>
      <c r="L1019" s="35" t="str">
        <f>_xlfn.XLOOKUP(mvtst[[#This Row],[Sous Traitant]],coordonnee_st[Identification],coordonnee_st[SERVICE],"Non Trouvé")</f>
        <v>Frange</v>
      </c>
      <c r="M1019" s="35" t="str">
        <f>INDEX(_xlfn.TEXTSPLIT(mvtst[[#This Row],[QR Suivis]],"_"),1,2)</f>
        <v>CL00884</v>
      </c>
      <c r="N1019" s="35" t="str">
        <f>INDEX(_xlfn.TEXTSPLIT(mvtst[[#This Row],[QR Suivis]],"_"),1,3)</f>
        <v>CM-FT0119</v>
      </c>
      <c r="O1019" s="35" t="str">
        <f>INDEX(_xlfn.TEXTSPLIT(mvtst[[#This Row],[QR Suivis]],"_"),1,4)</f>
        <v>EPMA0919-B29-02</v>
      </c>
      <c r="P1019" s="35" t="str">
        <f>INDEX(_xlfn.TEXTSPLIT(mvtst[[#This Row],[QR Suivis]],"_"),1,5)</f>
        <v>MARINIERE</v>
      </c>
      <c r="Q1019" s="35" t="str">
        <f>_xlfn.TEXTAFTER(mvtst[[#This Row],[QR Suivis]],"_",5)</f>
        <v>0919</v>
      </c>
      <c r="R1019" s="84" t="str">
        <f>IF(
   COUNTIFS($A$2:A1019,A1019,
             $B$2:B1019,B1019,
             $C$2:C1019,C1019,
             $D$2:D1019,D1019,
             $G$2:G1019,G1019)&gt;1,
   "Doublon",
   "Correcte"
)</f>
        <v>Correcte</v>
      </c>
    </row>
    <row r="1020" spans="1:18" x14ac:dyDescent="0.25">
      <c r="A1020" s="104" t="s">
        <v>1850</v>
      </c>
      <c r="B1020" s="35" t="s">
        <v>595</v>
      </c>
      <c r="C1020" s="36">
        <v>5</v>
      </c>
      <c r="D1020" s="36">
        <v>0</v>
      </c>
      <c r="E1020" s="35" t="s">
        <v>699</v>
      </c>
      <c r="F1020" s="35" t="s">
        <v>634</v>
      </c>
      <c r="G1020" s="37">
        <v>45932.695937500001</v>
      </c>
      <c r="H1020" s="37" t="str">
        <f>INDEX(_xlfn.TEXTSPLIT(mvtst[[#This Row],[QR Suivis]],"_"),1,1)</f>
        <v>OF249869-1</v>
      </c>
      <c r="I1020" s="35" t="str">
        <f>_xlfn.TEXTBEFORE(mvtst[[#This Row],[Num Suivis]],"-",,,1)</f>
        <v>OF249869</v>
      </c>
      <c r="J1020" s="36">
        <f>SUMIF(mvtst[QR Suivis],mvtst[[#This Row],[QR Suivis]],mvtst[QTE SORTIS])-SUMIF(mvtst[QR Suivis],mvtst[[#This Row],[QR Suivis]],mvtst[QTE RETOUR])</f>
        <v>0</v>
      </c>
      <c r="K1020" s="35" t="str">
        <f t="shared" si="15"/>
        <v>Usine</v>
      </c>
      <c r="L1020" s="35" t="str">
        <f>_xlfn.XLOOKUP(mvtst[[#This Row],[Sous Traitant]],coordonnee_st[Identification],coordonnee_st[SERVICE],"Non Trouvé")</f>
        <v>Frange</v>
      </c>
      <c r="M1020" s="35" t="str">
        <f>INDEX(_xlfn.TEXTSPLIT(mvtst[[#This Row],[QR Suivis]],"_"),1,2)</f>
        <v>CL00884</v>
      </c>
      <c r="N1020" s="35" t="str">
        <f>INDEX(_xlfn.TEXTSPLIT(mvtst[[#This Row],[QR Suivis]],"_"),1,3)</f>
        <v>CM-FT0119</v>
      </c>
      <c r="O1020" s="35" t="str">
        <f>INDEX(_xlfn.TEXTSPLIT(mvtst[[#This Row],[QR Suivis]],"_"),1,4)</f>
        <v>EPMA0919-B29-02</v>
      </c>
      <c r="P1020" s="35" t="str">
        <f>INDEX(_xlfn.TEXTSPLIT(mvtst[[#This Row],[QR Suivis]],"_"),1,5)</f>
        <v>MARINIERE</v>
      </c>
      <c r="Q1020" s="35" t="str">
        <f>_xlfn.TEXTAFTER(mvtst[[#This Row],[QR Suivis]],"_",5)</f>
        <v>0919</v>
      </c>
      <c r="R1020" s="84" t="str">
        <f>IF(
   COUNTIFS($A$2:A1020,A1020,
             $B$2:B1020,B1020,
             $C$2:C1020,C1020,
             $D$2:D1020,D1020,
             $G$2:G1020,G1020)&gt;1,
   "Doublon",
   "Correcte"
)</f>
        <v>Correcte</v>
      </c>
    </row>
    <row r="1021" spans="1:18" x14ac:dyDescent="0.25">
      <c r="A1021" s="104" t="s">
        <v>1851</v>
      </c>
      <c r="B1021" s="35" t="s">
        <v>595</v>
      </c>
      <c r="C1021" s="36">
        <v>5</v>
      </c>
      <c r="D1021" s="36">
        <v>0</v>
      </c>
      <c r="E1021" s="35" t="s">
        <v>699</v>
      </c>
      <c r="F1021" s="35" t="s">
        <v>634</v>
      </c>
      <c r="G1021" s="37">
        <v>45932.696145833332</v>
      </c>
      <c r="H1021" s="37" t="str">
        <f>INDEX(_xlfn.TEXTSPLIT(mvtst[[#This Row],[QR Suivis]],"_"),1,1)</f>
        <v>OF249869-5</v>
      </c>
      <c r="I1021" s="35" t="str">
        <f>_xlfn.TEXTBEFORE(mvtst[[#This Row],[Num Suivis]],"-",,,1)</f>
        <v>OF249869</v>
      </c>
      <c r="J1021" s="36">
        <f>SUMIF(mvtst[QR Suivis],mvtst[[#This Row],[QR Suivis]],mvtst[QTE SORTIS])-SUMIF(mvtst[QR Suivis],mvtst[[#This Row],[QR Suivis]],mvtst[QTE RETOUR])</f>
        <v>0</v>
      </c>
      <c r="K1021" s="35" t="str">
        <f t="shared" si="15"/>
        <v>Usine</v>
      </c>
      <c r="L1021" s="35" t="str">
        <f>_xlfn.XLOOKUP(mvtst[[#This Row],[Sous Traitant]],coordonnee_st[Identification],coordonnee_st[SERVICE],"Non Trouvé")</f>
        <v>Frange</v>
      </c>
      <c r="M1021" s="35" t="str">
        <f>INDEX(_xlfn.TEXTSPLIT(mvtst[[#This Row],[QR Suivis]],"_"),1,2)</f>
        <v>CL00884</v>
      </c>
      <c r="N1021" s="35" t="str">
        <f>INDEX(_xlfn.TEXTSPLIT(mvtst[[#This Row],[QR Suivis]],"_"),1,3)</f>
        <v>CM-FT0119</v>
      </c>
      <c r="O1021" s="35" t="str">
        <f>INDEX(_xlfn.TEXTSPLIT(mvtst[[#This Row],[QR Suivis]],"_"),1,4)</f>
        <v>EPMA0919-B29-02</v>
      </c>
      <c r="P1021" s="35" t="str">
        <f>INDEX(_xlfn.TEXTSPLIT(mvtst[[#This Row],[QR Suivis]],"_"),1,5)</f>
        <v>MARINIERE</v>
      </c>
      <c r="Q1021" s="35" t="str">
        <f>_xlfn.TEXTAFTER(mvtst[[#This Row],[QR Suivis]],"_",5)</f>
        <v>0919</v>
      </c>
      <c r="R1021" s="84" t="str">
        <f>IF(
   COUNTIFS($A$2:A1021,A1021,
             $B$2:B1021,B1021,
             $C$2:C1021,C1021,
             $D$2:D1021,D1021,
             $G$2:G1021,G1021)&gt;1,
   "Doublon",
   "Correcte"
)</f>
        <v>Correcte</v>
      </c>
    </row>
    <row r="1022" spans="1:18" x14ac:dyDescent="0.25">
      <c r="A1022" s="104" t="s">
        <v>1852</v>
      </c>
      <c r="B1022" s="35" t="s">
        <v>595</v>
      </c>
      <c r="C1022" s="36">
        <v>5</v>
      </c>
      <c r="D1022" s="36">
        <v>0</v>
      </c>
      <c r="E1022" s="35" t="s">
        <v>699</v>
      </c>
      <c r="F1022" s="35" t="s">
        <v>634</v>
      </c>
      <c r="G1022" s="37">
        <v>45932.69635416667</v>
      </c>
      <c r="H1022" s="37" t="str">
        <f>INDEX(_xlfn.TEXTSPLIT(mvtst[[#This Row],[QR Suivis]],"_"),1,1)</f>
        <v>OF249869-6</v>
      </c>
      <c r="I1022" s="35" t="str">
        <f>_xlfn.TEXTBEFORE(mvtst[[#This Row],[Num Suivis]],"-",,,1)</f>
        <v>OF249869</v>
      </c>
      <c r="J1022" s="36">
        <f>SUMIF(mvtst[QR Suivis],mvtst[[#This Row],[QR Suivis]],mvtst[QTE SORTIS])-SUMIF(mvtst[QR Suivis],mvtst[[#This Row],[QR Suivis]],mvtst[QTE RETOUR])</f>
        <v>0</v>
      </c>
      <c r="K1022" s="35" t="str">
        <f t="shared" si="15"/>
        <v>Usine</v>
      </c>
      <c r="L1022" s="35" t="str">
        <f>_xlfn.XLOOKUP(mvtst[[#This Row],[Sous Traitant]],coordonnee_st[Identification],coordonnee_st[SERVICE],"Non Trouvé")</f>
        <v>Frange</v>
      </c>
      <c r="M1022" s="35" t="str">
        <f>INDEX(_xlfn.TEXTSPLIT(mvtst[[#This Row],[QR Suivis]],"_"),1,2)</f>
        <v>CL00884</v>
      </c>
      <c r="N1022" s="35" t="str">
        <f>INDEX(_xlfn.TEXTSPLIT(mvtst[[#This Row],[QR Suivis]],"_"),1,3)</f>
        <v>CM-FT0119</v>
      </c>
      <c r="O1022" s="35" t="str">
        <f>INDEX(_xlfn.TEXTSPLIT(mvtst[[#This Row],[QR Suivis]],"_"),1,4)</f>
        <v>EPMA0919-B29-02</v>
      </c>
      <c r="P1022" s="35" t="str">
        <f>INDEX(_xlfn.TEXTSPLIT(mvtst[[#This Row],[QR Suivis]],"_"),1,5)</f>
        <v>MARINIERE</v>
      </c>
      <c r="Q1022" s="35" t="str">
        <f>_xlfn.TEXTAFTER(mvtst[[#This Row],[QR Suivis]],"_",5)</f>
        <v>0919</v>
      </c>
      <c r="R1022" s="84" t="str">
        <f>IF(
   COUNTIFS($A$2:A1022,A1022,
             $B$2:B1022,B1022,
             $C$2:C1022,C1022,
             $D$2:D1022,D1022,
             $G$2:G1022,G1022)&gt;1,
   "Doublon",
   "Correcte"
)</f>
        <v>Correcte</v>
      </c>
    </row>
    <row r="1023" spans="1:18" x14ac:dyDescent="0.25">
      <c r="A1023" s="104" t="s">
        <v>1763</v>
      </c>
      <c r="B1023" s="35" t="s">
        <v>595</v>
      </c>
      <c r="C1023" s="36">
        <v>0</v>
      </c>
      <c r="D1023" s="36">
        <v>1</v>
      </c>
      <c r="E1023" s="35" t="s">
        <v>699</v>
      </c>
      <c r="F1023" s="35" t="s">
        <v>634</v>
      </c>
      <c r="G1023" s="37">
        <v>45933.357847222222</v>
      </c>
      <c r="H1023" s="37" t="str">
        <f>INDEX(_xlfn.TEXTSPLIT(mvtst[[#This Row],[QR Suivis]],"_"),1,1)</f>
        <v>OF250132-6</v>
      </c>
      <c r="I1023" s="35" t="str">
        <f>_xlfn.TEXTBEFORE(mvtst[[#This Row],[Num Suivis]],"-",,,1)</f>
        <v>OF250132</v>
      </c>
      <c r="J1023" s="36">
        <f>SUMIF(mvtst[QR Suivis],mvtst[[#This Row],[QR Suivis]],mvtst[QTE SORTIS])-SUMIF(mvtst[QR Suivis],mvtst[[#This Row],[QR Suivis]],mvtst[QTE RETOUR])</f>
        <v>0</v>
      </c>
      <c r="K1023" s="35" t="str">
        <f t="shared" si="15"/>
        <v>Usine</v>
      </c>
      <c r="L1023" s="35" t="str">
        <f>_xlfn.XLOOKUP(mvtst[[#This Row],[Sous Traitant]],coordonnee_st[Identification],coordonnee_st[SERVICE],"Non Trouvé")</f>
        <v>Frange</v>
      </c>
      <c r="M1023" s="35" t="str">
        <f>INDEX(_xlfn.TEXTSPLIT(mvtst[[#This Row],[QR Suivis]],"_"),1,2)</f>
        <v>CL00162</v>
      </c>
      <c r="N1023" s="35" t="str">
        <f>INDEX(_xlfn.TEXTSPLIT(mvtst[[#This Row],[QR Suivis]],"_"),1,3)</f>
        <v>CM-FT0130</v>
      </c>
      <c r="O1023" s="35" t="str">
        <f>INDEX(_xlfn.TEXTSPLIT(mvtst[[#This Row],[QR Suivis]],"_"),1,4)</f>
        <v>GIN2426-B19-03</v>
      </c>
      <c r="P1023" s="35" t="str">
        <f>INDEX(_xlfn.TEXTSPLIT(mvtst[[#This Row],[QR Suivis]],"_"),1,5)</f>
        <v>GINKO</v>
      </c>
      <c r="Q1023" s="35" t="str">
        <f>_xlfn.TEXTAFTER(mvtst[[#This Row],[QR Suivis]],"_",5)</f>
        <v>2426</v>
      </c>
      <c r="R1023" s="84" t="str">
        <f>IF(
   COUNTIFS($A$2:A1023,A1023,
             $B$2:B1023,B1023,
             $C$2:C1023,C1023,
             $D$2:D1023,D1023,
             $G$2:G1023,G1023)&gt;1,
   "Doublon",
   "Correcte"
)</f>
        <v>Correcte</v>
      </c>
    </row>
    <row r="1024" spans="1:18" x14ac:dyDescent="0.25">
      <c r="A1024" s="104" t="s">
        <v>1769</v>
      </c>
      <c r="B1024" s="35" t="s">
        <v>595</v>
      </c>
      <c r="C1024" s="36">
        <v>0</v>
      </c>
      <c r="D1024" s="36">
        <v>2</v>
      </c>
      <c r="E1024" s="35" t="s">
        <v>699</v>
      </c>
      <c r="F1024" s="35" t="s">
        <v>634</v>
      </c>
      <c r="G1024" s="37">
        <v>45933.358148148145</v>
      </c>
      <c r="H1024" s="37" t="str">
        <f>INDEX(_xlfn.TEXTSPLIT(mvtst[[#This Row],[QR Suivis]],"_"),1,1)</f>
        <v>OF250130-4</v>
      </c>
      <c r="I1024" s="35" t="str">
        <f>_xlfn.TEXTBEFORE(mvtst[[#This Row],[Num Suivis]],"-",,,1)</f>
        <v>OF250130</v>
      </c>
      <c r="J1024" s="36">
        <f>SUMIF(mvtst[QR Suivis],mvtst[[#This Row],[QR Suivis]],mvtst[QTE SORTIS])-SUMIF(mvtst[QR Suivis],mvtst[[#This Row],[QR Suivis]],mvtst[QTE RETOUR])</f>
        <v>0</v>
      </c>
      <c r="K1024" s="35" t="str">
        <f t="shared" si="15"/>
        <v>Usine</v>
      </c>
      <c r="L1024" s="35" t="str">
        <f>_xlfn.XLOOKUP(mvtst[[#This Row],[Sous Traitant]],coordonnee_st[Identification],coordonnee_st[SERVICE],"Non Trouvé")</f>
        <v>Frange</v>
      </c>
      <c r="M1024" s="35" t="str">
        <f>INDEX(_xlfn.TEXTSPLIT(mvtst[[#This Row],[QR Suivis]],"_"),1,2)</f>
        <v>CL00162</v>
      </c>
      <c r="N1024" s="35" t="str">
        <f>INDEX(_xlfn.TEXTSPLIT(mvtst[[#This Row],[QR Suivis]],"_"),1,3)</f>
        <v>CM-FT0130</v>
      </c>
      <c r="O1024" s="35" t="str">
        <f>INDEX(_xlfn.TEXTSPLIT(mvtst[[#This Row],[QR Suivis]],"_"),1,4)</f>
        <v>GIN2426-B03-02</v>
      </c>
      <c r="P1024" s="35" t="str">
        <f>INDEX(_xlfn.TEXTSPLIT(mvtst[[#This Row],[QR Suivis]],"_"),1,5)</f>
        <v>GINKO</v>
      </c>
      <c r="Q1024" s="35" t="str">
        <f>_xlfn.TEXTAFTER(mvtst[[#This Row],[QR Suivis]],"_",5)</f>
        <v>2426</v>
      </c>
      <c r="R1024" s="84" t="str">
        <f>IF(
   COUNTIFS($A$2:A1024,A1024,
             $B$2:B1024,B1024,
             $C$2:C1024,C1024,
             $D$2:D1024,D1024,
             $G$2:G1024,G1024)&gt;1,
   "Doublon",
   "Correcte"
)</f>
        <v>Correcte</v>
      </c>
    </row>
    <row r="1025" spans="1:18" x14ac:dyDescent="0.25">
      <c r="A1025" s="104" t="s">
        <v>1768</v>
      </c>
      <c r="B1025" s="35" t="s">
        <v>595</v>
      </c>
      <c r="C1025" s="36">
        <v>0</v>
      </c>
      <c r="D1025" s="36">
        <v>2</v>
      </c>
      <c r="E1025" s="35" t="s">
        <v>699</v>
      </c>
      <c r="F1025" s="35" t="s">
        <v>634</v>
      </c>
      <c r="G1025" s="37">
        <v>45933.358391203707</v>
      </c>
      <c r="H1025" s="37" t="str">
        <f>INDEX(_xlfn.TEXTSPLIT(mvtst[[#This Row],[QR Suivis]],"_"),1,1)</f>
        <v>OF250130-5</v>
      </c>
      <c r="I1025" s="35" t="str">
        <f>_xlfn.TEXTBEFORE(mvtst[[#This Row],[Num Suivis]],"-",,,1)</f>
        <v>OF250130</v>
      </c>
      <c r="J1025" s="36">
        <f>SUMIF(mvtst[QR Suivis],mvtst[[#This Row],[QR Suivis]],mvtst[QTE SORTIS])-SUMIF(mvtst[QR Suivis],mvtst[[#This Row],[QR Suivis]],mvtst[QTE RETOUR])</f>
        <v>0</v>
      </c>
      <c r="K1025" s="35" t="str">
        <f t="shared" si="15"/>
        <v>Usine</v>
      </c>
      <c r="L1025" s="35" t="str">
        <f>_xlfn.XLOOKUP(mvtst[[#This Row],[Sous Traitant]],coordonnee_st[Identification],coordonnee_st[SERVICE],"Non Trouvé")</f>
        <v>Frange</v>
      </c>
      <c r="M1025" s="35" t="str">
        <f>INDEX(_xlfn.TEXTSPLIT(mvtst[[#This Row],[QR Suivis]],"_"),1,2)</f>
        <v>CL00162</v>
      </c>
      <c r="N1025" s="35" t="str">
        <f>INDEX(_xlfn.TEXTSPLIT(mvtst[[#This Row],[QR Suivis]],"_"),1,3)</f>
        <v>CM-FT0130</v>
      </c>
      <c r="O1025" s="35" t="str">
        <f>INDEX(_xlfn.TEXTSPLIT(mvtst[[#This Row],[QR Suivis]],"_"),1,4)</f>
        <v>GIN2426-B03-02</v>
      </c>
      <c r="P1025" s="35" t="str">
        <f>INDEX(_xlfn.TEXTSPLIT(mvtst[[#This Row],[QR Suivis]],"_"),1,5)</f>
        <v>GINKO</v>
      </c>
      <c r="Q1025" s="35" t="str">
        <f>_xlfn.TEXTAFTER(mvtst[[#This Row],[QR Suivis]],"_",5)</f>
        <v>2426</v>
      </c>
      <c r="R1025" s="84" t="str">
        <f>IF(
   COUNTIFS($A$2:A1025,A1025,
             $B$2:B1025,B1025,
             $C$2:C1025,C1025,
             $D$2:D1025,D1025,
             $G$2:G1025,G1025)&gt;1,
   "Doublon",
   "Correcte"
)</f>
        <v>Correcte</v>
      </c>
    </row>
    <row r="1026" spans="1:18" x14ac:dyDescent="0.25">
      <c r="A1026" s="104" t="s">
        <v>1767</v>
      </c>
      <c r="B1026" s="35" t="s">
        <v>595</v>
      </c>
      <c r="C1026" s="36">
        <v>0</v>
      </c>
      <c r="D1026" s="36">
        <v>1</v>
      </c>
      <c r="E1026" s="35" t="s">
        <v>699</v>
      </c>
      <c r="F1026" s="35" t="s">
        <v>634</v>
      </c>
      <c r="G1026" s="37">
        <v>45933.358634259261</v>
      </c>
      <c r="H1026" s="37" t="str">
        <f>INDEX(_xlfn.TEXTSPLIT(mvtst[[#This Row],[QR Suivis]],"_"),1,1)</f>
        <v>OF250130-6</v>
      </c>
      <c r="I1026" s="35" t="str">
        <f>_xlfn.TEXTBEFORE(mvtst[[#This Row],[Num Suivis]],"-",,,1)</f>
        <v>OF250130</v>
      </c>
      <c r="J1026" s="36">
        <f>SUMIF(mvtst[QR Suivis],mvtst[[#This Row],[QR Suivis]],mvtst[QTE SORTIS])-SUMIF(mvtst[QR Suivis],mvtst[[#This Row],[QR Suivis]],mvtst[QTE RETOUR])</f>
        <v>0</v>
      </c>
      <c r="K1026" s="35" t="str">
        <f t="shared" si="15"/>
        <v>Usine</v>
      </c>
      <c r="L1026" s="35" t="str">
        <f>_xlfn.XLOOKUP(mvtst[[#This Row],[Sous Traitant]],coordonnee_st[Identification],coordonnee_st[SERVICE],"Non Trouvé")</f>
        <v>Frange</v>
      </c>
      <c r="M1026" s="35" t="str">
        <f>INDEX(_xlfn.TEXTSPLIT(mvtst[[#This Row],[QR Suivis]],"_"),1,2)</f>
        <v>CL00162</v>
      </c>
      <c r="N1026" s="35" t="str">
        <f>INDEX(_xlfn.TEXTSPLIT(mvtst[[#This Row],[QR Suivis]],"_"),1,3)</f>
        <v>CM-FT0130</v>
      </c>
      <c r="O1026" s="35" t="str">
        <f>INDEX(_xlfn.TEXTSPLIT(mvtst[[#This Row],[QR Suivis]],"_"),1,4)</f>
        <v>GIN2426-B03-02</v>
      </c>
      <c r="P1026" s="35" t="str">
        <f>INDEX(_xlfn.TEXTSPLIT(mvtst[[#This Row],[QR Suivis]],"_"),1,5)</f>
        <v>GINKO</v>
      </c>
      <c r="Q1026" s="35" t="str">
        <f>_xlfn.TEXTAFTER(mvtst[[#This Row],[QR Suivis]],"_",5)</f>
        <v>2426</v>
      </c>
      <c r="R1026" s="84" t="str">
        <f>IF(
   COUNTIFS($A$2:A1026,A1026,
             $B$2:B1026,B1026,
             $C$2:C1026,C1026,
             $D$2:D1026,D1026,
             $G$2:G1026,G1026)&gt;1,
   "Doublon",
   "Correcte"
)</f>
        <v>Correcte</v>
      </c>
    </row>
    <row r="1027" spans="1:18" x14ac:dyDescent="0.25">
      <c r="A1027" s="104" t="s">
        <v>1765</v>
      </c>
      <c r="B1027" s="35" t="s">
        <v>595</v>
      </c>
      <c r="C1027" s="36">
        <v>0</v>
      </c>
      <c r="D1027" s="36">
        <v>2</v>
      </c>
      <c r="E1027" s="35" t="s">
        <v>699</v>
      </c>
      <c r="F1027" s="35" t="s">
        <v>634</v>
      </c>
      <c r="G1027" s="37">
        <v>45933.358842592592</v>
      </c>
      <c r="H1027" s="37" t="str">
        <f>INDEX(_xlfn.TEXTSPLIT(mvtst[[#This Row],[QR Suivis]],"_"),1,1)</f>
        <v>OF250131-2</v>
      </c>
      <c r="I1027" s="35" t="str">
        <f>_xlfn.TEXTBEFORE(mvtst[[#This Row],[Num Suivis]],"-",,,1)</f>
        <v>OF250131</v>
      </c>
      <c r="J1027" s="36">
        <f>SUMIF(mvtst[QR Suivis],mvtst[[#This Row],[QR Suivis]],mvtst[QTE SORTIS])-SUMIF(mvtst[QR Suivis],mvtst[[#This Row],[QR Suivis]],mvtst[QTE RETOUR])</f>
        <v>0</v>
      </c>
      <c r="K1027" s="35" t="str">
        <f t="shared" ref="K1027:K1090" si="16">"Usine"</f>
        <v>Usine</v>
      </c>
      <c r="L1027" s="35" t="str">
        <f>_xlfn.XLOOKUP(mvtst[[#This Row],[Sous Traitant]],coordonnee_st[Identification],coordonnee_st[SERVICE],"Non Trouvé")</f>
        <v>Frange</v>
      </c>
      <c r="M1027" s="35" t="str">
        <f>INDEX(_xlfn.TEXTSPLIT(mvtst[[#This Row],[QR Suivis]],"_"),1,2)</f>
        <v>CL00162</v>
      </c>
      <c r="N1027" s="35" t="str">
        <f>INDEX(_xlfn.TEXTSPLIT(mvtst[[#This Row],[QR Suivis]],"_"),1,3)</f>
        <v>CM-FT0130</v>
      </c>
      <c r="O1027" s="35" t="str">
        <f>INDEX(_xlfn.TEXTSPLIT(mvtst[[#This Row],[QR Suivis]],"_"),1,4)</f>
        <v>GIN2426-B12-03</v>
      </c>
      <c r="P1027" s="35" t="str">
        <f>INDEX(_xlfn.TEXTSPLIT(mvtst[[#This Row],[QR Suivis]],"_"),1,5)</f>
        <v>GINKO</v>
      </c>
      <c r="Q1027" s="35" t="str">
        <f>_xlfn.TEXTAFTER(mvtst[[#This Row],[QR Suivis]],"_",5)</f>
        <v>2426</v>
      </c>
      <c r="R1027" s="84" t="str">
        <f>IF(
   COUNTIFS($A$2:A1027,A1027,
             $B$2:B1027,B1027,
             $C$2:C1027,C1027,
             $D$2:D1027,D1027,
             $G$2:G1027,G1027)&gt;1,
   "Doublon",
   "Correcte"
)</f>
        <v>Correcte</v>
      </c>
    </row>
    <row r="1028" spans="1:18" x14ac:dyDescent="0.25">
      <c r="A1028" s="104" t="s">
        <v>1764</v>
      </c>
      <c r="B1028" s="35" t="s">
        <v>595</v>
      </c>
      <c r="C1028" s="36">
        <v>0</v>
      </c>
      <c r="D1028" s="36">
        <v>2</v>
      </c>
      <c r="E1028" s="35" t="s">
        <v>699</v>
      </c>
      <c r="F1028" s="35" t="s">
        <v>634</v>
      </c>
      <c r="G1028" s="37">
        <v>45933.359189814815</v>
      </c>
      <c r="H1028" s="37" t="str">
        <f>INDEX(_xlfn.TEXTSPLIT(mvtst[[#This Row],[QR Suivis]],"_"),1,1)</f>
        <v>OF250132-3</v>
      </c>
      <c r="I1028" s="35" t="str">
        <f>_xlfn.TEXTBEFORE(mvtst[[#This Row],[Num Suivis]],"-",,,1)</f>
        <v>OF250132</v>
      </c>
      <c r="J1028" s="36">
        <f>SUMIF(mvtst[QR Suivis],mvtst[[#This Row],[QR Suivis]],mvtst[QTE SORTIS])-SUMIF(mvtst[QR Suivis],mvtst[[#This Row],[QR Suivis]],mvtst[QTE RETOUR])</f>
        <v>0</v>
      </c>
      <c r="K1028" s="35" t="str">
        <f t="shared" si="16"/>
        <v>Usine</v>
      </c>
      <c r="L1028" s="35" t="str">
        <f>_xlfn.XLOOKUP(mvtst[[#This Row],[Sous Traitant]],coordonnee_st[Identification],coordonnee_st[SERVICE],"Non Trouvé")</f>
        <v>Frange</v>
      </c>
      <c r="M1028" s="35" t="str">
        <f>INDEX(_xlfn.TEXTSPLIT(mvtst[[#This Row],[QR Suivis]],"_"),1,2)</f>
        <v>CL00162</v>
      </c>
      <c r="N1028" s="35" t="str">
        <f>INDEX(_xlfn.TEXTSPLIT(mvtst[[#This Row],[QR Suivis]],"_"),1,3)</f>
        <v>CM-FT0130</v>
      </c>
      <c r="O1028" s="35" t="str">
        <f>INDEX(_xlfn.TEXTSPLIT(mvtst[[#This Row],[QR Suivis]],"_"),1,4)</f>
        <v>GIN2426-B19-03</v>
      </c>
      <c r="P1028" s="35" t="str">
        <f>INDEX(_xlfn.TEXTSPLIT(mvtst[[#This Row],[QR Suivis]],"_"),1,5)</f>
        <v>GINKO</v>
      </c>
      <c r="Q1028" s="35" t="str">
        <f>_xlfn.TEXTAFTER(mvtst[[#This Row],[QR Suivis]],"_",5)</f>
        <v>2426</v>
      </c>
      <c r="R1028" s="84" t="str">
        <f>IF(
   COUNTIFS($A$2:A1028,A1028,
             $B$2:B1028,B1028,
             $C$2:C1028,C1028,
             $D$2:D1028,D1028,
             $G$2:G1028,G1028)&gt;1,
   "Doublon",
   "Correcte"
)</f>
        <v>Correcte</v>
      </c>
    </row>
    <row r="1029" spans="1:18" x14ac:dyDescent="0.25">
      <c r="A1029" s="104" t="s">
        <v>1766</v>
      </c>
      <c r="B1029" s="35" t="s">
        <v>595</v>
      </c>
      <c r="C1029" s="36">
        <v>0</v>
      </c>
      <c r="D1029" s="36">
        <v>1</v>
      </c>
      <c r="E1029" s="35" t="s">
        <v>699</v>
      </c>
      <c r="F1029" s="35" t="s">
        <v>634</v>
      </c>
      <c r="G1029" s="37">
        <v>45933.359398148146</v>
      </c>
      <c r="H1029" s="37" t="str">
        <f>INDEX(_xlfn.TEXTSPLIT(mvtst[[#This Row],[QR Suivis]],"_"),1,1)</f>
        <v>OF250131-6</v>
      </c>
      <c r="I1029" s="35" t="str">
        <f>_xlfn.TEXTBEFORE(mvtst[[#This Row],[Num Suivis]],"-",,,1)</f>
        <v>OF250131</v>
      </c>
      <c r="J1029" s="36">
        <f>SUMIF(mvtst[QR Suivis],mvtst[[#This Row],[QR Suivis]],mvtst[QTE SORTIS])-SUMIF(mvtst[QR Suivis],mvtst[[#This Row],[QR Suivis]],mvtst[QTE RETOUR])</f>
        <v>0</v>
      </c>
      <c r="K1029" s="35" t="str">
        <f t="shared" si="16"/>
        <v>Usine</v>
      </c>
      <c r="L1029" s="35" t="str">
        <f>_xlfn.XLOOKUP(mvtst[[#This Row],[Sous Traitant]],coordonnee_st[Identification],coordonnee_st[SERVICE],"Non Trouvé")</f>
        <v>Frange</v>
      </c>
      <c r="M1029" s="35" t="str">
        <f>INDEX(_xlfn.TEXTSPLIT(mvtst[[#This Row],[QR Suivis]],"_"),1,2)</f>
        <v>CL00162</v>
      </c>
      <c r="N1029" s="35" t="str">
        <f>INDEX(_xlfn.TEXTSPLIT(mvtst[[#This Row],[QR Suivis]],"_"),1,3)</f>
        <v>CM-FT0130</v>
      </c>
      <c r="O1029" s="35" t="str">
        <f>INDEX(_xlfn.TEXTSPLIT(mvtst[[#This Row],[QR Suivis]],"_"),1,4)</f>
        <v>GIN2426-B12-03</v>
      </c>
      <c r="P1029" s="35" t="str">
        <f>INDEX(_xlfn.TEXTSPLIT(mvtst[[#This Row],[QR Suivis]],"_"),1,5)</f>
        <v>GINKO</v>
      </c>
      <c r="Q1029" s="35" t="str">
        <f>_xlfn.TEXTAFTER(mvtst[[#This Row],[QR Suivis]],"_",5)</f>
        <v>2426</v>
      </c>
      <c r="R1029" s="84" t="str">
        <f>IF(
   COUNTIFS($A$2:A1029,A1029,
             $B$2:B1029,B1029,
             $C$2:C1029,C1029,
             $D$2:D1029,D1029,
             $G$2:G1029,G1029)&gt;1,
   "Doublon",
   "Correcte"
)</f>
        <v>Correcte</v>
      </c>
    </row>
    <row r="1030" spans="1:18" x14ac:dyDescent="0.25">
      <c r="A1030" s="104" t="s">
        <v>1762</v>
      </c>
      <c r="B1030" s="35" t="s">
        <v>595</v>
      </c>
      <c r="C1030" s="36">
        <v>0</v>
      </c>
      <c r="D1030" s="36">
        <v>2</v>
      </c>
      <c r="E1030" s="35" t="s">
        <v>699</v>
      </c>
      <c r="F1030" s="35" t="s">
        <v>634</v>
      </c>
      <c r="G1030" s="37">
        <v>45933.359710648147</v>
      </c>
      <c r="H1030" s="37" t="str">
        <f>INDEX(_xlfn.TEXTSPLIT(mvtst[[#This Row],[QR Suivis]],"_"),1,1)</f>
        <v>OF250132-4</v>
      </c>
      <c r="I1030" s="35" t="str">
        <f>_xlfn.TEXTBEFORE(mvtst[[#This Row],[Num Suivis]],"-",,,1)</f>
        <v>OF250132</v>
      </c>
      <c r="J1030" s="36">
        <f>SUMIF(mvtst[QR Suivis],mvtst[[#This Row],[QR Suivis]],mvtst[QTE SORTIS])-SUMIF(mvtst[QR Suivis],mvtst[[#This Row],[QR Suivis]],mvtst[QTE RETOUR])</f>
        <v>0</v>
      </c>
      <c r="K1030" s="35" t="str">
        <f t="shared" si="16"/>
        <v>Usine</v>
      </c>
      <c r="L1030" s="35" t="str">
        <f>_xlfn.XLOOKUP(mvtst[[#This Row],[Sous Traitant]],coordonnee_st[Identification],coordonnee_st[SERVICE],"Non Trouvé")</f>
        <v>Frange</v>
      </c>
      <c r="M1030" s="35" t="str">
        <f>INDEX(_xlfn.TEXTSPLIT(mvtst[[#This Row],[QR Suivis]],"_"),1,2)</f>
        <v>CL00162</v>
      </c>
      <c r="N1030" s="35" t="str">
        <f>INDEX(_xlfn.TEXTSPLIT(mvtst[[#This Row],[QR Suivis]],"_"),1,3)</f>
        <v>CM-FT0130</v>
      </c>
      <c r="O1030" s="35" t="str">
        <f>INDEX(_xlfn.TEXTSPLIT(mvtst[[#This Row],[QR Suivis]],"_"),1,4)</f>
        <v>GIN2426-B19-03</v>
      </c>
      <c r="P1030" s="35" t="str">
        <f>INDEX(_xlfn.TEXTSPLIT(mvtst[[#This Row],[QR Suivis]],"_"),1,5)</f>
        <v>GINKO</v>
      </c>
      <c r="Q1030" s="35" t="str">
        <f>_xlfn.TEXTAFTER(mvtst[[#This Row],[QR Suivis]],"_",5)</f>
        <v>2426</v>
      </c>
      <c r="R1030" s="84" t="str">
        <f>IF(
   COUNTIFS($A$2:A1030,A1030,
             $B$2:B1030,B1030,
             $C$2:C1030,C1030,
             $D$2:D1030,D1030,
             $G$2:G1030,G1030)&gt;1,
   "Doublon",
   "Correcte"
)</f>
        <v>Correcte</v>
      </c>
    </row>
    <row r="1031" spans="1:18" x14ac:dyDescent="0.25">
      <c r="A1031" s="104" t="s">
        <v>1773</v>
      </c>
      <c r="B1031" s="35" t="s">
        <v>595</v>
      </c>
      <c r="C1031" s="36">
        <v>0</v>
      </c>
      <c r="D1031" s="36">
        <v>5</v>
      </c>
      <c r="E1031" s="35" t="s">
        <v>699</v>
      </c>
      <c r="F1031" s="35" t="s">
        <v>634</v>
      </c>
      <c r="G1031" s="37">
        <v>45933.360115740739</v>
      </c>
      <c r="H1031" s="37" t="str">
        <f>INDEX(_xlfn.TEXTSPLIT(mvtst[[#This Row],[QR Suivis]],"_"),1,1)</f>
        <v>OF246546-1</v>
      </c>
      <c r="I1031" s="35" t="str">
        <f>_xlfn.TEXTBEFORE(mvtst[[#This Row],[Num Suivis]],"-",,,1)</f>
        <v>OF246546</v>
      </c>
      <c r="J1031" s="36">
        <f>SUMIF(mvtst[QR Suivis],mvtst[[#This Row],[QR Suivis]],mvtst[QTE SORTIS])-SUMIF(mvtst[QR Suivis],mvtst[[#This Row],[QR Suivis]],mvtst[QTE RETOUR])</f>
        <v>0</v>
      </c>
      <c r="K1031" s="35" t="str">
        <f t="shared" si="16"/>
        <v>Usine</v>
      </c>
      <c r="L1031" s="35" t="str">
        <f>_xlfn.XLOOKUP(mvtst[[#This Row],[Sous Traitant]],coordonnee_st[Identification],coordonnee_st[SERVICE],"Non Trouvé")</f>
        <v>Frange</v>
      </c>
      <c r="M1031" s="35" t="str">
        <f>INDEX(_xlfn.TEXTSPLIT(mvtst[[#This Row],[QR Suivis]],"_"),1,2)</f>
        <v>CL00296</v>
      </c>
      <c r="N1031" s="35" t="str">
        <f>INDEX(_xlfn.TEXTSPLIT(mvtst[[#This Row],[QR Suivis]],"_"),1,3)</f>
        <v>CM-FT0108</v>
      </c>
      <c r="O1031" s="35" t="str">
        <f>INDEX(_xlfn.TEXTSPLIT(mvtst[[#This Row],[QR Suivis]],"_"),1,4)</f>
        <v>EPMA0919-B29-02</v>
      </c>
      <c r="P1031" s="35" t="str">
        <f>INDEX(_xlfn.TEXTSPLIT(mvtst[[#This Row],[QR Suivis]],"_"),1,5)</f>
        <v>MARINIERE</v>
      </c>
      <c r="Q1031" s="35" t="str">
        <f>_xlfn.TEXTAFTER(mvtst[[#This Row],[QR Suivis]],"_",5)</f>
        <v>0919</v>
      </c>
      <c r="R1031" s="84" t="str">
        <f>IF(
   COUNTIFS($A$2:A1031,A1031,
             $B$2:B1031,B1031,
             $C$2:C1031,C1031,
             $D$2:D1031,D1031,
             $G$2:G1031,G1031)&gt;1,
   "Doublon",
   "Correcte"
)</f>
        <v>Correcte</v>
      </c>
    </row>
    <row r="1032" spans="1:18" x14ac:dyDescent="0.25">
      <c r="A1032" s="104" t="s">
        <v>1770</v>
      </c>
      <c r="B1032" s="35" t="s">
        <v>595</v>
      </c>
      <c r="C1032" s="36">
        <v>0</v>
      </c>
      <c r="D1032" s="36">
        <v>5</v>
      </c>
      <c r="E1032" s="35" t="s">
        <v>699</v>
      </c>
      <c r="F1032" s="35" t="s">
        <v>634</v>
      </c>
      <c r="G1032" s="37">
        <v>45933.360393518517</v>
      </c>
      <c r="H1032" s="37" t="str">
        <f>INDEX(_xlfn.TEXTSPLIT(mvtst[[#This Row],[QR Suivis]],"_"),1,1)</f>
        <v>OF246546-2</v>
      </c>
      <c r="I1032" s="35" t="str">
        <f>_xlfn.TEXTBEFORE(mvtst[[#This Row],[Num Suivis]],"-",,,1)</f>
        <v>OF246546</v>
      </c>
      <c r="J1032" s="36">
        <f>SUMIF(mvtst[QR Suivis],mvtst[[#This Row],[QR Suivis]],mvtst[QTE SORTIS])-SUMIF(mvtst[QR Suivis],mvtst[[#This Row],[QR Suivis]],mvtst[QTE RETOUR])</f>
        <v>0</v>
      </c>
      <c r="K1032" s="35" t="str">
        <f t="shared" si="16"/>
        <v>Usine</v>
      </c>
      <c r="L1032" s="35" t="str">
        <f>_xlfn.XLOOKUP(mvtst[[#This Row],[Sous Traitant]],coordonnee_st[Identification],coordonnee_st[SERVICE],"Non Trouvé")</f>
        <v>Frange</v>
      </c>
      <c r="M1032" s="35" t="str">
        <f>INDEX(_xlfn.TEXTSPLIT(mvtst[[#This Row],[QR Suivis]],"_"),1,2)</f>
        <v>CL00296</v>
      </c>
      <c r="N1032" s="35" t="str">
        <f>INDEX(_xlfn.TEXTSPLIT(mvtst[[#This Row],[QR Suivis]],"_"),1,3)</f>
        <v>CM-FT0108</v>
      </c>
      <c r="O1032" s="35" t="str">
        <f>INDEX(_xlfn.TEXTSPLIT(mvtst[[#This Row],[QR Suivis]],"_"),1,4)</f>
        <v>EPMA0919-B29-02</v>
      </c>
      <c r="P1032" s="35" t="str">
        <f>INDEX(_xlfn.TEXTSPLIT(mvtst[[#This Row],[QR Suivis]],"_"),1,5)</f>
        <v>MARINIERE</v>
      </c>
      <c r="Q1032" s="35" t="str">
        <f>_xlfn.TEXTAFTER(mvtst[[#This Row],[QR Suivis]],"_",5)</f>
        <v>0919</v>
      </c>
      <c r="R1032" s="84" t="str">
        <f>IF(
   COUNTIFS($A$2:A1032,A1032,
             $B$2:B1032,B1032,
             $C$2:C1032,C1032,
             $D$2:D1032,D1032,
             $G$2:G1032,G1032)&gt;1,
   "Doublon",
   "Correcte"
)</f>
        <v>Correcte</v>
      </c>
    </row>
    <row r="1033" spans="1:18" x14ac:dyDescent="0.25">
      <c r="A1033" s="104" t="s">
        <v>1778</v>
      </c>
      <c r="B1033" s="35" t="s">
        <v>595</v>
      </c>
      <c r="C1033" s="36">
        <v>0</v>
      </c>
      <c r="D1033" s="36">
        <v>5</v>
      </c>
      <c r="E1033" s="35" t="s">
        <v>699</v>
      </c>
      <c r="F1033" s="35" t="s">
        <v>634</v>
      </c>
      <c r="G1033" s="37">
        <v>45933.360902777778</v>
      </c>
      <c r="H1033" s="37" t="str">
        <f>INDEX(_xlfn.TEXTSPLIT(mvtst[[#This Row],[QR Suivis]],"_"),1,1)</f>
        <v>OF246535-8</v>
      </c>
      <c r="I1033" s="35" t="str">
        <f>_xlfn.TEXTBEFORE(mvtst[[#This Row],[Num Suivis]],"-",,,1)</f>
        <v>OF246535</v>
      </c>
      <c r="J1033" s="36">
        <f>SUMIF(mvtst[QR Suivis],mvtst[[#This Row],[QR Suivis]],mvtst[QTE SORTIS])-SUMIF(mvtst[QR Suivis],mvtst[[#This Row],[QR Suivis]],mvtst[QTE RETOUR])</f>
        <v>0</v>
      </c>
      <c r="K1033" s="35" t="str">
        <f t="shared" si="16"/>
        <v>Usine</v>
      </c>
      <c r="L1033" s="35" t="str">
        <f>_xlfn.XLOOKUP(mvtst[[#This Row],[Sous Traitant]],coordonnee_st[Identification],coordonnee_st[SERVICE],"Non Trouvé")</f>
        <v>Frange</v>
      </c>
      <c r="M1033" s="35" t="str">
        <f>INDEX(_xlfn.TEXTSPLIT(mvtst[[#This Row],[QR Suivis]],"_"),1,2)</f>
        <v>CL00296</v>
      </c>
      <c r="N1033" s="35" t="str">
        <f>INDEX(_xlfn.TEXTSPLIT(mvtst[[#This Row],[QR Suivis]],"_"),1,3)</f>
        <v>CM-FT0108</v>
      </c>
      <c r="O1033" s="35" t="str">
        <f>INDEX(_xlfn.TEXTSPLIT(mvtst[[#This Row],[QR Suivis]],"_"),1,4)</f>
        <v>EPMA0919-B03-02</v>
      </c>
      <c r="P1033" s="35" t="str">
        <f>INDEX(_xlfn.TEXTSPLIT(mvtst[[#This Row],[QR Suivis]],"_"),1,5)</f>
        <v>MARINIERE</v>
      </c>
      <c r="Q1033" s="35" t="str">
        <f>_xlfn.TEXTAFTER(mvtst[[#This Row],[QR Suivis]],"_",5)</f>
        <v>0919</v>
      </c>
      <c r="R1033" s="84" t="str">
        <f>IF(
   COUNTIFS($A$2:A1033,A1033,
             $B$2:B1033,B1033,
             $C$2:C1033,C1033,
             $D$2:D1033,D1033,
             $G$2:G1033,G1033)&gt;1,
   "Doublon",
   "Correcte"
)</f>
        <v>Correcte</v>
      </c>
    </row>
    <row r="1034" spans="1:18" x14ac:dyDescent="0.25">
      <c r="A1034" s="104" t="s">
        <v>1777</v>
      </c>
      <c r="B1034" s="35" t="s">
        <v>595</v>
      </c>
      <c r="C1034" s="36">
        <v>0</v>
      </c>
      <c r="D1034" s="36">
        <v>5</v>
      </c>
      <c r="E1034" s="35" t="s">
        <v>699</v>
      </c>
      <c r="F1034" s="35" t="s">
        <v>634</v>
      </c>
      <c r="G1034" s="37">
        <v>45933.361250000002</v>
      </c>
      <c r="H1034" s="37" t="str">
        <f>INDEX(_xlfn.TEXTSPLIT(mvtst[[#This Row],[QR Suivis]],"_"),1,1)</f>
        <v>OF246535-4</v>
      </c>
      <c r="I1034" s="35" t="str">
        <f>_xlfn.TEXTBEFORE(mvtst[[#This Row],[Num Suivis]],"-",,,1)</f>
        <v>OF246535</v>
      </c>
      <c r="J1034" s="36">
        <f>SUMIF(mvtst[QR Suivis],mvtst[[#This Row],[QR Suivis]],mvtst[QTE SORTIS])-SUMIF(mvtst[QR Suivis],mvtst[[#This Row],[QR Suivis]],mvtst[QTE RETOUR])</f>
        <v>0</v>
      </c>
      <c r="K1034" s="35" t="str">
        <f t="shared" si="16"/>
        <v>Usine</v>
      </c>
      <c r="L1034" s="35" t="str">
        <f>_xlfn.XLOOKUP(mvtst[[#This Row],[Sous Traitant]],coordonnee_st[Identification],coordonnee_st[SERVICE],"Non Trouvé")</f>
        <v>Frange</v>
      </c>
      <c r="M1034" s="35" t="str">
        <f>INDEX(_xlfn.TEXTSPLIT(mvtst[[#This Row],[QR Suivis]],"_"),1,2)</f>
        <v>CL00296</v>
      </c>
      <c r="N1034" s="35" t="str">
        <f>INDEX(_xlfn.TEXTSPLIT(mvtst[[#This Row],[QR Suivis]],"_"),1,3)</f>
        <v>CM-FT0108</v>
      </c>
      <c r="O1034" s="35" t="str">
        <f>INDEX(_xlfn.TEXTSPLIT(mvtst[[#This Row],[QR Suivis]],"_"),1,4)</f>
        <v>EPMA0919-B03-02</v>
      </c>
      <c r="P1034" s="35" t="str">
        <f>INDEX(_xlfn.TEXTSPLIT(mvtst[[#This Row],[QR Suivis]],"_"),1,5)</f>
        <v>MARINIERE</v>
      </c>
      <c r="Q1034" s="35" t="str">
        <f>_xlfn.TEXTAFTER(mvtst[[#This Row],[QR Suivis]],"_",5)</f>
        <v>0919</v>
      </c>
      <c r="R1034" s="84" t="str">
        <f>IF(
   COUNTIFS($A$2:A1034,A1034,
             $B$2:B1034,B1034,
             $C$2:C1034,C1034,
             $D$2:D1034,D1034,
             $G$2:G1034,G1034)&gt;1,
   "Doublon",
   "Correcte"
)</f>
        <v>Correcte</v>
      </c>
    </row>
    <row r="1035" spans="1:18" x14ac:dyDescent="0.25">
      <c r="A1035" s="104" t="s">
        <v>1779</v>
      </c>
      <c r="B1035" s="35" t="s">
        <v>595</v>
      </c>
      <c r="C1035" s="36">
        <v>0</v>
      </c>
      <c r="D1035" s="36">
        <v>5</v>
      </c>
      <c r="E1035" s="35" t="s">
        <v>699</v>
      </c>
      <c r="F1035" s="35" t="s">
        <v>634</v>
      </c>
      <c r="G1035" s="37">
        <v>45933.361712962964</v>
      </c>
      <c r="H1035" s="37" t="str">
        <f>INDEX(_xlfn.TEXTSPLIT(mvtst[[#This Row],[QR Suivis]],"_"),1,1)</f>
        <v>OF246535-7</v>
      </c>
      <c r="I1035" s="35" t="str">
        <f>_xlfn.TEXTBEFORE(mvtst[[#This Row],[Num Suivis]],"-",,,1)</f>
        <v>OF246535</v>
      </c>
      <c r="J1035" s="36">
        <f>SUMIF(mvtst[QR Suivis],mvtst[[#This Row],[QR Suivis]],mvtst[QTE SORTIS])-SUMIF(mvtst[QR Suivis],mvtst[[#This Row],[QR Suivis]],mvtst[QTE RETOUR])</f>
        <v>0</v>
      </c>
      <c r="K1035" s="35" t="str">
        <f t="shared" si="16"/>
        <v>Usine</v>
      </c>
      <c r="L1035" s="35" t="str">
        <f>_xlfn.XLOOKUP(mvtst[[#This Row],[Sous Traitant]],coordonnee_st[Identification],coordonnee_st[SERVICE],"Non Trouvé")</f>
        <v>Frange</v>
      </c>
      <c r="M1035" s="35" t="str">
        <f>INDEX(_xlfn.TEXTSPLIT(mvtst[[#This Row],[QR Suivis]],"_"),1,2)</f>
        <v>CL00296</v>
      </c>
      <c r="N1035" s="35" t="str">
        <f>INDEX(_xlfn.TEXTSPLIT(mvtst[[#This Row],[QR Suivis]],"_"),1,3)</f>
        <v>CM-FT0108</v>
      </c>
      <c r="O1035" s="35" t="str">
        <f>INDEX(_xlfn.TEXTSPLIT(mvtst[[#This Row],[QR Suivis]],"_"),1,4)</f>
        <v>EPMA0919-B03-02</v>
      </c>
      <c r="P1035" s="35" t="str">
        <f>INDEX(_xlfn.TEXTSPLIT(mvtst[[#This Row],[QR Suivis]],"_"),1,5)</f>
        <v>MARINIERE</v>
      </c>
      <c r="Q1035" s="35" t="str">
        <f>_xlfn.TEXTAFTER(mvtst[[#This Row],[QR Suivis]],"_",5)</f>
        <v>0919</v>
      </c>
      <c r="R1035" s="84" t="str">
        <f>IF(
   COUNTIFS($A$2:A1035,A1035,
             $B$2:B1035,B1035,
             $C$2:C1035,C1035,
             $D$2:D1035,D1035,
             $G$2:G1035,G1035)&gt;1,
   "Doublon",
   "Correcte"
)</f>
        <v>Correcte</v>
      </c>
    </row>
    <row r="1036" spans="1:18" x14ac:dyDescent="0.25">
      <c r="A1036" s="104" t="s">
        <v>1776</v>
      </c>
      <c r="B1036" s="35" t="s">
        <v>595</v>
      </c>
      <c r="C1036" s="36">
        <v>0</v>
      </c>
      <c r="D1036" s="36">
        <v>5</v>
      </c>
      <c r="E1036" s="35" t="s">
        <v>699</v>
      </c>
      <c r="F1036" s="35" t="s">
        <v>634</v>
      </c>
      <c r="G1036" s="37">
        <v>45933.361898148149</v>
      </c>
      <c r="H1036" s="37" t="str">
        <f>INDEX(_xlfn.TEXTSPLIT(mvtst[[#This Row],[QR Suivis]],"_"),1,1)</f>
        <v>OF246546-9</v>
      </c>
      <c r="I1036" s="35" t="str">
        <f>_xlfn.TEXTBEFORE(mvtst[[#This Row],[Num Suivis]],"-",,,1)</f>
        <v>OF246546</v>
      </c>
      <c r="J1036" s="36">
        <f>SUMIF(mvtst[QR Suivis],mvtst[[#This Row],[QR Suivis]],mvtst[QTE SORTIS])-SUMIF(mvtst[QR Suivis],mvtst[[#This Row],[QR Suivis]],mvtst[QTE RETOUR])</f>
        <v>0</v>
      </c>
      <c r="K1036" s="35" t="str">
        <f t="shared" si="16"/>
        <v>Usine</v>
      </c>
      <c r="L1036" s="35" t="str">
        <f>_xlfn.XLOOKUP(mvtst[[#This Row],[Sous Traitant]],coordonnee_st[Identification],coordonnee_st[SERVICE],"Non Trouvé")</f>
        <v>Frange</v>
      </c>
      <c r="M1036" s="35" t="str">
        <f>INDEX(_xlfn.TEXTSPLIT(mvtst[[#This Row],[QR Suivis]],"_"),1,2)</f>
        <v>CL00296</v>
      </c>
      <c r="N1036" s="35" t="str">
        <f>INDEX(_xlfn.TEXTSPLIT(mvtst[[#This Row],[QR Suivis]],"_"),1,3)</f>
        <v>CM-FT0108</v>
      </c>
      <c r="O1036" s="35" t="str">
        <f>INDEX(_xlfn.TEXTSPLIT(mvtst[[#This Row],[QR Suivis]],"_"),1,4)</f>
        <v>EPMA0919-B29-02</v>
      </c>
      <c r="P1036" s="35" t="str">
        <f>INDEX(_xlfn.TEXTSPLIT(mvtst[[#This Row],[QR Suivis]],"_"),1,5)</f>
        <v>MARINIERE</v>
      </c>
      <c r="Q1036" s="35" t="str">
        <f>_xlfn.TEXTAFTER(mvtst[[#This Row],[QR Suivis]],"_",5)</f>
        <v>0919</v>
      </c>
      <c r="R1036" s="84" t="str">
        <f>IF(
   COUNTIFS($A$2:A1036,A1036,
             $B$2:B1036,B1036,
             $C$2:C1036,C1036,
             $D$2:D1036,D1036,
             $G$2:G1036,G1036)&gt;1,
   "Doublon",
   "Correcte"
)</f>
        <v>Correcte</v>
      </c>
    </row>
    <row r="1037" spans="1:18" x14ac:dyDescent="0.25">
      <c r="A1037" s="104" t="s">
        <v>1775</v>
      </c>
      <c r="B1037" s="35" t="s">
        <v>595</v>
      </c>
      <c r="C1037" s="36">
        <v>0</v>
      </c>
      <c r="D1037" s="36">
        <v>5</v>
      </c>
      <c r="E1037" s="35" t="s">
        <v>699</v>
      </c>
      <c r="F1037" s="35" t="s">
        <v>634</v>
      </c>
      <c r="G1037" s="37">
        <v>45933.362187500003</v>
      </c>
      <c r="H1037" s="37" t="str">
        <f>INDEX(_xlfn.TEXTSPLIT(mvtst[[#This Row],[QR Suivis]],"_"),1,1)</f>
        <v>OF246546-10</v>
      </c>
      <c r="I1037" s="35" t="str">
        <f>_xlfn.TEXTBEFORE(mvtst[[#This Row],[Num Suivis]],"-",,,1)</f>
        <v>OF246546</v>
      </c>
      <c r="J1037" s="36">
        <f>SUMIF(mvtst[QR Suivis],mvtst[[#This Row],[QR Suivis]],mvtst[QTE SORTIS])-SUMIF(mvtst[QR Suivis],mvtst[[#This Row],[QR Suivis]],mvtst[QTE RETOUR])</f>
        <v>0</v>
      </c>
      <c r="K1037" s="35" t="str">
        <f t="shared" si="16"/>
        <v>Usine</v>
      </c>
      <c r="L1037" s="35" t="str">
        <f>_xlfn.XLOOKUP(mvtst[[#This Row],[Sous Traitant]],coordonnee_st[Identification],coordonnee_st[SERVICE],"Non Trouvé")</f>
        <v>Frange</v>
      </c>
      <c r="M1037" s="35" t="str">
        <f>INDEX(_xlfn.TEXTSPLIT(mvtst[[#This Row],[QR Suivis]],"_"),1,2)</f>
        <v>CL00296</v>
      </c>
      <c r="N1037" s="35" t="str">
        <f>INDEX(_xlfn.TEXTSPLIT(mvtst[[#This Row],[QR Suivis]],"_"),1,3)</f>
        <v>CM-FT0108</v>
      </c>
      <c r="O1037" s="35" t="str">
        <f>INDEX(_xlfn.TEXTSPLIT(mvtst[[#This Row],[QR Suivis]],"_"),1,4)</f>
        <v>EPMA0919-B29-02</v>
      </c>
      <c r="P1037" s="35" t="str">
        <f>INDEX(_xlfn.TEXTSPLIT(mvtst[[#This Row],[QR Suivis]],"_"),1,5)</f>
        <v>MARINIERE</v>
      </c>
      <c r="Q1037" s="35" t="str">
        <f>_xlfn.TEXTAFTER(mvtst[[#This Row],[QR Suivis]],"_",5)</f>
        <v>0919</v>
      </c>
      <c r="R1037" s="84" t="str">
        <f>IF(
   COUNTIFS($A$2:A1037,A1037,
             $B$2:B1037,B1037,
             $C$2:C1037,C1037,
             $D$2:D1037,D1037,
             $G$2:G1037,G1037)&gt;1,
   "Doublon",
   "Correcte"
)</f>
        <v>Correcte</v>
      </c>
    </row>
    <row r="1038" spans="1:18" x14ac:dyDescent="0.25">
      <c r="A1038" s="104" t="s">
        <v>1772</v>
      </c>
      <c r="B1038" s="35" t="s">
        <v>595</v>
      </c>
      <c r="C1038" s="36">
        <v>0</v>
      </c>
      <c r="D1038" s="36">
        <v>5</v>
      </c>
      <c r="E1038" s="35" t="s">
        <v>699</v>
      </c>
      <c r="F1038" s="35" t="s">
        <v>634</v>
      </c>
      <c r="G1038" s="37">
        <v>45933.362673611111</v>
      </c>
      <c r="H1038" s="37" t="str">
        <f>INDEX(_xlfn.TEXTSPLIT(mvtst[[#This Row],[QR Suivis]],"_"),1,1)</f>
        <v>OF246546-15</v>
      </c>
      <c r="I1038" s="35" t="str">
        <f>_xlfn.TEXTBEFORE(mvtst[[#This Row],[Num Suivis]],"-",,,1)</f>
        <v>OF246546</v>
      </c>
      <c r="J1038" s="36">
        <f>SUMIF(mvtst[QR Suivis],mvtst[[#This Row],[QR Suivis]],mvtst[QTE SORTIS])-SUMIF(mvtst[QR Suivis],mvtst[[#This Row],[QR Suivis]],mvtst[QTE RETOUR])</f>
        <v>0</v>
      </c>
      <c r="K1038" s="35" t="str">
        <f t="shared" si="16"/>
        <v>Usine</v>
      </c>
      <c r="L1038" s="35" t="str">
        <f>_xlfn.XLOOKUP(mvtst[[#This Row],[Sous Traitant]],coordonnee_st[Identification],coordonnee_st[SERVICE],"Non Trouvé")</f>
        <v>Frange</v>
      </c>
      <c r="M1038" s="35" t="str">
        <f>INDEX(_xlfn.TEXTSPLIT(mvtst[[#This Row],[QR Suivis]],"_"),1,2)</f>
        <v>CL00296</v>
      </c>
      <c r="N1038" s="35" t="str">
        <f>INDEX(_xlfn.TEXTSPLIT(mvtst[[#This Row],[QR Suivis]],"_"),1,3)</f>
        <v>CM-FT0108</v>
      </c>
      <c r="O1038" s="35" t="str">
        <f>INDEX(_xlfn.TEXTSPLIT(mvtst[[#This Row],[QR Suivis]],"_"),1,4)</f>
        <v>EPMA0919-B29-02</v>
      </c>
      <c r="P1038" s="35" t="str">
        <f>INDEX(_xlfn.TEXTSPLIT(mvtst[[#This Row],[QR Suivis]],"_"),1,5)</f>
        <v>MARINIERE</v>
      </c>
      <c r="Q1038" s="35" t="str">
        <f>_xlfn.TEXTAFTER(mvtst[[#This Row],[QR Suivis]],"_",5)</f>
        <v>0919</v>
      </c>
      <c r="R1038" s="84" t="str">
        <f>IF(
   COUNTIFS($A$2:A1038,A1038,
             $B$2:B1038,B1038,
             $C$2:C1038,C1038,
             $D$2:D1038,D1038,
             $G$2:G1038,G1038)&gt;1,
   "Doublon",
   "Correcte"
)</f>
        <v>Correcte</v>
      </c>
    </row>
    <row r="1039" spans="1:18" x14ac:dyDescent="0.25">
      <c r="A1039" s="104" t="s">
        <v>1771</v>
      </c>
      <c r="B1039" s="35" t="s">
        <v>595</v>
      </c>
      <c r="C1039" s="36">
        <v>0</v>
      </c>
      <c r="D1039" s="36">
        <v>5</v>
      </c>
      <c r="E1039" s="35" t="s">
        <v>699</v>
      </c>
      <c r="F1039" s="35" t="s">
        <v>634</v>
      </c>
      <c r="G1039" s="37">
        <v>45933.363067129627</v>
      </c>
      <c r="H1039" s="37" t="str">
        <f>INDEX(_xlfn.TEXTSPLIT(mvtst[[#This Row],[QR Suivis]],"_"),1,1)</f>
        <v>OF246546-11</v>
      </c>
      <c r="I1039" s="35" t="str">
        <f>_xlfn.TEXTBEFORE(mvtst[[#This Row],[Num Suivis]],"-",,,1)</f>
        <v>OF246546</v>
      </c>
      <c r="J1039" s="36">
        <f>SUMIF(mvtst[QR Suivis],mvtst[[#This Row],[QR Suivis]],mvtst[QTE SORTIS])-SUMIF(mvtst[QR Suivis],mvtst[[#This Row],[QR Suivis]],mvtst[QTE RETOUR])</f>
        <v>0</v>
      </c>
      <c r="K1039" s="35" t="str">
        <f t="shared" si="16"/>
        <v>Usine</v>
      </c>
      <c r="L1039" s="35" t="str">
        <f>_xlfn.XLOOKUP(mvtst[[#This Row],[Sous Traitant]],coordonnee_st[Identification],coordonnee_st[SERVICE],"Non Trouvé")</f>
        <v>Frange</v>
      </c>
      <c r="M1039" s="35" t="str">
        <f>INDEX(_xlfn.TEXTSPLIT(mvtst[[#This Row],[QR Suivis]],"_"),1,2)</f>
        <v>CL00296</v>
      </c>
      <c r="N1039" s="35" t="str">
        <f>INDEX(_xlfn.TEXTSPLIT(mvtst[[#This Row],[QR Suivis]],"_"),1,3)</f>
        <v>CM-FT0108</v>
      </c>
      <c r="O1039" s="35" t="str">
        <f>INDEX(_xlfn.TEXTSPLIT(mvtst[[#This Row],[QR Suivis]],"_"),1,4)</f>
        <v>EPMA0919-B29-02</v>
      </c>
      <c r="P1039" s="35" t="str">
        <f>INDEX(_xlfn.TEXTSPLIT(mvtst[[#This Row],[QR Suivis]],"_"),1,5)</f>
        <v>MARINIERE</v>
      </c>
      <c r="Q1039" s="35" t="str">
        <f>_xlfn.TEXTAFTER(mvtst[[#This Row],[QR Suivis]],"_",5)</f>
        <v>0919</v>
      </c>
      <c r="R1039" s="84" t="str">
        <f>IF(
   COUNTIFS($A$2:A1039,A1039,
             $B$2:B1039,B1039,
             $C$2:C1039,C1039,
             $D$2:D1039,D1039,
             $G$2:G1039,G1039)&gt;1,
   "Doublon",
   "Correcte"
)</f>
        <v>Correcte</v>
      </c>
    </row>
    <row r="1040" spans="1:18" x14ac:dyDescent="0.25">
      <c r="A1040" s="104" t="s">
        <v>1774</v>
      </c>
      <c r="B1040" s="35" t="s">
        <v>595</v>
      </c>
      <c r="C1040" s="36">
        <v>0</v>
      </c>
      <c r="D1040" s="36">
        <v>5</v>
      </c>
      <c r="E1040" s="35" t="s">
        <v>699</v>
      </c>
      <c r="F1040" s="35" t="s">
        <v>634</v>
      </c>
      <c r="G1040" s="37">
        <v>45933.363379629627</v>
      </c>
      <c r="H1040" s="37" t="str">
        <f>INDEX(_xlfn.TEXTSPLIT(mvtst[[#This Row],[QR Suivis]],"_"),1,1)</f>
        <v>OF246546-7</v>
      </c>
      <c r="I1040" s="35" t="str">
        <f>_xlfn.TEXTBEFORE(mvtst[[#This Row],[Num Suivis]],"-",,,1)</f>
        <v>OF246546</v>
      </c>
      <c r="J1040" s="36">
        <f>SUMIF(mvtst[QR Suivis],mvtst[[#This Row],[QR Suivis]],mvtst[QTE SORTIS])-SUMIF(mvtst[QR Suivis],mvtst[[#This Row],[QR Suivis]],mvtst[QTE RETOUR])</f>
        <v>0</v>
      </c>
      <c r="K1040" s="35" t="str">
        <f t="shared" si="16"/>
        <v>Usine</v>
      </c>
      <c r="L1040" s="35" t="str">
        <f>_xlfn.XLOOKUP(mvtst[[#This Row],[Sous Traitant]],coordonnee_st[Identification],coordonnee_st[SERVICE],"Non Trouvé")</f>
        <v>Frange</v>
      </c>
      <c r="M1040" s="35" t="str">
        <f>INDEX(_xlfn.TEXTSPLIT(mvtst[[#This Row],[QR Suivis]],"_"),1,2)</f>
        <v>CL00296</v>
      </c>
      <c r="N1040" s="35" t="str">
        <f>INDEX(_xlfn.TEXTSPLIT(mvtst[[#This Row],[QR Suivis]],"_"),1,3)</f>
        <v>CM-FT0108</v>
      </c>
      <c r="O1040" s="35" t="str">
        <f>INDEX(_xlfn.TEXTSPLIT(mvtst[[#This Row],[QR Suivis]],"_"),1,4)</f>
        <v>EPMA0919-B29-02</v>
      </c>
      <c r="P1040" s="35" t="str">
        <f>INDEX(_xlfn.TEXTSPLIT(mvtst[[#This Row],[QR Suivis]],"_"),1,5)</f>
        <v>MARINIERE</v>
      </c>
      <c r="Q1040" s="35" t="str">
        <f>_xlfn.TEXTAFTER(mvtst[[#This Row],[QR Suivis]],"_",5)</f>
        <v>0919</v>
      </c>
      <c r="R1040" s="84" t="str">
        <f>IF(
   COUNTIFS($A$2:A1040,A1040,
             $B$2:B1040,B1040,
             $C$2:C1040,C1040,
             $D$2:D1040,D1040,
             $G$2:G1040,G1040)&gt;1,
   "Doublon",
   "Correcte"
)</f>
        <v>Correcte</v>
      </c>
    </row>
    <row r="1041" spans="1:18" x14ac:dyDescent="0.25">
      <c r="A1041" s="104" t="s">
        <v>1700</v>
      </c>
      <c r="B1041" s="35" t="s">
        <v>712</v>
      </c>
      <c r="C1041" s="36">
        <v>0</v>
      </c>
      <c r="D1041" s="36">
        <v>5</v>
      </c>
      <c r="E1041" s="35" t="s">
        <v>699</v>
      </c>
      <c r="F1041" s="35" t="s">
        <v>634</v>
      </c>
      <c r="G1041" s="37">
        <v>45933.365127314813</v>
      </c>
      <c r="H1041" s="37" t="str">
        <f>INDEX(_xlfn.TEXTSPLIT(mvtst[[#This Row],[QR Suivis]],"_"),1,1)</f>
        <v>CA250039-5</v>
      </c>
      <c r="I1041" s="35" t="str">
        <f>_xlfn.TEXTBEFORE(mvtst[[#This Row],[Num Suivis]],"-",,,1)</f>
        <v>CA250039</v>
      </c>
      <c r="J1041" s="36">
        <f>SUMIF(mvtst[QR Suivis],mvtst[[#This Row],[QR Suivis]],mvtst[QTE SORTIS])-SUMIF(mvtst[QR Suivis],mvtst[[#This Row],[QR Suivis]],mvtst[QTE RETOUR])</f>
        <v>0</v>
      </c>
      <c r="K1041" s="35" t="str">
        <f t="shared" si="16"/>
        <v>Usine</v>
      </c>
      <c r="L1041" s="35" t="str">
        <f>_xlfn.XLOOKUP(mvtst[[#This Row],[Sous Traitant]],coordonnee_st[Identification],coordonnee_st[SERVICE],"Non Trouvé")</f>
        <v>Frange</v>
      </c>
      <c r="M1041" s="35" t="str">
        <f>INDEX(_xlfn.TEXTSPLIT(mvtst[[#This Row],[QR Suivis]],"_"),1,2)</f>
        <v>All by Fouta</v>
      </c>
      <c r="N1041" s="35" t="str">
        <f>INDEX(_xlfn.TEXTSPLIT(mvtst[[#This Row],[QR Suivis]],"_"),1,3)</f>
        <v>Stock</v>
      </c>
      <c r="O1041" s="35" t="str">
        <f>INDEX(_xlfn.TEXTSPLIT(mvtst[[#This Row],[QR Suivis]],"_"),1,4)</f>
        <v>UNS2020-32</v>
      </c>
      <c r="P1041" s="35" t="str">
        <f>INDEX(_xlfn.TEXTSPLIT(mvtst[[#This Row],[QR Suivis]],"_"),1,5)</f>
        <v>UNI SURPIQUE</v>
      </c>
      <c r="Q1041" s="35" t="str">
        <f>_xlfn.TEXTAFTER(mvtst[[#This Row],[QR Suivis]],"_",5)</f>
        <v>2020</v>
      </c>
      <c r="R1041" s="84" t="str">
        <f>IF(
   COUNTIFS($A$2:A1041,A1041,
             $B$2:B1041,B1041,
             $C$2:C1041,C1041,
             $D$2:D1041,D1041,
             $G$2:G1041,G1041)&gt;1,
   "Doublon",
   "Correcte"
)</f>
        <v>Correcte</v>
      </c>
    </row>
    <row r="1042" spans="1:18" x14ac:dyDescent="0.25">
      <c r="A1042" s="104" t="s">
        <v>1682</v>
      </c>
      <c r="B1042" s="35" t="s">
        <v>712</v>
      </c>
      <c r="C1042" s="36">
        <v>0</v>
      </c>
      <c r="D1042" s="36">
        <v>1</v>
      </c>
      <c r="E1042" s="35" t="s">
        <v>699</v>
      </c>
      <c r="F1042" s="35" t="s">
        <v>634</v>
      </c>
      <c r="G1042" s="37">
        <v>45933.365381944444</v>
      </c>
      <c r="H1042" s="37" t="str">
        <f>INDEX(_xlfn.TEXTSPLIT(mvtst[[#This Row],[QR Suivis]],"_"),1,1)</f>
        <v>CA250041-7</v>
      </c>
      <c r="I1042" s="35" t="str">
        <f>_xlfn.TEXTBEFORE(mvtst[[#This Row],[Num Suivis]],"-",,,1)</f>
        <v>CA250041</v>
      </c>
      <c r="J1042" s="36">
        <f>SUMIF(mvtst[QR Suivis],mvtst[[#This Row],[QR Suivis]],mvtst[QTE SORTIS])-SUMIF(mvtst[QR Suivis],mvtst[[#This Row],[QR Suivis]],mvtst[QTE RETOUR])</f>
        <v>0</v>
      </c>
      <c r="K1042" s="35" t="str">
        <f t="shared" si="16"/>
        <v>Usine</v>
      </c>
      <c r="L1042" s="35" t="str">
        <f>_xlfn.XLOOKUP(mvtst[[#This Row],[Sous Traitant]],coordonnee_st[Identification],coordonnee_st[SERVICE],"Non Trouvé")</f>
        <v>Frange</v>
      </c>
      <c r="M1042" s="35" t="str">
        <f>INDEX(_xlfn.TEXTSPLIT(mvtst[[#This Row],[QR Suivis]],"_"),1,2)</f>
        <v>All by Fouta</v>
      </c>
      <c r="N1042" s="35" t="str">
        <f>INDEX(_xlfn.TEXTSPLIT(mvtst[[#This Row],[QR Suivis]],"_"),1,3)</f>
        <v>Stock</v>
      </c>
      <c r="O1042" s="35" t="str">
        <f>INDEX(_xlfn.TEXTSPLIT(mvtst[[#This Row],[QR Suivis]],"_"),1,4)</f>
        <v>UNS1626-03</v>
      </c>
      <c r="P1042" s="35" t="str">
        <f>INDEX(_xlfn.TEXTSPLIT(mvtst[[#This Row],[QR Suivis]],"_"),1,5)</f>
        <v>UNI SURPIQUE</v>
      </c>
      <c r="Q1042" s="35" t="str">
        <f>_xlfn.TEXTAFTER(mvtst[[#This Row],[QR Suivis]],"_",5)</f>
        <v>1626</v>
      </c>
      <c r="R1042" s="84" t="str">
        <f>IF(
   COUNTIFS($A$2:A1042,A1042,
             $B$2:B1042,B1042,
             $C$2:C1042,C1042,
             $D$2:D1042,D1042,
             $G$2:G1042,G1042)&gt;1,
   "Doublon",
   "Correcte"
)</f>
        <v>Correcte</v>
      </c>
    </row>
    <row r="1043" spans="1:18" x14ac:dyDescent="0.25">
      <c r="A1043" s="104" t="s">
        <v>1790</v>
      </c>
      <c r="B1043" s="35" t="s">
        <v>712</v>
      </c>
      <c r="C1043" s="36">
        <v>0</v>
      </c>
      <c r="D1043" s="36">
        <v>1</v>
      </c>
      <c r="E1043" s="35" t="s">
        <v>699</v>
      </c>
      <c r="F1043" s="35" t="s">
        <v>634</v>
      </c>
      <c r="G1043" s="37">
        <v>45933.365833333337</v>
      </c>
      <c r="H1043" s="37" t="str">
        <f>INDEX(_xlfn.TEXTSPLIT(mvtst[[#This Row],[QR Suivis]],"_"),1,1)</f>
        <v>CA250030-7</v>
      </c>
      <c r="I1043" s="35" t="str">
        <f>_xlfn.TEXTBEFORE(mvtst[[#This Row],[Num Suivis]],"-",,,1)</f>
        <v>CA250030</v>
      </c>
      <c r="J1043" s="36">
        <f>SUMIF(mvtst[QR Suivis],mvtst[[#This Row],[QR Suivis]],mvtst[QTE SORTIS])-SUMIF(mvtst[QR Suivis],mvtst[[#This Row],[QR Suivis]],mvtst[QTE RETOUR])</f>
        <v>0</v>
      </c>
      <c r="K1043" s="35" t="str">
        <f t="shared" si="16"/>
        <v>Usine</v>
      </c>
      <c r="L1043" s="35" t="str">
        <f>_xlfn.XLOOKUP(mvtst[[#This Row],[Sous Traitant]],coordonnee_st[Identification],coordonnee_st[SERVICE],"Non Trouvé")</f>
        <v>Frange</v>
      </c>
      <c r="M1043" s="35" t="str">
        <f>INDEX(_xlfn.TEXTSPLIT(mvtst[[#This Row],[QR Suivis]],"_"),1,2)</f>
        <v>All by Fouta</v>
      </c>
      <c r="N1043" s="35" t="str">
        <f>INDEX(_xlfn.TEXTSPLIT(mvtst[[#This Row],[QR Suivis]],"_"),1,3)</f>
        <v>Stock</v>
      </c>
      <c r="O1043" s="35" t="str">
        <f>INDEX(_xlfn.TEXTSPLIT(mvtst[[#This Row],[QR Suivis]],"_"),1,4)</f>
        <v>UNS2020-18</v>
      </c>
      <c r="P1043" s="35" t="str">
        <f>INDEX(_xlfn.TEXTSPLIT(mvtst[[#This Row],[QR Suivis]],"_"),1,5)</f>
        <v>UNI SURPIQUE</v>
      </c>
      <c r="Q1043" s="35" t="str">
        <f>_xlfn.TEXTAFTER(mvtst[[#This Row],[QR Suivis]],"_",5)</f>
        <v>2020</v>
      </c>
      <c r="R1043" s="84" t="str">
        <f>IF(
   COUNTIFS($A$2:A1043,A1043,
             $B$2:B1043,B1043,
             $C$2:C1043,C1043,
             $D$2:D1043,D1043,
             $G$2:G1043,G1043)&gt;1,
   "Doublon",
   "Correcte"
)</f>
        <v>Correcte</v>
      </c>
    </row>
    <row r="1044" spans="1:18" x14ac:dyDescent="0.25">
      <c r="A1044" s="104" t="s">
        <v>1787</v>
      </c>
      <c r="B1044" s="35" t="s">
        <v>712</v>
      </c>
      <c r="C1044" s="36">
        <v>0</v>
      </c>
      <c r="D1044" s="36">
        <v>5</v>
      </c>
      <c r="E1044" s="35" t="s">
        <v>699</v>
      </c>
      <c r="F1044" s="35" t="s">
        <v>634</v>
      </c>
      <c r="G1044" s="37">
        <v>45933.367777777778</v>
      </c>
      <c r="H1044" s="37" t="str">
        <f>INDEX(_xlfn.TEXTSPLIT(mvtst[[#This Row],[QR Suivis]],"_"),1,1)</f>
        <v>CA250055-3</v>
      </c>
      <c r="I1044" s="35" t="str">
        <f>_xlfn.TEXTBEFORE(mvtst[[#This Row],[Num Suivis]],"-",,,1)</f>
        <v>CA250055</v>
      </c>
      <c r="J1044" s="36">
        <f>SUMIF(mvtst[QR Suivis],mvtst[[#This Row],[QR Suivis]],mvtst[QTE SORTIS])-SUMIF(mvtst[QR Suivis],mvtst[[#This Row],[QR Suivis]],mvtst[QTE RETOUR])</f>
        <v>0</v>
      </c>
      <c r="K1044" s="35" t="str">
        <f t="shared" si="16"/>
        <v>Usine</v>
      </c>
      <c r="L1044" s="35" t="str">
        <f>_xlfn.XLOOKUP(mvtst[[#This Row],[Sous Traitant]],coordonnee_st[Identification],coordonnee_st[SERVICE],"Non Trouvé")</f>
        <v>Frange</v>
      </c>
      <c r="M1044" s="35" t="str">
        <f>INDEX(_xlfn.TEXTSPLIT(mvtst[[#This Row],[QR Suivis]],"_"),1,2)</f>
        <v>All by Fouta</v>
      </c>
      <c r="N1044" s="35" t="str">
        <f>INDEX(_xlfn.TEXTSPLIT(mvtst[[#This Row],[QR Suivis]],"_"),1,3)</f>
        <v>Stock</v>
      </c>
      <c r="O1044" s="35" t="str">
        <f>INDEX(_xlfn.TEXTSPLIT(mvtst[[#This Row],[QR Suivis]],"_"),1,4)</f>
        <v>UNS1626-26</v>
      </c>
      <c r="P1044" s="35" t="str">
        <f>INDEX(_xlfn.TEXTSPLIT(mvtst[[#This Row],[QR Suivis]],"_"),1,5)</f>
        <v>UNI SURPIQUE</v>
      </c>
      <c r="Q1044" s="35" t="str">
        <f>_xlfn.TEXTAFTER(mvtst[[#This Row],[QR Suivis]],"_",5)</f>
        <v>1626</v>
      </c>
      <c r="R1044" s="84" t="str">
        <f>IF(
   COUNTIFS($A$2:A1044,A1044,
             $B$2:B1044,B1044,
             $C$2:C1044,C1044,
             $D$2:D1044,D1044,
             $G$2:G1044,G1044)&gt;1,
   "Doublon",
   "Correcte"
)</f>
        <v>Correcte</v>
      </c>
    </row>
    <row r="1045" spans="1:18" x14ac:dyDescent="0.25">
      <c r="A1045" s="104" t="s">
        <v>1785</v>
      </c>
      <c r="B1045" s="35" t="s">
        <v>712</v>
      </c>
      <c r="C1045" s="36">
        <v>0</v>
      </c>
      <c r="D1045" s="36">
        <v>5</v>
      </c>
      <c r="E1045" s="35" t="s">
        <v>699</v>
      </c>
      <c r="F1045" s="35" t="s">
        <v>634</v>
      </c>
      <c r="G1045" s="37">
        <v>45933.368043981478</v>
      </c>
      <c r="H1045" s="37" t="str">
        <f>INDEX(_xlfn.TEXTSPLIT(mvtst[[#This Row],[QR Suivis]],"_"),1,1)</f>
        <v>CA250030-3</v>
      </c>
      <c r="I1045" s="35" t="str">
        <f>_xlfn.TEXTBEFORE(mvtst[[#This Row],[Num Suivis]],"-",,,1)</f>
        <v>CA250030</v>
      </c>
      <c r="J1045" s="36">
        <f>SUMIF(mvtst[QR Suivis],mvtst[[#This Row],[QR Suivis]],mvtst[QTE SORTIS])-SUMIF(mvtst[QR Suivis],mvtst[[#This Row],[QR Suivis]],mvtst[QTE RETOUR])</f>
        <v>0</v>
      </c>
      <c r="K1045" s="35" t="str">
        <f t="shared" si="16"/>
        <v>Usine</v>
      </c>
      <c r="L1045" s="35" t="str">
        <f>_xlfn.XLOOKUP(mvtst[[#This Row],[Sous Traitant]],coordonnee_st[Identification],coordonnee_st[SERVICE],"Non Trouvé")</f>
        <v>Frange</v>
      </c>
      <c r="M1045" s="35" t="str">
        <f>INDEX(_xlfn.TEXTSPLIT(mvtst[[#This Row],[QR Suivis]],"_"),1,2)</f>
        <v>All by Fouta</v>
      </c>
      <c r="N1045" s="35" t="str">
        <f>INDEX(_xlfn.TEXTSPLIT(mvtst[[#This Row],[QR Suivis]],"_"),1,3)</f>
        <v>Stock</v>
      </c>
      <c r="O1045" s="35" t="str">
        <f>INDEX(_xlfn.TEXTSPLIT(mvtst[[#This Row],[QR Suivis]],"_"),1,4)</f>
        <v>UNS2020-18</v>
      </c>
      <c r="P1045" s="35" t="str">
        <f>INDEX(_xlfn.TEXTSPLIT(mvtst[[#This Row],[QR Suivis]],"_"),1,5)</f>
        <v>UNI SURPIQUE</v>
      </c>
      <c r="Q1045" s="35" t="str">
        <f>_xlfn.TEXTAFTER(mvtst[[#This Row],[QR Suivis]],"_",5)</f>
        <v>2020</v>
      </c>
      <c r="R1045" s="84" t="str">
        <f>IF(
   COUNTIFS($A$2:A1045,A1045,
             $B$2:B1045,B1045,
             $C$2:C1045,C1045,
             $D$2:D1045,D1045,
             $G$2:G1045,G1045)&gt;1,
   "Doublon",
   "Correcte"
)</f>
        <v>Correcte</v>
      </c>
    </row>
    <row r="1046" spans="1:18" x14ac:dyDescent="0.25">
      <c r="A1046" s="104" t="s">
        <v>1784</v>
      </c>
      <c r="B1046" s="35" t="s">
        <v>712</v>
      </c>
      <c r="C1046" s="36">
        <v>0</v>
      </c>
      <c r="D1046" s="36">
        <v>5</v>
      </c>
      <c r="E1046" s="35" t="s">
        <v>699</v>
      </c>
      <c r="F1046" s="35" t="s">
        <v>634</v>
      </c>
      <c r="G1046" s="37">
        <v>45933.368252314816</v>
      </c>
      <c r="H1046" s="37" t="str">
        <f>INDEX(_xlfn.TEXTSPLIT(mvtst[[#This Row],[QR Suivis]],"_"),1,1)</f>
        <v>CA250055-1</v>
      </c>
      <c r="I1046" s="35" t="str">
        <f>_xlfn.TEXTBEFORE(mvtst[[#This Row],[Num Suivis]],"-",,,1)</f>
        <v>CA250055</v>
      </c>
      <c r="J1046" s="36">
        <f>SUMIF(mvtst[QR Suivis],mvtst[[#This Row],[QR Suivis]],mvtst[QTE SORTIS])-SUMIF(mvtst[QR Suivis],mvtst[[#This Row],[QR Suivis]],mvtst[QTE RETOUR])</f>
        <v>0</v>
      </c>
      <c r="K1046" s="35" t="str">
        <f t="shared" si="16"/>
        <v>Usine</v>
      </c>
      <c r="L1046" s="35" t="str">
        <f>_xlfn.XLOOKUP(mvtst[[#This Row],[Sous Traitant]],coordonnee_st[Identification],coordonnee_st[SERVICE],"Non Trouvé")</f>
        <v>Frange</v>
      </c>
      <c r="M1046" s="35" t="str">
        <f>INDEX(_xlfn.TEXTSPLIT(mvtst[[#This Row],[QR Suivis]],"_"),1,2)</f>
        <v>All by Fouta</v>
      </c>
      <c r="N1046" s="35" t="str">
        <f>INDEX(_xlfn.TEXTSPLIT(mvtst[[#This Row],[QR Suivis]],"_"),1,3)</f>
        <v>Stock</v>
      </c>
      <c r="O1046" s="35" t="str">
        <f>INDEX(_xlfn.TEXTSPLIT(mvtst[[#This Row],[QR Suivis]],"_"),1,4)</f>
        <v>UNS1626-26</v>
      </c>
      <c r="P1046" s="35" t="str">
        <f>INDEX(_xlfn.TEXTSPLIT(mvtst[[#This Row],[QR Suivis]],"_"),1,5)</f>
        <v>UNI SURPIQUE</v>
      </c>
      <c r="Q1046" s="35" t="str">
        <f>_xlfn.TEXTAFTER(mvtst[[#This Row],[QR Suivis]],"_",5)</f>
        <v>1626</v>
      </c>
      <c r="R1046" s="84" t="str">
        <f>IF(
   COUNTIFS($A$2:A1046,A1046,
             $B$2:B1046,B1046,
             $C$2:C1046,C1046,
             $D$2:D1046,D1046,
             $G$2:G1046,G1046)&gt;1,
   "Doublon",
   "Correcte"
)</f>
        <v>Correcte</v>
      </c>
    </row>
    <row r="1047" spans="1:18" x14ac:dyDescent="0.25">
      <c r="A1047" s="104" t="s">
        <v>1801</v>
      </c>
      <c r="B1047" s="35" t="s">
        <v>712</v>
      </c>
      <c r="C1047" s="36">
        <v>0</v>
      </c>
      <c r="D1047" s="36">
        <v>5</v>
      </c>
      <c r="E1047" s="35" t="s">
        <v>699</v>
      </c>
      <c r="F1047" s="35" t="s">
        <v>634</v>
      </c>
      <c r="G1047" s="37">
        <v>45933.368495370371</v>
      </c>
      <c r="H1047" s="37" t="str">
        <f>INDEX(_xlfn.TEXTSPLIT(mvtst[[#This Row],[QR Suivis]],"_"),1,1)</f>
        <v>CA250059-1</v>
      </c>
      <c r="I1047" s="35" t="str">
        <f>_xlfn.TEXTBEFORE(mvtst[[#This Row],[Num Suivis]],"-",,,1)</f>
        <v>CA250059</v>
      </c>
      <c r="J1047" s="36">
        <f>SUMIF(mvtst[QR Suivis],mvtst[[#This Row],[QR Suivis]],mvtst[QTE SORTIS])-SUMIF(mvtst[QR Suivis],mvtst[[#This Row],[QR Suivis]],mvtst[QTE RETOUR])</f>
        <v>0</v>
      </c>
      <c r="K1047" s="35" t="str">
        <f t="shared" si="16"/>
        <v>Usine</v>
      </c>
      <c r="L1047" s="35" t="str">
        <f>_xlfn.XLOOKUP(mvtst[[#This Row],[Sous Traitant]],coordonnee_st[Identification],coordonnee_st[SERVICE],"Non Trouvé")</f>
        <v>Frange</v>
      </c>
      <c r="M1047" s="35" t="str">
        <f>INDEX(_xlfn.TEXTSPLIT(mvtst[[#This Row],[QR Suivis]],"_"),1,2)</f>
        <v>All by Fouta</v>
      </c>
      <c r="N1047" s="35" t="str">
        <f>INDEX(_xlfn.TEXTSPLIT(mvtst[[#This Row],[QR Suivis]],"_"),1,3)</f>
        <v>Stock</v>
      </c>
      <c r="O1047" s="35" t="str">
        <f>INDEX(_xlfn.TEXTSPLIT(mvtst[[#This Row],[QR Suivis]],"_"),1,4)</f>
        <v>UNS1626-32</v>
      </c>
      <c r="P1047" s="35" t="str">
        <f>INDEX(_xlfn.TEXTSPLIT(mvtst[[#This Row],[QR Suivis]],"_"),1,5)</f>
        <v>UNI SURPIQUE</v>
      </c>
      <c r="Q1047" s="35" t="str">
        <f>_xlfn.TEXTAFTER(mvtst[[#This Row],[QR Suivis]],"_",5)</f>
        <v>1626</v>
      </c>
      <c r="R1047" s="84" t="str">
        <f>IF(
   COUNTIFS($A$2:A1047,A1047,
             $B$2:B1047,B1047,
             $C$2:C1047,C1047,
             $D$2:D1047,D1047,
             $G$2:G1047,G1047)&gt;1,
   "Doublon",
   "Correcte"
)</f>
        <v>Correcte</v>
      </c>
    </row>
    <row r="1048" spans="1:18" x14ac:dyDescent="0.25">
      <c r="A1048" s="104" t="s">
        <v>1666</v>
      </c>
      <c r="B1048" s="35" t="s">
        <v>712</v>
      </c>
      <c r="C1048" s="36">
        <v>0</v>
      </c>
      <c r="D1048" s="36">
        <v>5</v>
      </c>
      <c r="E1048" s="35" t="s">
        <v>699</v>
      </c>
      <c r="F1048" s="35" t="s">
        <v>634</v>
      </c>
      <c r="G1048" s="37">
        <v>45933.368726851855</v>
      </c>
      <c r="H1048" s="37" t="str">
        <f>INDEX(_xlfn.TEXTSPLIT(mvtst[[#This Row],[QR Suivis]],"_"),1,1)</f>
        <v>CA250057-2</v>
      </c>
      <c r="I1048" s="35" t="str">
        <f>_xlfn.TEXTBEFORE(mvtst[[#This Row],[Num Suivis]],"-",,,1)</f>
        <v>CA250057</v>
      </c>
      <c r="J1048" s="36">
        <f>SUMIF(mvtst[QR Suivis],mvtst[[#This Row],[QR Suivis]],mvtst[QTE SORTIS])-SUMIF(mvtst[QR Suivis],mvtst[[#This Row],[QR Suivis]],mvtst[QTE RETOUR])</f>
        <v>0</v>
      </c>
      <c r="K1048" s="35" t="str">
        <f t="shared" si="16"/>
        <v>Usine</v>
      </c>
      <c r="L1048" s="35" t="str">
        <f>_xlfn.XLOOKUP(mvtst[[#This Row],[Sous Traitant]],coordonnee_st[Identification],coordonnee_st[SERVICE],"Non Trouvé")</f>
        <v>Frange</v>
      </c>
      <c r="M1048" s="35" t="str">
        <f>INDEX(_xlfn.TEXTSPLIT(mvtst[[#This Row],[QR Suivis]],"_"),1,2)</f>
        <v>All by Fouta</v>
      </c>
      <c r="N1048" s="35" t="str">
        <f>INDEX(_xlfn.TEXTSPLIT(mvtst[[#This Row],[QR Suivis]],"_"),1,3)</f>
        <v>Stock</v>
      </c>
      <c r="O1048" s="35" t="str">
        <f>INDEX(_xlfn.TEXTSPLIT(mvtst[[#This Row],[QR Suivis]],"_"),1,4)</f>
        <v>UNS1626-30</v>
      </c>
      <c r="P1048" s="35" t="str">
        <f>INDEX(_xlfn.TEXTSPLIT(mvtst[[#This Row],[QR Suivis]],"_"),1,5)</f>
        <v>UNI SURPIQUE</v>
      </c>
      <c r="Q1048" s="35" t="str">
        <f>_xlfn.TEXTAFTER(mvtst[[#This Row],[QR Suivis]],"_",5)</f>
        <v>1626</v>
      </c>
      <c r="R1048" s="84" t="str">
        <f>IF(
   COUNTIFS($A$2:A1048,A1048,
             $B$2:B1048,B1048,
             $C$2:C1048,C1048,
             $D$2:D1048,D1048,
             $G$2:G1048,G1048)&gt;1,
   "Doublon",
   "Correcte"
)</f>
        <v>Correcte</v>
      </c>
    </row>
    <row r="1049" spans="1:18" x14ac:dyDescent="0.25">
      <c r="A1049" s="104" t="s">
        <v>1789</v>
      </c>
      <c r="B1049" s="35" t="s">
        <v>712</v>
      </c>
      <c r="C1049" s="36">
        <v>0</v>
      </c>
      <c r="D1049" s="36">
        <v>5</v>
      </c>
      <c r="E1049" s="35" t="s">
        <v>699</v>
      </c>
      <c r="F1049" s="35" t="s">
        <v>634</v>
      </c>
      <c r="G1049" s="37">
        <v>45933.369120370371</v>
      </c>
      <c r="H1049" s="37" t="str">
        <f>INDEX(_xlfn.TEXTSPLIT(mvtst[[#This Row],[QR Suivis]],"_"),1,1)</f>
        <v>CA250024-3</v>
      </c>
      <c r="I1049" s="35" t="str">
        <f>_xlfn.TEXTBEFORE(mvtst[[#This Row],[Num Suivis]],"-",,,1)</f>
        <v>CA250024</v>
      </c>
      <c r="J1049" s="36">
        <f>SUMIF(mvtst[QR Suivis],mvtst[[#This Row],[QR Suivis]],mvtst[QTE SORTIS])-SUMIF(mvtst[QR Suivis],mvtst[[#This Row],[QR Suivis]],mvtst[QTE RETOUR])</f>
        <v>0</v>
      </c>
      <c r="K1049" s="35" t="str">
        <f t="shared" si="16"/>
        <v>Usine</v>
      </c>
      <c r="L1049" s="35" t="str">
        <f>_xlfn.XLOOKUP(mvtst[[#This Row],[Sous Traitant]],coordonnee_st[Identification],coordonnee_st[SERVICE],"Non Trouvé")</f>
        <v>Frange</v>
      </c>
      <c r="M1049" s="35" t="str">
        <f>INDEX(_xlfn.TEXTSPLIT(mvtst[[#This Row],[QR Suivis]],"_"),1,2)</f>
        <v>All by Fouta</v>
      </c>
      <c r="N1049" s="35" t="str">
        <f>INDEX(_xlfn.TEXTSPLIT(mvtst[[#This Row],[QR Suivis]],"_"),1,3)</f>
        <v>Stock</v>
      </c>
      <c r="O1049" s="35" t="str">
        <f>INDEX(_xlfn.TEXTSPLIT(mvtst[[#This Row],[QR Suivis]],"_"),1,4)</f>
        <v>UNS2020-09</v>
      </c>
      <c r="P1049" s="35" t="str">
        <f>INDEX(_xlfn.TEXTSPLIT(mvtst[[#This Row],[QR Suivis]],"_"),1,5)</f>
        <v>UNI SURPIQUE</v>
      </c>
      <c r="Q1049" s="35" t="str">
        <f>_xlfn.TEXTAFTER(mvtst[[#This Row],[QR Suivis]],"_",5)</f>
        <v>2020</v>
      </c>
      <c r="R1049" s="84" t="str">
        <f>IF(
   COUNTIFS($A$2:A1049,A1049,
             $B$2:B1049,B1049,
             $C$2:C1049,C1049,
             $D$2:D1049,D1049,
             $G$2:G1049,G1049)&gt;1,
   "Doublon",
   "Correcte"
)</f>
        <v>Correcte</v>
      </c>
    </row>
    <row r="1050" spans="1:18" x14ac:dyDescent="0.25">
      <c r="A1050" s="104" t="s">
        <v>1797</v>
      </c>
      <c r="B1050" s="35" t="s">
        <v>712</v>
      </c>
      <c r="C1050" s="36">
        <v>0</v>
      </c>
      <c r="D1050" s="36">
        <v>5</v>
      </c>
      <c r="E1050" s="35" t="s">
        <v>699</v>
      </c>
      <c r="F1050" s="35" t="s">
        <v>634</v>
      </c>
      <c r="G1050" s="37">
        <v>45933.369502314818</v>
      </c>
      <c r="H1050" s="37" t="str">
        <f>INDEX(_xlfn.TEXTSPLIT(mvtst[[#This Row],[QR Suivis]],"_"),1,1)</f>
        <v>CA250030-1</v>
      </c>
      <c r="I1050" s="35" t="str">
        <f>_xlfn.TEXTBEFORE(mvtst[[#This Row],[Num Suivis]],"-",,,1)</f>
        <v>CA250030</v>
      </c>
      <c r="J1050" s="36">
        <f>SUMIF(mvtst[QR Suivis],mvtst[[#This Row],[QR Suivis]],mvtst[QTE SORTIS])-SUMIF(mvtst[QR Suivis],mvtst[[#This Row],[QR Suivis]],mvtst[QTE RETOUR])</f>
        <v>0</v>
      </c>
      <c r="K1050" s="35" t="str">
        <f t="shared" si="16"/>
        <v>Usine</v>
      </c>
      <c r="L1050" s="35" t="str">
        <f>_xlfn.XLOOKUP(mvtst[[#This Row],[Sous Traitant]],coordonnee_st[Identification],coordonnee_st[SERVICE],"Non Trouvé")</f>
        <v>Frange</v>
      </c>
      <c r="M1050" s="35" t="str">
        <f>INDEX(_xlfn.TEXTSPLIT(mvtst[[#This Row],[QR Suivis]],"_"),1,2)</f>
        <v>All by Fouta</v>
      </c>
      <c r="N1050" s="35" t="str">
        <f>INDEX(_xlfn.TEXTSPLIT(mvtst[[#This Row],[QR Suivis]],"_"),1,3)</f>
        <v>Stock</v>
      </c>
      <c r="O1050" s="35" t="str">
        <f>INDEX(_xlfn.TEXTSPLIT(mvtst[[#This Row],[QR Suivis]],"_"),1,4)</f>
        <v>UNS2020-18</v>
      </c>
      <c r="P1050" s="35" t="str">
        <f>INDEX(_xlfn.TEXTSPLIT(mvtst[[#This Row],[QR Suivis]],"_"),1,5)</f>
        <v>UNI SURPIQUE</v>
      </c>
      <c r="Q1050" s="35" t="str">
        <f>_xlfn.TEXTAFTER(mvtst[[#This Row],[QR Suivis]],"_",5)</f>
        <v>2020</v>
      </c>
      <c r="R1050" s="84" t="str">
        <f>IF(
   COUNTIFS($A$2:A1050,A1050,
             $B$2:B1050,B1050,
             $C$2:C1050,C1050,
             $D$2:D1050,D1050,
             $G$2:G1050,G1050)&gt;1,
   "Doublon",
   "Correcte"
)</f>
        <v>Correcte</v>
      </c>
    </row>
    <row r="1051" spans="1:18" x14ac:dyDescent="0.25">
      <c r="A1051" s="104" t="s">
        <v>1678</v>
      </c>
      <c r="B1051" s="35" t="s">
        <v>712</v>
      </c>
      <c r="C1051" s="36">
        <v>0</v>
      </c>
      <c r="D1051" s="36">
        <v>1</v>
      </c>
      <c r="E1051" s="35" t="s">
        <v>699</v>
      </c>
      <c r="F1051" s="35" t="s">
        <v>634</v>
      </c>
      <c r="G1051" s="37">
        <v>45933.369930555556</v>
      </c>
      <c r="H1051" s="37" t="str">
        <f>INDEX(_xlfn.TEXTSPLIT(mvtst[[#This Row],[QR Suivis]],"_"),1,1)</f>
        <v>CA250064-5</v>
      </c>
      <c r="I1051" s="35" t="str">
        <f>_xlfn.TEXTBEFORE(mvtst[[#This Row],[Num Suivis]],"-",,,1)</f>
        <v>CA250064</v>
      </c>
      <c r="J1051" s="36">
        <f>SUMIF(mvtst[QR Suivis],mvtst[[#This Row],[QR Suivis]],mvtst[QTE SORTIS])-SUMIF(mvtst[QR Suivis],mvtst[[#This Row],[QR Suivis]],mvtst[QTE RETOUR])</f>
        <v>0</v>
      </c>
      <c r="K1051" s="35" t="str">
        <f t="shared" si="16"/>
        <v>Usine</v>
      </c>
      <c r="L1051" s="35" t="str">
        <f>_xlfn.XLOOKUP(mvtst[[#This Row],[Sous Traitant]],coordonnee_st[Identification],coordonnee_st[SERVICE],"Non Trouvé")</f>
        <v>Frange</v>
      </c>
      <c r="M1051" s="35" t="str">
        <f>INDEX(_xlfn.TEXTSPLIT(mvtst[[#This Row],[QR Suivis]],"_"),1,2)</f>
        <v>All by Fouta</v>
      </c>
      <c r="N1051" s="35" t="str">
        <f>INDEX(_xlfn.TEXTSPLIT(mvtst[[#This Row],[QR Suivis]],"_"),1,3)</f>
        <v>Stock</v>
      </c>
      <c r="O1051" s="35" t="str">
        <f>INDEX(_xlfn.TEXTSPLIT(mvtst[[#This Row],[QR Suivis]],"_"),1,4)</f>
        <v>UNS2030-09</v>
      </c>
      <c r="P1051" s="35" t="str">
        <f>INDEX(_xlfn.TEXTSPLIT(mvtst[[#This Row],[QR Suivis]],"_"),1,5)</f>
        <v>UNI SURPIQUE</v>
      </c>
      <c r="Q1051" s="35" t="str">
        <f>_xlfn.TEXTAFTER(mvtst[[#This Row],[QR Suivis]],"_",5)</f>
        <v>2030</v>
      </c>
      <c r="R1051" s="84" t="str">
        <f>IF(
   COUNTIFS($A$2:A1051,A1051,
             $B$2:B1051,B1051,
             $C$2:C1051,C1051,
             $D$2:D1051,D1051,
             $G$2:G1051,G1051)&gt;1,
   "Doublon",
   "Correcte"
)</f>
        <v>Correcte</v>
      </c>
    </row>
    <row r="1052" spans="1:18" x14ac:dyDescent="0.25">
      <c r="A1052" s="104" t="s">
        <v>1799</v>
      </c>
      <c r="B1052" s="35" t="s">
        <v>712</v>
      </c>
      <c r="C1052" s="36">
        <v>0</v>
      </c>
      <c r="D1052" s="36">
        <v>5</v>
      </c>
      <c r="E1052" s="35" t="s">
        <v>699</v>
      </c>
      <c r="F1052" s="35" t="s">
        <v>634</v>
      </c>
      <c r="G1052" s="37">
        <v>45933.370335648149</v>
      </c>
      <c r="H1052" s="37" t="str">
        <f>INDEX(_xlfn.TEXTSPLIT(mvtst[[#This Row],[QR Suivis]],"_"),1,1)</f>
        <v>CA250050-5</v>
      </c>
      <c r="I1052" s="35" t="str">
        <f>_xlfn.TEXTBEFORE(mvtst[[#This Row],[Num Suivis]],"-",,,1)</f>
        <v>CA250050</v>
      </c>
      <c r="J1052" s="36">
        <f>SUMIF(mvtst[QR Suivis],mvtst[[#This Row],[QR Suivis]],mvtst[QTE SORTIS])-SUMIF(mvtst[QR Suivis],mvtst[[#This Row],[QR Suivis]],mvtst[QTE RETOUR])</f>
        <v>0</v>
      </c>
      <c r="K1052" s="35" t="str">
        <f t="shared" si="16"/>
        <v>Usine</v>
      </c>
      <c r="L1052" s="35" t="str">
        <f>_xlfn.XLOOKUP(mvtst[[#This Row],[Sous Traitant]],coordonnee_st[Identification],coordonnee_st[SERVICE],"Non Trouvé")</f>
        <v>Frange</v>
      </c>
      <c r="M1052" s="35" t="str">
        <f>INDEX(_xlfn.TEXTSPLIT(mvtst[[#This Row],[QR Suivis]],"_"),1,2)</f>
        <v>All by Fouta</v>
      </c>
      <c r="N1052" s="35" t="str">
        <f>INDEX(_xlfn.TEXTSPLIT(mvtst[[#This Row],[QR Suivis]],"_"),1,3)</f>
        <v>Stock</v>
      </c>
      <c r="O1052" s="35" t="str">
        <f>INDEX(_xlfn.TEXTSPLIT(mvtst[[#This Row],[QR Suivis]],"_"),1,4)</f>
        <v>UNS1626-18</v>
      </c>
      <c r="P1052" s="35" t="str">
        <f>INDEX(_xlfn.TEXTSPLIT(mvtst[[#This Row],[QR Suivis]],"_"),1,5)</f>
        <v>UNI SURPIQUE</v>
      </c>
      <c r="Q1052" s="35" t="str">
        <f>_xlfn.TEXTAFTER(mvtst[[#This Row],[QR Suivis]],"_",5)</f>
        <v>1626</v>
      </c>
      <c r="R1052" s="84" t="str">
        <f>IF(
   COUNTIFS($A$2:A1052,A1052,
             $B$2:B1052,B1052,
             $C$2:C1052,C1052,
             $D$2:D1052,D1052,
             $G$2:G1052,G1052)&gt;1,
   "Doublon",
   "Correcte"
)</f>
        <v>Correcte</v>
      </c>
    </row>
    <row r="1053" spans="1:18" x14ac:dyDescent="0.25">
      <c r="A1053" s="104" t="s">
        <v>1795</v>
      </c>
      <c r="B1053" s="35" t="s">
        <v>712</v>
      </c>
      <c r="C1053" s="36">
        <v>0</v>
      </c>
      <c r="D1053" s="36">
        <v>5</v>
      </c>
      <c r="E1053" s="35" t="s">
        <v>699</v>
      </c>
      <c r="F1053" s="35" t="s">
        <v>634</v>
      </c>
      <c r="G1053" s="37">
        <v>45933.371041666665</v>
      </c>
      <c r="H1053" s="37" t="str">
        <f>INDEX(_xlfn.TEXTSPLIT(mvtst[[#This Row],[QR Suivis]],"_"),1,1)</f>
        <v>CA250024-5</v>
      </c>
      <c r="I1053" s="35" t="str">
        <f>_xlfn.TEXTBEFORE(mvtst[[#This Row],[Num Suivis]],"-",,,1)</f>
        <v>CA250024</v>
      </c>
      <c r="J1053" s="36">
        <f>SUMIF(mvtst[QR Suivis],mvtst[[#This Row],[QR Suivis]],mvtst[QTE SORTIS])-SUMIF(mvtst[QR Suivis],mvtst[[#This Row],[QR Suivis]],mvtst[QTE RETOUR])</f>
        <v>0</v>
      </c>
      <c r="K1053" s="35" t="str">
        <f t="shared" si="16"/>
        <v>Usine</v>
      </c>
      <c r="L1053" s="35" t="str">
        <f>_xlfn.XLOOKUP(mvtst[[#This Row],[Sous Traitant]],coordonnee_st[Identification],coordonnee_st[SERVICE],"Non Trouvé")</f>
        <v>Frange</v>
      </c>
      <c r="M1053" s="35" t="str">
        <f>INDEX(_xlfn.TEXTSPLIT(mvtst[[#This Row],[QR Suivis]],"_"),1,2)</f>
        <v>All by Fouta</v>
      </c>
      <c r="N1053" s="35" t="str">
        <f>INDEX(_xlfn.TEXTSPLIT(mvtst[[#This Row],[QR Suivis]],"_"),1,3)</f>
        <v>Stock</v>
      </c>
      <c r="O1053" s="35" t="str">
        <f>INDEX(_xlfn.TEXTSPLIT(mvtst[[#This Row],[QR Suivis]],"_"),1,4)</f>
        <v>UNS2020-09</v>
      </c>
      <c r="P1053" s="35" t="str">
        <f>INDEX(_xlfn.TEXTSPLIT(mvtst[[#This Row],[QR Suivis]],"_"),1,5)</f>
        <v>UNI SURPIQUE</v>
      </c>
      <c r="Q1053" s="35" t="str">
        <f>_xlfn.TEXTAFTER(mvtst[[#This Row],[QR Suivis]],"_",5)</f>
        <v>2020</v>
      </c>
      <c r="R1053" s="84" t="str">
        <f>IF(
   COUNTIFS($A$2:A1053,A1053,
             $B$2:B1053,B1053,
             $C$2:C1053,C1053,
             $D$2:D1053,D1053,
             $G$2:G1053,G1053)&gt;1,
   "Doublon",
   "Correcte"
)</f>
        <v>Correcte</v>
      </c>
    </row>
    <row r="1054" spans="1:18" x14ac:dyDescent="0.25">
      <c r="A1054" s="104" t="s">
        <v>1798</v>
      </c>
      <c r="B1054" s="35" t="s">
        <v>712</v>
      </c>
      <c r="C1054" s="36">
        <v>0</v>
      </c>
      <c r="D1054" s="36">
        <v>5</v>
      </c>
      <c r="E1054" s="35" t="s">
        <v>699</v>
      </c>
      <c r="F1054" s="35" t="s">
        <v>634</v>
      </c>
      <c r="G1054" s="37">
        <v>45933.371423611112</v>
      </c>
      <c r="H1054" s="37" t="str">
        <f>INDEX(_xlfn.TEXTSPLIT(mvtst[[#This Row],[QR Suivis]],"_"),1,1)</f>
        <v>CA250050-6</v>
      </c>
      <c r="I1054" s="35" t="str">
        <f>_xlfn.TEXTBEFORE(mvtst[[#This Row],[Num Suivis]],"-",,,1)</f>
        <v>CA250050</v>
      </c>
      <c r="J1054" s="36">
        <f>SUMIF(mvtst[QR Suivis],mvtst[[#This Row],[QR Suivis]],mvtst[QTE SORTIS])-SUMIF(mvtst[QR Suivis],mvtst[[#This Row],[QR Suivis]],mvtst[QTE RETOUR])</f>
        <v>0</v>
      </c>
      <c r="K1054" s="35" t="str">
        <f t="shared" si="16"/>
        <v>Usine</v>
      </c>
      <c r="L1054" s="35" t="str">
        <f>_xlfn.XLOOKUP(mvtst[[#This Row],[Sous Traitant]],coordonnee_st[Identification],coordonnee_st[SERVICE],"Non Trouvé")</f>
        <v>Frange</v>
      </c>
      <c r="M1054" s="35" t="str">
        <f>INDEX(_xlfn.TEXTSPLIT(mvtst[[#This Row],[QR Suivis]],"_"),1,2)</f>
        <v>All by Fouta</v>
      </c>
      <c r="N1054" s="35" t="str">
        <f>INDEX(_xlfn.TEXTSPLIT(mvtst[[#This Row],[QR Suivis]],"_"),1,3)</f>
        <v>Stock</v>
      </c>
      <c r="O1054" s="35" t="str">
        <f>INDEX(_xlfn.TEXTSPLIT(mvtst[[#This Row],[QR Suivis]],"_"),1,4)</f>
        <v>UNS1626-18</v>
      </c>
      <c r="P1054" s="35" t="str">
        <f>INDEX(_xlfn.TEXTSPLIT(mvtst[[#This Row],[QR Suivis]],"_"),1,5)</f>
        <v>UNI SURPIQUE</v>
      </c>
      <c r="Q1054" s="35" t="str">
        <f>_xlfn.TEXTAFTER(mvtst[[#This Row],[QR Suivis]],"_",5)</f>
        <v>1626</v>
      </c>
      <c r="R1054" s="84" t="str">
        <f>IF(
   COUNTIFS($A$2:A1054,A1054,
             $B$2:B1054,B1054,
             $C$2:C1054,C1054,
             $D$2:D1054,D1054,
             $G$2:G1054,G1054)&gt;1,
   "Doublon",
   "Correcte"
)</f>
        <v>Correcte</v>
      </c>
    </row>
    <row r="1055" spans="1:18" x14ac:dyDescent="0.25">
      <c r="A1055" s="104" t="s">
        <v>1667</v>
      </c>
      <c r="B1055" s="35" t="s">
        <v>712</v>
      </c>
      <c r="C1055" s="36">
        <v>0</v>
      </c>
      <c r="D1055" s="36">
        <v>5</v>
      </c>
      <c r="E1055" s="35" t="s">
        <v>699</v>
      </c>
      <c r="F1055" s="35" t="s">
        <v>634</v>
      </c>
      <c r="G1055" s="37">
        <v>45933.372442129628</v>
      </c>
      <c r="H1055" s="37" t="str">
        <f>INDEX(_xlfn.TEXTSPLIT(mvtst[[#This Row],[QR Suivis]],"_"),1,1)</f>
        <v>CA250057-1</v>
      </c>
      <c r="I1055" s="35" t="str">
        <f>_xlfn.TEXTBEFORE(mvtst[[#This Row],[Num Suivis]],"-",,,1)</f>
        <v>CA250057</v>
      </c>
      <c r="J1055" s="36">
        <f>SUMIF(mvtst[QR Suivis],mvtst[[#This Row],[QR Suivis]],mvtst[QTE SORTIS])-SUMIF(mvtst[QR Suivis],mvtst[[#This Row],[QR Suivis]],mvtst[QTE RETOUR])</f>
        <v>0</v>
      </c>
      <c r="K1055" s="35" t="str">
        <f t="shared" si="16"/>
        <v>Usine</v>
      </c>
      <c r="L1055" s="35" t="str">
        <f>_xlfn.XLOOKUP(mvtst[[#This Row],[Sous Traitant]],coordonnee_st[Identification],coordonnee_st[SERVICE],"Non Trouvé")</f>
        <v>Frange</v>
      </c>
      <c r="M1055" s="35" t="str">
        <f>INDEX(_xlfn.TEXTSPLIT(mvtst[[#This Row],[QR Suivis]],"_"),1,2)</f>
        <v>All by Fouta</v>
      </c>
      <c r="N1055" s="35" t="str">
        <f>INDEX(_xlfn.TEXTSPLIT(mvtst[[#This Row],[QR Suivis]],"_"),1,3)</f>
        <v>Stock</v>
      </c>
      <c r="O1055" s="35" t="str">
        <f>INDEX(_xlfn.TEXTSPLIT(mvtst[[#This Row],[QR Suivis]],"_"),1,4)</f>
        <v>UNS1626-30</v>
      </c>
      <c r="P1055" s="35" t="str">
        <f>INDEX(_xlfn.TEXTSPLIT(mvtst[[#This Row],[QR Suivis]],"_"),1,5)</f>
        <v>UNI SURPIQUE</v>
      </c>
      <c r="Q1055" s="35" t="str">
        <f>_xlfn.TEXTAFTER(mvtst[[#This Row],[QR Suivis]],"_",5)</f>
        <v>1626</v>
      </c>
      <c r="R1055" s="84" t="str">
        <f>IF(
   COUNTIFS($A$2:A1055,A1055,
             $B$2:B1055,B1055,
             $C$2:C1055,C1055,
             $D$2:D1055,D1055,
             $G$2:G1055,G1055)&gt;1,
   "Doublon",
   "Correcte"
)</f>
        <v>Correcte</v>
      </c>
    </row>
    <row r="1056" spans="1:18" x14ac:dyDescent="0.25">
      <c r="A1056" s="104" t="s">
        <v>1792</v>
      </c>
      <c r="B1056" s="35" t="s">
        <v>712</v>
      </c>
      <c r="C1056" s="36">
        <v>0</v>
      </c>
      <c r="D1056" s="36">
        <v>5</v>
      </c>
      <c r="E1056" s="35" t="s">
        <v>699</v>
      </c>
      <c r="F1056" s="35" t="s">
        <v>634</v>
      </c>
      <c r="G1056" s="37">
        <v>45933.372800925928</v>
      </c>
      <c r="H1056" s="37" t="str">
        <f>INDEX(_xlfn.TEXTSPLIT(mvtst[[#This Row],[QR Suivis]],"_"),1,1)</f>
        <v>CA250024-1</v>
      </c>
      <c r="I1056" s="35" t="str">
        <f>_xlfn.TEXTBEFORE(mvtst[[#This Row],[Num Suivis]],"-",,,1)</f>
        <v>CA250024</v>
      </c>
      <c r="J1056" s="36">
        <f>SUMIF(mvtst[QR Suivis],mvtst[[#This Row],[QR Suivis]],mvtst[QTE SORTIS])-SUMIF(mvtst[QR Suivis],mvtst[[#This Row],[QR Suivis]],mvtst[QTE RETOUR])</f>
        <v>0</v>
      </c>
      <c r="K1056" s="35" t="str">
        <f t="shared" si="16"/>
        <v>Usine</v>
      </c>
      <c r="L1056" s="35" t="str">
        <f>_xlfn.XLOOKUP(mvtst[[#This Row],[Sous Traitant]],coordonnee_st[Identification],coordonnee_st[SERVICE],"Non Trouvé")</f>
        <v>Frange</v>
      </c>
      <c r="M1056" s="35" t="str">
        <f>INDEX(_xlfn.TEXTSPLIT(mvtst[[#This Row],[QR Suivis]],"_"),1,2)</f>
        <v>All by Fouta</v>
      </c>
      <c r="N1056" s="35" t="str">
        <f>INDEX(_xlfn.TEXTSPLIT(mvtst[[#This Row],[QR Suivis]],"_"),1,3)</f>
        <v>Stock</v>
      </c>
      <c r="O1056" s="35" t="str">
        <f>INDEX(_xlfn.TEXTSPLIT(mvtst[[#This Row],[QR Suivis]],"_"),1,4)</f>
        <v>UNS2020-09</v>
      </c>
      <c r="P1056" s="35" t="str">
        <f>INDEX(_xlfn.TEXTSPLIT(mvtst[[#This Row],[QR Suivis]],"_"),1,5)</f>
        <v>UNI SURPIQUE</v>
      </c>
      <c r="Q1056" s="35" t="str">
        <f>_xlfn.TEXTAFTER(mvtst[[#This Row],[QR Suivis]],"_",5)</f>
        <v>2020</v>
      </c>
      <c r="R1056" s="84" t="str">
        <f>IF(
   COUNTIFS($A$2:A1056,A1056,
             $B$2:B1056,B1056,
             $C$2:C1056,C1056,
             $D$2:D1056,D1056,
             $G$2:G1056,G1056)&gt;1,
   "Doublon",
   "Correcte"
)</f>
        <v>Correcte</v>
      </c>
    </row>
    <row r="1057" spans="1:18" x14ac:dyDescent="0.25">
      <c r="A1057" s="104" t="s">
        <v>1780</v>
      </c>
      <c r="B1057" s="35" t="s">
        <v>712</v>
      </c>
      <c r="C1057" s="36">
        <v>0</v>
      </c>
      <c r="D1057" s="36">
        <v>5</v>
      </c>
      <c r="E1057" s="35" t="s">
        <v>699</v>
      </c>
      <c r="F1057" s="35" t="s">
        <v>634</v>
      </c>
      <c r="G1057" s="37">
        <v>45933.373171296298</v>
      </c>
      <c r="H1057" s="37" t="str">
        <f>INDEX(_xlfn.TEXTSPLIT(mvtst[[#This Row],[QR Suivis]],"_"),1,1)</f>
        <v>CA250030-6</v>
      </c>
      <c r="I1057" s="35" t="str">
        <f>_xlfn.TEXTBEFORE(mvtst[[#This Row],[Num Suivis]],"-",,,1)</f>
        <v>CA250030</v>
      </c>
      <c r="J1057" s="36">
        <f>SUMIF(mvtst[QR Suivis],mvtst[[#This Row],[QR Suivis]],mvtst[QTE SORTIS])-SUMIF(mvtst[QR Suivis],mvtst[[#This Row],[QR Suivis]],mvtst[QTE RETOUR])</f>
        <v>0</v>
      </c>
      <c r="K1057" s="35" t="str">
        <f t="shared" si="16"/>
        <v>Usine</v>
      </c>
      <c r="L1057" s="35" t="str">
        <f>_xlfn.XLOOKUP(mvtst[[#This Row],[Sous Traitant]],coordonnee_st[Identification],coordonnee_st[SERVICE],"Non Trouvé")</f>
        <v>Frange</v>
      </c>
      <c r="M1057" s="35" t="str">
        <f>INDEX(_xlfn.TEXTSPLIT(mvtst[[#This Row],[QR Suivis]],"_"),1,2)</f>
        <v>All by Fouta</v>
      </c>
      <c r="N1057" s="35" t="str">
        <f>INDEX(_xlfn.TEXTSPLIT(mvtst[[#This Row],[QR Suivis]],"_"),1,3)</f>
        <v>Stock</v>
      </c>
      <c r="O1057" s="35" t="str">
        <f>INDEX(_xlfn.TEXTSPLIT(mvtst[[#This Row],[QR Suivis]],"_"),1,4)</f>
        <v>UNS2020-18</v>
      </c>
      <c r="P1057" s="35" t="str">
        <f>INDEX(_xlfn.TEXTSPLIT(mvtst[[#This Row],[QR Suivis]],"_"),1,5)</f>
        <v>UNI SURPIQUE</v>
      </c>
      <c r="Q1057" s="35" t="str">
        <f>_xlfn.TEXTAFTER(mvtst[[#This Row],[QR Suivis]],"_",5)</f>
        <v>2020</v>
      </c>
      <c r="R1057" s="84" t="str">
        <f>IF(
   COUNTIFS($A$2:A1057,A1057,
             $B$2:B1057,B1057,
             $C$2:C1057,C1057,
             $D$2:D1057,D1057,
             $G$2:G1057,G1057)&gt;1,
   "Doublon",
   "Correcte"
)</f>
        <v>Correcte</v>
      </c>
    </row>
    <row r="1058" spans="1:18" x14ac:dyDescent="0.25">
      <c r="A1058" s="104" t="s">
        <v>1793</v>
      </c>
      <c r="B1058" s="35" t="s">
        <v>712</v>
      </c>
      <c r="C1058" s="36">
        <v>0</v>
      </c>
      <c r="D1058" s="36">
        <v>5</v>
      </c>
      <c r="E1058" s="35" t="s">
        <v>699</v>
      </c>
      <c r="F1058" s="35" t="s">
        <v>634</v>
      </c>
      <c r="G1058" s="37">
        <v>45933.373483796298</v>
      </c>
      <c r="H1058" s="37" t="str">
        <f>INDEX(_xlfn.TEXTSPLIT(mvtst[[#This Row],[QR Suivis]],"_"),1,1)</f>
        <v>CA250024-4</v>
      </c>
      <c r="I1058" s="35" t="str">
        <f>_xlfn.TEXTBEFORE(mvtst[[#This Row],[Num Suivis]],"-",,,1)</f>
        <v>CA250024</v>
      </c>
      <c r="J1058" s="36">
        <f>SUMIF(mvtst[QR Suivis],mvtst[[#This Row],[QR Suivis]],mvtst[QTE SORTIS])-SUMIF(mvtst[QR Suivis],mvtst[[#This Row],[QR Suivis]],mvtst[QTE RETOUR])</f>
        <v>0</v>
      </c>
      <c r="K1058" s="35" t="str">
        <f t="shared" si="16"/>
        <v>Usine</v>
      </c>
      <c r="L1058" s="35" t="str">
        <f>_xlfn.XLOOKUP(mvtst[[#This Row],[Sous Traitant]],coordonnee_st[Identification],coordonnee_st[SERVICE],"Non Trouvé")</f>
        <v>Frange</v>
      </c>
      <c r="M1058" s="35" t="str">
        <f>INDEX(_xlfn.TEXTSPLIT(mvtst[[#This Row],[QR Suivis]],"_"),1,2)</f>
        <v>All by Fouta</v>
      </c>
      <c r="N1058" s="35" t="str">
        <f>INDEX(_xlfn.TEXTSPLIT(mvtst[[#This Row],[QR Suivis]],"_"),1,3)</f>
        <v>Stock</v>
      </c>
      <c r="O1058" s="35" t="str">
        <f>INDEX(_xlfn.TEXTSPLIT(mvtst[[#This Row],[QR Suivis]],"_"),1,4)</f>
        <v>UNS2020-09</v>
      </c>
      <c r="P1058" s="35" t="str">
        <f>INDEX(_xlfn.TEXTSPLIT(mvtst[[#This Row],[QR Suivis]],"_"),1,5)</f>
        <v>UNI SURPIQUE</v>
      </c>
      <c r="Q1058" s="35" t="str">
        <f>_xlfn.TEXTAFTER(mvtst[[#This Row],[QR Suivis]],"_",5)</f>
        <v>2020</v>
      </c>
      <c r="R1058" s="84" t="str">
        <f>IF(
   COUNTIFS($A$2:A1058,A1058,
             $B$2:B1058,B1058,
             $C$2:C1058,C1058,
             $D$2:D1058,D1058,
             $G$2:G1058,G1058)&gt;1,
   "Doublon",
   "Correcte"
)</f>
        <v>Correcte</v>
      </c>
    </row>
    <row r="1059" spans="1:18" x14ac:dyDescent="0.25">
      <c r="A1059" s="104" t="s">
        <v>1796</v>
      </c>
      <c r="B1059" s="35" t="s">
        <v>712</v>
      </c>
      <c r="C1059" s="36">
        <v>0</v>
      </c>
      <c r="D1059" s="36">
        <v>5</v>
      </c>
      <c r="E1059" s="35" t="s">
        <v>699</v>
      </c>
      <c r="F1059" s="35" t="s">
        <v>634</v>
      </c>
      <c r="G1059" s="37">
        <v>45933.375694444447</v>
      </c>
      <c r="H1059" s="37" t="str">
        <f>INDEX(_xlfn.TEXTSPLIT(mvtst[[#This Row],[QR Suivis]],"_"),1,1)</f>
        <v>CA250030-4</v>
      </c>
      <c r="I1059" s="35" t="str">
        <f>_xlfn.TEXTBEFORE(mvtst[[#This Row],[Num Suivis]],"-",,,1)</f>
        <v>CA250030</v>
      </c>
      <c r="J1059" s="36">
        <f>SUMIF(mvtst[QR Suivis],mvtst[[#This Row],[QR Suivis]],mvtst[QTE SORTIS])-SUMIF(mvtst[QR Suivis],mvtst[[#This Row],[QR Suivis]],mvtst[QTE RETOUR])</f>
        <v>0</v>
      </c>
      <c r="K1059" s="35" t="str">
        <f t="shared" si="16"/>
        <v>Usine</v>
      </c>
      <c r="L1059" s="35" t="str">
        <f>_xlfn.XLOOKUP(mvtst[[#This Row],[Sous Traitant]],coordonnee_st[Identification],coordonnee_st[SERVICE],"Non Trouvé")</f>
        <v>Frange</v>
      </c>
      <c r="M1059" s="35" t="str">
        <f>INDEX(_xlfn.TEXTSPLIT(mvtst[[#This Row],[QR Suivis]],"_"),1,2)</f>
        <v>All by Fouta</v>
      </c>
      <c r="N1059" s="35" t="str">
        <f>INDEX(_xlfn.TEXTSPLIT(mvtst[[#This Row],[QR Suivis]],"_"),1,3)</f>
        <v>Stock</v>
      </c>
      <c r="O1059" s="35" t="str">
        <f>INDEX(_xlfn.TEXTSPLIT(mvtst[[#This Row],[QR Suivis]],"_"),1,4)</f>
        <v>UNS2020-18</v>
      </c>
      <c r="P1059" s="35" t="str">
        <f>INDEX(_xlfn.TEXTSPLIT(mvtst[[#This Row],[QR Suivis]],"_"),1,5)</f>
        <v>UNI SURPIQUE</v>
      </c>
      <c r="Q1059" s="35" t="str">
        <f>_xlfn.TEXTAFTER(mvtst[[#This Row],[QR Suivis]],"_",5)</f>
        <v>2020</v>
      </c>
      <c r="R1059" s="84" t="str">
        <f>IF(
   COUNTIFS($A$2:A1059,A1059,
             $B$2:B1059,B1059,
             $C$2:C1059,C1059,
             $D$2:D1059,D1059,
             $G$2:G1059,G1059)&gt;1,
   "Doublon",
   "Correcte"
)</f>
        <v>Correcte</v>
      </c>
    </row>
    <row r="1060" spans="1:18" x14ac:dyDescent="0.25">
      <c r="A1060" s="104" t="s">
        <v>1791</v>
      </c>
      <c r="B1060" s="35" t="s">
        <v>712</v>
      </c>
      <c r="C1060" s="36">
        <v>0</v>
      </c>
      <c r="D1060" s="36">
        <v>5</v>
      </c>
      <c r="E1060" s="35" t="s">
        <v>699</v>
      </c>
      <c r="F1060" s="35" t="s">
        <v>634</v>
      </c>
      <c r="G1060" s="37">
        <v>45933.375949074078</v>
      </c>
      <c r="H1060" s="37" t="str">
        <f>INDEX(_xlfn.TEXTSPLIT(mvtst[[#This Row],[QR Suivis]],"_"),1,1)</f>
        <v>CA250024-2</v>
      </c>
      <c r="I1060" s="35" t="str">
        <f>_xlfn.TEXTBEFORE(mvtst[[#This Row],[Num Suivis]],"-",,,1)</f>
        <v>CA250024</v>
      </c>
      <c r="J1060" s="36">
        <f>SUMIF(mvtst[QR Suivis],mvtst[[#This Row],[QR Suivis]],mvtst[QTE SORTIS])-SUMIF(mvtst[QR Suivis],mvtst[[#This Row],[QR Suivis]],mvtst[QTE RETOUR])</f>
        <v>0</v>
      </c>
      <c r="K1060" s="35" t="str">
        <f t="shared" si="16"/>
        <v>Usine</v>
      </c>
      <c r="L1060" s="35" t="str">
        <f>_xlfn.XLOOKUP(mvtst[[#This Row],[Sous Traitant]],coordonnee_st[Identification],coordonnee_st[SERVICE],"Non Trouvé")</f>
        <v>Frange</v>
      </c>
      <c r="M1060" s="35" t="str">
        <f>INDEX(_xlfn.TEXTSPLIT(mvtst[[#This Row],[QR Suivis]],"_"),1,2)</f>
        <v>All by Fouta</v>
      </c>
      <c r="N1060" s="35" t="str">
        <f>INDEX(_xlfn.TEXTSPLIT(mvtst[[#This Row],[QR Suivis]],"_"),1,3)</f>
        <v>Stock</v>
      </c>
      <c r="O1060" s="35" t="str">
        <f>INDEX(_xlfn.TEXTSPLIT(mvtst[[#This Row],[QR Suivis]],"_"),1,4)</f>
        <v>UNS2020-09</v>
      </c>
      <c r="P1060" s="35" t="str">
        <f>INDEX(_xlfn.TEXTSPLIT(mvtst[[#This Row],[QR Suivis]],"_"),1,5)</f>
        <v>UNI SURPIQUE</v>
      </c>
      <c r="Q1060" s="35" t="str">
        <f>_xlfn.TEXTAFTER(mvtst[[#This Row],[QR Suivis]],"_",5)</f>
        <v>2020</v>
      </c>
      <c r="R1060" s="84" t="str">
        <f>IF(
   COUNTIFS($A$2:A1060,A1060,
             $B$2:B1060,B1060,
             $C$2:C1060,C1060,
             $D$2:D1060,D1060,
             $G$2:G1060,G1060)&gt;1,
   "Doublon",
   "Correcte"
)</f>
        <v>Correcte</v>
      </c>
    </row>
    <row r="1061" spans="1:18" x14ac:dyDescent="0.25">
      <c r="A1061" s="104" t="s">
        <v>1794</v>
      </c>
      <c r="B1061" s="35" t="s">
        <v>712</v>
      </c>
      <c r="C1061" s="36">
        <v>0</v>
      </c>
      <c r="D1061" s="36">
        <v>5</v>
      </c>
      <c r="E1061" s="35" t="s">
        <v>699</v>
      </c>
      <c r="F1061" s="35" t="s">
        <v>634</v>
      </c>
      <c r="G1061" s="37">
        <v>45933.376238425924</v>
      </c>
      <c r="H1061" s="37" t="str">
        <f>INDEX(_xlfn.TEXTSPLIT(mvtst[[#This Row],[QR Suivis]],"_"),1,1)</f>
        <v>CA250030-2</v>
      </c>
      <c r="I1061" s="35" t="str">
        <f>_xlfn.TEXTBEFORE(mvtst[[#This Row],[Num Suivis]],"-",,,1)</f>
        <v>CA250030</v>
      </c>
      <c r="J1061" s="36">
        <f>SUMIF(mvtst[QR Suivis],mvtst[[#This Row],[QR Suivis]],mvtst[QTE SORTIS])-SUMIF(mvtst[QR Suivis],mvtst[[#This Row],[QR Suivis]],mvtst[QTE RETOUR])</f>
        <v>0</v>
      </c>
      <c r="K1061" s="35" t="str">
        <f t="shared" si="16"/>
        <v>Usine</v>
      </c>
      <c r="L1061" s="35" t="str">
        <f>_xlfn.XLOOKUP(mvtst[[#This Row],[Sous Traitant]],coordonnee_st[Identification],coordonnee_st[SERVICE],"Non Trouvé")</f>
        <v>Frange</v>
      </c>
      <c r="M1061" s="35" t="str">
        <f>INDEX(_xlfn.TEXTSPLIT(mvtst[[#This Row],[QR Suivis]],"_"),1,2)</f>
        <v>All by Fouta</v>
      </c>
      <c r="N1061" s="35" t="str">
        <f>INDEX(_xlfn.TEXTSPLIT(mvtst[[#This Row],[QR Suivis]],"_"),1,3)</f>
        <v>Stock</v>
      </c>
      <c r="O1061" s="35" t="str">
        <f>INDEX(_xlfn.TEXTSPLIT(mvtst[[#This Row],[QR Suivis]],"_"),1,4)</f>
        <v>UNS2020-18</v>
      </c>
      <c r="P1061" s="35" t="str">
        <f>INDEX(_xlfn.TEXTSPLIT(mvtst[[#This Row],[QR Suivis]],"_"),1,5)</f>
        <v>UNI SURPIQUE</v>
      </c>
      <c r="Q1061" s="35" t="str">
        <f>_xlfn.TEXTAFTER(mvtst[[#This Row],[QR Suivis]],"_",5)</f>
        <v>2020</v>
      </c>
      <c r="R1061" s="84" t="str">
        <f>IF(
   COUNTIFS($A$2:A1061,A1061,
             $B$2:B1061,B1061,
             $C$2:C1061,C1061,
             $D$2:D1061,D1061,
             $G$2:G1061,G1061)&gt;1,
   "Doublon",
   "Correcte"
)</f>
        <v>Correcte</v>
      </c>
    </row>
    <row r="1062" spans="1:18" x14ac:dyDescent="0.25">
      <c r="A1062" s="104" t="s">
        <v>1669</v>
      </c>
      <c r="B1062" s="35" t="s">
        <v>712</v>
      </c>
      <c r="C1062" s="36">
        <v>0</v>
      </c>
      <c r="D1062" s="36">
        <v>5</v>
      </c>
      <c r="E1062" s="35" t="s">
        <v>699</v>
      </c>
      <c r="F1062" s="35" t="s">
        <v>634</v>
      </c>
      <c r="G1062" s="37">
        <v>45933.376631944448</v>
      </c>
      <c r="H1062" s="37" t="str">
        <f>INDEX(_xlfn.TEXTSPLIT(mvtst[[#This Row],[QR Suivis]],"_"),1,1)</f>
        <v>CA250043-4</v>
      </c>
      <c r="I1062" s="35" t="str">
        <f>_xlfn.TEXTBEFORE(mvtst[[#This Row],[Num Suivis]],"-",,,1)</f>
        <v>CA250043</v>
      </c>
      <c r="J1062" s="36">
        <f>SUMIF(mvtst[QR Suivis],mvtst[[#This Row],[QR Suivis]],mvtst[QTE SORTIS])-SUMIF(mvtst[QR Suivis],mvtst[[#This Row],[QR Suivis]],mvtst[QTE RETOUR])</f>
        <v>0</v>
      </c>
      <c r="K1062" s="35" t="str">
        <f t="shared" si="16"/>
        <v>Usine</v>
      </c>
      <c r="L1062" s="35" t="str">
        <f>_xlfn.XLOOKUP(mvtst[[#This Row],[Sous Traitant]],coordonnee_st[Identification],coordonnee_st[SERVICE],"Non Trouvé")</f>
        <v>Frange</v>
      </c>
      <c r="M1062" s="35" t="str">
        <f>INDEX(_xlfn.TEXTSPLIT(mvtst[[#This Row],[QR Suivis]],"_"),1,2)</f>
        <v>All by Fouta</v>
      </c>
      <c r="N1062" s="35" t="str">
        <f>INDEX(_xlfn.TEXTSPLIT(mvtst[[#This Row],[QR Suivis]],"_"),1,3)</f>
        <v>Stock</v>
      </c>
      <c r="O1062" s="35" t="str">
        <f>INDEX(_xlfn.TEXTSPLIT(mvtst[[#This Row],[QR Suivis]],"_"),1,4)</f>
        <v>UNS1626-06</v>
      </c>
      <c r="P1062" s="35" t="str">
        <f>INDEX(_xlfn.TEXTSPLIT(mvtst[[#This Row],[QR Suivis]],"_"),1,5)</f>
        <v>UNI SURPIQUE</v>
      </c>
      <c r="Q1062" s="35" t="str">
        <f>_xlfn.TEXTAFTER(mvtst[[#This Row],[QR Suivis]],"_",5)</f>
        <v>1626</v>
      </c>
      <c r="R1062" s="84" t="str">
        <f>IF(
   COUNTIFS($A$2:A1062,A1062,
             $B$2:B1062,B1062,
             $C$2:C1062,C1062,
             $D$2:D1062,D1062,
             $G$2:G1062,G1062)&gt;1,
   "Doublon",
   "Correcte"
)</f>
        <v>Correcte</v>
      </c>
    </row>
    <row r="1063" spans="1:18" x14ac:dyDescent="0.25">
      <c r="A1063" s="104" t="s">
        <v>1705</v>
      </c>
      <c r="B1063" s="35" t="s">
        <v>712</v>
      </c>
      <c r="C1063" s="36">
        <v>0</v>
      </c>
      <c r="D1063" s="36">
        <v>5</v>
      </c>
      <c r="E1063" s="35" t="s">
        <v>699</v>
      </c>
      <c r="F1063" s="35" t="s">
        <v>634</v>
      </c>
      <c r="G1063" s="37">
        <v>45933.376956018517</v>
      </c>
      <c r="H1063" s="37" t="str">
        <f>INDEX(_xlfn.TEXTSPLIT(mvtst[[#This Row],[QR Suivis]],"_"),1,1)</f>
        <v>CA250050-3</v>
      </c>
      <c r="I1063" s="35" t="str">
        <f>_xlfn.TEXTBEFORE(mvtst[[#This Row],[Num Suivis]],"-",,,1)</f>
        <v>CA250050</v>
      </c>
      <c r="J1063" s="36">
        <f>SUMIF(mvtst[QR Suivis],mvtst[[#This Row],[QR Suivis]],mvtst[QTE SORTIS])-SUMIF(mvtst[QR Suivis],mvtst[[#This Row],[QR Suivis]],mvtst[QTE RETOUR])</f>
        <v>0</v>
      </c>
      <c r="K1063" s="35" t="str">
        <f t="shared" si="16"/>
        <v>Usine</v>
      </c>
      <c r="L1063" s="35" t="str">
        <f>_xlfn.XLOOKUP(mvtst[[#This Row],[Sous Traitant]],coordonnee_st[Identification],coordonnee_st[SERVICE],"Non Trouvé")</f>
        <v>Frange</v>
      </c>
      <c r="M1063" s="35" t="str">
        <f>INDEX(_xlfn.TEXTSPLIT(mvtst[[#This Row],[QR Suivis]],"_"),1,2)</f>
        <v>All by Fouta</v>
      </c>
      <c r="N1063" s="35" t="str">
        <f>INDEX(_xlfn.TEXTSPLIT(mvtst[[#This Row],[QR Suivis]],"_"),1,3)</f>
        <v>Stock</v>
      </c>
      <c r="O1063" s="35" t="str">
        <f>INDEX(_xlfn.TEXTSPLIT(mvtst[[#This Row],[QR Suivis]],"_"),1,4)</f>
        <v>UNS1626-18</v>
      </c>
      <c r="P1063" s="35" t="str">
        <f>INDEX(_xlfn.TEXTSPLIT(mvtst[[#This Row],[QR Suivis]],"_"),1,5)</f>
        <v>UNI SURPIQUE</v>
      </c>
      <c r="Q1063" s="35" t="str">
        <f>_xlfn.TEXTAFTER(mvtst[[#This Row],[QR Suivis]],"_",5)</f>
        <v>1626</v>
      </c>
      <c r="R1063" s="84" t="str">
        <f>IF(
   COUNTIFS($A$2:A1063,A1063,
             $B$2:B1063,B1063,
             $C$2:C1063,C1063,
             $D$2:D1063,D1063,
             $G$2:G1063,G1063)&gt;1,
   "Doublon",
   "Correcte"
)</f>
        <v>Correcte</v>
      </c>
    </row>
    <row r="1064" spans="1:18" x14ac:dyDescent="0.25">
      <c r="A1064" s="104" t="s">
        <v>1802</v>
      </c>
      <c r="B1064" s="35" t="s">
        <v>712</v>
      </c>
      <c r="C1064" s="36">
        <v>0</v>
      </c>
      <c r="D1064" s="36">
        <v>5</v>
      </c>
      <c r="E1064" s="35" t="s">
        <v>699</v>
      </c>
      <c r="F1064" s="35" t="s">
        <v>634</v>
      </c>
      <c r="G1064" s="37">
        <v>45933.377268518518</v>
      </c>
      <c r="H1064" s="37" t="str">
        <f>INDEX(_xlfn.TEXTSPLIT(mvtst[[#This Row],[QR Suivis]],"_"),1,1)</f>
        <v>CA250059-3</v>
      </c>
      <c r="I1064" s="35" t="str">
        <f>_xlfn.TEXTBEFORE(mvtst[[#This Row],[Num Suivis]],"-",,,1)</f>
        <v>CA250059</v>
      </c>
      <c r="J1064" s="36">
        <f>SUMIF(mvtst[QR Suivis],mvtst[[#This Row],[QR Suivis]],mvtst[QTE SORTIS])-SUMIF(mvtst[QR Suivis],mvtst[[#This Row],[QR Suivis]],mvtst[QTE RETOUR])</f>
        <v>0</v>
      </c>
      <c r="K1064" s="35" t="str">
        <f t="shared" si="16"/>
        <v>Usine</v>
      </c>
      <c r="L1064" s="35" t="str">
        <f>_xlfn.XLOOKUP(mvtst[[#This Row],[Sous Traitant]],coordonnee_st[Identification],coordonnee_st[SERVICE],"Non Trouvé")</f>
        <v>Frange</v>
      </c>
      <c r="M1064" s="35" t="str">
        <f>INDEX(_xlfn.TEXTSPLIT(mvtst[[#This Row],[QR Suivis]],"_"),1,2)</f>
        <v>All by Fouta</v>
      </c>
      <c r="N1064" s="35" t="str">
        <f>INDEX(_xlfn.TEXTSPLIT(mvtst[[#This Row],[QR Suivis]],"_"),1,3)</f>
        <v>Stock</v>
      </c>
      <c r="O1064" s="35" t="str">
        <f>INDEX(_xlfn.TEXTSPLIT(mvtst[[#This Row],[QR Suivis]],"_"),1,4)</f>
        <v>UNS1626-32</v>
      </c>
      <c r="P1064" s="35" t="str">
        <f>INDEX(_xlfn.TEXTSPLIT(mvtst[[#This Row],[QR Suivis]],"_"),1,5)</f>
        <v>UNI SURPIQUE</v>
      </c>
      <c r="Q1064" s="35" t="str">
        <f>_xlfn.TEXTAFTER(mvtst[[#This Row],[QR Suivis]],"_",5)</f>
        <v>1626</v>
      </c>
      <c r="R1064" s="84" t="str">
        <f>IF(
   COUNTIFS($A$2:A1064,A1064,
             $B$2:B1064,B1064,
             $C$2:C1064,C1064,
             $D$2:D1064,D1064,
             $G$2:G1064,G1064)&gt;1,
   "Doublon",
   "Correcte"
)</f>
        <v>Correcte</v>
      </c>
    </row>
    <row r="1065" spans="1:18" x14ac:dyDescent="0.25">
      <c r="A1065" s="104" t="s">
        <v>1800</v>
      </c>
      <c r="B1065" s="35" t="s">
        <v>712</v>
      </c>
      <c r="C1065" s="36">
        <v>0</v>
      </c>
      <c r="D1065" s="36">
        <v>5</v>
      </c>
      <c r="E1065" s="35" t="s">
        <v>699</v>
      </c>
      <c r="F1065" s="35" t="s">
        <v>634</v>
      </c>
      <c r="G1065" s="37">
        <v>45933.377604166664</v>
      </c>
      <c r="H1065" s="37" t="str">
        <f>INDEX(_xlfn.TEXTSPLIT(mvtst[[#This Row],[QR Suivis]],"_"),1,1)</f>
        <v>CA250059-2</v>
      </c>
      <c r="I1065" s="35" t="str">
        <f>_xlfn.TEXTBEFORE(mvtst[[#This Row],[Num Suivis]],"-",,,1)</f>
        <v>CA250059</v>
      </c>
      <c r="J1065" s="36">
        <f>SUMIF(mvtst[QR Suivis],mvtst[[#This Row],[QR Suivis]],mvtst[QTE SORTIS])-SUMIF(mvtst[QR Suivis],mvtst[[#This Row],[QR Suivis]],mvtst[QTE RETOUR])</f>
        <v>0</v>
      </c>
      <c r="K1065" s="35" t="str">
        <f t="shared" si="16"/>
        <v>Usine</v>
      </c>
      <c r="L1065" s="35" t="str">
        <f>_xlfn.XLOOKUP(mvtst[[#This Row],[Sous Traitant]],coordonnee_st[Identification],coordonnee_st[SERVICE],"Non Trouvé")</f>
        <v>Frange</v>
      </c>
      <c r="M1065" s="35" t="str">
        <f>INDEX(_xlfn.TEXTSPLIT(mvtst[[#This Row],[QR Suivis]],"_"),1,2)</f>
        <v>All by Fouta</v>
      </c>
      <c r="N1065" s="35" t="str">
        <f>INDEX(_xlfn.TEXTSPLIT(mvtst[[#This Row],[QR Suivis]],"_"),1,3)</f>
        <v>Stock</v>
      </c>
      <c r="O1065" s="35" t="str">
        <f>INDEX(_xlfn.TEXTSPLIT(mvtst[[#This Row],[QR Suivis]],"_"),1,4)</f>
        <v>UNS1626-32</v>
      </c>
      <c r="P1065" s="35" t="str">
        <f>INDEX(_xlfn.TEXTSPLIT(mvtst[[#This Row],[QR Suivis]],"_"),1,5)</f>
        <v>UNI SURPIQUE</v>
      </c>
      <c r="Q1065" s="35" t="str">
        <f>_xlfn.TEXTAFTER(mvtst[[#This Row],[QR Suivis]],"_",5)</f>
        <v>1626</v>
      </c>
      <c r="R1065" s="84" t="str">
        <f>IF(
   COUNTIFS($A$2:A1065,A1065,
             $B$2:B1065,B1065,
             $C$2:C1065,C1065,
             $D$2:D1065,D1065,
             $G$2:G1065,G1065)&gt;1,
   "Doublon",
   "Correcte"
)</f>
        <v>Correcte</v>
      </c>
    </row>
    <row r="1066" spans="1:18" x14ac:dyDescent="0.25">
      <c r="A1066" s="104" t="s">
        <v>1788</v>
      </c>
      <c r="B1066" s="35" t="s">
        <v>712</v>
      </c>
      <c r="C1066" s="36">
        <v>0</v>
      </c>
      <c r="D1066" s="36">
        <v>5</v>
      </c>
      <c r="E1066" s="35" t="s">
        <v>699</v>
      </c>
      <c r="F1066" s="35" t="s">
        <v>634</v>
      </c>
      <c r="G1066" s="37">
        <v>45933.377916666665</v>
      </c>
      <c r="H1066" s="37" t="str">
        <f>INDEX(_xlfn.TEXTSPLIT(mvtst[[#This Row],[QR Suivis]],"_"),1,1)</f>
        <v>CA250055-2</v>
      </c>
      <c r="I1066" s="35" t="str">
        <f>_xlfn.TEXTBEFORE(mvtst[[#This Row],[Num Suivis]],"-",,,1)</f>
        <v>CA250055</v>
      </c>
      <c r="J1066" s="36">
        <f>SUMIF(mvtst[QR Suivis],mvtst[[#This Row],[QR Suivis]],mvtst[QTE SORTIS])-SUMIF(mvtst[QR Suivis],mvtst[[#This Row],[QR Suivis]],mvtst[QTE RETOUR])</f>
        <v>0</v>
      </c>
      <c r="K1066" s="35" t="str">
        <f t="shared" si="16"/>
        <v>Usine</v>
      </c>
      <c r="L1066" s="35" t="str">
        <f>_xlfn.XLOOKUP(mvtst[[#This Row],[Sous Traitant]],coordonnee_st[Identification],coordonnee_st[SERVICE],"Non Trouvé")</f>
        <v>Frange</v>
      </c>
      <c r="M1066" s="35" t="str">
        <f>INDEX(_xlfn.TEXTSPLIT(mvtst[[#This Row],[QR Suivis]],"_"),1,2)</f>
        <v>All by Fouta</v>
      </c>
      <c r="N1066" s="35" t="str">
        <f>INDEX(_xlfn.TEXTSPLIT(mvtst[[#This Row],[QR Suivis]],"_"),1,3)</f>
        <v>Stock</v>
      </c>
      <c r="O1066" s="35" t="str">
        <f>INDEX(_xlfn.TEXTSPLIT(mvtst[[#This Row],[QR Suivis]],"_"),1,4)</f>
        <v>UNS1626-26</v>
      </c>
      <c r="P1066" s="35" t="str">
        <f>INDEX(_xlfn.TEXTSPLIT(mvtst[[#This Row],[QR Suivis]],"_"),1,5)</f>
        <v>UNI SURPIQUE</v>
      </c>
      <c r="Q1066" s="35" t="str">
        <f>_xlfn.TEXTAFTER(mvtst[[#This Row],[QR Suivis]],"_",5)</f>
        <v>1626</v>
      </c>
      <c r="R1066" s="84" t="str">
        <f>IF(
   COUNTIFS($A$2:A1066,A1066,
             $B$2:B1066,B1066,
             $C$2:C1066,C1066,
             $D$2:D1066,D1066,
             $G$2:G1066,G1066)&gt;1,
   "Doublon",
   "Correcte"
)</f>
        <v>Correcte</v>
      </c>
    </row>
    <row r="1067" spans="1:18" x14ac:dyDescent="0.25">
      <c r="A1067" s="104" t="s">
        <v>1786</v>
      </c>
      <c r="B1067" s="35" t="s">
        <v>712</v>
      </c>
      <c r="C1067" s="36">
        <v>0</v>
      </c>
      <c r="D1067" s="36">
        <v>5</v>
      </c>
      <c r="E1067" s="35" t="s">
        <v>699</v>
      </c>
      <c r="F1067" s="35" t="s">
        <v>634</v>
      </c>
      <c r="G1067" s="37">
        <v>45933.378182870372</v>
      </c>
      <c r="H1067" s="37" t="str">
        <f>INDEX(_xlfn.TEXTSPLIT(mvtst[[#This Row],[QR Suivis]],"_"),1,1)</f>
        <v>CA250030-5</v>
      </c>
      <c r="I1067" s="35" t="str">
        <f>_xlfn.TEXTBEFORE(mvtst[[#This Row],[Num Suivis]],"-",,,1)</f>
        <v>CA250030</v>
      </c>
      <c r="J1067" s="36">
        <f>SUMIF(mvtst[QR Suivis],mvtst[[#This Row],[QR Suivis]],mvtst[QTE SORTIS])-SUMIF(mvtst[QR Suivis],mvtst[[#This Row],[QR Suivis]],mvtst[QTE RETOUR])</f>
        <v>0</v>
      </c>
      <c r="K1067" s="35" t="str">
        <f t="shared" si="16"/>
        <v>Usine</v>
      </c>
      <c r="L1067" s="35" t="str">
        <f>_xlfn.XLOOKUP(mvtst[[#This Row],[Sous Traitant]],coordonnee_st[Identification],coordonnee_st[SERVICE],"Non Trouvé")</f>
        <v>Frange</v>
      </c>
      <c r="M1067" s="35" t="str">
        <f>INDEX(_xlfn.TEXTSPLIT(mvtst[[#This Row],[QR Suivis]],"_"),1,2)</f>
        <v>All by Fouta</v>
      </c>
      <c r="N1067" s="35" t="str">
        <f>INDEX(_xlfn.TEXTSPLIT(mvtst[[#This Row],[QR Suivis]],"_"),1,3)</f>
        <v>Stock</v>
      </c>
      <c r="O1067" s="35" t="str">
        <f>INDEX(_xlfn.TEXTSPLIT(mvtst[[#This Row],[QR Suivis]],"_"),1,4)</f>
        <v>UNS2020-18</v>
      </c>
      <c r="P1067" s="35" t="str">
        <f>INDEX(_xlfn.TEXTSPLIT(mvtst[[#This Row],[QR Suivis]],"_"),1,5)</f>
        <v>UNI SURPIQUE</v>
      </c>
      <c r="Q1067" s="35" t="str">
        <f>_xlfn.TEXTAFTER(mvtst[[#This Row],[QR Suivis]],"_",5)</f>
        <v>2020</v>
      </c>
      <c r="R1067" s="84" t="str">
        <f>IF(
   COUNTIFS($A$2:A1067,A1067,
             $B$2:B1067,B1067,
             $C$2:C1067,C1067,
             $D$2:D1067,D1067,
             $G$2:G1067,G1067)&gt;1,
   "Doublon",
   "Correcte"
)</f>
        <v>Correcte</v>
      </c>
    </row>
    <row r="1068" spans="1:18" x14ac:dyDescent="0.25">
      <c r="A1068" s="104" t="s">
        <v>1782</v>
      </c>
      <c r="B1068" s="35" t="s">
        <v>712</v>
      </c>
      <c r="C1068" s="36">
        <v>0</v>
      </c>
      <c r="D1068" s="36">
        <v>5</v>
      </c>
      <c r="E1068" s="35" t="s">
        <v>699</v>
      </c>
      <c r="F1068" s="35" t="s">
        <v>634</v>
      </c>
      <c r="G1068" s="37">
        <v>45933.378506944442</v>
      </c>
      <c r="H1068" s="37" t="str">
        <f>INDEX(_xlfn.TEXTSPLIT(mvtst[[#This Row],[QR Suivis]],"_"),1,1)</f>
        <v>CA250054-2</v>
      </c>
      <c r="I1068" s="35" t="str">
        <f>_xlfn.TEXTBEFORE(mvtst[[#This Row],[Num Suivis]],"-",,,1)</f>
        <v>CA250054</v>
      </c>
      <c r="J1068" s="36">
        <f>SUMIF(mvtst[QR Suivis],mvtst[[#This Row],[QR Suivis]],mvtst[QTE SORTIS])-SUMIF(mvtst[QR Suivis],mvtst[[#This Row],[QR Suivis]],mvtst[QTE RETOUR])</f>
        <v>0</v>
      </c>
      <c r="K1068" s="35" t="str">
        <f t="shared" si="16"/>
        <v>Usine</v>
      </c>
      <c r="L1068" s="35" t="str">
        <f>_xlfn.XLOOKUP(mvtst[[#This Row],[Sous Traitant]],coordonnee_st[Identification],coordonnee_st[SERVICE],"Non Trouvé")</f>
        <v>Frange</v>
      </c>
      <c r="M1068" s="35" t="str">
        <f>INDEX(_xlfn.TEXTSPLIT(mvtst[[#This Row],[QR Suivis]],"_"),1,2)</f>
        <v>All by Fouta</v>
      </c>
      <c r="N1068" s="35" t="str">
        <f>INDEX(_xlfn.TEXTSPLIT(mvtst[[#This Row],[QR Suivis]],"_"),1,3)</f>
        <v>Stock</v>
      </c>
      <c r="O1068" s="35" t="str">
        <f>INDEX(_xlfn.TEXTSPLIT(mvtst[[#This Row],[QR Suivis]],"_"),1,4)</f>
        <v>UNS1626-24</v>
      </c>
      <c r="P1068" s="35" t="str">
        <f>INDEX(_xlfn.TEXTSPLIT(mvtst[[#This Row],[QR Suivis]],"_"),1,5)</f>
        <v>UNI SURPIQUE</v>
      </c>
      <c r="Q1068" s="35" t="str">
        <f>_xlfn.TEXTAFTER(mvtst[[#This Row],[QR Suivis]],"_",5)</f>
        <v>1626</v>
      </c>
      <c r="R1068" s="84" t="str">
        <f>IF(
   COUNTIFS($A$2:A1068,A1068,
             $B$2:B1068,B1068,
             $C$2:C1068,C1068,
             $D$2:D1068,D1068,
             $G$2:G1068,G1068)&gt;1,
   "Doublon",
   "Correcte"
)</f>
        <v>Correcte</v>
      </c>
    </row>
    <row r="1069" spans="1:18" x14ac:dyDescent="0.25">
      <c r="A1069" s="104" t="s">
        <v>1706</v>
      </c>
      <c r="B1069" s="35" t="s">
        <v>712</v>
      </c>
      <c r="C1069" s="36">
        <v>0</v>
      </c>
      <c r="D1069" s="36">
        <v>5</v>
      </c>
      <c r="E1069" s="35" t="s">
        <v>699</v>
      </c>
      <c r="F1069" s="35" t="s">
        <v>634</v>
      </c>
      <c r="G1069" s="37">
        <v>45933.378865740742</v>
      </c>
      <c r="H1069" s="37" t="str">
        <f>INDEX(_xlfn.TEXTSPLIT(mvtst[[#This Row],[QR Suivis]],"_"),1,1)</f>
        <v>CA250050-1</v>
      </c>
      <c r="I1069" s="35" t="str">
        <f>_xlfn.TEXTBEFORE(mvtst[[#This Row],[Num Suivis]],"-",,,1)</f>
        <v>CA250050</v>
      </c>
      <c r="J1069" s="36">
        <f>SUMIF(mvtst[QR Suivis],mvtst[[#This Row],[QR Suivis]],mvtst[QTE SORTIS])-SUMIF(mvtst[QR Suivis],mvtst[[#This Row],[QR Suivis]],mvtst[QTE RETOUR])</f>
        <v>0</v>
      </c>
      <c r="K1069" s="35" t="str">
        <f t="shared" si="16"/>
        <v>Usine</v>
      </c>
      <c r="L1069" s="35" t="str">
        <f>_xlfn.XLOOKUP(mvtst[[#This Row],[Sous Traitant]],coordonnee_st[Identification],coordonnee_st[SERVICE],"Non Trouvé")</f>
        <v>Frange</v>
      </c>
      <c r="M1069" s="35" t="str">
        <f>INDEX(_xlfn.TEXTSPLIT(mvtst[[#This Row],[QR Suivis]],"_"),1,2)</f>
        <v>All by Fouta</v>
      </c>
      <c r="N1069" s="35" t="str">
        <f>INDEX(_xlfn.TEXTSPLIT(mvtst[[#This Row],[QR Suivis]],"_"),1,3)</f>
        <v>Stock</v>
      </c>
      <c r="O1069" s="35" t="str">
        <f>INDEX(_xlfn.TEXTSPLIT(mvtst[[#This Row],[QR Suivis]],"_"),1,4)</f>
        <v>UNS1626-18</v>
      </c>
      <c r="P1069" s="35" t="str">
        <f>INDEX(_xlfn.TEXTSPLIT(mvtst[[#This Row],[QR Suivis]],"_"),1,5)</f>
        <v>UNI SURPIQUE</v>
      </c>
      <c r="Q1069" s="35" t="str">
        <f>_xlfn.TEXTAFTER(mvtst[[#This Row],[QR Suivis]],"_",5)</f>
        <v>1626</v>
      </c>
      <c r="R1069" s="84" t="str">
        <f>IF(
   COUNTIFS($A$2:A1069,A1069,
             $B$2:B1069,B1069,
             $C$2:C1069,C1069,
             $D$2:D1069,D1069,
             $G$2:G1069,G1069)&gt;1,
   "Doublon",
   "Correcte"
)</f>
        <v>Correcte</v>
      </c>
    </row>
    <row r="1070" spans="1:18" x14ac:dyDescent="0.25">
      <c r="A1070" s="104" t="s">
        <v>1803</v>
      </c>
      <c r="B1070" s="35" t="s">
        <v>712</v>
      </c>
      <c r="C1070" s="36">
        <v>0</v>
      </c>
      <c r="D1070" s="36">
        <v>5</v>
      </c>
      <c r="E1070" s="35" t="s">
        <v>699</v>
      </c>
      <c r="F1070" s="35" t="s">
        <v>634</v>
      </c>
      <c r="G1070" s="37">
        <v>45933.379444444443</v>
      </c>
      <c r="H1070" s="37" t="str">
        <f>INDEX(_xlfn.TEXTSPLIT(mvtst[[#This Row],[QR Suivis]],"_"),1,1)</f>
        <v>CA250019-1</v>
      </c>
      <c r="I1070" s="35" t="str">
        <f>_xlfn.TEXTBEFORE(mvtst[[#This Row],[Num Suivis]],"-",,,1)</f>
        <v>CA250019</v>
      </c>
      <c r="J1070" s="36">
        <f>SUMIF(mvtst[QR Suivis],mvtst[[#This Row],[QR Suivis]],mvtst[QTE SORTIS])-SUMIF(mvtst[QR Suivis],mvtst[[#This Row],[QR Suivis]],mvtst[QTE RETOUR])</f>
        <v>0</v>
      </c>
      <c r="K1070" s="35" t="str">
        <f t="shared" si="16"/>
        <v>Usine</v>
      </c>
      <c r="L1070" s="35" t="str">
        <f>_xlfn.XLOOKUP(mvtst[[#This Row],[Sous Traitant]],coordonnee_st[Identification],coordonnee_st[SERVICE],"Non Trouvé")</f>
        <v>Frange</v>
      </c>
      <c r="M1070" s="35" t="str">
        <f>INDEX(_xlfn.TEXTSPLIT(mvtst[[#This Row],[QR Suivis]],"_"),1,2)</f>
        <v>All by Fouta</v>
      </c>
      <c r="N1070" s="35" t="str">
        <f>INDEX(_xlfn.TEXTSPLIT(mvtst[[#This Row],[QR Suivis]],"_"),1,3)</f>
        <v>Stock</v>
      </c>
      <c r="O1070" s="35" t="str">
        <f>INDEX(_xlfn.TEXTSPLIT(mvtst[[#This Row],[QR Suivis]],"_"),1,4)</f>
        <v>UNS1020-32</v>
      </c>
      <c r="P1070" s="35" t="str">
        <f>INDEX(_xlfn.TEXTSPLIT(mvtst[[#This Row],[QR Suivis]],"_"),1,5)</f>
        <v>UNI SURPIQUE</v>
      </c>
      <c r="Q1070" s="35" t="str">
        <f>_xlfn.TEXTAFTER(mvtst[[#This Row],[QR Suivis]],"_",5)</f>
        <v>1020</v>
      </c>
      <c r="R1070" s="84" t="str">
        <f>IF(
   COUNTIFS($A$2:A1070,A1070,
             $B$2:B1070,B1070,
             $C$2:C1070,C1070,
             $D$2:D1070,D1070,
             $G$2:G1070,G1070)&gt;1,
   "Doublon",
   "Correcte"
)</f>
        <v>Correcte</v>
      </c>
    </row>
    <row r="1071" spans="1:18" x14ac:dyDescent="0.25">
      <c r="A1071" s="104" t="s">
        <v>1701</v>
      </c>
      <c r="B1071" s="35" t="s">
        <v>712</v>
      </c>
      <c r="C1071" s="36">
        <v>0</v>
      </c>
      <c r="D1071" s="36">
        <v>5</v>
      </c>
      <c r="E1071" s="35" t="s">
        <v>699</v>
      </c>
      <c r="F1071" s="35" t="s">
        <v>634</v>
      </c>
      <c r="G1071" s="37">
        <v>45933.37972222222</v>
      </c>
      <c r="H1071" s="37" t="str">
        <f>INDEX(_xlfn.TEXTSPLIT(mvtst[[#This Row],[QR Suivis]],"_"),1,1)</f>
        <v>CA250039-6</v>
      </c>
      <c r="I1071" s="35" t="str">
        <f>_xlfn.TEXTBEFORE(mvtst[[#This Row],[Num Suivis]],"-",,,1)</f>
        <v>CA250039</v>
      </c>
      <c r="J1071" s="36">
        <f>SUMIF(mvtst[QR Suivis],mvtst[[#This Row],[QR Suivis]],mvtst[QTE SORTIS])-SUMIF(mvtst[QR Suivis],mvtst[[#This Row],[QR Suivis]],mvtst[QTE RETOUR])</f>
        <v>0</v>
      </c>
      <c r="K1071" s="35" t="str">
        <f t="shared" si="16"/>
        <v>Usine</v>
      </c>
      <c r="L1071" s="35" t="str">
        <f>_xlfn.XLOOKUP(mvtst[[#This Row],[Sous Traitant]],coordonnee_st[Identification],coordonnee_st[SERVICE],"Non Trouvé")</f>
        <v>Frange</v>
      </c>
      <c r="M1071" s="35" t="str">
        <f>INDEX(_xlfn.TEXTSPLIT(mvtst[[#This Row],[QR Suivis]],"_"),1,2)</f>
        <v>All by Fouta</v>
      </c>
      <c r="N1071" s="35" t="str">
        <f>INDEX(_xlfn.TEXTSPLIT(mvtst[[#This Row],[QR Suivis]],"_"),1,3)</f>
        <v>Stock</v>
      </c>
      <c r="O1071" s="35" t="str">
        <f>INDEX(_xlfn.TEXTSPLIT(mvtst[[#This Row],[QR Suivis]],"_"),1,4)</f>
        <v>UNS2020-32</v>
      </c>
      <c r="P1071" s="35" t="str">
        <f>INDEX(_xlfn.TEXTSPLIT(mvtst[[#This Row],[QR Suivis]],"_"),1,5)</f>
        <v>UNI SURPIQUE</v>
      </c>
      <c r="Q1071" s="35" t="str">
        <f>_xlfn.TEXTAFTER(mvtst[[#This Row],[QR Suivis]],"_",5)</f>
        <v>2020</v>
      </c>
      <c r="R1071" s="84" t="str">
        <f>IF(
   COUNTIFS($A$2:A1071,A1071,
             $B$2:B1071,B1071,
             $C$2:C1071,C1071,
             $D$2:D1071,D1071,
             $G$2:G1071,G1071)&gt;1,
   "Doublon",
   "Correcte"
)</f>
        <v>Correcte</v>
      </c>
    </row>
    <row r="1072" spans="1:18" x14ac:dyDescent="0.25">
      <c r="A1072" s="104" t="s">
        <v>1707</v>
      </c>
      <c r="B1072" s="35" t="s">
        <v>712</v>
      </c>
      <c r="C1072" s="36">
        <v>0</v>
      </c>
      <c r="D1072" s="36">
        <v>5</v>
      </c>
      <c r="E1072" s="35" t="s">
        <v>699</v>
      </c>
      <c r="F1072" s="35" t="s">
        <v>634</v>
      </c>
      <c r="G1072" s="37">
        <v>45933.38008101852</v>
      </c>
      <c r="H1072" s="37" t="str">
        <f>INDEX(_xlfn.TEXTSPLIT(mvtst[[#This Row],[QR Suivis]],"_"),1,1)</f>
        <v>CA250050-2</v>
      </c>
      <c r="I1072" s="35" t="str">
        <f>_xlfn.TEXTBEFORE(mvtst[[#This Row],[Num Suivis]],"-",,,1)</f>
        <v>CA250050</v>
      </c>
      <c r="J1072" s="36">
        <f>SUMIF(mvtst[QR Suivis],mvtst[[#This Row],[QR Suivis]],mvtst[QTE SORTIS])-SUMIF(mvtst[QR Suivis],mvtst[[#This Row],[QR Suivis]],mvtst[QTE RETOUR])</f>
        <v>0</v>
      </c>
      <c r="K1072" s="35" t="str">
        <f t="shared" si="16"/>
        <v>Usine</v>
      </c>
      <c r="L1072" s="35" t="str">
        <f>_xlfn.XLOOKUP(mvtst[[#This Row],[Sous Traitant]],coordonnee_st[Identification],coordonnee_st[SERVICE],"Non Trouvé")</f>
        <v>Frange</v>
      </c>
      <c r="M1072" s="35" t="str">
        <f>INDEX(_xlfn.TEXTSPLIT(mvtst[[#This Row],[QR Suivis]],"_"),1,2)</f>
        <v>All by Fouta</v>
      </c>
      <c r="N1072" s="35" t="str">
        <f>INDEX(_xlfn.TEXTSPLIT(mvtst[[#This Row],[QR Suivis]],"_"),1,3)</f>
        <v>Stock</v>
      </c>
      <c r="O1072" s="35" t="str">
        <f>INDEX(_xlfn.TEXTSPLIT(mvtst[[#This Row],[QR Suivis]],"_"),1,4)</f>
        <v>UNS1626-18</v>
      </c>
      <c r="P1072" s="35" t="str">
        <f>INDEX(_xlfn.TEXTSPLIT(mvtst[[#This Row],[QR Suivis]],"_"),1,5)</f>
        <v>UNI SURPIQUE</v>
      </c>
      <c r="Q1072" s="35" t="str">
        <f>_xlfn.TEXTAFTER(mvtst[[#This Row],[QR Suivis]],"_",5)</f>
        <v>1626</v>
      </c>
      <c r="R1072" s="84" t="str">
        <f>IF(
   COUNTIFS($A$2:A1072,A1072,
             $B$2:B1072,B1072,
             $C$2:C1072,C1072,
             $D$2:D1072,D1072,
             $G$2:G1072,G1072)&gt;1,
   "Doublon",
   "Correcte"
)</f>
        <v>Correcte</v>
      </c>
    </row>
    <row r="1073" spans="1:18" x14ac:dyDescent="0.25">
      <c r="A1073" s="104" t="s">
        <v>1781</v>
      </c>
      <c r="B1073" s="35" t="s">
        <v>712</v>
      </c>
      <c r="C1073" s="36">
        <v>0</v>
      </c>
      <c r="D1073" s="36">
        <v>5</v>
      </c>
      <c r="E1073" s="35" t="s">
        <v>699</v>
      </c>
      <c r="F1073" s="35" t="s">
        <v>634</v>
      </c>
      <c r="G1073" s="37">
        <v>45933.380462962959</v>
      </c>
      <c r="H1073" s="37" t="str">
        <f>INDEX(_xlfn.TEXTSPLIT(mvtst[[#This Row],[QR Suivis]],"_"),1,1)</f>
        <v>CA250054-1</v>
      </c>
      <c r="I1073" s="35" t="str">
        <f>_xlfn.TEXTBEFORE(mvtst[[#This Row],[Num Suivis]],"-",,,1)</f>
        <v>CA250054</v>
      </c>
      <c r="J1073" s="36">
        <f>SUMIF(mvtst[QR Suivis],mvtst[[#This Row],[QR Suivis]],mvtst[QTE SORTIS])-SUMIF(mvtst[QR Suivis],mvtst[[#This Row],[QR Suivis]],mvtst[QTE RETOUR])</f>
        <v>0</v>
      </c>
      <c r="K1073" s="35" t="str">
        <f t="shared" si="16"/>
        <v>Usine</v>
      </c>
      <c r="L1073" s="35" t="str">
        <f>_xlfn.XLOOKUP(mvtst[[#This Row],[Sous Traitant]],coordonnee_st[Identification],coordonnee_st[SERVICE],"Non Trouvé")</f>
        <v>Frange</v>
      </c>
      <c r="M1073" s="35" t="str">
        <f>INDEX(_xlfn.TEXTSPLIT(mvtst[[#This Row],[QR Suivis]],"_"),1,2)</f>
        <v>All by Fouta</v>
      </c>
      <c r="N1073" s="35" t="str">
        <f>INDEX(_xlfn.TEXTSPLIT(mvtst[[#This Row],[QR Suivis]],"_"),1,3)</f>
        <v>Stock</v>
      </c>
      <c r="O1073" s="35" t="str">
        <f>INDEX(_xlfn.TEXTSPLIT(mvtst[[#This Row],[QR Suivis]],"_"),1,4)</f>
        <v>UNS1626-24</v>
      </c>
      <c r="P1073" s="35" t="str">
        <f>INDEX(_xlfn.TEXTSPLIT(mvtst[[#This Row],[QR Suivis]],"_"),1,5)</f>
        <v>UNI SURPIQUE</v>
      </c>
      <c r="Q1073" s="35" t="str">
        <f>_xlfn.TEXTAFTER(mvtst[[#This Row],[QR Suivis]],"_",5)</f>
        <v>1626</v>
      </c>
      <c r="R1073" s="84" t="str">
        <f>IF(
   COUNTIFS($A$2:A1073,A1073,
             $B$2:B1073,B1073,
             $C$2:C1073,C1073,
             $D$2:D1073,D1073,
             $G$2:G1073,G1073)&gt;1,
   "Doublon",
   "Correcte"
)</f>
        <v>Correcte</v>
      </c>
    </row>
    <row r="1074" spans="1:18" x14ac:dyDescent="0.25">
      <c r="A1074" s="104" t="s">
        <v>1783</v>
      </c>
      <c r="B1074" s="35" t="s">
        <v>712</v>
      </c>
      <c r="C1074" s="36">
        <v>0</v>
      </c>
      <c r="D1074" s="36">
        <v>5</v>
      </c>
      <c r="E1074" s="35" t="s">
        <v>699</v>
      </c>
      <c r="F1074" s="35" t="s">
        <v>634</v>
      </c>
      <c r="G1074" s="37">
        <v>45933.380694444444</v>
      </c>
      <c r="H1074" s="37" t="str">
        <f>INDEX(_xlfn.TEXTSPLIT(mvtst[[#This Row],[QR Suivis]],"_"),1,1)</f>
        <v>CA250054-3</v>
      </c>
      <c r="I1074" s="35" t="str">
        <f>_xlfn.TEXTBEFORE(mvtst[[#This Row],[Num Suivis]],"-",,,1)</f>
        <v>CA250054</v>
      </c>
      <c r="J1074" s="36">
        <f>SUMIF(mvtst[QR Suivis],mvtst[[#This Row],[QR Suivis]],mvtst[QTE SORTIS])-SUMIF(mvtst[QR Suivis],mvtst[[#This Row],[QR Suivis]],mvtst[QTE RETOUR])</f>
        <v>0</v>
      </c>
      <c r="K1074" s="35" t="str">
        <f t="shared" si="16"/>
        <v>Usine</v>
      </c>
      <c r="L1074" s="35" t="str">
        <f>_xlfn.XLOOKUP(mvtst[[#This Row],[Sous Traitant]],coordonnee_st[Identification],coordonnee_st[SERVICE],"Non Trouvé")</f>
        <v>Frange</v>
      </c>
      <c r="M1074" s="35" t="str">
        <f>INDEX(_xlfn.TEXTSPLIT(mvtst[[#This Row],[QR Suivis]],"_"),1,2)</f>
        <v>All by Fouta</v>
      </c>
      <c r="N1074" s="35" t="str">
        <f>INDEX(_xlfn.TEXTSPLIT(mvtst[[#This Row],[QR Suivis]],"_"),1,3)</f>
        <v>Stock</v>
      </c>
      <c r="O1074" s="35" t="str">
        <f>INDEX(_xlfn.TEXTSPLIT(mvtst[[#This Row],[QR Suivis]],"_"),1,4)</f>
        <v>UNS1626-24</v>
      </c>
      <c r="P1074" s="35" t="str">
        <f>INDEX(_xlfn.TEXTSPLIT(mvtst[[#This Row],[QR Suivis]],"_"),1,5)</f>
        <v>UNI SURPIQUE</v>
      </c>
      <c r="Q1074" s="35" t="str">
        <f>_xlfn.TEXTAFTER(mvtst[[#This Row],[QR Suivis]],"_",5)</f>
        <v>1626</v>
      </c>
      <c r="R1074" s="84" t="str">
        <f>IF(
   COUNTIFS($A$2:A1074,A1074,
             $B$2:B1074,B1074,
             $C$2:C1074,C1074,
             $D$2:D1074,D1074,
             $G$2:G1074,G1074)&gt;1,
   "Doublon",
   "Correcte"
)</f>
        <v>Correcte</v>
      </c>
    </row>
    <row r="1075" spans="1:18" x14ac:dyDescent="0.25">
      <c r="A1075" s="104" t="s">
        <v>1668</v>
      </c>
      <c r="B1075" s="35" t="s">
        <v>712</v>
      </c>
      <c r="C1075" s="36">
        <v>0</v>
      </c>
      <c r="D1075" s="36">
        <v>5</v>
      </c>
      <c r="E1075" s="35" t="s">
        <v>699</v>
      </c>
      <c r="F1075" s="35" t="s">
        <v>634</v>
      </c>
      <c r="G1075" s="37">
        <v>45933.38108796296</v>
      </c>
      <c r="H1075" s="37" t="str">
        <f>INDEX(_xlfn.TEXTSPLIT(mvtst[[#This Row],[QR Suivis]],"_"),1,1)</f>
        <v>CA250057-3</v>
      </c>
      <c r="I1075" s="35" t="str">
        <f>_xlfn.TEXTBEFORE(mvtst[[#This Row],[Num Suivis]],"-",,,1)</f>
        <v>CA250057</v>
      </c>
      <c r="J1075" s="36">
        <f>SUMIF(mvtst[QR Suivis],mvtst[[#This Row],[QR Suivis]],mvtst[QTE SORTIS])-SUMIF(mvtst[QR Suivis],mvtst[[#This Row],[QR Suivis]],mvtst[QTE RETOUR])</f>
        <v>0</v>
      </c>
      <c r="K1075" s="35" t="str">
        <f t="shared" si="16"/>
        <v>Usine</v>
      </c>
      <c r="L1075" s="35" t="str">
        <f>_xlfn.XLOOKUP(mvtst[[#This Row],[Sous Traitant]],coordonnee_st[Identification],coordonnee_st[SERVICE],"Non Trouvé")</f>
        <v>Frange</v>
      </c>
      <c r="M1075" s="35" t="str">
        <f>INDEX(_xlfn.TEXTSPLIT(mvtst[[#This Row],[QR Suivis]],"_"),1,2)</f>
        <v>All by Fouta</v>
      </c>
      <c r="N1075" s="35" t="str">
        <f>INDEX(_xlfn.TEXTSPLIT(mvtst[[#This Row],[QR Suivis]],"_"),1,3)</f>
        <v>Stock</v>
      </c>
      <c r="O1075" s="35" t="str">
        <f>INDEX(_xlfn.TEXTSPLIT(mvtst[[#This Row],[QR Suivis]],"_"),1,4)</f>
        <v>UNS1626-30</v>
      </c>
      <c r="P1075" s="35" t="str">
        <f>INDEX(_xlfn.TEXTSPLIT(mvtst[[#This Row],[QR Suivis]],"_"),1,5)</f>
        <v>UNI SURPIQUE</v>
      </c>
      <c r="Q1075" s="35" t="str">
        <f>_xlfn.TEXTAFTER(mvtst[[#This Row],[QR Suivis]],"_",5)</f>
        <v>1626</v>
      </c>
      <c r="R1075" s="84" t="str">
        <f>IF(
   COUNTIFS($A$2:A1075,A1075,
             $B$2:B1075,B1075,
             $C$2:C1075,C1075,
             $D$2:D1075,D1075,
             $G$2:G1075,G1075)&gt;1,
   "Doublon",
   "Correcte"
)</f>
        <v>Correcte</v>
      </c>
    </row>
    <row r="1076" spans="1:18" x14ac:dyDescent="0.25">
      <c r="A1076" s="104" t="s">
        <v>1708</v>
      </c>
      <c r="B1076" s="35" t="s">
        <v>712</v>
      </c>
      <c r="C1076" s="36">
        <v>0</v>
      </c>
      <c r="D1076" s="36">
        <v>5</v>
      </c>
      <c r="E1076" s="35" t="s">
        <v>699</v>
      </c>
      <c r="F1076" s="35" t="s">
        <v>634</v>
      </c>
      <c r="G1076" s="37">
        <v>45933.381388888891</v>
      </c>
      <c r="H1076" s="37" t="str">
        <f>INDEX(_xlfn.TEXTSPLIT(mvtst[[#This Row],[QR Suivis]],"_"),1,1)</f>
        <v>CA250050-4</v>
      </c>
      <c r="I1076" s="35" t="str">
        <f>_xlfn.TEXTBEFORE(mvtst[[#This Row],[Num Suivis]],"-",,,1)</f>
        <v>CA250050</v>
      </c>
      <c r="J1076" s="36">
        <f>SUMIF(mvtst[QR Suivis],mvtst[[#This Row],[QR Suivis]],mvtst[QTE SORTIS])-SUMIF(mvtst[QR Suivis],mvtst[[#This Row],[QR Suivis]],mvtst[QTE RETOUR])</f>
        <v>0</v>
      </c>
      <c r="K1076" s="35" t="str">
        <f t="shared" si="16"/>
        <v>Usine</v>
      </c>
      <c r="L1076" s="35" t="str">
        <f>_xlfn.XLOOKUP(mvtst[[#This Row],[Sous Traitant]],coordonnee_st[Identification],coordonnee_st[SERVICE],"Non Trouvé")</f>
        <v>Frange</v>
      </c>
      <c r="M1076" s="35" t="str">
        <f>INDEX(_xlfn.TEXTSPLIT(mvtst[[#This Row],[QR Suivis]],"_"),1,2)</f>
        <v>All by Fouta</v>
      </c>
      <c r="N1076" s="35" t="str">
        <f>INDEX(_xlfn.TEXTSPLIT(mvtst[[#This Row],[QR Suivis]],"_"),1,3)</f>
        <v>Stock</v>
      </c>
      <c r="O1076" s="35" t="str">
        <f>INDEX(_xlfn.TEXTSPLIT(mvtst[[#This Row],[QR Suivis]],"_"),1,4)</f>
        <v>UNS1626-18</v>
      </c>
      <c r="P1076" s="35" t="str">
        <f>INDEX(_xlfn.TEXTSPLIT(mvtst[[#This Row],[QR Suivis]],"_"),1,5)</f>
        <v>UNI SURPIQUE</v>
      </c>
      <c r="Q1076" s="35" t="str">
        <f>_xlfn.TEXTAFTER(mvtst[[#This Row],[QR Suivis]],"_",5)</f>
        <v>1626</v>
      </c>
      <c r="R1076" s="84" t="str">
        <f>IF(
   COUNTIFS($A$2:A1076,A1076,
             $B$2:B1076,B1076,
             $C$2:C1076,C1076,
             $D$2:D1076,D1076,
             $G$2:G1076,G1076)&gt;1,
   "Doublon",
   "Correcte"
)</f>
        <v>Correcte</v>
      </c>
    </row>
    <row r="1077" spans="1:18" x14ac:dyDescent="0.25">
      <c r="A1077" s="104" t="s">
        <v>1305</v>
      </c>
      <c r="B1077" s="35" t="s">
        <v>712</v>
      </c>
      <c r="C1077" s="36">
        <v>0</v>
      </c>
      <c r="D1077" s="36">
        <v>5</v>
      </c>
      <c r="E1077" s="35" t="s">
        <v>699</v>
      </c>
      <c r="F1077" s="35" t="s">
        <v>634</v>
      </c>
      <c r="G1077" s="37">
        <v>45933.381840277776</v>
      </c>
      <c r="H1077" s="37" t="str">
        <f>INDEX(_xlfn.TEXTSPLIT(mvtst[[#This Row],[QR Suivis]],"_"),1,1)</f>
        <v>CA250025</v>
      </c>
      <c r="I1077" s="35" t="str">
        <f>_xlfn.TEXTBEFORE(mvtst[[#This Row],[Num Suivis]],"-",,,1)</f>
        <v>CA250025</v>
      </c>
      <c r="J1077" s="36">
        <f>SUMIF(mvtst[QR Suivis],mvtst[[#This Row],[QR Suivis]],mvtst[QTE SORTIS])-SUMIF(mvtst[QR Suivis],mvtst[[#This Row],[QR Suivis]],mvtst[QTE RETOUR])</f>
        <v>0</v>
      </c>
      <c r="K1077" s="35" t="str">
        <f t="shared" si="16"/>
        <v>Usine</v>
      </c>
      <c r="L1077" s="35" t="str">
        <f>_xlfn.XLOOKUP(mvtst[[#This Row],[Sous Traitant]],coordonnee_st[Identification],coordonnee_st[SERVICE],"Non Trouvé")</f>
        <v>Frange</v>
      </c>
      <c r="M1077" s="35" t="str">
        <f>INDEX(_xlfn.TEXTSPLIT(mvtst[[#This Row],[QR Suivis]],"_"),1,2)</f>
        <v>All by Fouta</v>
      </c>
      <c r="N1077" s="35" t="str">
        <f>INDEX(_xlfn.TEXTSPLIT(mvtst[[#This Row],[QR Suivis]],"_"),1,3)</f>
        <v>Stock</v>
      </c>
      <c r="O1077" s="35" t="str">
        <f>INDEX(_xlfn.TEXTSPLIT(mvtst[[#This Row],[QR Suivis]],"_"),1,4)</f>
        <v>UNS2020-10</v>
      </c>
      <c r="P1077" s="35" t="str">
        <f>INDEX(_xlfn.TEXTSPLIT(mvtst[[#This Row],[QR Suivis]],"_"),1,5)</f>
        <v>UNI SURPIQUE</v>
      </c>
      <c r="Q1077" s="35" t="str">
        <f>_xlfn.TEXTAFTER(mvtst[[#This Row],[QR Suivis]],"_",5)</f>
        <v>2020</v>
      </c>
      <c r="R1077" s="84" t="str">
        <f>IF(
   COUNTIFS($A$2:A1077,A1077,
             $B$2:B1077,B1077,
             $C$2:C1077,C1077,
             $D$2:D1077,D1077,
             $G$2:G1077,G1077)&gt;1,
   "Doublon",
   "Correcte"
)</f>
        <v>Correcte</v>
      </c>
    </row>
    <row r="1078" spans="1:18" x14ac:dyDescent="0.25">
      <c r="A1078" s="104" t="s">
        <v>1305</v>
      </c>
      <c r="B1078" s="35" t="s">
        <v>712</v>
      </c>
      <c r="C1078" s="36">
        <v>0</v>
      </c>
      <c r="D1078" s="36">
        <v>5</v>
      </c>
      <c r="E1078" s="35" t="s">
        <v>699</v>
      </c>
      <c r="F1078" s="35" t="s">
        <v>634</v>
      </c>
      <c r="G1078" s="37">
        <v>45933.382164351853</v>
      </c>
      <c r="H1078" s="37" t="str">
        <f>INDEX(_xlfn.TEXTSPLIT(mvtst[[#This Row],[QR Suivis]],"_"),1,1)</f>
        <v>CA250025</v>
      </c>
      <c r="I1078" s="35" t="str">
        <f>_xlfn.TEXTBEFORE(mvtst[[#This Row],[Num Suivis]],"-",,,1)</f>
        <v>CA250025</v>
      </c>
      <c r="J1078" s="36">
        <f>SUMIF(mvtst[QR Suivis],mvtst[[#This Row],[QR Suivis]],mvtst[QTE SORTIS])-SUMIF(mvtst[QR Suivis],mvtst[[#This Row],[QR Suivis]],mvtst[QTE RETOUR])</f>
        <v>0</v>
      </c>
      <c r="K1078" s="35" t="str">
        <f t="shared" si="16"/>
        <v>Usine</v>
      </c>
      <c r="L1078" s="35" t="str">
        <f>_xlfn.XLOOKUP(mvtst[[#This Row],[Sous Traitant]],coordonnee_st[Identification],coordonnee_st[SERVICE],"Non Trouvé")</f>
        <v>Frange</v>
      </c>
      <c r="M1078" s="35" t="str">
        <f>INDEX(_xlfn.TEXTSPLIT(mvtst[[#This Row],[QR Suivis]],"_"),1,2)</f>
        <v>All by Fouta</v>
      </c>
      <c r="N1078" s="35" t="str">
        <f>INDEX(_xlfn.TEXTSPLIT(mvtst[[#This Row],[QR Suivis]],"_"),1,3)</f>
        <v>Stock</v>
      </c>
      <c r="O1078" s="35" t="str">
        <f>INDEX(_xlfn.TEXTSPLIT(mvtst[[#This Row],[QR Suivis]],"_"),1,4)</f>
        <v>UNS2020-10</v>
      </c>
      <c r="P1078" s="35" t="str">
        <f>INDEX(_xlfn.TEXTSPLIT(mvtst[[#This Row],[QR Suivis]],"_"),1,5)</f>
        <v>UNI SURPIQUE</v>
      </c>
      <c r="Q1078" s="35" t="str">
        <f>_xlfn.TEXTAFTER(mvtst[[#This Row],[QR Suivis]],"_",5)</f>
        <v>2020</v>
      </c>
      <c r="R1078" s="84" t="str">
        <f>IF(
   COUNTIFS($A$2:A1078,A1078,
             $B$2:B1078,B1078,
             $C$2:C1078,C1078,
             $D$2:D1078,D1078,
             $G$2:G1078,G1078)&gt;1,
   "Doublon",
   "Correcte"
)</f>
        <v>Correcte</v>
      </c>
    </row>
    <row r="1079" spans="1:18" x14ac:dyDescent="0.25">
      <c r="A1079" s="104" t="s">
        <v>1607</v>
      </c>
      <c r="B1079" s="35" t="s">
        <v>646</v>
      </c>
      <c r="C1079" s="36">
        <v>0</v>
      </c>
      <c r="D1079" s="36">
        <v>5</v>
      </c>
      <c r="E1079" s="35" t="s">
        <v>699</v>
      </c>
      <c r="F1079" s="35" t="s">
        <v>634</v>
      </c>
      <c r="G1079" s="37">
        <v>45933.588784722226</v>
      </c>
      <c r="H1079" s="37" t="str">
        <f>INDEX(_xlfn.TEXTSPLIT(mvtst[[#This Row],[QR Suivis]],"_"),1,1)</f>
        <v>OF246547-6</v>
      </c>
      <c r="I1079" s="35" t="str">
        <f>_xlfn.TEXTBEFORE(mvtst[[#This Row],[Num Suivis]],"-",,,1)</f>
        <v>OF246547</v>
      </c>
      <c r="J1079" s="36">
        <f>SUMIF(mvtst[QR Suivis],mvtst[[#This Row],[QR Suivis]],mvtst[QTE SORTIS])-SUMIF(mvtst[QR Suivis],mvtst[[#This Row],[QR Suivis]],mvtst[QTE RETOUR])</f>
        <v>0</v>
      </c>
      <c r="K1079" s="35" t="str">
        <f t="shared" si="16"/>
        <v>Usine</v>
      </c>
      <c r="L1079" s="35" t="str">
        <f>_xlfn.XLOOKUP(mvtst[[#This Row],[Sous Traitant]],coordonnee_st[Identification],coordonnee_st[SERVICE],"Non Trouvé")</f>
        <v>Frange</v>
      </c>
      <c r="M1079" s="35" t="str">
        <f>INDEX(_xlfn.TEXTSPLIT(mvtst[[#This Row],[QR Suivis]],"_"),1,2)</f>
        <v>CL00296</v>
      </c>
      <c r="N1079" s="35" t="str">
        <f>INDEX(_xlfn.TEXTSPLIT(mvtst[[#This Row],[QR Suivis]],"_"),1,3)</f>
        <v>CM-FT0108</v>
      </c>
      <c r="O1079" s="35" t="str">
        <f>INDEX(_xlfn.TEXTSPLIT(mvtst[[#This Row],[QR Suivis]],"_"),1,4)</f>
        <v>EPMA0919-B11-02</v>
      </c>
      <c r="P1079" s="35" t="str">
        <f>INDEX(_xlfn.TEXTSPLIT(mvtst[[#This Row],[QR Suivis]],"_"),1,5)</f>
        <v>MARINIERE</v>
      </c>
      <c r="Q1079" s="35" t="str">
        <f>_xlfn.TEXTAFTER(mvtst[[#This Row],[QR Suivis]],"_",5)</f>
        <v>0919</v>
      </c>
      <c r="R1079" s="84" t="str">
        <f>IF(
   COUNTIFS($A$2:A1079,A1079,
             $B$2:B1079,B1079,
             $C$2:C1079,C1079,
             $D$2:D1079,D1079,
             $G$2:G1079,G1079)&gt;1,
   "Doublon",
   "Correcte"
)</f>
        <v>Correcte</v>
      </c>
    </row>
    <row r="1080" spans="1:18" x14ac:dyDescent="0.25">
      <c r="A1080" s="104" t="s">
        <v>1753</v>
      </c>
      <c r="B1080" s="35" t="s">
        <v>646</v>
      </c>
      <c r="C1080" s="36">
        <v>0</v>
      </c>
      <c r="D1080" s="36">
        <v>5</v>
      </c>
      <c r="E1080" s="35" t="s">
        <v>699</v>
      </c>
      <c r="F1080" s="35" t="s">
        <v>634</v>
      </c>
      <c r="G1080" s="37">
        <v>45933.589166666665</v>
      </c>
      <c r="H1080" s="37" t="str">
        <f>INDEX(_xlfn.TEXTSPLIT(mvtst[[#This Row],[QR Suivis]],"_"),1,1)</f>
        <v>OF246539-2</v>
      </c>
      <c r="I1080" s="35" t="str">
        <f>_xlfn.TEXTBEFORE(mvtst[[#This Row],[Num Suivis]],"-",,,1)</f>
        <v>OF246539</v>
      </c>
      <c r="J1080" s="36">
        <f>SUMIF(mvtst[QR Suivis],mvtst[[#This Row],[QR Suivis]],mvtst[QTE SORTIS])-SUMIF(mvtst[QR Suivis],mvtst[[#This Row],[QR Suivis]],mvtst[QTE RETOUR])</f>
        <v>0</v>
      </c>
      <c r="K1080" s="35" t="str">
        <f t="shared" si="16"/>
        <v>Usine</v>
      </c>
      <c r="L1080" s="35" t="str">
        <f>_xlfn.XLOOKUP(mvtst[[#This Row],[Sous Traitant]],coordonnee_st[Identification],coordonnee_st[SERVICE],"Non Trouvé")</f>
        <v>Frange</v>
      </c>
      <c r="M1080" s="35" t="str">
        <f>INDEX(_xlfn.TEXTSPLIT(mvtst[[#This Row],[QR Suivis]],"_"),1,2)</f>
        <v>CL00296</v>
      </c>
      <c r="N1080" s="35" t="str">
        <f>INDEX(_xlfn.TEXTSPLIT(mvtst[[#This Row],[QR Suivis]],"_"),1,3)</f>
        <v>CM-FT0108</v>
      </c>
      <c r="O1080" s="35" t="str">
        <f>INDEX(_xlfn.TEXTSPLIT(mvtst[[#This Row],[QR Suivis]],"_"),1,4)</f>
        <v>EPMA0919-B29-02</v>
      </c>
      <c r="P1080" s="35" t="str">
        <f>INDEX(_xlfn.TEXTSPLIT(mvtst[[#This Row],[QR Suivis]],"_"),1,5)</f>
        <v>MARINIERE</v>
      </c>
      <c r="Q1080" s="35" t="str">
        <f>_xlfn.TEXTAFTER(mvtst[[#This Row],[QR Suivis]],"_",5)</f>
        <v>0919</v>
      </c>
      <c r="R1080" s="84" t="str">
        <f>IF(
   COUNTIFS($A$2:A1080,A1080,
             $B$2:B1080,B1080,
             $C$2:C1080,C1080,
             $D$2:D1080,D1080,
             $G$2:G1080,G1080)&gt;1,
   "Doublon",
   "Correcte"
)</f>
        <v>Correcte</v>
      </c>
    </row>
    <row r="1081" spans="1:18" x14ac:dyDescent="0.25">
      <c r="A1081" s="104" t="s">
        <v>1608</v>
      </c>
      <c r="B1081" s="35" t="s">
        <v>646</v>
      </c>
      <c r="C1081" s="36">
        <v>0</v>
      </c>
      <c r="D1081" s="36">
        <v>5</v>
      </c>
      <c r="E1081" s="35" t="s">
        <v>699</v>
      </c>
      <c r="F1081" s="35" t="s">
        <v>634</v>
      </c>
      <c r="G1081" s="37">
        <v>45933.589398148149</v>
      </c>
      <c r="H1081" s="37" t="str">
        <f>INDEX(_xlfn.TEXTSPLIT(mvtst[[#This Row],[QR Suivis]],"_"),1,1)</f>
        <v>OF246547-12</v>
      </c>
      <c r="I1081" s="35" t="str">
        <f>_xlfn.TEXTBEFORE(mvtst[[#This Row],[Num Suivis]],"-",,,1)</f>
        <v>OF246547</v>
      </c>
      <c r="J1081" s="36">
        <f>SUMIF(mvtst[QR Suivis],mvtst[[#This Row],[QR Suivis]],mvtst[QTE SORTIS])-SUMIF(mvtst[QR Suivis],mvtst[[#This Row],[QR Suivis]],mvtst[QTE RETOUR])</f>
        <v>0</v>
      </c>
      <c r="K1081" s="35" t="str">
        <f t="shared" si="16"/>
        <v>Usine</v>
      </c>
      <c r="L1081" s="35" t="str">
        <f>_xlfn.XLOOKUP(mvtst[[#This Row],[Sous Traitant]],coordonnee_st[Identification],coordonnee_st[SERVICE],"Non Trouvé")</f>
        <v>Frange</v>
      </c>
      <c r="M1081" s="35" t="str">
        <f>INDEX(_xlfn.TEXTSPLIT(mvtst[[#This Row],[QR Suivis]],"_"),1,2)</f>
        <v>CL00296</v>
      </c>
      <c r="N1081" s="35" t="str">
        <f>INDEX(_xlfn.TEXTSPLIT(mvtst[[#This Row],[QR Suivis]],"_"),1,3)</f>
        <v>CM-FT0108</v>
      </c>
      <c r="O1081" s="35" t="str">
        <f>INDEX(_xlfn.TEXTSPLIT(mvtst[[#This Row],[QR Suivis]],"_"),1,4)</f>
        <v>EPMA0919-B11-02</v>
      </c>
      <c r="P1081" s="35" t="str">
        <f>INDEX(_xlfn.TEXTSPLIT(mvtst[[#This Row],[QR Suivis]],"_"),1,5)</f>
        <v>MARINIERE</v>
      </c>
      <c r="Q1081" s="35" t="str">
        <f>_xlfn.TEXTAFTER(mvtst[[#This Row],[QR Suivis]],"_",5)</f>
        <v>0919</v>
      </c>
      <c r="R1081" s="84" t="str">
        <f>IF(
   COUNTIFS($A$2:A1081,A1081,
             $B$2:B1081,B1081,
             $C$2:C1081,C1081,
             $D$2:D1081,D1081,
             $G$2:G1081,G1081)&gt;1,
   "Doublon",
   "Correcte"
)</f>
        <v>Correcte</v>
      </c>
    </row>
    <row r="1082" spans="1:18" x14ac:dyDescent="0.25">
      <c r="A1082" s="104" t="s">
        <v>1750</v>
      </c>
      <c r="B1082" s="35" t="s">
        <v>646</v>
      </c>
      <c r="C1082" s="36">
        <v>0</v>
      </c>
      <c r="D1082" s="36">
        <v>5</v>
      </c>
      <c r="E1082" s="35" t="s">
        <v>699</v>
      </c>
      <c r="F1082" s="35" t="s">
        <v>634</v>
      </c>
      <c r="G1082" s="37">
        <v>45933.589606481481</v>
      </c>
      <c r="H1082" s="37" t="str">
        <f>INDEX(_xlfn.TEXTSPLIT(mvtst[[#This Row],[QR Suivis]],"_"),1,1)</f>
        <v>OF246539-1</v>
      </c>
      <c r="I1082" s="35" t="str">
        <f>_xlfn.TEXTBEFORE(mvtst[[#This Row],[Num Suivis]],"-",,,1)</f>
        <v>OF246539</v>
      </c>
      <c r="J1082" s="36">
        <f>SUMIF(mvtst[QR Suivis],mvtst[[#This Row],[QR Suivis]],mvtst[QTE SORTIS])-SUMIF(mvtst[QR Suivis],mvtst[[#This Row],[QR Suivis]],mvtst[QTE RETOUR])</f>
        <v>0</v>
      </c>
      <c r="K1082" s="35" t="str">
        <f t="shared" si="16"/>
        <v>Usine</v>
      </c>
      <c r="L1082" s="35" t="str">
        <f>_xlfn.XLOOKUP(mvtst[[#This Row],[Sous Traitant]],coordonnee_st[Identification],coordonnee_st[SERVICE],"Non Trouvé")</f>
        <v>Frange</v>
      </c>
      <c r="M1082" s="35" t="str">
        <f>INDEX(_xlfn.TEXTSPLIT(mvtst[[#This Row],[QR Suivis]],"_"),1,2)</f>
        <v>CL00296</v>
      </c>
      <c r="N1082" s="35" t="str">
        <f>INDEX(_xlfn.TEXTSPLIT(mvtst[[#This Row],[QR Suivis]],"_"),1,3)</f>
        <v>CM-FT0108</v>
      </c>
      <c r="O1082" s="35" t="str">
        <f>INDEX(_xlfn.TEXTSPLIT(mvtst[[#This Row],[QR Suivis]],"_"),1,4)</f>
        <v>EPMA0919-B29-02</v>
      </c>
      <c r="P1082" s="35" t="str">
        <f>INDEX(_xlfn.TEXTSPLIT(mvtst[[#This Row],[QR Suivis]],"_"),1,5)</f>
        <v>MARINIERE</v>
      </c>
      <c r="Q1082" s="35" t="str">
        <f>_xlfn.TEXTAFTER(mvtst[[#This Row],[QR Suivis]],"_",5)</f>
        <v>0919</v>
      </c>
      <c r="R1082" s="84" t="str">
        <f>IF(
   COUNTIFS($A$2:A1082,A1082,
             $B$2:B1082,B1082,
             $C$2:C1082,C1082,
             $D$2:D1082,D1082,
             $G$2:G1082,G1082)&gt;1,
   "Doublon",
   "Correcte"
)</f>
        <v>Correcte</v>
      </c>
    </row>
    <row r="1083" spans="1:18" x14ac:dyDescent="0.25">
      <c r="A1083" s="104" t="s">
        <v>1609</v>
      </c>
      <c r="B1083" s="35" t="s">
        <v>646</v>
      </c>
      <c r="C1083" s="36">
        <v>0</v>
      </c>
      <c r="D1083" s="36">
        <v>5</v>
      </c>
      <c r="E1083" s="35" t="s">
        <v>699</v>
      </c>
      <c r="F1083" s="35" t="s">
        <v>634</v>
      </c>
      <c r="G1083" s="37">
        <v>45933.589849537035</v>
      </c>
      <c r="H1083" s="37" t="str">
        <f>INDEX(_xlfn.TEXTSPLIT(mvtst[[#This Row],[QR Suivis]],"_"),1,1)</f>
        <v>OF246547-8</v>
      </c>
      <c r="I1083" s="35" t="str">
        <f>_xlfn.TEXTBEFORE(mvtst[[#This Row],[Num Suivis]],"-",,,1)</f>
        <v>OF246547</v>
      </c>
      <c r="J1083" s="36">
        <f>SUMIF(mvtst[QR Suivis],mvtst[[#This Row],[QR Suivis]],mvtst[QTE SORTIS])-SUMIF(mvtst[QR Suivis],mvtst[[#This Row],[QR Suivis]],mvtst[QTE RETOUR])</f>
        <v>0</v>
      </c>
      <c r="K1083" s="35" t="str">
        <f t="shared" si="16"/>
        <v>Usine</v>
      </c>
      <c r="L1083" s="35" t="str">
        <f>_xlfn.XLOOKUP(mvtst[[#This Row],[Sous Traitant]],coordonnee_st[Identification],coordonnee_st[SERVICE],"Non Trouvé")</f>
        <v>Frange</v>
      </c>
      <c r="M1083" s="35" t="str">
        <f>INDEX(_xlfn.TEXTSPLIT(mvtst[[#This Row],[QR Suivis]],"_"),1,2)</f>
        <v>CL00296</v>
      </c>
      <c r="N1083" s="35" t="str">
        <f>INDEX(_xlfn.TEXTSPLIT(mvtst[[#This Row],[QR Suivis]],"_"),1,3)</f>
        <v>CM-FT0108</v>
      </c>
      <c r="O1083" s="35" t="str">
        <f>INDEX(_xlfn.TEXTSPLIT(mvtst[[#This Row],[QR Suivis]],"_"),1,4)</f>
        <v>EPMA0919-B11-02</v>
      </c>
      <c r="P1083" s="35" t="str">
        <f>INDEX(_xlfn.TEXTSPLIT(mvtst[[#This Row],[QR Suivis]],"_"),1,5)</f>
        <v>MARINIERE</v>
      </c>
      <c r="Q1083" s="35" t="str">
        <f>_xlfn.TEXTAFTER(mvtst[[#This Row],[QR Suivis]],"_",5)</f>
        <v>0919</v>
      </c>
      <c r="R1083" s="84" t="str">
        <f>IF(
   COUNTIFS($A$2:A1083,A1083,
             $B$2:B1083,B1083,
             $C$2:C1083,C1083,
             $D$2:D1083,D1083,
             $G$2:G1083,G1083)&gt;1,
   "Doublon",
   "Correcte"
)</f>
        <v>Correcte</v>
      </c>
    </row>
    <row r="1084" spans="1:18" x14ac:dyDescent="0.25">
      <c r="A1084" s="104" t="s">
        <v>1610</v>
      </c>
      <c r="B1084" s="35" t="s">
        <v>646</v>
      </c>
      <c r="C1084" s="36">
        <v>0</v>
      </c>
      <c r="D1084" s="36">
        <v>5</v>
      </c>
      <c r="E1084" s="35" t="s">
        <v>699</v>
      </c>
      <c r="F1084" s="35" t="s">
        <v>634</v>
      </c>
      <c r="G1084" s="37">
        <v>45933.590358796297</v>
      </c>
      <c r="H1084" s="37" t="str">
        <f>INDEX(_xlfn.TEXTSPLIT(mvtst[[#This Row],[QR Suivis]],"_"),1,1)</f>
        <v>OF246547-13</v>
      </c>
      <c r="I1084" s="35" t="str">
        <f>_xlfn.TEXTBEFORE(mvtst[[#This Row],[Num Suivis]],"-",,,1)</f>
        <v>OF246547</v>
      </c>
      <c r="J1084" s="36">
        <f>SUMIF(mvtst[QR Suivis],mvtst[[#This Row],[QR Suivis]],mvtst[QTE SORTIS])-SUMIF(mvtst[QR Suivis],mvtst[[#This Row],[QR Suivis]],mvtst[QTE RETOUR])</f>
        <v>0</v>
      </c>
      <c r="K1084" s="35" t="str">
        <f t="shared" si="16"/>
        <v>Usine</v>
      </c>
      <c r="L1084" s="35" t="str">
        <f>_xlfn.XLOOKUP(mvtst[[#This Row],[Sous Traitant]],coordonnee_st[Identification],coordonnee_st[SERVICE],"Non Trouvé")</f>
        <v>Frange</v>
      </c>
      <c r="M1084" s="35" t="str">
        <f>INDEX(_xlfn.TEXTSPLIT(mvtst[[#This Row],[QR Suivis]],"_"),1,2)</f>
        <v>CL00296</v>
      </c>
      <c r="N1084" s="35" t="str">
        <f>INDEX(_xlfn.TEXTSPLIT(mvtst[[#This Row],[QR Suivis]],"_"),1,3)</f>
        <v>CM-FT0108</v>
      </c>
      <c r="O1084" s="35" t="str">
        <f>INDEX(_xlfn.TEXTSPLIT(mvtst[[#This Row],[QR Suivis]],"_"),1,4)</f>
        <v>EPMA0919-B11-02</v>
      </c>
      <c r="P1084" s="35" t="str">
        <f>INDEX(_xlfn.TEXTSPLIT(mvtst[[#This Row],[QR Suivis]],"_"),1,5)</f>
        <v>MARINIERE</v>
      </c>
      <c r="Q1084" s="35" t="str">
        <f>_xlfn.TEXTAFTER(mvtst[[#This Row],[QR Suivis]],"_",5)</f>
        <v>0919</v>
      </c>
      <c r="R1084" s="84" t="str">
        <f>IF(
   COUNTIFS($A$2:A1084,A1084,
             $B$2:B1084,B1084,
             $C$2:C1084,C1084,
             $D$2:D1084,D1084,
             $G$2:G1084,G1084)&gt;1,
   "Doublon",
   "Correcte"
)</f>
        <v>Correcte</v>
      </c>
    </row>
    <row r="1085" spans="1:18" x14ac:dyDescent="0.25">
      <c r="A1085" s="104" t="s">
        <v>1752</v>
      </c>
      <c r="B1085" s="35" t="s">
        <v>646</v>
      </c>
      <c r="C1085" s="36">
        <v>0</v>
      </c>
      <c r="D1085" s="36">
        <v>5</v>
      </c>
      <c r="E1085" s="35" t="s">
        <v>699</v>
      </c>
      <c r="F1085" s="35" t="s">
        <v>634</v>
      </c>
      <c r="G1085" s="37">
        <v>45933.590937499997</v>
      </c>
      <c r="H1085" s="37" t="str">
        <f>INDEX(_xlfn.TEXTSPLIT(mvtst[[#This Row],[QR Suivis]],"_"),1,1)</f>
        <v>OF246539-14</v>
      </c>
      <c r="I1085" s="35" t="str">
        <f>_xlfn.TEXTBEFORE(mvtst[[#This Row],[Num Suivis]],"-",,,1)</f>
        <v>OF246539</v>
      </c>
      <c r="J1085" s="36">
        <f>SUMIF(mvtst[QR Suivis],mvtst[[#This Row],[QR Suivis]],mvtst[QTE SORTIS])-SUMIF(mvtst[QR Suivis],mvtst[[#This Row],[QR Suivis]],mvtst[QTE RETOUR])</f>
        <v>0</v>
      </c>
      <c r="K1085" s="35" t="str">
        <f t="shared" si="16"/>
        <v>Usine</v>
      </c>
      <c r="L1085" s="35" t="str">
        <f>_xlfn.XLOOKUP(mvtst[[#This Row],[Sous Traitant]],coordonnee_st[Identification],coordonnee_st[SERVICE],"Non Trouvé")</f>
        <v>Frange</v>
      </c>
      <c r="M1085" s="35" t="str">
        <f>INDEX(_xlfn.TEXTSPLIT(mvtst[[#This Row],[QR Suivis]],"_"),1,2)</f>
        <v>CL00296</v>
      </c>
      <c r="N1085" s="35" t="str">
        <f>INDEX(_xlfn.TEXTSPLIT(mvtst[[#This Row],[QR Suivis]],"_"),1,3)</f>
        <v>CM-FT0108</v>
      </c>
      <c r="O1085" s="35" t="str">
        <f>INDEX(_xlfn.TEXTSPLIT(mvtst[[#This Row],[QR Suivis]],"_"),1,4)</f>
        <v>EPMA0919-B29-02</v>
      </c>
      <c r="P1085" s="35" t="str">
        <f>INDEX(_xlfn.TEXTSPLIT(mvtst[[#This Row],[QR Suivis]],"_"),1,5)</f>
        <v>MARINIERE</v>
      </c>
      <c r="Q1085" s="35" t="str">
        <f>_xlfn.TEXTAFTER(mvtst[[#This Row],[QR Suivis]],"_",5)</f>
        <v>0919</v>
      </c>
      <c r="R1085" s="84" t="str">
        <f>IF(
   COUNTIFS($A$2:A1085,A1085,
             $B$2:B1085,B1085,
             $C$2:C1085,C1085,
             $D$2:D1085,D1085,
             $G$2:G1085,G1085)&gt;1,
   "Doublon",
   "Correcte"
)</f>
        <v>Correcte</v>
      </c>
    </row>
    <row r="1086" spans="1:18" x14ac:dyDescent="0.25">
      <c r="A1086" s="104" t="s">
        <v>1853</v>
      </c>
      <c r="B1086" s="35" t="s">
        <v>646</v>
      </c>
      <c r="C1086" s="36">
        <v>5</v>
      </c>
      <c r="D1086" s="36">
        <v>0</v>
      </c>
      <c r="E1086" s="35" t="s">
        <v>699</v>
      </c>
      <c r="F1086" s="35" t="s">
        <v>634</v>
      </c>
      <c r="G1086" s="37">
        <v>45933.595011574071</v>
      </c>
      <c r="H1086" s="37" t="str">
        <f>INDEX(_xlfn.TEXTSPLIT(mvtst[[#This Row],[QR Suivis]],"_"),1,1)</f>
        <v>OF246535-2</v>
      </c>
      <c r="I1086" s="35" t="str">
        <f>_xlfn.TEXTBEFORE(mvtst[[#This Row],[Num Suivis]],"-",,,1)</f>
        <v>OF246535</v>
      </c>
      <c r="J1086" s="36">
        <f>SUMIF(mvtst[QR Suivis],mvtst[[#This Row],[QR Suivis]],mvtst[QTE SORTIS])-SUMIF(mvtst[QR Suivis],mvtst[[#This Row],[QR Suivis]],mvtst[QTE RETOUR])</f>
        <v>0</v>
      </c>
      <c r="K1086" s="35" t="str">
        <f t="shared" si="16"/>
        <v>Usine</v>
      </c>
      <c r="L1086" s="35" t="str">
        <f>_xlfn.XLOOKUP(mvtst[[#This Row],[Sous Traitant]],coordonnee_st[Identification],coordonnee_st[SERVICE],"Non Trouvé")</f>
        <v>Frange</v>
      </c>
      <c r="M1086" s="35" t="str">
        <f>INDEX(_xlfn.TEXTSPLIT(mvtst[[#This Row],[QR Suivis]],"_"),1,2)</f>
        <v>CL00296</v>
      </c>
      <c r="N1086" s="35" t="str">
        <f>INDEX(_xlfn.TEXTSPLIT(mvtst[[#This Row],[QR Suivis]],"_"),1,3)</f>
        <v>CM-FT0108</v>
      </c>
      <c r="O1086" s="35" t="str">
        <f>INDEX(_xlfn.TEXTSPLIT(mvtst[[#This Row],[QR Suivis]],"_"),1,4)</f>
        <v>EPMA0919-B03-02</v>
      </c>
      <c r="P1086" s="35" t="str">
        <f>INDEX(_xlfn.TEXTSPLIT(mvtst[[#This Row],[QR Suivis]],"_"),1,5)</f>
        <v>MARINIERE</v>
      </c>
      <c r="Q1086" s="35" t="str">
        <f>_xlfn.TEXTAFTER(mvtst[[#This Row],[QR Suivis]],"_",5)</f>
        <v>0919</v>
      </c>
      <c r="R1086" s="84" t="str">
        <f>IF(
   COUNTIFS($A$2:A1086,A1086,
             $B$2:B1086,B1086,
             $C$2:C1086,C1086,
             $D$2:D1086,D1086,
             $G$2:G1086,G1086)&gt;1,
   "Doublon",
   "Correcte"
)</f>
        <v>Correcte</v>
      </c>
    </row>
    <row r="1087" spans="1:18" x14ac:dyDescent="0.25">
      <c r="A1087" s="104" t="s">
        <v>1854</v>
      </c>
      <c r="B1087" s="35" t="s">
        <v>646</v>
      </c>
      <c r="C1087" s="36">
        <v>5</v>
      </c>
      <c r="D1087" s="36">
        <v>0</v>
      </c>
      <c r="E1087" s="35" t="s">
        <v>699</v>
      </c>
      <c r="F1087" s="35" t="s">
        <v>634</v>
      </c>
      <c r="G1087" s="37">
        <v>45933.595138888886</v>
      </c>
      <c r="H1087" s="37" t="str">
        <f>INDEX(_xlfn.TEXTSPLIT(mvtst[[#This Row],[QR Suivis]],"_"),1,1)</f>
        <v>OF246535-1</v>
      </c>
      <c r="I1087" s="35" t="str">
        <f>_xlfn.TEXTBEFORE(mvtst[[#This Row],[Num Suivis]],"-",,,1)</f>
        <v>OF246535</v>
      </c>
      <c r="J1087" s="36">
        <f>SUMIF(mvtst[QR Suivis],mvtst[[#This Row],[QR Suivis]],mvtst[QTE SORTIS])-SUMIF(mvtst[QR Suivis],mvtst[[#This Row],[QR Suivis]],mvtst[QTE RETOUR])</f>
        <v>0</v>
      </c>
      <c r="K1087" s="35" t="str">
        <f t="shared" si="16"/>
        <v>Usine</v>
      </c>
      <c r="L1087" s="35" t="str">
        <f>_xlfn.XLOOKUP(mvtst[[#This Row],[Sous Traitant]],coordonnee_st[Identification],coordonnee_st[SERVICE],"Non Trouvé")</f>
        <v>Frange</v>
      </c>
      <c r="M1087" s="35" t="str">
        <f>INDEX(_xlfn.TEXTSPLIT(mvtst[[#This Row],[QR Suivis]],"_"),1,2)</f>
        <v>CL00296</v>
      </c>
      <c r="N1087" s="35" t="str">
        <f>INDEX(_xlfn.TEXTSPLIT(mvtst[[#This Row],[QR Suivis]],"_"),1,3)</f>
        <v>CM-FT0108</v>
      </c>
      <c r="O1087" s="35" t="str">
        <f>INDEX(_xlfn.TEXTSPLIT(mvtst[[#This Row],[QR Suivis]],"_"),1,4)</f>
        <v>EPMA0919-B03-02</v>
      </c>
      <c r="P1087" s="35" t="str">
        <f>INDEX(_xlfn.TEXTSPLIT(mvtst[[#This Row],[QR Suivis]],"_"),1,5)</f>
        <v>MARINIERE</v>
      </c>
      <c r="Q1087" s="35" t="str">
        <f>_xlfn.TEXTAFTER(mvtst[[#This Row],[QR Suivis]],"_",5)</f>
        <v>0919</v>
      </c>
      <c r="R1087" s="84" t="str">
        <f>IF(
   COUNTIFS($A$2:A1087,A1087,
             $B$2:B1087,B1087,
             $C$2:C1087,C1087,
             $D$2:D1087,D1087,
             $G$2:G1087,G1087)&gt;1,
   "Doublon",
   "Correcte"
)</f>
        <v>Correcte</v>
      </c>
    </row>
    <row r="1088" spans="1:18" x14ac:dyDescent="0.25">
      <c r="A1088" s="104" t="s">
        <v>1855</v>
      </c>
      <c r="B1088" s="35" t="s">
        <v>646</v>
      </c>
      <c r="C1088" s="36">
        <v>5</v>
      </c>
      <c r="D1088" s="36">
        <v>0</v>
      </c>
      <c r="E1088" s="35" t="s">
        <v>699</v>
      </c>
      <c r="F1088" s="35" t="s">
        <v>634</v>
      </c>
      <c r="G1088" s="37">
        <v>45933.595312500001</v>
      </c>
      <c r="H1088" s="37" t="str">
        <f>INDEX(_xlfn.TEXTSPLIT(mvtst[[#This Row],[QR Suivis]],"_"),1,1)</f>
        <v>OF246544-12</v>
      </c>
      <c r="I1088" s="35" t="str">
        <f>_xlfn.TEXTBEFORE(mvtst[[#This Row],[Num Suivis]],"-",,,1)</f>
        <v>OF246544</v>
      </c>
      <c r="J1088" s="36">
        <f>SUMIF(mvtst[QR Suivis],mvtst[[#This Row],[QR Suivis]],mvtst[QTE SORTIS])-SUMIF(mvtst[QR Suivis],mvtst[[#This Row],[QR Suivis]],mvtst[QTE RETOUR])</f>
        <v>0</v>
      </c>
      <c r="K1088" s="35" t="str">
        <f t="shared" si="16"/>
        <v>Usine</v>
      </c>
      <c r="L1088" s="35" t="str">
        <f>_xlfn.XLOOKUP(mvtst[[#This Row],[Sous Traitant]],coordonnee_st[Identification],coordonnee_st[SERVICE],"Non Trouvé")</f>
        <v>Frange</v>
      </c>
      <c r="M1088" s="35" t="str">
        <f>INDEX(_xlfn.TEXTSPLIT(mvtst[[#This Row],[QR Suivis]],"_"),1,2)</f>
        <v>CL00296</v>
      </c>
      <c r="N1088" s="35" t="str">
        <f>INDEX(_xlfn.TEXTSPLIT(mvtst[[#This Row],[QR Suivis]],"_"),1,3)</f>
        <v>CM-FT0108</v>
      </c>
      <c r="O1088" s="35" t="str">
        <f>INDEX(_xlfn.TEXTSPLIT(mvtst[[#This Row],[QR Suivis]],"_"),1,4)</f>
        <v>EPMA0919-B03-02</v>
      </c>
      <c r="P1088" s="35" t="str">
        <f>INDEX(_xlfn.TEXTSPLIT(mvtst[[#This Row],[QR Suivis]],"_"),1,5)</f>
        <v>MARINIERE</v>
      </c>
      <c r="Q1088" s="35" t="str">
        <f>_xlfn.TEXTAFTER(mvtst[[#This Row],[QR Suivis]],"_",5)</f>
        <v>0919</v>
      </c>
      <c r="R1088" s="84" t="str">
        <f>IF(
   COUNTIFS($A$2:A1088,A1088,
             $B$2:B1088,B1088,
             $C$2:C1088,C1088,
             $D$2:D1088,D1088,
             $G$2:G1088,G1088)&gt;1,
   "Doublon",
   "Correcte"
)</f>
        <v>Correcte</v>
      </c>
    </row>
    <row r="1089" spans="1:18" x14ac:dyDescent="0.25">
      <c r="A1089" s="104" t="s">
        <v>1856</v>
      </c>
      <c r="B1089" s="35" t="s">
        <v>646</v>
      </c>
      <c r="C1089" s="36">
        <v>5</v>
      </c>
      <c r="D1089" s="36">
        <v>0</v>
      </c>
      <c r="E1089" s="35" t="s">
        <v>699</v>
      </c>
      <c r="F1089" s="35" t="s">
        <v>634</v>
      </c>
      <c r="G1089" s="37">
        <v>45933.595555555556</v>
      </c>
      <c r="H1089" s="37" t="str">
        <f>INDEX(_xlfn.TEXTSPLIT(mvtst[[#This Row],[QR Suivis]],"_"),1,1)</f>
        <v>OF246535-3</v>
      </c>
      <c r="I1089" s="35" t="str">
        <f>_xlfn.TEXTBEFORE(mvtst[[#This Row],[Num Suivis]],"-",,,1)</f>
        <v>OF246535</v>
      </c>
      <c r="J1089" s="36">
        <f>SUMIF(mvtst[QR Suivis],mvtst[[#This Row],[QR Suivis]],mvtst[QTE SORTIS])-SUMIF(mvtst[QR Suivis],mvtst[[#This Row],[QR Suivis]],mvtst[QTE RETOUR])</f>
        <v>0</v>
      </c>
      <c r="K1089" s="35" t="str">
        <f t="shared" si="16"/>
        <v>Usine</v>
      </c>
      <c r="L1089" s="35" t="str">
        <f>_xlfn.XLOOKUP(mvtst[[#This Row],[Sous Traitant]],coordonnee_st[Identification],coordonnee_st[SERVICE],"Non Trouvé")</f>
        <v>Frange</v>
      </c>
      <c r="M1089" s="35" t="str">
        <f>INDEX(_xlfn.TEXTSPLIT(mvtst[[#This Row],[QR Suivis]],"_"),1,2)</f>
        <v>CL00296</v>
      </c>
      <c r="N1089" s="35" t="str">
        <f>INDEX(_xlfn.TEXTSPLIT(mvtst[[#This Row],[QR Suivis]],"_"),1,3)</f>
        <v>CM-FT0108</v>
      </c>
      <c r="O1089" s="35" t="str">
        <f>INDEX(_xlfn.TEXTSPLIT(mvtst[[#This Row],[QR Suivis]],"_"),1,4)</f>
        <v>EPMA0919-B03-02</v>
      </c>
      <c r="P1089" s="35" t="str">
        <f>INDEX(_xlfn.TEXTSPLIT(mvtst[[#This Row],[QR Suivis]],"_"),1,5)</f>
        <v>MARINIERE</v>
      </c>
      <c r="Q1089" s="35" t="str">
        <f>_xlfn.TEXTAFTER(mvtst[[#This Row],[QR Suivis]],"_",5)</f>
        <v>0919</v>
      </c>
      <c r="R1089" s="84" t="str">
        <f>IF(
   COUNTIFS($A$2:A1089,A1089,
             $B$2:B1089,B1089,
             $C$2:C1089,C1089,
             $D$2:D1089,D1089,
             $G$2:G1089,G1089)&gt;1,
   "Doublon",
   "Correcte"
)</f>
        <v>Correcte</v>
      </c>
    </row>
    <row r="1090" spans="1:18" x14ac:dyDescent="0.25">
      <c r="A1090" s="104" t="s">
        <v>1857</v>
      </c>
      <c r="B1090" s="35" t="s">
        <v>646</v>
      </c>
      <c r="C1090" s="36">
        <v>5</v>
      </c>
      <c r="D1090" s="36">
        <v>0</v>
      </c>
      <c r="E1090" s="35" t="s">
        <v>699</v>
      </c>
      <c r="F1090" s="35" t="s">
        <v>634</v>
      </c>
      <c r="G1090" s="37">
        <v>45933.595879629633</v>
      </c>
      <c r="H1090" s="37" t="str">
        <f>INDEX(_xlfn.TEXTSPLIT(mvtst[[#This Row],[QR Suivis]],"_"),1,1)</f>
        <v>OF246535-15</v>
      </c>
      <c r="I1090" s="35" t="str">
        <f>_xlfn.TEXTBEFORE(mvtst[[#This Row],[Num Suivis]],"-",,,1)</f>
        <v>OF246535</v>
      </c>
      <c r="J1090" s="36">
        <f>SUMIF(mvtst[QR Suivis],mvtst[[#This Row],[QR Suivis]],mvtst[QTE SORTIS])-SUMIF(mvtst[QR Suivis],mvtst[[#This Row],[QR Suivis]],mvtst[QTE RETOUR])</f>
        <v>0</v>
      </c>
      <c r="K1090" s="35" t="str">
        <f t="shared" si="16"/>
        <v>Usine</v>
      </c>
      <c r="L1090" s="35" t="str">
        <f>_xlfn.XLOOKUP(mvtst[[#This Row],[Sous Traitant]],coordonnee_st[Identification],coordonnee_st[SERVICE],"Non Trouvé")</f>
        <v>Frange</v>
      </c>
      <c r="M1090" s="35" t="str">
        <f>INDEX(_xlfn.TEXTSPLIT(mvtst[[#This Row],[QR Suivis]],"_"),1,2)</f>
        <v>CL00296</v>
      </c>
      <c r="N1090" s="35" t="str">
        <f>INDEX(_xlfn.TEXTSPLIT(mvtst[[#This Row],[QR Suivis]],"_"),1,3)</f>
        <v>CM-FT0108</v>
      </c>
      <c r="O1090" s="35" t="str">
        <f>INDEX(_xlfn.TEXTSPLIT(mvtst[[#This Row],[QR Suivis]],"_"),1,4)</f>
        <v>EPMA0919-B03-02</v>
      </c>
      <c r="P1090" s="35" t="str">
        <f>INDEX(_xlfn.TEXTSPLIT(mvtst[[#This Row],[QR Suivis]],"_"),1,5)</f>
        <v>MARINIERE</v>
      </c>
      <c r="Q1090" s="35" t="str">
        <f>_xlfn.TEXTAFTER(mvtst[[#This Row],[QR Suivis]],"_",5)</f>
        <v>0919</v>
      </c>
      <c r="R1090" s="84" t="str">
        <f>IF(
   COUNTIFS($A$2:A1090,A1090,
             $B$2:B1090,B1090,
             $C$2:C1090,C1090,
             $D$2:D1090,D1090,
             $G$2:G1090,G1090)&gt;1,
   "Doublon",
   "Correcte"
)</f>
        <v>Correcte</v>
      </c>
    </row>
    <row r="1091" spans="1:18" x14ac:dyDescent="0.25">
      <c r="A1091" s="104" t="s">
        <v>1858</v>
      </c>
      <c r="B1091" s="35" t="s">
        <v>646</v>
      </c>
      <c r="C1091" s="36">
        <v>5</v>
      </c>
      <c r="D1091" s="36">
        <v>0</v>
      </c>
      <c r="E1091" s="35" t="s">
        <v>699</v>
      </c>
      <c r="F1091" s="35" t="s">
        <v>634</v>
      </c>
      <c r="G1091" s="37">
        <v>45933.596053240741</v>
      </c>
      <c r="H1091" s="37" t="str">
        <f>INDEX(_xlfn.TEXTSPLIT(mvtst[[#This Row],[QR Suivis]],"_"),1,1)</f>
        <v>OF246535-12</v>
      </c>
      <c r="I1091" s="35" t="str">
        <f>_xlfn.TEXTBEFORE(mvtst[[#This Row],[Num Suivis]],"-",,,1)</f>
        <v>OF246535</v>
      </c>
      <c r="J1091" s="36">
        <f>SUMIF(mvtst[QR Suivis],mvtst[[#This Row],[QR Suivis]],mvtst[QTE SORTIS])-SUMIF(mvtst[QR Suivis],mvtst[[#This Row],[QR Suivis]],mvtst[QTE RETOUR])</f>
        <v>0</v>
      </c>
      <c r="K1091" s="35" t="str">
        <f t="shared" ref="K1091:K1154" si="17">"Usine"</f>
        <v>Usine</v>
      </c>
      <c r="L1091" s="35" t="str">
        <f>_xlfn.XLOOKUP(mvtst[[#This Row],[Sous Traitant]],coordonnee_st[Identification],coordonnee_st[SERVICE],"Non Trouvé")</f>
        <v>Frange</v>
      </c>
      <c r="M1091" s="35" t="str">
        <f>INDEX(_xlfn.TEXTSPLIT(mvtst[[#This Row],[QR Suivis]],"_"),1,2)</f>
        <v>CL00296</v>
      </c>
      <c r="N1091" s="35" t="str">
        <f>INDEX(_xlfn.TEXTSPLIT(mvtst[[#This Row],[QR Suivis]],"_"),1,3)</f>
        <v>CM-FT0108</v>
      </c>
      <c r="O1091" s="35" t="str">
        <f>INDEX(_xlfn.TEXTSPLIT(mvtst[[#This Row],[QR Suivis]],"_"),1,4)</f>
        <v>EPMA0919-B03-02</v>
      </c>
      <c r="P1091" s="35" t="str">
        <f>INDEX(_xlfn.TEXTSPLIT(mvtst[[#This Row],[QR Suivis]],"_"),1,5)</f>
        <v>MARINIERE</v>
      </c>
      <c r="Q1091" s="35" t="str">
        <f>_xlfn.TEXTAFTER(mvtst[[#This Row],[QR Suivis]],"_",5)</f>
        <v>0919</v>
      </c>
      <c r="R1091" s="84" t="str">
        <f>IF(
   COUNTIFS($A$2:A1091,A1091,
             $B$2:B1091,B1091,
             $C$2:C1091,C1091,
             $D$2:D1091,D1091,
             $G$2:G1091,G1091)&gt;1,
   "Doublon",
   "Correcte"
)</f>
        <v>Correcte</v>
      </c>
    </row>
    <row r="1092" spans="1:18" x14ac:dyDescent="0.25">
      <c r="A1092" s="104" t="s">
        <v>1859</v>
      </c>
      <c r="B1092" s="35" t="s">
        <v>646</v>
      </c>
      <c r="C1092" s="36">
        <v>5</v>
      </c>
      <c r="D1092" s="36">
        <v>0</v>
      </c>
      <c r="E1092" s="35" t="s">
        <v>699</v>
      </c>
      <c r="F1092" s="35" t="s">
        <v>634</v>
      </c>
      <c r="G1092" s="37">
        <v>45933.59615740741</v>
      </c>
      <c r="H1092" s="37" t="str">
        <f>INDEX(_xlfn.TEXTSPLIT(mvtst[[#This Row],[QR Suivis]],"_"),1,1)</f>
        <v>OF246544-11</v>
      </c>
      <c r="I1092" s="35" t="str">
        <f>_xlfn.TEXTBEFORE(mvtst[[#This Row],[Num Suivis]],"-",,,1)</f>
        <v>OF246544</v>
      </c>
      <c r="J1092" s="36">
        <f>SUMIF(mvtst[QR Suivis],mvtst[[#This Row],[QR Suivis]],mvtst[QTE SORTIS])-SUMIF(mvtst[QR Suivis],mvtst[[#This Row],[QR Suivis]],mvtst[QTE RETOUR])</f>
        <v>0</v>
      </c>
      <c r="K1092" s="35" t="str">
        <f t="shared" si="17"/>
        <v>Usine</v>
      </c>
      <c r="L1092" s="35" t="str">
        <f>_xlfn.XLOOKUP(mvtst[[#This Row],[Sous Traitant]],coordonnee_st[Identification],coordonnee_st[SERVICE],"Non Trouvé")</f>
        <v>Frange</v>
      </c>
      <c r="M1092" s="35" t="str">
        <f>INDEX(_xlfn.TEXTSPLIT(mvtst[[#This Row],[QR Suivis]],"_"),1,2)</f>
        <v>CL00296</v>
      </c>
      <c r="N1092" s="35" t="str">
        <f>INDEX(_xlfn.TEXTSPLIT(mvtst[[#This Row],[QR Suivis]],"_"),1,3)</f>
        <v>CM-FT0108</v>
      </c>
      <c r="O1092" s="35" t="str">
        <f>INDEX(_xlfn.TEXTSPLIT(mvtst[[#This Row],[QR Suivis]],"_"),1,4)</f>
        <v>EPMA0919-B03-02</v>
      </c>
      <c r="P1092" s="35" t="str">
        <f>INDEX(_xlfn.TEXTSPLIT(mvtst[[#This Row],[QR Suivis]],"_"),1,5)</f>
        <v>MARINIERE</v>
      </c>
      <c r="Q1092" s="35" t="str">
        <f>_xlfn.TEXTAFTER(mvtst[[#This Row],[QR Suivis]],"_",5)</f>
        <v>0919</v>
      </c>
      <c r="R1092" s="84" t="str">
        <f>IF(
   COUNTIFS($A$2:A1092,A1092,
             $B$2:B1092,B1092,
             $C$2:C1092,C1092,
             $D$2:D1092,D1092,
             $G$2:G1092,G1092)&gt;1,
   "Doublon",
   "Correcte"
)</f>
        <v>Correcte</v>
      </c>
    </row>
    <row r="1093" spans="1:18" x14ac:dyDescent="0.25">
      <c r="A1093" s="104" t="s">
        <v>1860</v>
      </c>
      <c r="B1093" s="35" t="s">
        <v>646</v>
      </c>
      <c r="C1093" s="36">
        <v>5</v>
      </c>
      <c r="D1093" s="36">
        <v>0</v>
      </c>
      <c r="E1093" s="35" t="s">
        <v>699</v>
      </c>
      <c r="F1093" s="35" t="s">
        <v>634</v>
      </c>
      <c r="G1093" s="37">
        <v>45933.596284722225</v>
      </c>
      <c r="H1093" s="37" t="str">
        <f>INDEX(_xlfn.TEXTSPLIT(mvtst[[#This Row],[QR Suivis]],"_"),1,1)</f>
        <v>OF246535-10</v>
      </c>
      <c r="I1093" s="35" t="str">
        <f>_xlfn.TEXTBEFORE(mvtst[[#This Row],[Num Suivis]],"-",,,1)</f>
        <v>OF246535</v>
      </c>
      <c r="J1093" s="36">
        <f>SUMIF(mvtst[QR Suivis],mvtst[[#This Row],[QR Suivis]],mvtst[QTE SORTIS])-SUMIF(mvtst[QR Suivis],mvtst[[#This Row],[QR Suivis]],mvtst[QTE RETOUR])</f>
        <v>0</v>
      </c>
      <c r="K1093" s="35" t="str">
        <f t="shared" si="17"/>
        <v>Usine</v>
      </c>
      <c r="L1093" s="35" t="str">
        <f>_xlfn.XLOOKUP(mvtst[[#This Row],[Sous Traitant]],coordonnee_st[Identification],coordonnee_st[SERVICE],"Non Trouvé")</f>
        <v>Frange</v>
      </c>
      <c r="M1093" s="35" t="str">
        <f>INDEX(_xlfn.TEXTSPLIT(mvtst[[#This Row],[QR Suivis]],"_"),1,2)</f>
        <v>CL00296</v>
      </c>
      <c r="N1093" s="35" t="str">
        <f>INDEX(_xlfn.TEXTSPLIT(mvtst[[#This Row],[QR Suivis]],"_"),1,3)</f>
        <v>CM-FT0108</v>
      </c>
      <c r="O1093" s="35" t="str">
        <f>INDEX(_xlfn.TEXTSPLIT(mvtst[[#This Row],[QR Suivis]],"_"),1,4)</f>
        <v>EPMA0919-B03-02</v>
      </c>
      <c r="P1093" s="35" t="str">
        <f>INDEX(_xlfn.TEXTSPLIT(mvtst[[#This Row],[QR Suivis]],"_"),1,5)</f>
        <v>MARINIERE</v>
      </c>
      <c r="Q1093" s="35" t="str">
        <f>_xlfn.TEXTAFTER(mvtst[[#This Row],[QR Suivis]],"_",5)</f>
        <v>0919</v>
      </c>
      <c r="R1093" s="84" t="str">
        <f>IF(
   COUNTIFS($A$2:A1093,A1093,
             $B$2:B1093,B1093,
             $C$2:C1093,C1093,
             $D$2:D1093,D1093,
             $G$2:G1093,G1093)&gt;1,
   "Doublon",
   "Correcte"
)</f>
        <v>Correcte</v>
      </c>
    </row>
    <row r="1094" spans="1:18" x14ac:dyDescent="0.25">
      <c r="A1094" s="104" t="s">
        <v>1861</v>
      </c>
      <c r="B1094" s="35" t="s">
        <v>646</v>
      </c>
      <c r="C1094" s="36">
        <v>5</v>
      </c>
      <c r="D1094" s="36">
        <v>0</v>
      </c>
      <c r="E1094" s="35" t="s">
        <v>699</v>
      </c>
      <c r="F1094" s="35" t="s">
        <v>634</v>
      </c>
      <c r="G1094" s="37">
        <v>45933.59642361111</v>
      </c>
      <c r="H1094" s="37" t="str">
        <f>INDEX(_xlfn.TEXTSPLIT(mvtst[[#This Row],[QR Suivis]],"_"),1,1)</f>
        <v>OF246535-13</v>
      </c>
      <c r="I1094" s="35" t="str">
        <f>_xlfn.TEXTBEFORE(mvtst[[#This Row],[Num Suivis]],"-",,,1)</f>
        <v>OF246535</v>
      </c>
      <c r="J1094" s="36">
        <f>SUMIF(mvtst[QR Suivis],mvtst[[#This Row],[QR Suivis]],mvtst[QTE SORTIS])-SUMIF(mvtst[QR Suivis],mvtst[[#This Row],[QR Suivis]],mvtst[QTE RETOUR])</f>
        <v>0</v>
      </c>
      <c r="K1094" s="35" t="str">
        <f t="shared" si="17"/>
        <v>Usine</v>
      </c>
      <c r="L1094" s="35" t="str">
        <f>_xlfn.XLOOKUP(mvtst[[#This Row],[Sous Traitant]],coordonnee_st[Identification],coordonnee_st[SERVICE],"Non Trouvé")</f>
        <v>Frange</v>
      </c>
      <c r="M1094" s="35" t="str">
        <f>INDEX(_xlfn.TEXTSPLIT(mvtst[[#This Row],[QR Suivis]],"_"),1,2)</f>
        <v>CL00296</v>
      </c>
      <c r="N1094" s="35" t="str">
        <f>INDEX(_xlfn.TEXTSPLIT(mvtst[[#This Row],[QR Suivis]],"_"),1,3)</f>
        <v>CM-FT0108</v>
      </c>
      <c r="O1094" s="35" t="str">
        <f>INDEX(_xlfn.TEXTSPLIT(mvtst[[#This Row],[QR Suivis]],"_"),1,4)</f>
        <v>EPMA0919-B03-02</v>
      </c>
      <c r="P1094" s="35" t="str">
        <f>INDEX(_xlfn.TEXTSPLIT(mvtst[[#This Row],[QR Suivis]],"_"),1,5)</f>
        <v>MARINIERE</v>
      </c>
      <c r="Q1094" s="35" t="str">
        <f>_xlfn.TEXTAFTER(mvtst[[#This Row],[QR Suivis]],"_",5)</f>
        <v>0919</v>
      </c>
      <c r="R1094" s="84" t="str">
        <f>IF(
   COUNTIFS($A$2:A1094,A1094,
             $B$2:B1094,B1094,
             $C$2:C1094,C1094,
             $D$2:D1094,D1094,
             $G$2:G1094,G1094)&gt;1,
   "Doublon",
   "Correcte"
)</f>
        <v>Correcte</v>
      </c>
    </row>
    <row r="1095" spans="1:18" x14ac:dyDescent="0.25">
      <c r="A1095" s="104" t="s">
        <v>1862</v>
      </c>
      <c r="B1095" s="35" t="s">
        <v>646</v>
      </c>
      <c r="C1095" s="36">
        <v>5</v>
      </c>
      <c r="D1095" s="36">
        <v>0</v>
      </c>
      <c r="E1095" s="35" t="s">
        <v>699</v>
      </c>
      <c r="F1095" s="35" t="s">
        <v>634</v>
      </c>
      <c r="G1095" s="37">
        <v>45933.596562500003</v>
      </c>
      <c r="H1095" s="37" t="str">
        <f>INDEX(_xlfn.TEXTSPLIT(mvtst[[#This Row],[QR Suivis]],"_"),1,1)</f>
        <v>OF246535-9</v>
      </c>
      <c r="I1095" s="35" t="str">
        <f>_xlfn.TEXTBEFORE(mvtst[[#This Row],[Num Suivis]],"-",,,1)</f>
        <v>OF246535</v>
      </c>
      <c r="J1095" s="36">
        <f>SUMIF(mvtst[QR Suivis],mvtst[[#This Row],[QR Suivis]],mvtst[QTE SORTIS])-SUMIF(mvtst[QR Suivis],mvtst[[#This Row],[QR Suivis]],mvtst[QTE RETOUR])</f>
        <v>0</v>
      </c>
      <c r="K1095" s="35" t="str">
        <f t="shared" si="17"/>
        <v>Usine</v>
      </c>
      <c r="L1095" s="35" t="str">
        <f>_xlfn.XLOOKUP(mvtst[[#This Row],[Sous Traitant]],coordonnee_st[Identification],coordonnee_st[SERVICE],"Non Trouvé")</f>
        <v>Frange</v>
      </c>
      <c r="M1095" s="35" t="str">
        <f>INDEX(_xlfn.TEXTSPLIT(mvtst[[#This Row],[QR Suivis]],"_"),1,2)</f>
        <v>CL00296</v>
      </c>
      <c r="N1095" s="35" t="str">
        <f>INDEX(_xlfn.TEXTSPLIT(mvtst[[#This Row],[QR Suivis]],"_"),1,3)</f>
        <v>CM-FT0108</v>
      </c>
      <c r="O1095" s="35" t="str">
        <f>INDEX(_xlfn.TEXTSPLIT(mvtst[[#This Row],[QR Suivis]],"_"),1,4)</f>
        <v>EPMA0919-B03-02</v>
      </c>
      <c r="P1095" s="35" t="str">
        <f>INDEX(_xlfn.TEXTSPLIT(mvtst[[#This Row],[QR Suivis]],"_"),1,5)</f>
        <v>MARINIERE</v>
      </c>
      <c r="Q1095" s="35" t="str">
        <f>_xlfn.TEXTAFTER(mvtst[[#This Row],[QR Suivis]],"_",5)</f>
        <v>0919</v>
      </c>
      <c r="R1095" s="84" t="str">
        <f>IF(
   COUNTIFS($A$2:A1095,A1095,
             $B$2:B1095,B1095,
             $C$2:C1095,C1095,
             $D$2:D1095,D1095,
             $G$2:G1095,G1095)&gt;1,
   "Doublon",
   "Correcte"
)</f>
        <v>Correcte</v>
      </c>
    </row>
    <row r="1096" spans="1:18" x14ac:dyDescent="0.25">
      <c r="A1096" s="104" t="s">
        <v>1863</v>
      </c>
      <c r="B1096" s="35" t="s">
        <v>646</v>
      </c>
      <c r="C1096" s="36">
        <v>5</v>
      </c>
      <c r="D1096" s="36">
        <v>0</v>
      </c>
      <c r="E1096" s="35" t="s">
        <v>699</v>
      </c>
      <c r="F1096" s="35" t="s">
        <v>634</v>
      </c>
      <c r="G1096" s="37">
        <v>45933.59679398148</v>
      </c>
      <c r="H1096" s="37" t="str">
        <f>INDEX(_xlfn.TEXTSPLIT(mvtst[[#This Row],[QR Suivis]],"_"),1,1)</f>
        <v>OF246535-14</v>
      </c>
      <c r="I1096" s="35" t="str">
        <f>_xlfn.TEXTBEFORE(mvtst[[#This Row],[Num Suivis]],"-",,,1)</f>
        <v>OF246535</v>
      </c>
      <c r="J1096" s="36">
        <f>SUMIF(mvtst[QR Suivis],mvtst[[#This Row],[QR Suivis]],mvtst[QTE SORTIS])-SUMIF(mvtst[QR Suivis],mvtst[[#This Row],[QR Suivis]],mvtst[QTE RETOUR])</f>
        <v>0</v>
      </c>
      <c r="K1096" s="35" t="str">
        <f t="shared" si="17"/>
        <v>Usine</v>
      </c>
      <c r="L1096" s="35" t="str">
        <f>_xlfn.XLOOKUP(mvtst[[#This Row],[Sous Traitant]],coordonnee_st[Identification],coordonnee_st[SERVICE],"Non Trouvé")</f>
        <v>Frange</v>
      </c>
      <c r="M1096" s="35" t="str">
        <f>INDEX(_xlfn.TEXTSPLIT(mvtst[[#This Row],[QR Suivis]],"_"),1,2)</f>
        <v>CL00296</v>
      </c>
      <c r="N1096" s="35" t="str">
        <f>INDEX(_xlfn.TEXTSPLIT(mvtst[[#This Row],[QR Suivis]],"_"),1,3)</f>
        <v>CM-FT0108</v>
      </c>
      <c r="O1096" s="35" t="str">
        <f>INDEX(_xlfn.TEXTSPLIT(mvtst[[#This Row],[QR Suivis]],"_"),1,4)</f>
        <v>EPMA0919-B03-02</v>
      </c>
      <c r="P1096" s="35" t="str">
        <f>INDEX(_xlfn.TEXTSPLIT(mvtst[[#This Row],[QR Suivis]],"_"),1,5)</f>
        <v>MARINIERE</v>
      </c>
      <c r="Q1096" s="35" t="str">
        <f>_xlfn.TEXTAFTER(mvtst[[#This Row],[QR Suivis]],"_",5)</f>
        <v>0919</v>
      </c>
      <c r="R1096" s="84" t="str">
        <f>IF(
   COUNTIFS($A$2:A1096,A1096,
             $B$2:B1096,B1096,
             $C$2:C1096,C1096,
             $D$2:D1096,D1096,
             $G$2:G1096,G1096)&gt;1,
   "Doublon",
   "Correcte"
)</f>
        <v>Correcte</v>
      </c>
    </row>
    <row r="1097" spans="1:18" x14ac:dyDescent="0.25">
      <c r="A1097" s="104" t="s">
        <v>1864</v>
      </c>
      <c r="B1097" s="35" t="s">
        <v>646</v>
      </c>
      <c r="C1097" s="36">
        <v>5</v>
      </c>
      <c r="D1097" s="36">
        <v>0</v>
      </c>
      <c r="E1097" s="35" t="s">
        <v>699</v>
      </c>
      <c r="F1097" s="35" t="s">
        <v>634</v>
      </c>
      <c r="G1097" s="37">
        <v>45933.596909722219</v>
      </c>
      <c r="H1097" s="37" t="str">
        <f>INDEX(_xlfn.TEXTSPLIT(mvtst[[#This Row],[QR Suivis]],"_"),1,1)</f>
        <v>OF246535-11</v>
      </c>
      <c r="I1097" s="35" t="str">
        <f>_xlfn.TEXTBEFORE(mvtst[[#This Row],[Num Suivis]],"-",,,1)</f>
        <v>OF246535</v>
      </c>
      <c r="J1097" s="36">
        <f>SUMIF(mvtst[QR Suivis],mvtst[[#This Row],[QR Suivis]],mvtst[QTE SORTIS])-SUMIF(mvtst[QR Suivis],mvtst[[#This Row],[QR Suivis]],mvtst[QTE RETOUR])</f>
        <v>0</v>
      </c>
      <c r="K1097" s="35" t="str">
        <f t="shared" si="17"/>
        <v>Usine</v>
      </c>
      <c r="L1097" s="35" t="str">
        <f>_xlfn.XLOOKUP(mvtst[[#This Row],[Sous Traitant]],coordonnee_st[Identification],coordonnee_st[SERVICE],"Non Trouvé")</f>
        <v>Frange</v>
      </c>
      <c r="M1097" s="35" t="str">
        <f>INDEX(_xlfn.TEXTSPLIT(mvtst[[#This Row],[QR Suivis]],"_"),1,2)</f>
        <v>CL00296</v>
      </c>
      <c r="N1097" s="35" t="str">
        <f>INDEX(_xlfn.TEXTSPLIT(mvtst[[#This Row],[QR Suivis]],"_"),1,3)</f>
        <v>CM-FT0108</v>
      </c>
      <c r="O1097" s="35" t="str">
        <f>INDEX(_xlfn.TEXTSPLIT(mvtst[[#This Row],[QR Suivis]],"_"),1,4)</f>
        <v>EPMA0919-B03-02</v>
      </c>
      <c r="P1097" s="35" t="str">
        <f>INDEX(_xlfn.TEXTSPLIT(mvtst[[#This Row],[QR Suivis]],"_"),1,5)</f>
        <v>MARINIERE</v>
      </c>
      <c r="Q1097" s="35" t="str">
        <f>_xlfn.TEXTAFTER(mvtst[[#This Row],[QR Suivis]],"_",5)</f>
        <v>0919</v>
      </c>
      <c r="R1097" s="84" t="str">
        <f>IF(
   COUNTIFS($A$2:A1097,A1097,
             $B$2:B1097,B1097,
             $C$2:C1097,C1097,
             $D$2:D1097,D1097,
             $G$2:G1097,G1097)&gt;1,
   "Doublon",
   "Correcte"
)</f>
        <v>Correcte</v>
      </c>
    </row>
    <row r="1098" spans="1:18" x14ac:dyDescent="0.25">
      <c r="A1098" s="104" t="s">
        <v>1865</v>
      </c>
      <c r="B1098" s="35" t="s">
        <v>646</v>
      </c>
      <c r="C1098" s="36">
        <v>5</v>
      </c>
      <c r="D1098" s="36">
        <v>0</v>
      </c>
      <c r="E1098" s="35" t="s">
        <v>699</v>
      </c>
      <c r="F1098" s="35" t="s">
        <v>634</v>
      </c>
      <c r="G1098" s="37">
        <v>45933.597812499997</v>
      </c>
      <c r="H1098" s="37" t="str">
        <f>INDEX(_xlfn.TEXTSPLIT(mvtst[[#This Row],[QR Suivis]],"_"),1,1)</f>
        <v>CA250635-12</v>
      </c>
      <c r="I1098" s="35" t="str">
        <f>_xlfn.TEXTBEFORE(mvtst[[#This Row],[Num Suivis]],"-",,,1)</f>
        <v>CA250635</v>
      </c>
      <c r="J1098" s="36">
        <f>SUMIF(mvtst[QR Suivis],mvtst[[#This Row],[QR Suivis]],mvtst[QTE SORTIS])-SUMIF(mvtst[QR Suivis],mvtst[[#This Row],[QR Suivis]],mvtst[QTE RETOUR])</f>
        <v>0</v>
      </c>
      <c r="K1098" s="35" t="str">
        <f t="shared" si="17"/>
        <v>Usine</v>
      </c>
      <c r="L1098" s="35" t="str">
        <f>_xlfn.XLOOKUP(mvtst[[#This Row],[Sous Traitant]],coordonnee_st[Identification],coordonnee_st[SERVICE],"Non Trouvé")</f>
        <v>Frange</v>
      </c>
      <c r="M1098" s="35" t="str">
        <f>INDEX(_xlfn.TEXTSPLIT(mvtst[[#This Row],[QR Suivis]],"_"),1,2)</f>
        <v>All by Fouta</v>
      </c>
      <c r="N1098" s="35" t="str">
        <f>INDEX(_xlfn.TEXTSPLIT(mvtst[[#This Row],[QR Suivis]],"_"),1,3)</f>
        <v>Stock</v>
      </c>
      <c r="O1098" s="35" t="str">
        <f>INDEX(_xlfn.TEXTSPLIT(mvtst[[#This Row],[QR Suivis]],"_"),1,4)</f>
        <v>EPMA0919-B11-02</v>
      </c>
      <c r="P1098" s="35" t="str">
        <f>INDEX(_xlfn.TEXTSPLIT(mvtst[[#This Row],[QR Suivis]],"_"),1,5)</f>
        <v>MARINIERE</v>
      </c>
      <c r="Q1098" s="35" t="str">
        <f>_xlfn.TEXTAFTER(mvtst[[#This Row],[QR Suivis]],"_",5)</f>
        <v>0919</v>
      </c>
      <c r="R1098" s="84" t="str">
        <f>IF(
   COUNTIFS($A$2:A1098,A1098,
             $B$2:B1098,B1098,
             $C$2:C1098,C1098,
             $D$2:D1098,D1098,
             $G$2:G1098,G1098)&gt;1,
   "Doublon",
   "Correcte"
)</f>
        <v>Correcte</v>
      </c>
    </row>
    <row r="1099" spans="1:18" x14ac:dyDescent="0.25">
      <c r="A1099" s="104" t="s">
        <v>1866</v>
      </c>
      <c r="B1099" s="35" t="s">
        <v>646</v>
      </c>
      <c r="C1099" s="36">
        <v>5</v>
      </c>
      <c r="D1099" s="36">
        <v>0</v>
      </c>
      <c r="E1099" s="35" t="s">
        <v>699</v>
      </c>
      <c r="F1099" s="35" t="s">
        <v>634</v>
      </c>
      <c r="G1099" s="37">
        <v>45933.597986111112</v>
      </c>
      <c r="H1099" s="37" t="str">
        <f>INDEX(_xlfn.TEXTSPLIT(mvtst[[#This Row],[QR Suivis]],"_"),1,1)</f>
        <v>CA250635-3</v>
      </c>
      <c r="I1099" s="35" t="str">
        <f>_xlfn.TEXTBEFORE(mvtst[[#This Row],[Num Suivis]],"-",,,1)</f>
        <v>CA250635</v>
      </c>
      <c r="J1099" s="36">
        <f>SUMIF(mvtst[QR Suivis],mvtst[[#This Row],[QR Suivis]],mvtst[QTE SORTIS])-SUMIF(mvtst[QR Suivis],mvtst[[#This Row],[QR Suivis]],mvtst[QTE RETOUR])</f>
        <v>0</v>
      </c>
      <c r="K1099" s="35" t="str">
        <f t="shared" si="17"/>
        <v>Usine</v>
      </c>
      <c r="L1099" s="35" t="str">
        <f>_xlfn.XLOOKUP(mvtst[[#This Row],[Sous Traitant]],coordonnee_st[Identification],coordonnee_st[SERVICE],"Non Trouvé")</f>
        <v>Frange</v>
      </c>
      <c r="M1099" s="35" t="str">
        <f>INDEX(_xlfn.TEXTSPLIT(mvtst[[#This Row],[QR Suivis]],"_"),1,2)</f>
        <v>All by Fouta</v>
      </c>
      <c r="N1099" s="35" t="str">
        <f>INDEX(_xlfn.TEXTSPLIT(mvtst[[#This Row],[QR Suivis]],"_"),1,3)</f>
        <v>Stock</v>
      </c>
      <c r="O1099" s="35" t="str">
        <f>INDEX(_xlfn.TEXTSPLIT(mvtst[[#This Row],[QR Suivis]],"_"),1,4)</f>
        <v>EPMA0919-B11-02</v>
      </c>
      <c r="P1099" s="35" t="str">
        <f>INDEX(_xlfn.TEXTSPLIT(mvtst[[#This Row],[QR Suivis]],"_"),1,5)</f>
        <v>MARINIERE</v>
      </c>
      <c r="Q1099" s="35" t="str">
        <f>_xlfn.TEXTAFTER(mvtst[[#This Row],[QR Suivis]],"_",5)</f>
        <v>0919</v>
      </c>
      <c r="R1099" s="84" t="str">
        <f>IF(
   COUNTIFS($A$2:A1099,A1099,
             $B$2:B1099,B1099,
             $C$2:C1099,C1099,
             $D$2:D1099,D1099,
             $G$2:G1099,G1099)&gt;1,
   "Doublon",
   "Correcte"
)</f>
        <v>Correcte</v>
      </c>
    </row>
    <row r="1100" spans="1:18" x14ac:dyDescent="0.25">
      <c r="A1100" s="104" t="s">
        <v>1867</v>
      </c>
      <c r="B1100" s="35" t="s">
        <v>649</v>
      </c>
      <c r="C1100" s="36">
        <v>5</v>
      </c>
      <c r="D1100" s="36">
        <v>0</v>
      </c>
      <c r="E1100" s="35" t="s">
        <v>699</v>
      </c>
      <c r="F1100" s="35" t="s">
        <v>634</v>
      </c>
      <c r="G1100" s="37">
        <v>45933.603171296294</v>
      </c>
      <c r="H1100" s="37" t="str">
        <f>INDEX(_xlfn.TEXTSPLIT(mvtst[[#This Row],[QR Suivis]],"_"),1,1)</f>
        <v>CA250635-7</v>
      </c>
      <c r="I1100" s="35" t="str">
        <f>_xlfn.TEXTBEFORE(mvtst[[#This Row],[Num Suivis]],"-",,,1)</f>
        <v>CA250635</v>
      </c>
      <c r="J1100" s="36">
        <f>SUMIF(mvtst[QR Suivis],mvtst[[#This Row],[QR Suivis]],mvtst[QTE SORTIS])-SUMIF(mvtst[QR Suivis],mvtst[[#This Row],[QR Suivis]],mvtst[QTE RETOUR])</f>
        <v>0</v>
      </c>
      <c r="K1100" s="35" t="str">
        <f t="shared" si="17"/>
        <v>Usine</v>
      </c>
      <c r="L1100" s="35" t="str">
        <f>_xlfn.XLOOKUP(mvtst[[#This Row],[Sous Traitant]],coordonnee_st[Identification],coordonnee_st[SERVICE],"Non Trouvé")</f>
        <v>Frange</v>
      </c>
      <c r="M1100" s="35" t="str">
        <f>INDEX(_xlfn.TEXTSPLIT(mvtst[[#This Row],[QR Suivis]],"_"),1,2)</f>
        <v>All by Fouta</v>
      </c>
      <c r="N1100" s="35" t="str">
        <f>INDEX(_xlfn.TEXTSPLIT(mvtst[[#This Row],[QR Suivis]],"_"),1,3)</f>
        <v>Stock</v>
      </c>
      <c r="O1100" s="35" t="str">
        <f>INDEX(_xlfn.TEXTSPLIT(mvtst[[#This Row],[QR Suivis]],"_"),1,4)</f>
        <v>EPMA0919-B11-02</v>
      </c>
      <c r="P1100" s="35" t="str">
        <f>INDEX(_xlfn.TEXTSPLIT(mvtst[[#This Row],[QR Suivis]],"_"),1,5)</f>
        <v>MARINIERE</v>
      </c>
      <c r="Q1100" s="35" t="str">
        <f>_xlfn.TEXTAFTER(mvtst[[#This Row],[QR Suivis]],"_",5)</f>
        <v>0919</v>
      </c>
      <c r="R1100" s="84" t="str">
        <f>IF(
   COUNTIFS($A$2:A1100,A1100,
             $B$2:B1100,B1100,
             $C$2:C1100,C1100,
             $D$2:D1100,D1100,
             $G$2:G1100,G1100)&gt;1,
   "Doublon",
   "Correcte"
)</f>
        <v>Correcte</v>
      </c>
    </row>
    <row r="1101" spans="1:18" x14ac:dyDescent="0.25">
      <c r="A1101" s="104" t="s">
        <v>1868</v>
      </c>
      <c r="B1101" s="35" t="s">
        <v>649</v>
      </c>
      <c r="C1101" s="36">
        <v>5</v>
      </c>
      <c r="D1101" s="36">
        <v>0</v>
      </c>
      <c r="E1101" s="35" t="s">
        <v>699</v>
      </c>
      <c r="F1101" s="35" t="s">
        <v>634</v>
      </c>
      <c r="G1101" s="37">
        <v>45933.603356481479</v>
      </c>
      <c r="H1101" s="37" t="str">
        <f>INDEX(_xlfn.TEXTSPLIT(mvtst[[#This Row],[QR Suivis]],"_"),1,1)</f>
        <v>CA250635-10</v>
      </c>
      <c r="I1101" s="35" t="str">
        <f>_xlfn.TEXTBEFORE(mvtst[[#This Row],[Num Suivis]],"-",,,1)</f>
        <v>CA250635</v>
      </c>
      <c r="J1101" s="36">
        <f>SUMIF(mvtst[QR Suivis],mvtst[[#This Row],[QR Suivis]],mvtst[QTE SORTIS])-SUMIF(mvtst[QR Suivis],mvtst[[#This Row],[QR Suivis]],mvtst[QTE RETOUR])</f>
        <v>0</v>
      </c>
      <c r="K1101" s="35" t="str">
        <f t="shared" si="17"/>
        <v>Usine</v>
      </c>
      <c r="L1101" s="35" t="str">
        <f>_xlfn.XLOOKUP(mvtst[[#This Row],[Sous Traitant]],coordonnee_st[Identification],coordonnee_st[SERVICE],"Non Trouvé")</f>
        <v>Frange</v>
      </c>
      <c r="M1101" s="35" t="str">
        <f>INDEX(_xlfn.TEXTSPLIT(mvtst[[#This Row],[QR Suivis]],"_"),1,2)</f>
        <v>All by Fouta</v>
      </c>
      <c r="N1101" s="35" t="str">
        <f>INDEX(_xlfn.TEXTSPLIT(mvtst[[#This Row],[QR Suivis]],"_"),1,3)</f>
        <v>Stock</v>
      </c>
      <c r="O1101" s="35" t="str">
        <f>INDEX(_xlfn.TEXTSPLIT(mvtst[[#This Row],[QR Suivis]],"_"),1,4)</f>
        <v>EPMA0919-B11-02</v>
      </c>
      <c r="P1101" s="35" t="str">
        <f>INDEX(_xlfn.TEXTSPLIT(mvtst[[#This Row],[QR Suivis]],"_"),1,5)</f>
        <v>MARINIERE</v>
      </c>
      <c r="Q1101" s="35" t="str">
        <f>_xlfn.TEXTAFTER(mvtst[[#This Row],[QR Suivis]],"_",5)</f>
        <v>0919</v>
      </c>
      <c r="R1101" s="84" t="str">
        <f>IF(
   COUNTIFS($A$2:A1101,A1101,
             $B$2:B1101,B1101,
             $C$2:C1101,C1101,
             $D$2:D1101,D1101,
             $G$2:G1101,G1101)&gt;1,
   "Doublon",
   "Correcte"
)</f>
        <v>Correcte</v>
      </c>
    </row>
    <row r="1102" spans="1:18" x14ac:dyDescent="0.25">
      <c r="A1102" s="104" t="s">
        <v>1869</v>
      </c>
      <c r="B1102" s="35" t="s">
        <v>649</v>
      </c>
      <c r="C1102" s="36">
        <v>5</v>
      </c>
      <c r="D1102" s="36">
        <v>0</v>
      </c>
      <c r="E1102" s="35" t="s">
        <v>699</v>
      </c>
      <c r="F1102" s="35" t="s">
        <v>634</v>
      </c>
      <c r="G1102" s="37">
        <v>45933.603807870371</v>
      </c>
      <c r="H1102" s="37" t="str">
        <f>INDEX(_xlfn.TEXTSPLIT(mvtst[[#This Row],[QR Suivis]],"_"),1,1)</f>
        <v>CA250635-1</v>
      </c>
      <c r="I1102" s="35" t="str">
        <f>_xlfn.TEXTBEFORE(mvtst[[#This Row],[Num Suivis]],"-",,,1)</f>
        <v>CA250635</v>
      </c>
      <c r="J1102" s="36">
        <f>SUMIF(mvtst[QR Suivis],mvtst[[#This Row],[QR Suivis]],mvtst[QTE SORTIS])-SUMIF(mvtst[QR Suivis],mvtst[[#This Row],[QR Suivis]],mvtst[QTE RETOUR])</f>
        <v>0</v>
      </c>
      <c r="K1102" s="35" t="str">
        <f t="shared" si="17"/>
        <v>Usine</v>
      </c>
      <c r="L1102" s="35" t="str">
        <f>_xlfn.XLOOKUP(mvtst[[#This Row],[Sous Traitant]],coordonnee_st[Identification],coordonnee_st[SERVICE],"Non Trouvé")</f>
        <v>Frange</v>
      </c>
      <c r="M1102" s="35" t="str">
        <f>INDEX(_xlfn.TEXTSPLIT(mvtst[[#This Row],[QR Suivis]],"_"),1,2)</f>
        <v>All by Fouta</v>
      </c>
      <c r="N1102" s="35" t="str">
        <f>INDEX(_xlfn.TEXTSPLIT(mvtst[[#This Row],[QR Suivis]],"_"),1,3)</f>
        <v>Stock</v>
      </c>
      <c r="O1102" s="35" t="str">
        <f>INDEX(_xlfn.TEXTSPLIT(mvtst[[#This Row],[QR Suivis]],"_"),1,4)</f>
        <v>EPMA0919-B11-02</v>
      </c>
      <c r="P1102" s="35" t="str">
        <f>INDEX(_xlfn.TEXTSPLIT(mvtst[[#This Row],[QR Suivis]],"_"),1,5)</f>
        <v>MARINIERE</v>
      </c>
      <c r="Q1102" s="35" t="str">
        <f>_xlfn.TEXTAFTER(mvtst[[#This Row],[QR Suivis]],"_",5)</f>
        <v>0919</v>
      </c>
      <c r="R1102" s="84" t="str">
        <f>IF(
   COUNTIFS($A$2:A1102,A1102,
             $B$2:B1102,B1102,
             $C$2:C1102,C1102,
             $D$2:D1102,D1102,
             $G$2:G1102,G1102)&gt;1,
   "Doublon",
   "Correcte"
)</f>
        <v>Correcte</v>
      </c>
    </row>
    <row r="1103" spans="1:18" x14ac:dyDescent="0.25">
      <c r="A1103" s="104" t="s">
        <v>1870</v>
      </c>
      <c r="B1103" s="35" t="s">
        <v>649</v>
      </c>
      <c r="C1103" s="36">
        <v>5</v>
      </c>
      <c r="D1103" s="36">
        <v>0</v>
      </c>
      <c r="E1103" s="35" t="s">
        <v>699</v>
      </c>
      <c r="F1103" s="35" t="s">
        <v>634</v>
      </c>
      <c r="G1103" s="37">
        <v>45933.604004629633</v>
      </c>
      <c r="H1103" s="37" t="str">
        <f>INDEX(_xlfn.TEXTSPLIT(mvtst[[#This Row],[QR Suivis]],"_"),1,1)</f>
        <v>CA250635-6</v>
      </c>
      <c r="I1103" s="35" t="str">
        <f>_xlfn.TEXTBEFORE(mvtst[[#This Row],[Num Suivis]],"-",,,1)</f>
        <v>CA250635</v>
      </c>
      <c r="J1103" s="36">
        <f>SUMIF(mvtst[QR Suivis],mvtst[[#This Row],[QR Suivis]],mvtst[QTE SORTIS])-SUMIF(mvtst[QR Suivis],mvtst[[#This Row],[QR Suivis]],mvtst[QTE RETOUR])</f>
        <v>0</v>
      </c>
      <c r="K1103" s="35" t="str">
        <f t="shared" si="17"/>
        <v>Usine</v>
      </c>
      <c r="L1103" s="35" t="str">
        <f>_xlfn.XLOOKUP(mvtst[[#This Row],[Sous Traitant]],coordonnee_st[Identification],coordonnee_st[SERVICE],"Non Trouvé")</f>
        <v>Frange</v>
      </c>
      <c r="M1103" s="35" t="str">
        <f>INDEX(_xlfn.TEXTSPLIT(mvtst[[#This Row],[QR Suivis]],"_"),1,2)</f>
        <v>All by Fouta</v>
      </c>
      <c r="N1103" s="35" t="str">
        <f>INDEX(_xlfn.TEXTSPLIT(mvtst[[#This Row],[QR Suivis]],"_"),1,3)</f>
        <v>Stock</v>
      </c>
      <c r="O1103" s="35" t="str">
        <f>INDEX(_xlfn.TEXTSPLIT(mvtst[[#This Row],[QR Suivis]],"_"),1,4)</f>
        <v>EPMA0919-B11-02</v>
      </c>
      <c r="P1103" s="35" t="str">
        <f>INDEX(_xlfn.TEXTSPLIT(mvtst[[#This Row],[QR Suivis]],"_"),1,5)</f>
        <v>MARINIERE</v>
      </c>
      <c r="Q1103" s="35" t="str">
        <f>_xlfn.TEXTAFTER(mvtst[[#This Row],[QR Suivis]],"_",5)</f>
        <v>0919</v>
      </c>
      <c r="R1103" s="84" t="str">
        <f>IF(
   COUNTIFS($A$2:A1103,A1103,
             $B$2:B1103,B1103,
             $C$2:C1103,C1103,
             $D$2:D1103,D1103,
             $G$2:G1103,G1103)&gt;1,
   "Doublon",
   "Correcte"
)</f>
        <v>Correcte</v>
      </c>
    </row>
    <row r="1104" spans="1:18" x14ac:dyDescent="0.25">
      <c r="A1104" s="104" t="s">
        <v>1871</v>
      </c>
      <c r="B1104" s="35" t="s">
        <v>649</v>
      </c>
      <c r="C1104" s="36">
        <v>5</v>
      </c>
      <c r="D1104" s="36">
        <v>0</v>
      </c>
      <c r="E1104" s="35" t="s">
        <v>699</v>
      </c>
      <c r="F1104" s="35" t="s">
        <v>634</v>
      </c>
      <c r="G1104" s="37">
        <v>45933.604375000003</v>
      </c>
      <c r="H1104" s="37" t="str">
        <f>INDEX(_xlfn.TEXTSPLIT(mvtst[[#This Row],[QR Suivis]],"_"),1,1)</f>
        <v>CA250635-9</v>
      </c>
      <c r="I1104" s="35" t="str">
        <f>_xlfn.TEXTBEFORE(mvtst[[#This Row],[Num Suivis]],"-",,,1)</f>
        <v>CA250635</v>
      </c>
      <c r="J1104" s="36">
        <f>SUMIF(mvtst[QR Suivis],mvtst[[#This Row],[QR Suivis]],mvtst[QTE SORTIS])-SUMIF(mvtst[QR Suivis],mvtst[[#This Row],[QR Suivis]],mvtst[QTE RETOUR])</f>
        <v>0</v>
      </c>
      <c r="K1104" s="35" t="str">
        <f t="shared" si="17"/>
        <v>Usine</v>
      </c>
      <c r="L1104" s="35" t="str">
        <f>_xlfn.XLOOKUP(mvtst[[#This Row],[Sous Traitant]],coordonnee_st[Identification],coordonnee_st[SERVICE],"Non Trouvé")</f>
        <v>Frange</v>
      </c>
      <c r="M1104" s="35" t="str">
        <f>INDEX(_xlfn.TEXTSPLIT(mvtst[[#This Row],[QR Suivis]],"_"),1,2)</f>
        <v>All by Fouta</v>
      </c>
      <c r="N1104" s="35" t="str">
        <f>INDEX(_xlfn.TEXTSPLIT(mvtst[[#This Row],[QR Suivis]],"_"),1,3)</f>
        <v>Stock</v>
      </c>
      <c r="O1104" s="35" t="str">
        <f>INDEX(_xlfn.TEXTSPLIT(mvtst[[#This Row],[QR Suivis]],"_"),1,4)</f>
        <v>EPMA0919-B11-02</v>
      </c>
      <c r="P1104" s="35" t="str">
        <f>INDEX(_xlfn.TEXTSPLIT(mvtst[[#This Row],[QR Suivis]],"_"),1,5)</f>
        <v>MARINIERE</v>
      </c>
      <c r="Q1104" s="35" t="str">
        <f>_xlfn.TEXTAFTER(mvtst[[#This Row],[QR Suivis]],"_",5)</f>
        <v>0919</v>
      </c>
      <c r="R1104" s="84" t="str">
        <f>IF(
   COUNTIFS($A$2:A1104,A1104,
             $B$2:B1104,B1104,
             $C$2:C1104,C1104,
             $D$2:D1104,D1104,
             $G$2:G1104,G1104)&gt;1,
   "Doublon",
   "Correcte"
)</f>
        <v>Correcte</v>
      </c>
    </row>
    <row r="1105" spans="1:18" x14ac:dyDescent="0.25">
      <c r="A1105" s="104" t="s">
        <v>1872</v>
      </c>
      <c r="B1105" s="35" t="s">
        <v>649</v>
      </c>
      <c r="C1105" s="36">
        <v>5</v>
      </c>
      <c r="D1105" s="36">
        <v>0</v>
      </c>
      <c r="E1105" s="35" t="s">
        <v>699</v>
      </c>
      <c r="F1105" s="35" t="s">
        <v>634</v>
      </c>
      <c r="G1105" s="37">
        <v>45933.604479166665</v>
      </c>
      <c r="H1105" s="37" t="str">
        <f>INDEX(_xlfn.TEXTSPLIT(mvtst[[#This Row],[QR Suivis]],"_"),1,1)</f>
        <v>CA250635-14</v>
      </c>
      <c r="I1105" s="35" t="str">
        <f>_xlfn.TEXTBEFORE(mvtst[[#This Row],[Num Suivis]],"-",,,1)</f>
        <v>CA250635</v>
      </c>
      <c r="J1105" s="36">
        <f>SUMIF(mvtst[QR Suivis],mvtst[[#This Row],[QR Suivis]],mvtst[QTE SORTIS])-SUMIF(mvtst[QR Suivis],mvtst[[#This Row],[QR Suivis]],mvtst[QTE RETOUR])</f>
        <v>0</v>
      </c>
      <c r="K1105" s="35" t="str">
        <f t="shared" si="17"/>
        <v>Usine</v>
      </c>
      <c r="L1105" s="35" t="str">
        <f>_xlfn.XLOOKUP(mvtst[[#This Row],[Sous Traitant]],coordonnee_st[Identification],coordonnee_st[SERVICE],"Non Trouvé")</f>
        <v>Frange</v>
      </c>
      <c r="M1105" s="35" t="str">
        <f>INDEX(_xlfn.TEXTSPLIT(mvtst[[#This Row],[QR Suivis]],"_"),1,2)</f>
        <v>All by Fouta</v>
      </c>
      <c r="N1105" s="35" t="str">
        <f>INDEX(_xlfn.TEXTSPLIT(mvtst[[#This Row],[QR Suivis]],"_"),1,3)</f>
        <v>Stock</v>
      </c>
      <c r="O1105" s="35" t="str">
        <f>INDEX(_xlfn.TEXTSPLIT(mvtst[[#This Row],[QR Suivis]],"_"),1,4)</f>
        <v>EPMA0919-B11-02</v>
      </c>
      <c r="P1105" s="35" t="str">
        <f>INDEX(_xlfn.TEXTSPLIT(mvtst[[#This Row],[QR Suivis]],"_"),1,5)</f>
        <v>MARINIERE</v>
      </c>
      <c r="Q1105" s="35" t="str">
        <f>_xlfn.TEXTAFTER(mvtst[[#This Row],[QR Suivis]],"_",5)</f>
        <v>0919</v>
      </c>
      <c r="R1105" s="84" t="str">
        <f>IF(
   COUNTIFS($A$2:A1105,A1105,
             $B$2:B1105,B1105,
             $C$2:C1105,C1105,
             $D$2:D1105,D1105,
             $G$2:G1105,G1105)&gt;1,
   "Doublon",
   "Correcte"
)</f>
        <v>Correcte</v>
      </c>
    </row>
    <row r="1106" spans="1:18" x14ac:dyDescent="0.25">
      <c r="A1106" s="104" t="s">
        <v>1873</v>
      </c>
      <c r="B1106" s="35" t="s">
        <v>649</v>
      </c>
      <c r="C1106" s="36">
        <v>5</v>
      </c>
      <c r="D1106" s="36">
        <v>0</v>
      </c>
      <c r="E1106" s="35" t="s">
        <v>699</v>
      </c>
      <c r="F1106" s="35" t="s">
        <v>634</v>
      </c>
      <c r="G1106" s="37">
        <v>45933.604826388888</v>
      </c>
      <c r="H1106" s="37" t="str">
        <f>INDEX(_xlfn.TEXTSPLIT(mvtst[[#This Row],[QR Suivis]],"_"),1,1)</f>
        <v>CA250635-13</v>
      </c>
      <c r="I1106" s="35" t="str">
        <f>_xlfn.TEXTBEFORE(mvtst[[#This Row],[Num Suivis]],"-",,,1)</f>
        <v>CA250635</v>
      </c>
      <c r="J1106" s="36">
        <f>SUMIF(mvtst[QR Suivis],mvtst[[#This Row],[QR Suivis]],mvtst[QTE SORTIS])-SUMIF(mvtst[QR Suivis],mvtst[[#This Row],[QR Suivis]],mvtst[QTE RETOUR])</f>
        <v>0</v>
      </c>
      <c r="K1106" s="35" t="str">
        <f t="shared" si="17"/>
        <v>Usine</v>
      </c>
      <c r="L1106" s="35" t="str">
        <f>_xlfn.XLOOKUP(mvtst[[#This Row],[Sous Traitant]],coordonnee_st[Identification],coordonnee_st[SERVICE],"Non Trouvé")</f>
        <v>Frange</v>
      </c>
      <c r="M1106" s="35" t="str">
        <f>INDEX(_xlfn.TEXTSPLIT(mvtst[[#This Row],[QR Suivis]],"_"),1,2)</f>
        <v>All by Fouta</v>
      </c>
      <c r="N1106" s="35" t="str">
        <f>INDEX(_xlfn.TEXTSPLIT(mvtst[[#This Row],[QR Suivis]],"_"),1,3)</f>
        <v>Stock</v>
      </c>
      <c r="O1106" s="35" t="str">
        <f>INDEX(_xlfn.TEXTSPLIT(mvtst[[#This Row],[QR Suivis]],"_"),1,4)</f>
        <v>EPMA0919-B11-02</v>
      </c>
      <c r="P1106" s="35" t="str">
        <f>INDEX(_xlfn.TEXTSPLIT(mvtst[[#This Row],[QR Suivis]],"_"),1,5)</f>
        <v>MARINIERE</v>
      </c>
      <c r="Q1106" s="35" t="str">
        <f>_xlfn.TEXTAFTER(mvtst[[#This Row],[QR Suivis]],"_",5)</f>
        <v>0919</v>
      </c>
      <c r="R1106" s="84" t="str">
        <f>IF(
   COUNTIFS($A$2:A1106,A1106,
             $B$2:B1106,B1106,
             $C$2:C1106,C1106,
             $D$2:D1106,D1106,
             $G$2:G1106,G1106)&gt;1,
   "Doublon",
   "Correcte"
)</f>
        <v>Correcte</v>
      </c>
    </row>
    <row r="1107" spans="1:18" x14ac:dyDescent="0.25">
      <c r="A1107" s="104" t="s">
        <v>1874</v>
      </c>
      <c r="B1107" s="35" t="s">
        <v>649</v>
      </c>
      <c r="C1107" s="36">
        <v>5</v>
      </c>
      <c r="D1107" s="36">
        <v>0</v>
      </c>
      <c r="E1107" s="35" t="s">
        <v>699</v>
      </c>
      <c r="F1107" s="35" t="s">
        <v>634</v>
      </c>
      <c r="G1107" s="37">
        <v>45933.605034722219</v>
      </c>
      <c r="H1107" s="37" t="str">
        <f>INDEX(_xlfn.TEXTSPLIT(mvtst[[#This Row],[QR Suivis]],"_"),1,1)</f>
        <v>CA250635-11</v>
      </c>
      <c r="I1107" s="35" t="str">
        <f>_xlfn.TEXTBEFORE(mvtst[[#This Row],[Num Suivis]],"-",,,1)</f>
        <v>CA250635</v>
      </c>
      <c r="J1107" s="36">
        <f>SUMIF(mvtst[QR Suivis],mvtst[[#This Row],[QR Suivis]],mvtst[QTE SORTIS])-SUMIF(mvtst[QR Suivis],mvtst[[#This Row],[QR Suivis]],mvtst[QTE RETOUR])</f>
        <v>0</v>
      </c>
      <c r="K1107" s="35" t="str">
        <f t="shared" si="17"/>
        <v>Usine</v>
      </c>
      <c r="L1107" s="35" t="str">
        <f>_xlfn.XLOOKUP(mvtst[[#This Row],[Sous Traitant]],coordonnee_st[Identification],coordonnee_st[SERVICE],"Non Trouvé")</f>
        <v>Frange</v>
      </c>
      <c r="M1107" s="35" t="str">
        <f>INDEX(_xlfn.TEXTSPLIT(mvtst[[#This Row],[QR Suivis]],"_"),1,2)</f>
        <v>All by Fouta</v>
      </c>
      <c r="N1107" s="35" t="str">
        <f>INDEX(_xlfn.TEXTSPLIT(mvtst[[#This Row],[QR Suivis]],"_"),1,3)</f>
        <v>Stock</v>
      </c>
      <c r="O1107" s="35" t="str">
        <f>INDEX(_xlfn.TEXTSPLIT(mvtst[[#This Row],[QR Suivis]],"_"),1,4)</f>
        <v>EPMA0919-B11-02</v>
      </c>
      <c r="P1107" s="35" t="str">
        <f>INDEX(_xlfn.TEXTSPLIT(mvtst[[#This Row],[QR Suivis]],"_"),1,5)</f>
        <v>MARINIERE</v>
      </c>
      <c r="Q1107" s="35" t="str">
        <f>_xlfn.TEXTAFTER(mvtst[[#This Row],[QR Suivis]],"_",5)</f>
        <v>0919</v>
      </c>
      <c r="R1107" s="84" t="str">
        <f>IF(
   COUNTIFS($A$2:A1107,A1107,
             $B$2:B1107,B1107,
             $C$2:C1107,C1107,
             $D$2:D1107,D1107,
             $G$2:G1107,G1107)&gt;1,
   "Doublon",
   "Correcte"
)</f>
        <v>Correcte</v>
      </c>
    </row>
    <row r="1108" spans="1:18" x14ac:dyDescent="0.25">
      <c r="A1108" s="104" t="s">
        <v>1875</v>
      </c>
      <c r="B1108" s="35" t="s">
        <v>649</v>
      </c>
      <c r="C1108" s="36">
        <v>5</v>
      </c>
      <c r="D1108" s="36">
        <v>0</v>
      </c>
      <c r="E1108" s="35" t="s">
        <v>699</v>
      </c>
      <c r="F1108" s="35" t="s">
        <v>634</v>
      </c>
      <c r="G1108" s="37">
        <v>45933.605381944442</v>
      </c>
      <c r="H1108" s="37" t="str">
        <f>INDEX(_xlfn.TEXTSPLIT(mvtst[[#This Row],[QR Suivis]],"_"),1,1)</f>
        <v>CA250635-8</v>
      </c>
      <c r="I1108" s="35" t="str">
        <f>_xlfn.TEXTBEFORE(mvtst[[#This Row],[Num Suivis]],"-",,,1)</f>
        <v>CA250635</v>
      </c>
      <c r="J1108" s="36">
        <f>SUMIF(mvtst[QR Suivis],mvtst[[#This Row],[QR Suivis]],mvtst[QTE SORTIS])-SUMIF(mvtst[QR Suivis],mvtst[[#This Row],[QR Suivis]],mvtst[QTE RETOUR])</f>
        <v>0</v>
      </c>
      <c r="K1108" s="35" t="str">
        <f t="shared" si="17"/>
        <v>Usine</v>
      </c>
      <c r="L1108" s="35" t="str">
        <f>_xlfn.XLOOKUP(mvtst[[#This Row],[Sous Traitant]],coordonnee_st[Identification],coordonnee_st[SERVICE],"Non Trouvé")</f>
        <v>Frange</v>
      </c>
      <c r="M1108" s="35" t="str">
        <f>INDEX(_xlfn.TEXTSPLIT(mvtst[[#This Row],[QR Suivis]],"_"),1,2)</f>
        <v>All by Fouta</v>
      </c>
      <c r="N1108" s="35" t="str">
        <f>INDEX(_xlfn.TEXTSPLIT(mvtst[[#This Row],[QR Suivis]],"_"),1,3)</f>
        <v>Stock</v>
      </c>
      <c r="O1108" s="35" t="str">
        <f>INDEX(_xlfn.TEXTSPLIT(mvtst[[#This Row],[QR Suivis]],"_"),1,4)</f>
        <v>EPMA0919-B11-02</v>
      </c>
      <c r="P1108" s="35" t="str">
        <f>INDEX(_xlfn.TEXTSPLIT(mvtst[[#This Row],[QR Suivis]],"_"),1,5)</f>
        <v>MARINIERE</v>
      </c>
      <c r="Q1108" s="35" t="str">
        <f>_xlfn.TEXTAFTER(mvtst[[#This Row],[QR Suivis]],"_",5)</f>
        <v>0919</v>
      </c>
      <c r="R1108" s="84" t="str">
        <f>IF(
   COUNTIFS($A$2:A1108,A1108,
             $B$2:B1108,B1108,
             $C$2:C1108,C1108,
             $D$2:D1108,D1108,
             $G$2:G1108,G1108)&gt;1,
   "Doublon",
   "Correcte"
)</f>
        <v>Correcte</v>
      </c>
    </row>
    <row r="1109" spans="1:18" x14ac:dyDescent="0.25">
      <c r="A1109" s="104" t="s">
        <v>1876</v>
      </c>
      <c r="B1109" s="35" t="s">
        <v>649</v>
      </c>
      <c r="C1109" s="36">
        <v>5</v>
      </c>
      <c r="D1109" s="36">
        <v>0</v>
      </c>
      <c r="E1109" s="35" t="s">
        <v>699</v>
      </c>
      <c r="F1109" s="35" t="s">
        <v>634</v>
      </c>
      <c r="G1109" s="37">
        <v>45933.605578703704</v>
      </c>
      <c r="H1109" s="37" t="str">
        <f>INDEX(_xlfn.TEXTSPLIT(mvtst[[#This Row],[QR Suivis]],"_"),1,1)</f>
        <v>CA250635-2</v>
      </c>
      <c r="I1109" s="35" t="str">
        <f>_xlfn.TEXTBEFORE(mvtst[[#This Row],[Num Suivis]],"-",,,1)</f>
        <v>CA250635</v>
      </c>
      <c r="J1109" s="36">
        <f>SUMIF(mvtst[QR Suivis],mvtst[[#This Row],[QR Suivis]],mvtst[QTE SORTIS])-SUMIF(mvtst[QR Suivis],mvtst[[#This Row],[QR Suivis]],mvtst[QTE RETOUR])</f>
        <v>0</v>
      </c>
      <c r="K1109" s="35" t="str">
        <f t="shared" si="17"/>
        <v>Usine</v>
      </c>
      <c r="L1109" s="35" t="str">
        <f>_xlfn.XLOOKUP(mvtst[[#This Row],[Sous Traitant]],coordonnee_st[Identification],coordonnee_st[SERVICE],"Non Trouvé")</f>
        <v>Frange</v>
      </c>
      <c r="M1109" s="35" t="str">
        <f>INDEX(_xlfn.TEXTSPLIT(mvtst[[#This Row],[QR Suivis]],"_"),1,2)</f>
        <v>All by Fouta</v>
      </c>
      <c r="N1109" s="35" t="str">
        <f>INDEX(_xlfn.TEXTSPLIT(mvtst[[#This Row],[QR Suivis]],"_"),1,3)</f>
        <v>Stock</v>
      </c>
      <c r="O1109" s="35" t="str">
        <f>INDEX(_xlfn.TEXTSPLIT(mvtst[[#This Row],[QR Suivis]],"_"),1,4)</f>
        <v>EPMA0919-B11-02</v>
      </c>
      <c r="P1109" s="35" t="str">
        <f>INDEX(_xlfn.TEXTSPLIT(mvtst[[#This Row],[QR Suivis]],"_"),1,5)</f>
        <v>MARINIERE</v>
      </c>
      <c r="Q1109" s="35" t="str">
        <f>_xlfn.TEXTAFTER(mvtst[[#This Row],[QR Suivis]],"_",5)</f>
        <v>0919</v>
      </c>
      <c r="R1109" s="84" t="str">
        <f>IF(
   COUNTIFS($A$2:A1109,A1109,
             $B$2:B1109,B1109,
             $C$2:C1109,C1109,
             $D$2:D1109,D1109,
             $G$2:G1109,G1109)&gt;1,
   "Doublon",
   "Correcte"
)</f>
        <v>Correcte</v>
      </c>
    </row>
    <row r="1110" spans="1:18" x14ac:dyDescent="0.25">
      <c r="A1110" s="104" t="s">
        <v>1877</v>
      </c>
      <c r="B1110" s="35" t="s">
        <v>649</v>
      </c>
      <c r="C1110" s="36">
        <v>5</v>
      </c>
      <c r="D1110" s="36">
        <v>0</v>
      </c>
      <c r="E1110" s="35" t="s">
        <v>699</v>
      </c>
      <c r="F1110" s="35" t="s">
        <v>634</v>
      </c>
      <c r="G1110" s="37">
        <v>45933.605752314812</v>
      </c>
      <c r="H1110" s="37" t="str">
        <f>INDEX(_xlfn.TEXTSPLIT(mvtst[[#This Row],[QR Suivis]],"_"),1,1)</f>
        <v>CA250635-4</v>
      </c>
      <c r="I1110" s="35" t="str">
        <f>_xlfn.TEXTBEFORE(mvtst[[#This Row],[Num Suivis]],"-",,,1)</f>
        <v>CA250635</v>
      </c>
      <c r="J1110" s="36">
        <f>SUMIF(mvtst[QR Suivis],mvtst[[#This Row],[QR Suivis]],mvtst[QTE SORTIS])-SUMIF(mvtst[QR Suivis],mvtst[[#This Row],[QR Suivis]],mvtst[QTE RETOUR])</f>
        <v>0</v>
      </c>
      <c r="K1110" s="35" t="str">
        <f t="shared" si="17"/>
        <v>Usine</v>
      </c>
      <c r="L1110" s="35" t="str">
        <f>_xlfn.XLOOKUP(mvtst[[#This Row],[Sous Traitant]],coordonnee_st[Identification],coordonnee_st[SERVICE],"Non Trouvé")</f>
        <v>Frange</v>
      </c>
      <c r="M1110" s="35" t="str">
        <f>INDEX(_xlfn.TEXTSPLIT(mvtst[[#This Row],[QR Suivis]],"_"),1,2)</f>
        <v>All by Fouta</v>
      </c>
      <c r="N1110" s="35" t="str">
        <f>INDEX(_xlfn.TEXTSPLIT(mvtst[[#This Row],[QR Suivis]],"_"),1,3)</f>
        <v>Stock</v>
      </c>
      <c r="O1110" s="35" t="str">
        <f>INDEX(_xlfn.TEXTSPLIT(mvtst[[#This Row],[QR Suivis]],"_"),1,4)</f>
        <v>EPMA0919-B11-02</v>
      </c>
      <c r="P1110" s="35" t="str">
        <f>INDEX(_xlfn.TEXTSPLIT(mvtst[[#This Row],[QR Suivis]],"_"),1,5)</f>
        <v>MARINIERE</v>
      </c>
      <c r="Q1110" s="35" t="str">
        <f>_xlfn.TEXTAFTER(mvtst[[#This Row],[QR Suivis]],"_",5)</f>
        <v>0919</v>
      </c>
      <c r="R1110" s="84" t="str">
        <f>IF(
   COUNTIFS($A$2:A1110,A1110,
             $B$2:B1110,B1110,
             $C$2:C1110,C1110,
             $D$2:D1110,D1110,
             $G$2:G1110,G1110)&gt;1,
   "Doublon",
   "Correcte"
)</f>
        <v>Correcte</v>
      </c>
    </row>
    <row r="1111" spans="1:18" x14ac:dyDescent="0.25">
      <c r="A1111" s="104" t="s">
        <v>1878</v>
      </c>
      <c r="B1111" s="35" t="s">
        <v>649</v>
      </c>
      <c r="C1111" s="36">
        <v>5</v>
      </c>
      <c r="D1111" s="36">
        <v>0</v>
      </c>
      <c r="E1111" s="35" t="s">
        <v>699</v>
      </c>
      <c r="F1111" s="35" t="s">
        <v>634</v>
      </c>
      <c r="G1111" s="37">
        <v>45933.605891203704</v>
      </c>
      <c r="H1111" s="37" t="str">
        <f>INDEX(_xlfn.TEXTSPLIT(mvtst[[#This Row],[QR Suivis]],"_"),1,1)</f>
        <v>CA250635-5</v>
      </c>
      <c r="I1111" s="35" t="str">
        <f>_xlfn.TEXTBEFORE(mvtst[[#This Row],[Num Suivis]],"-",,,1)</f>
        <v>CA250635</v>
      </c>
      <c r="J1111" s="36">
        <f>SUMIF(mvtst[QR Suivis],mvtst[[#This Row],[QR Suivis]],mvtst[QTE SORTIS])-SUMIF(mvtst[QR Suivis],mvtst[[#This Row],[QR Suivis]],mvtst[QTE RETOUR])</f>
        <v>0</v>
      </c>
      <c r="K1111" s="35" t="str">
        <f t="shared" si="17"/>
        <v>Usine</v>
      </c>
      <c r="L1111" s="35" t="str">
        <f>_xlfn.XLOOKUP(mvtst[[#This Row],[Sous Traitant]],coordonnee_st[Identification],coordonnee_st[SERVICE],"Non Trouvé")</f>
        <v>Frange</v>
      </c>
      <c r="M1111" s="35" t="str">
        <f>INDEX(_xlfn.TEXTSPLIT(mvtst[[#This Row],[QR Suivis]],"_"),1,2)</f>
        <v>All by Fouta</v>
      </c>
      <c r="N1111" s="35" t="str">
        <f>INDEX(_xlfn.TEXTSPLIT(mvtst[[#This Row],[QR Suivis]],"_"),1,3)</f>
        <v>Stock</v>
      </c>
      <c r="O1111" s="35" t="str">
        <f>INDEX(_xlfn.TEXTSPLIT(mvtst[[#This Row],[QR Suivis]],"_"),1,4)</f>
        <v>EPMA0919-B11-02</v>
      </c>
      <c r="P1111" s="35" t="str">
        <f>INDEX(_xlfn.TEXTSPLIT(mvtst[[#This Row],[QR Suivis]],"_"),1,5)</f>
        <v>MARINIERE</v>
      </c>
      <c r="Q1111" s="35" t="str">
        <f>_xlfn.TEXTAFTER(mvtst[[#This Row],[QR Suivis]],"_",5)</f>
        <v>0919</v>
      </c>
      <c r="R1111" s="84" t="str">
        <f>IF(
   COUNTIFS($A$2:A1111,A1111,
             $B$2:B1111,B1111,
             $C$2:C1111,C1111,
             $D$2:D1111,D1111,
             $G$2:G1111,G1111)&gt;1,
   "Doublon",
   "Correcte"
)</f>
        <v>Correcte</v>
      </c>
    </row>
    <row r="1112" spans="1:18" x14ac:dyDescent="0.25">
      <c r="A1112" s="104" t="s">
        <v>1302</v>
      </c>
      <c r="B1112" s="35" t="s">
        <v>650</v>
      </c>
      <c r="C1112" s="36">
        <v>0</v>
      </c>
      <c r="D1112" s="36">
        <v>5</v>
      </c>
      <c r="E1112" s="35" t="s">
        <v>699</v>
      </c>
      <c r="F1112" s="35" t="s">
        <v>634</v>
      </c>
      <c r="G1112" s="37">
        <v>45933.610486111109</v>
      </c>
      <c r="H1112" s="37" t="str">
        <f>INDEX(_xlfn.TEXTSPLIT(mvtst[[#This Row],[QR Suivis]],"_"),1,1)</f>
        <v>OF246543</v>
      </c>
      <c r="I1112" s="35" t="str">
        <f>_xlfn.TEXTBEFORE(mvtst[[#This Row],[Num Suivis]],"-",,,1)</f>
        <v>OF246543</v>
      </c>
      <c r="J1112" s="36">
        <f>SUMIF(mvtst[QR Suivis],mvtst[[#This Row],[QR Suivis]],mvtst[QTE SORTIS])-SUMIF(mvtst[QR Suivis],mvtst[[#This Row],[QR Suivis]],mvtst[QTE RETOUR])</f>
        <v>0</v>
      </c>
      <c r="K1112" s="35" t="str">
        <f t="shared" si="17"/>
        <v>Usine</v>
      </c>
      <c r="L1112" s="35" t="str">
        <f>_xlfn.XLOOKUP(mvtst[[#This Row],[Sous Traitant]],coordonnee_st[Identification],coordonnee_st[SERVICE],"Non Trouvé")</f>
        <v>Frange</v>
      </c>
      <c r="M1112" s="35" t="str">
        <f>INDEX(_xlfn.TEXTSPLIT(mvtst[[#This Row],[QR Suivis]],"_"),1,2)</f>
        <v>CL00296</v>
      </c>
      <c r="N1112" s="35" t="str">
        <f>INDEX(_xlfn.TEXTSPLIT(mvtst[[#This Row],[QR Suivis]],"_"),1,3)</f>
        <v>CM-FT0108</v>
      </c>
      <c r="O1112" s="35" t="str">
        <f>INDEX(_xlfn.TEXTSPLIT(mvtst[[#This Row],[QR Suivis]],"_"),1,4)</f>
        <v>EPMA0919-B15-02</v>
      </c>
      <c r="P1112" s="35" t="str">
        <f>INDEX(_xlfn.TEXTSPLIT(mvtst[[#This Row],[QR Suivis]],"_"),1,5)</f>
        <v>MARINIERE</v>
      </c>
      <c r="Q1112" s="35" t="str">
        <f>_xlfn.TEXTAFTER(mvtst[[#This Row],[QR Suivis]],"_",5)</f>
        <v>0919</v>
      </c>
      <c r="R1112" s="84" t="str">
        <f>IF(
   COUNTIFS($A$2:A1112,A1112,
             $B$2:B1112,B1112,
             $C$2:C1112,C1112,
             $D$2:D1112,D1112,
             $G$2:G1112,G1112)&gt;1,
   "Doublon",
   "Correcte"
)</f>
        <v>Correcte</v>
      </c>
    </row>
    <row r="1113" spans="1:18" x14ac:dyDescent="0.25">
      <c r="A1113" s="104" t="s">
        <v>1302</v>
      </c>
      <c r="B1113" s="35" t="s">
        <v>650</v>
      </c>
      <c r="C1113" s="36">
        <v>0</v>
      </c>
      <c r="D1113" s="36">
        <v>5</v>
      </c>
      <c r="E1113" s="35" t="s">
        <v>699</v>
      </c>
      <c r="F1113" s="35" t="s">
        <v>634</v>
      </c>
      <c r="G1113" s="37">
        <v>45933.611122685186</v>
      </c>
      <c r="H1113" s="37" t="str">
        <f>INDEX(_xlfn.TEXTSPLIT(mvtst[[#This Row],[QR Suivis]],"_"),1,1)</f>
        <v>OF246543</v>
      </c>
      <c r="I1113" s="35" t="str">
        <f>_xlfn.TEXTBEFORE(mvtst[[#This Row],[Num Suivis]],"-",,,1)</f>
        <v>OF246543</v>
      </c>
      <c r="J1113" s="36">
        <f>SUMIF(mvtst[QR Suivis],mvtst[[#This Row],[QR Suivis]],mvtst[QTE SORTIS])-SUMIF(mvtst[QR Suivis],mvtst[[#This Row],[QR Suivis]],mvtst[QTE RETOUR])</f>
        <v>0</v>
      </c>
      <c r="K1113" s="35" t="str">
        <f t="shared" si="17"/>
        <v>Usine</v>
      </c>
      <c r="L1113" s="35" t="str">
        <f>_xlfn.XLOOKUP(mvtst[[#This Row],[Sous Traitant]],coordonnee_st[Identification],coordonnee_st[SERVICE],"Non Trouvé")</f>
        <v>Frange</v>
      </c>
      <c r="M1113" s="35" t="str">
        <f>INDEX(_xlfn.TEXTSPLIT(mvtst[[#This Row],[QR Suivis]],"_"),1,2)</f>
        <v>CL00296</v>
      </c>
      <c r="N1113" s="35" t="str">
        <f>INDEX(_xlfn.TEXTSPLIT(mvtst[[#This Row],[QR Suivis]],"_"),1,3)</f>
        <v>CM-FT0108</v>
      </c>
      <c r="O1113" s="35" t="str">
        <f>INDEX(_xlfn.TEXTSPLIT(mvtst[[#This Row],[QR Suivis]],"_"),1,4)</f>
        <v>EPMA0919-B15-02</v>
      </c>
      <c r="P1113" s="35" t="str">
        <f>INDEX(_xlfn.TEXTSPLIT(mvtst[[#This Row],[QR Suivis]],"_"),1,5)</f>
        <v>MARINIERE</v>
      </c>
      <c r="Q1113" s="35" t="str">
        <f>_xlfn.TEXTAFTER(mvtst[[#This Row],[QR Suivis]],"_",5)</f>
        <v>0919</v>
      </c>
      <c r="R1113" s="84" t="str">
        <f>IF(
   COUNTIFS($A$2:A1113,A1113,
             $B$2:B1113,B1113,
             $C$2:C1113,C1113,
             $D$2:D1113,D1113,
             $G$2:G1113,G1113)&gt;1,
   "Doublon",
   "Correcte"
)</f>
        <v>Correcte</v>
      </c>
    </row>
    <row r="1114" spans="1:18" x14ac:dyDescent="0.25">
      <c r="A1114" s="104" t="s">
        <v>1302</v>
      </c>
      <c r="B1114" s="35" t="s">
        <v>650</v>
      </c>
      <c r="C1114" s="36">
        <v>0</v>
      </c>
      <c r="D1114" s="36">
        <v>5</v>
      </c>
      <c r="E1114" s="35" t="s">
        <v>699</v>
      </c>
      <c r="F1114" s="35" t="s">
        <v>634</v>
      </c>
      <c r="G1114" s="37">
        <v>45933.611307870371</v>
      </c>
      <c r="H1114" s="37" t="str">
        <f>INDEX(_xlfn.TEXTSPLIT(mvtst[[#This Row],[QR Suivis]],"_"),1,1)</f>
        <v>OF246543</v>
      </c>
      <c r="I1114" s="35" t="str">
        <f>_xlfn.TEXTBEFORE(mvtst[[#This Row],[Num Suivis]],"-",,,1)</f>
        <v>OF246543</v>
      </c>
      <c r="J1114" s="36">
        <f>SUMIF(mvtst[QR Suivis],mvtst[[#This Row],[QR Suivis]],mvtst[QTE SORTIS])-SUMIF(mvtst[QR Suivis],mvtst[[#This Row],[QR Suivis]],mvtst[QTE RETOUR])</f>
        <v>0</v>
      </c>
      <c r="K1114" s="35" t="str">
        <f t="shared" si="17"/>
        <v>Usine</v>
      </c>
      <c r="L1114" s="35" t="str">
        <f>_xlfn.XLOOKUP(mvtst[[#This Row],[Sous Traitant]],coordonnee_st[Identification],coordonnee_st[SERVICE],"Non Trouvé")</f>
        <v>Frange</v>
      </c>
      <c r="M1114" s="35" t="str">
        <f>INDEX(_xlfn.TEXTSPLIT(mvtst[[#This Row],[QR Suivis]],"_"),1,2)</f>
        <v>CL00296</v>
      </c>
      <c r="N1114" s="35" t="str">
        <f>INDEX(_xlfn.TEXTSPLIT(mvtst[[#This Row],[QR Suivis]],"_"),1,3)</f>
        <v>CM-FT0108</v>
      </c>
      <c r="O1114" s="35" t="str">
        <f>INDEX(_xlfn.TEXTSPLIT(mvtst[[#This Row],[QR Suivis]],"_"),1,4)</f>
        <v>EPMA0919-B15-02</v>
      </c>
      <c r="P1114" s="35" t="str">
        <f>INDEX(_xlfn.TEXTSPLIT(mvtst[[#This Row],[QR Suivis]],"_"),1,5)</f>
        <v>MARINIERE</v>
      </c>
      <c r="Q1114" s="35" t="str">
        <f>_xlfn.TEXTAFTER(mvtst[[#This Row],[QR Suivis]],"_",5)</f>
        <v>0919</v>
      </c>
      <c r="R1114" s="84" t="str">
        <f>IF(
   COUNTIFS($A$2:A1114,A1114,
             $B$2:B1114,B1114,
             $C$2:C1114,C1114,
             $D$2:D1114,D1114,
             $G$2:G1114,G1114)&gt;1,
   "Doublon",
   "Correcte"
)</f>
        <v>Correcte</v>
      </c>
    </row>
    <row r="1115" spans="1:18" x14ac:dyDescent="0.25">
      <c r="A1115" s="104" t="s">
        <v>1302</v>
      </c>
      <c r="B1115" s="35" t="s">
        <v>650</v>
      </c>
      <c r="C1115" s="36">
        <v>0</v>
      </c>
      <c r="D1115" s="36">
        <v>5</v>
      </c>
      <c r="E1115" s="35" t="s">
        <v>699</v>
      </c>
      <c r="F1115" s="35" t="s">
        <v>634</v>
      </c>
      <c r="G1115" s="37">
        <v>45933.611608796295</v>
      </c>
      <c r="H1115" s="37" t="str">
        <f>INDEX(_xlfn.TEXTSPLIT(mvtst[[#This Row],[QR Suivis]],"_"),1,1)</f>
        <v>OF246543</v>
      </c>
      <c r="I1115" s="35" t="str">
        <f>_xlfn.TEXTBEFORE(mvtst[[#This Row],[Num Suivis]],"-",,,1)</f>
        <v>OF246543</v>
      </c>
      <c r="J1115" s="36">
        <f>SUMIF(mvtst[QR Suivis],mvtst[[#This Row],[QR Suivis]],mvtst[QTE SORTIS])-SUMIF(mvtst[QR Suivis],mvtst[[#This Row],[QR Suivis]],mvtst[QTE RETOUR])</f>
        <v>0</v>
      </c>
      <c r="K1115" s="35" t="str">
        <f t="shared" si="17"/>
        <v>Usine</v>
      </c>
      <c r="L1115" s="35" t="str">
        <f>_xlfn.XLOOKUP(mvtst[[#This Row],[Sous Traitant]],coordonnee_st[Identification],coordonnee_st[SERVICE],"Non Trouvé")</f>
        <v>Frange</v>
      </c>
      <c r="M1115" s="35" t="str">
        <f>INDEX(_xlfn.TEXTSPLIT(mvtst[[#This Row],[QR Suivis]],"_"),1,2)</f>
        <v>CL00296</v>
      </c>
      <c r="N1115" s="35" t="str">
        <f>INDEX(_xlfn.TEXTSPLIT(mvtst[[#This Row],[QR Suivis]],"_"),1,3)</f>
        <v>CM-FT0108</v>
      </c>
      <c r="O1115" s="35" t="str">
        <f>INDEX(_xlfn.TEXTSPLIT(mvtst[[#This Row],[QR Suivis]],"_"),1,4)</f>
        <v>EPMA0919-B15-02</v>
      </c>
      <c r="P1115" s="35" t="str">
        <f>INDEX(_xlfn.TEXTSPLIT(mvtst[[#This Row],[QR Suivis]],"_"),1,5)</f>
        <v>MARINIERE</v>
      </c>
      <c r="Q1115" s="35" t="str">
        <f>_xlfn.TEXTAFTER(mvtst[[#This Row],[QR Suivis]],"_",5)</f>
        <v>0919</v>
      </c>
      <c r="R1115" s="84" t="str">
        <f>IF(
   COUNTIFS($A$2:A1115,A1115,
             $B$2:B1115,B1115,
             $C$2:C1115,C1115,
             $D$2:D1115,D1115,
             $G$2:G1115,G1115)&gt;1,
   "Doublon",
   "Correcte"
)</f>
        <v>Correcte</v>
      </c>
    </row>
    <row r="1116" spans="1:18" x14ac:dyDescent="0.25">
      <c r="A1116" s="104" t="s">
        <v>1302</v>
      </c>
      <c r="B1116" s="35" t="s">
        <v>650</v>
      </c>
      <c r="C1116" s="36">
        <v>0</v>
      </c>
      <c r="D1116" s="36">
        <v>5</v>
      </c>
      <c r="E1116" s="35" t="s">
        <v>699</v>
      </c>
      <c r="F1116" s="35" t="s">
        <v>634</v>
      </c>
      <c r="G1116" s="37">
        <v>45933.612314814818</v>
      </c>
      <c r="H1116" s="37" t="str">
        <f>INDEX(_xlfn.TEXTSPLIT(mvtst[[#This Row],[QR Suivis]],"_"),1,1)</f>
        <v>OF246543</v>
      </c>
      <c r="I1116" s="35" t="str">
        <f>_xlfn.TEXTBEFORE(mvtst[[#This Row],[Num Suivis]],"-",,,1)</f>
        <v>OF246543</v>
      </c>
      <c r="J1116" s="36">
        <f>SUMIF(mvtst[QR Suivis],mvtst[[#This Row],[QR Suivis]],mvtst[QTE SORTIS])-SUMIF(mvtst[QR Suivis],mvtst[[#This Row],[QR Suivis]],mvtst[QTE RETOUR])</f>
        <v>0</v>
      </c>
      <c r="K1116" s="35" t="str">
        <f t="shared" si="17"/>
        <v>Usine</v>
      </c>
      <c r="L1116" s="35" t="str">
        <f>_xlfn.XLOOKUP(mvtst[[#This Row],[Sous Traitant]],coordonnee_st[Identification],coordonnee_st[SERVICE],"Non Trouvé")</f>
        <v>Frange</v>
      </c>
      <c r="M1116" s="35" t="str">
        <f>INDEX(_xlfn.TEXTSPLIT(mvtst[[#This Row],[QR Suivis]],"_"),1,2)</f>
        <v>CL00296</v>
      </c>
      <c r="N1116" s="35" t="str">
        <f>INDEX(_xlfn.TEXTSPLIT(mvtst[[#This Row],[QR Suivis]],"_"),1,3)</f>
        <v>CM-FT0108</v>
      </c>
      <c r="O1116" s="35" t="str">
        <f>INDEX(_xlfn.TEXTSPLIT(mvtst[[#This Row],[QR Suivis]],"_"),1,4)</f>
        <v>EPMA0919-B15-02</v>
      </c>
      <c r="P1116" s="35" t="str">
        <f>INDEX(_xlfn.TEXTSPLIT(mvtst[[#This Row],[QR Suivis]],"_"),1,5)</f>
        <v>MARINIERE</v>
      </c>
      <c r="Q1116" s="35" t="str">
        <f>_xlfn.TEXTAFTER(mvtst[[#This Row],[QR Suivis]],"_",5)</f>
        <v>0919</v>
      </c>
      <c r="R1116" s="84" t="str">
        <f>IF(
   COUNTIFS($A$2:A1116,A1116,
             $B$2:B1116,B1116,
             $C$2:C1116,C1116,
             $D$2:D1116,D1116,
             $G$2:G1116,G1116)&gt;1,
   "Doublon",
   "Correcte"
)</f>
        <v>Correcte</v>
      </c>
    </row>
    <row r="1117" spans="1:18" x14ac:dyDescent="0.25">
      <c r="A1117" s="104" t="s">
        <v>1302</v>
      </c>
      <c r="B1117" s="35" t="s">
        <v>650</v>
      </c>
      <c r="C1117" s="36">
        <v>0</v>
      </c>
      <c r="D1117" s="36">
        <v>5</v>
      </c>
      <c r="E1117" s="35" t="s">
        <v>699</v>
      </c>
      <c r="F1117" s="35" t="s">
        <v>634</v>
      </c>
      <c r="G1117" s="37">
        <v>45933.612847222219</v>
      </c>
      <c r="H1117" s="37" t="str">
        <f>INDEX(_xlfn.TEXTSPLIT(mvtst[[#This Row],[QR Suivis]],"_"),1,1)</f>
        <v>OF246543</v>
      </c>
      <c r="I1117" s="35" t="str">
        <f>_xlfn.TEXTBEFORE(mvtst[[#This Row],[Num Suivis]],"-",,,1)</f>
        <v>OF246543</v>
      </c>
      <c r="J1117" s="36">
        <f>SUMIF(mvtst[QR Suivis],mvtst[[#This Row],[QR Suivis]],mvtst[QTE SORTIS])-SUMIF(mvtst[QR Suivis],mvtst[[#This Row],[QR Suivis]],mvtst[QTE RETOUR])</f>
        <v>0</v>
      </c>
      <c r="K1117" s="35" t="str">
        <f t="shared" si="17"/>
        <v>Usine</v>
      </c>
      <c r="L1117" s="35" t="str">
        <f>_xlfn.XLOOKUP(mvtst[[#This Row],[Sous Traitant]],coordonnee_st[Identification],coordonnee_st[SERVICE],"Non Trouvé")</f>
        <v>Frange</v>
      </c>
      <c r="M1117" s="35" t="str">
        <f>INDEX(_xlfn.TEXTSPLIT(mvtst[[#This Row],[QR Suivis]],"_"),1,2)</f>
        <v>CL00296</v>
      </c>
      <c r="N1117" s="35" t="str">
        <f>INDEX(_xlfn.TEXTSPLIT(mvtst[[#This Row],[QR Suivis]],"_"),1,3)</f>
        <v>CM-FT0108</v>
      </c>
      <c r="O1117" s="35" t="str">
        <f>INDEX(_xlfn.TEXTSPLIT(mvtst[[#This Row],[QR Suivis]],"_"),1,4)</f>
        <v>EPMA0919-B15-02</v>
      </c>
      <c r="P1117" s="35" t="str">
        <f>INDEX(_xlfn.TEXTSPLIT(mvtst[[#This Row],[QR Suivis]],"_"),1,5)</f>
        <v>MARINIERE</v>
      </c>
      <c r="Q1117" s="35" t="str">
        <f>_xlfn.TEXTAFTER(mvtst[[#This Row],[QR Suivis]],"_",5)</f>
        <v>0919</v>
      </c>
      <c r="R1117" s="84" t="str">
        <f>IF(
   COUNTIFS($A$2:A1117,A1117,
             $B$2:B1117,B1117,
             $C$2:C1117,C1117,
             $D$2:D1117,D1117,
             $G$2:G1117,G1117)&gt;1,
   "Doublon",
   "Correcte"
)</f>
        <v>Correcte</v>
      </c>
    </row>
    <row r="1118" spans="1:18" x14ac:dyDescent="0.25">
      <c r="A1118" s="104" t="s">
        <v>1302</v>
      </c>
      <c r="B1118" s="35" t="s">
        <v>650</v>
      </c>
      <c r="C1118" s="36">
        <v>0</v>
      </c>
      <c r="D1118" s="36">
        <v>5</v>
      </c>
      <c r="E1118" s="35" t="s">
        <v>699</v>
      </c>
      <c r="F1118" s="35" t="s">
        <v>634</v>
      </c>
      <c r="G1118" s="37">
        <v>45933.613391203704</v>
      </c>
      <c r="H1118" s="37" t="str">
        <f>INDEX(_xlfn.TEXTSPLIT(mvtst[[#This Row],[QR Suivis]],"_"),1,1)</f>
        <v>OF246543</v>
      </c>
      <c r="I1118" s="35" t="str">
        <f>_xlfn.TEXTBEFORE(mvtst[[#This Row],[Num Suivis]],"-",,,1)</f>
        <v>OF246543</v>
      </c>
      <c r="J1118" s="36">
        <f>SUMIF(mvtst[QR Suivis],mvtst[[#This Row],[QR Suivis]],mvtst[QTE SORTIS])-SUMIF(mvtst[QR Suivis],mvtst[[#This Row],[QR Suivis]],mvtst[QTE RETOUR])</f>
        <v>0</v>
      </c>
      <c r="K1118" s="35" t="str">
        <f t="shared" si="17"/>
        <v>Usine</v>
      </c>
      <c r="L1118" s="35" t="str">
        <f>_xlfn.XLOOKUP(mvtst[[#This Row],[Sous Traitant]],coordonnee_st[Identification],coordonnee_st[SERVICE],"Non Trouvé")</f>
        <v>Frange</v>
      </c>
      <c r="M1118" s="35" t="str">
        <f>INDEX(_xlfn.TEXTSPLIT(mvtst[[#This Row],[QR Suivis]],"_"),1,2)</f>
        <v>CL00296</v>
      </c>
      <c r="N1118" s="35" t="str">
        <f>INDEX(_xlfn.TEXTSPLIT(mvtst[[#This Row],[QR Suivis]],"_"),1,3)</f>
        <v>CM-FT0108</v>
      </c>
      <c r="O1118" s="35" t="str">
        <f>INDEX(_xlfn.TEXTSPLIT(mvtst[[#This Row],[QR Suivis]],"_"),1,4)</f>
        <v>EPMA0919-B15-02</v>
      </c>
      <c r="P1118" s="35" t="str">
        <f>INDEX(_xlfn.TEXTSPLIT(mvtst[[#This Row],[QR Suivis]],"_"),1,5)</f>
        <v>MARINIERE</v>
      </c>
      <c r="Q1118" s="35" t="str">
        <f>_xlfn.TEXTAFTER(mvtst[[#This Row],[QR Suivis]],"_",5)</f>
        <v>0919</v>
      </c>
      <c r="R1118" s="84" t="str">
        <f>IF(
   COUNTIFS($A$2:A1118,A1118,
             $B$2:B1118,B1118,
             $C$2:C1118,C1118,
             $D$2:D1118,D1118,
             $G$2:G1118,G1118)&gt;1,
   "Doublon",
   "Correcte"
)</f>
        <v>Correcte</v>
      </c>
    </row>
    <row r="1119" spans="1:18" x14ac:dyDescent="0.25">
      <c r="A1119" s="104" t="s">
        <v>1302</v>
      </c>
      <c r="B1119" s="35" t="s">
        <v>650</v>
      </c>
      <c r="C1119" s="36">
        <v>0</v>
      </c>
      <c r="D1119" s="36">
        <v>5</v>
      </c>
      <c r="E1119" s="35" t="s">
        <v>699</v>
      </c>
      <c r="F1119" s="35" t="s">
        <v>634</v>
      </c>
      <c r="G1119" s="37">
        <v>45933.613900462966</v>
      </c>
      <c r="H1119" s="37" t="str">
        <f>INDEX(_xlfn.TEXTSPLIT(mvtst[[#This Row],[QR Suivis]],"_"),1,1)</f>
        <v>OF246543</v>
      </c>
      <c r="I1119" s="35" t="str">
        <f>_xlfn.TEXTBEFORE(mvtst[[#This Row],[Num Suivis]],"-",,,1)</f>
        <v>OF246543</v>
      </c>
      <c r="J1119" s="36">
        <f>SUMIF(mvtst[QR Suivis],mvtst[[#This Row],[QR Suivis]],mvtst[QTE SORTIS])-SUMIF(mvtst[QR Suivis],mvtst[[#This Row],[QR Suivis]],mvtst[QTE RETOUR])</f>
        <v>0</v>
      </c>
      <c r="K1119" s="35" t="str">
        <f t="shared" si="17"/>
        <v>Usine</v>
      </c>
      <c r="L1119" s="35" t="str">
        <f>_xlfn.XLOOKUP(mvtst[[#This Row],[Sous Traitant]],coordonnee_st[Identification],coordonnee_st[SERVICE],"Non Trouvé")</f>
        <v>Frange</v>
      </c>
      <c r="M1119" s="35" t="str">
        <f>INDEX(_xlfn.TEXTSPLIT(mvtst[[#This Row],[QR Suivis]],"_"),1,2)</f>
        <v>CL00296</v>
      </c>
      <c r="N1119" s="35" t="str">
        <f>INDEX(_xlfn.TEXTSPLIT(mvtst[[#This Row],[QR Suivis]],"_"),1,3)</f>
        <v>CM-FT0108</v>
      </c>
      <c r="O1119" s="35" t="str">
        <f>INDEX(_xlfn.TEXTSPLIT(mvtst[[#This Row],[QR Suivis]],"_"),1,4)</f>
        <v>EPMA0919-B15-02</v>
      </c>
      <c r="P1119" s="35" t="str">
        <f>INDEX(_xlfn.TEXTSPLIT(mvtst[[#This Row],[QR Suivis]],"_"),1,5)</f>
        <v>MARINIERE</v>
      </c>
      <c r="Q1119" s="35" t="str">
        <f>_xlfn.TEXTAFTER(mvtst[[#This Row],[QR Suivis]],"_",5)</f>
        <v>0919</v>
      </c>
      <c r="R1119" s="84" t="str">
        <f>IF(
   COUNTIFS($A$2:A1119,A1119,
             $B$2:B1119,B1119,
             $C$2:C1119,C1119,
             $D$2:D1119,D1119,
             $G$2:G1119,G1119)&gt;1,
   "Doublon",
   "Correcte"
)</f>
        <v>Correcte</v>
      </c>
    </row>
    <row r="1120" spans="1:18" x14ac:dyDescent="0.25">
      <c r="A1120" s="104" t="s">
        <v>1879</v>
      </c>
      <c r="B1120" s="35" t="s">
        <v>712</v>
      </c>
      <c r="C1120" s="36">
        <v>5</v>
      </c>
      <c r="D1120" s="36">
        <v>0</v>
      </c>
      <c r="E1120" s="35" t="s">
        <v>699</v>
      </c>
      <c r="F1120" s="35" t="s">
        <v>634</v>
      </c>
      <c r="G1120" s="37">
        <v>45934.462569444448</v>
      </c>
      <c r="H1120" s="37" t="str">
        <f>INDEX(_xlfn.TEXTSPLIT(mvtst[[#This Row],[QR Suivis]],"_"),1,1)</f>
        <v>CA250016-1</v>
      </c>
      <c r="I1120" s="35" t="str">
        <f>_xlfn.TEXTBEFORE(mvtst[[#This Row],[Num Suivis]],"-",,,1)</f>
        <v>CA250016</v>
      </c>
      <c r="J1120" s="36">
        <f>SUMIF(mvtst[QR Suivis],mvtst[[#This Row],[QR Suivis]],mvtst[QTE SORTIS])-SUMIF(mvtst[QR Suivis],mvtst[[#This Row],[QR Suivis]],mvtst[QTE RETOUR])</f>
        <v>0</v>
      </c>
      <c r="K1120" s="35" t="str">
        <f t="shared" si="17"/>
        <v>Usine</v>
      </c>
      <c r="L1120" s="35" t="str">
        <f>_xlfn.XLOOKUP(mvtst[[#This Row],[Sous Traitant]],coordonnee_st[Identification],coordonnee_st[SERVICE],"Non Trouvé")</f>
        <v>Frange</v>
      </c>
      <c r="M1120" s="35" t="str">
        <f>INDEX(_xlfn.TEXTSPLIT(mvtst[[#This Row],[QR Suivis]],"_"),1,2)</f>
        <v>All by Fouta</v>
      </c>
      <c r="N1120" s="35" t="str">
        <f>INDEX(_xlfn.TEXTSPLIT(mvtst[[#This Row],[QR Suivis]],"_"),1,3)</f>
        <v>Stock</v>
      </c>
      <c r="O1120" s="35" t="str">
        <f>INDEX(_xlfn.TEXTSPLIT(mvtst[[#This Row],[QR Suivis]],"_"),1,4)</f>
        <v>UNS1020-27</v>
      </c>
      <c r="P1120" s="35" t="str">
        <f>INDEX(_xlfn.TEXTSPLIT(mvtst[[#This Row],[QR Suivis]],"_"),1,5)</f>
        <v>UNI SURPIQUE</v>
      </c>
      <c r="Q1120" s="35" t="str">
        <f>_xlfn.TEXTAFTER(mvtst[[#This Row],[QR Suivis]],"_",5)</f>
        <v>1020</v>
      </c>
      <c r="R1120" s="84" t="str">
        <f>IF(
   COUNTIFS($A$2:A1120,A1120,
             $B$2:B1120,B1120,
             $C$2:C1120,C1120,
             $D$2:D1120,D1120,
             $G$2:G1120,G1120)&gt;1,
   "Doublon",
   "Correcte"
)</f>
        <v>Correcte</v>
      </c>
    </row>
    <row r="1121" spans="1:18" x14ac:dyDescent="0.25">
      <c r="A1121" s="104" t="s">
        <v>1880</v>
      </c>
      <c r="B1121" s="35" t="s">
        <v>712</v>
      </c>
      <c r="C1121" s="36">
        <v>5</v>
      </c>
      <c r="D1121" s="36">
        <v>0</v>
      </c>
      <c r="E1121" s="35" t="s">
        <v>699</v>
      </c>
      <c r="F1121" s="35" t="s">
        <v>634</v>
      </c>
      <c r="G1121" s="37">
        <v>45934.462766203702</v>
      </c>
      <c r="H1121" s="37" t="str">
        <f>INDEX(_xlfn.TEXTSPLIT(mvtst[[#This Row],[QR Suivis]],"_"),1,1)</f>
        <v>CA250016-2</v>
      </c>
      <c r="I1121" s="35" t="str">
        <f>_xlfn.TEXTBEFORE(mvtst[[#This Row],[Num Suivis]],"-",,,1)</f>
        <v>CA250016</v>
      </c>
      <c r="J1121" s="36">
        <f>SUMIF(mvtst[QR Suivis],mvtst[[#This Row],[QR Suivis]],mvtst[QTE SORTIS])-SUMIF(mvtst[QR Suivis],mvtst[[#This Row],[QR Suivis]],mvtst[QTE RETOUR])</f>
        <v>0</v>
      </c>
      <c r="K1121" s="35" t="str">
        <f t="shared" si="17"/>
        <v>Usine</v>
      </c>
      <c r="L1121" s="35" t="str">
        <f>_xlfn.XLOOKUP(mvtst[[#This Row],[Sous Traitant]],coordonnee_st[Identification],coordonnee_st[SERVICE],"Non Trouvé")</f>
        <v>Frange</v>
      </c>
      <c r="M1121" s="35" t="str">
        <f>INDEX(_xlfn.TEXTSPLIT(mvtst[[#This Row],[QR Suivis]],"_"),1,2)</f>
        <v>All by Fouta</v>
      </c>
      <c r="N1121" s="35" t="str">
        <f>INDEX(_xlfn.TEXTSPLIT(mvtst[[#This Row],[QR Suivis]],"_"),1,3)</f>
        <v>Stock</v>
      </c>
      <c r="O1121" s="35" t="str">
        <f>INDEX(_xlfn.TEXTSPLIT(mvtst[[#This Row],[QR Suivis]],"_"),1,4)</f>
        <v>UNS1020-27</v>
      </c>
      <c r="P1121" s="35" t="str">
        <f>INDEX(_xlfn.TEXTSPLIT(mvtst[[#This Row],[QR Suivis]],"_"),1,5)</f>
        <v>UNI SURPIQUE</v>
      </c>
      <c r="Q1121" s="35" t="str">
        <f>_xlfn.TEXTAFTER(mvtst[[#This Row],[QR Suivis]],"_",5)</f>
        <v>1020</v>
      </c>
      <c r="R1121" s="84" t="str">
        <f>IF(
   COUNTIFS($A$2:A1121,A1121,
             $B$2:B1121,B1121,
             $C$2:C1121,C1121,
             $D$2:D1121,D1121,
             $G$2:G1121,G1121)&gt;1,
   "Doublon",
   "Correcte"
)</f>
        <v>Correcte</v>
      </c>
    </row>
    <row r="1122" spans="1:18" x14ac:dyDescent="0.25">
      <c r="A1122" s="104" t="s">
        <v>1881</v>
      </c>
      <c r="B1122" s="35" t="s">
        <v>712</v>
      </c>
      <c r="C1122" s="36">
        <v>5</v>
      </c>
      <c r="D1122" s="36">
        <v>0</v>
      </c>
      <c r="E1122" s="35" t="s">
        <v>699</v>
      </c>
      <c r="F1122" s="35" t="s">
        <v>634</v>
      </c>
      <c r="G1122" s="37">
        <v>45934.462997685187</v>
      </c>
      <c r="H1122" s="37" t="str">
        <f>INDEX(_xlfn.TEXTSPLIT(mvtst[[#This Row],[QR Suivis]],"_"),1,1)</f>
        <v>CA250016-3</v>
      </c>
      <c r="I1122" s="35" t="str">
        <f>_xlfn.TEXTBEFORE(mvtst[[#This Row],[Num Suivis]],"-",,,1)</f>
        <v>CA250016</v>
      </c>
      <c r="J1122" s="36">
        <f>SUMIF(mvtst[QR Suivis],mvtst[[#This Row],[QR Suivis]],mvtst[QTE SORTIS])-SUMIF(mvtst[QR Suivis],mvtst[[#This Row],[QR Suivis]],mvtst[QTE RETOUR])</f>
        <v>0</v>
      </c>
      <c r="K1122" s="35" t="str">
        <f t="shared" si="17"/>
        <v>Usine</v>
      </c>
      <c r="L1122" s="35" t="str">
        <f>_xlfn.XLOOKUP(mvtst[[#This Row],[Sous Traitant]],coordonnee_st[Identification],coordonnee_st[SERVICE],"Non Trouvé")</f>
        <v>Frange</v>
      </c>
      <c r="M1122" s="35" t="str">
        <f>INDEX(_xlfn.TEXTSPLIT(mvtst[[#This Row],[QR Suivis]],"_"),1,2)</f>
        <v>All by Fouta</v>
      </c>
      <c r="N1122" s="35" t="str">
        <f>INDEX(_xlfn.TEXTSPLIT(mvtst[[#This Row],[QR Suivis]],"_"),1,3)</f>
        <v>Stock</v>
      </c>
      <c r="O1122" s="35" t="str">
        <f>INDEX(_xlfn.TEXTSPLIT(mvtst[[#This Row],[QR Suivis]],"_"),1,4)</f>
        <v>UNS1020-27</v>
      </c>
      <c r="P1122" s="35" t="str">
        <f>INDEX(_xlfn.TEXTSPLIT(mvtst[[#This Row],[QR Suivis]],"_"),1,5)</f>
        <v>UNI SURPIQUE</v>
      </c>
      <c r="Q1122" s="35" t="str">
        <f>_xlfn.TEXTAFTER(mvtst[[#This Row],[QR Suivis]],"_",5)</f>
        <v>1020</v>
      </c>
      <c r="R1122" s="84" t="str">
        <f>IF(
   COUNTIFS($A$2:A1122,A1122,
             $B$2:B1122,B1122,
             $C$2:C1122,C1122,
             $D$2:D1122,D1122,
             $G$2:G1122,G1122)&gt;1,
   "Doublon",
   "Correcte"
)</f>
        <v>Correcte</v>
      </c>
    </row>
    <row r="1123" spans="1:18" x14ac:dyDescent="0.25">
      <c r="A1123" s="104" t="s">
        <v>1882</v>
      </c>
      <c r="B1123" s="35" t="s">
        <v>712</v>
      </c>
      <c r="C1123" s="36">
        <v>5</v>
      </c>
      <c r="D1123" s="36">
        <v>0</v>
      </c>
      <c r="E1123" s="35" t="s">
        <v>699</v>
      </c>
      <c r="F1123" s="35" t="s">
        <v>634</v>
      </c>
      <c r="G1123" s="37">
        <v>45934.463229166664</v>
      </c>
      <c r="H1123" s="37" t="str">
        <f>INDEX(_xlfn.TEXTSPLIT(mvtst[[#This Row],[QR Suivis]],"_"),1,1)</f>
        <v>CA250016-7</v>
      </c>
      <c r="I1123" s="35" t="str">
        <f>_xlfn.TEXTBEFORE(mvtst[[#This Row],[Num Suivis]],"-",,,1)</f>
        <v>CA250016</v>
      </c>
      <c r="J1123" s="36">
        <f>SUMIF(mvtst[QR Suivis],mvtst[[#This Row],[QR Suivis]],mvtst[QTE SORTIS])-SUMIF(mvtst[QR Suivis],mvtst[[#This Row],[QR Suivis]],mvtst[QTE RETOUR])</f>
        <v>0</v>
      </c>
      <c r="K1123" s="35" t="str">
        <f t="shared" si="17"/>
        <v>Usine</v>
      </c>
      <c r="L1123" s="35" t="str">
        <f>_xlfn.XLOOKUP(mvtst[[#This Row],[Sous Traitant]],coordonnee_st[Identification],coordonnee_st[SERVICE],"Non Trouvé")</f>
        <v>Frange</v>
      </c>
      <c r="M1123" s="35" t="str">
        <f>INDEX(_xlfn.TEXTSPLIT(mvtst[[#This Row],[QR Suivis]],"_"),1,2)</f>
        <v>All by Fouta</v>
      </c>
      <c r="N1123" s="35" t="str">
        <f>INDEX(_xlfn.TEXTSPLIT(mvtst[[#This Row],[QR Suivis]],"_"),1,3)</f>
        <v>Stock</v>
      </c>
      <c r="O1123" s="35" t="str">
        <f>INDEX(_xlfn.TEXTSPLIT(mvtst[[#This Row],[QR Suivis]],"_"),1,4)</f>
        <v>UNS1020-27</v>
      </c>
      <c r="P1123" s="35" t="str">
        <f>INDEX(_xlfn.TEXTSPLIT(mvtst[[#This Row],[QR Suivis]],"_"),1,5)</f>
        <v>UNI SURPIQUE</v>
      </c>
      <c r="Q1123" s="35" t="str">
        <f>_xlfn.TEXTAFTER(mvtst[[#This Row],[QR Suivis]],"_",5)</f>
        <v>1020</v>
      </c>
      <c r="R1123" s="84" t="str">
        <f>IF(
   COUNTIFS($A$2:A1123,A1123,
             $B$2:B1123,B1123,
             $C$2:C1123,C1123,
             $D$2:D1123,D1123,
             $G$2:G1123,G1123)&gt;1,
   "Doublon",
   "Correcte"
)</f>
        <v>Correcte</v>
      </c>
    </row>
    <row r="1124" spans="1:18" x14ac:dyDescent="0.25">
      <c r="A1124" s="104" t="s">
        <v>1883</v>
      </c>
      <c r="B1124" s="35" t="s">
        <v>712</v>
      </c>
      <c r="C1124" s="36">
        <v>5</v>
      </c>
      <c r="D1124" s="36">
        <v>0</v>
      </c>
      <c r="E1124" s="35" t="s">
        <v>699</v>
      </c>
      <c r="F1124" s="35" t="s">
        <v>634</v>
      </c>
      <c r="G1124" s="37">
        <v>45934.463449074072</v>
      </c>
      <c r="H1124" s="37" t="str">
        <f>INDEX(_xlfn.TEXTSPLIT(mvtst[[#This Row],[QR Suivis]],"_"),1,1)</f>
        <v>CA250016-9</v>
      </c>
      <c r="I1124" s="35" t="str">
        <f>_xlfn.TEXTBEFORE(mvtst[[#This Row],[Num Suivis]],"-",,,1)</f>
        <v>CA250016</v>
      </c>
      <c r="J1124" s="36">
        <f>SUMIF(mvtst[QR Suivis],mvtst[[#This Row],[QR Suivis]],mvtst[QTE SORTIS])-SUMIF(mvtst[QR Suivis],mvtst[[#This Row],[QR Suivis]],mvtst[QTE RETOUR])</f>
        <v>0</v>
      </c>
      <c r="K1124" s="35" t="str">
        <f t="shared" si="17"/>
        <v>Usine</v>
      </c>
      <c r="L1124" s="35" t="str">
        <f>_xlfn.XLOOKUP(mvtst[[#This Row],[Sous Traitant]],coordonnee_st[Identification],coordonnee_st[SERVICE],"Non Trouvé")</f>
        <v>Frange</v>
      </c>
      <c r="M1124" s="35" t="str">
        <f>INDEX(_xlfn.TEXTSPLIT(mvtst[[#This Row],[QR Suivis]],"_"),1,2)</f>
        <v>All by Fouta</v>
      </c>
      <c r="N1124" s="35" t="str">
        <f>INDEX(_xlfn.TEXTSPLIT(mvtst[[#This Row],[QR Suivis]],"_"),1,3)</f>
        <v>Stock</v>
      </c>
      <c r="O1124" s="35" t="str">
        <f>INDEX(_xlfn.TEXTSPLIT(mvtst[[#This Row],[QR Suivis]],"_"),1,4)</f>
        <v>UNS1020-27</v>
      </c>
      <c r="P1124" s="35" t="str">
        <f>INDEX(_xlfn.TEXTSPLIT(mvtst[[#This Row],[QR Suivis]],"_"),1,5)</f>
        <v>UNI SURPIQUE</v>
      </c>
      <c r="Q1124" s="35" t="str">
        <f>_xlfn.TEXTAFTER(mvtst[[#This Row],[QR Suivis]],"_",5)</f>
        <v>1020</v>
      </c>
      <c r="R1124" s="84" t="str">
        <f>IF(
   COUNTIFS($A$2:A1124,A1124,
             $B$2:B1124,B1124,
             $C$2:C1124,C1124,
             $D$2:D1124,D1124,
             $G$2:G1124,G1124)&gt;1,
   "Doublon",
   "Correcte"
)</f>
        <v>Correcte</v>
      </c>
    </row>
    <row r="1125" spans="1:18" x14ac:dyDescent="0.25">
      <c r="A1125" s="104" t="s">
        <v>1884</v>
      </c>
      <c r="B1125" s="35" t="s">
        <v>712</v>
      </c>
      <c r="C1125" s="36">
        <v>5</v>
      </c>
      <c r="D1125" s="36">
        <v>0</v>
      </c>
      <c r="E1125" s="35" t="s">
        <v>699</v>
      </c>
      <c r="F1125" s="35" t="s">
        <v>634</v>
      </c>
      <c r="G1125" s="37">
        <v>45934.463680555556</v>
      </c>
      <c r="H1125" s="37" t="str">
        <f>INDEX(_xlfn.TEXTSPLIT(mvtst[[#This Row],[QR Suivis]],"_"),1,1)</f>
        <v>CA250016-5</v>
      </c>
      <c r="I1125" s="35" t="str">
        <f>_xlfn.TEXTBEFORE(mvtst[[#This Row],[Num Suivis]],"-",,,1)</f>
        <v>CA250016</v>
      </c>
      <c r="J1125" s="36">
        <f>SUMIF(mvtst[QR Suivis],mvtst[[#This Row],[QR Suivis]],mvtst[QTE SORTIS])-SUMIF(mvtst[QR Suivis],mvtst[[#This Row],[QR Suivis]],mvtst[QTE RETOUR])</f>
        <v>0</v>
      </c>
      <c r="K1125" s="35" t="str">
        <f t="shared" si="17"/>
        <v>Usine</v>
      </c>
      <c r="L1125" s="35" t="str">
        <f>_xlfn.XLOOKUP(mvtst[[#This Row],[Sous Traitant]],coordonnee_st[Identification],coordonnee_st[SERVICE],"Non Trouvé")</f>
        <v>Frange</v>
      </c>
      <c r="M1125" s="35" t="str">
        <f>INDEX(_xlfn.TEXTSPLIT(mvtst[[#This Row],[QR Suivis]],"_"),1,2)</f>
        <v>All by Fouta</v>
      </c>
      <c r="N1125" s="35" t="str">
        <f>INDEX(_xlfn.TEXTSPLIT(mvtst[[#This Row],[QR Suivis]],"_"),1,3)</f>
        <v>Stock</v>
      </c>
      <c r="O1125" s="35" t="str">
        <f>INDEX(_xlfn.TEXTSPLIT(mvtst[[#This Row],[QR Suivis]],"_"),1,4)</f>
        <v>UNS1020-27</v>
      </c>
      <c r="P1125" s="35" t="str">
        <f>INDEX(_xlfn.TEXTSPLIT(mvtst[[#This Row],[QR Suivis]],"_"),1,5)</f>
        <v>UNI SURPIQUE</v>
      </c>
      <c r="Q1125" s="35" t="str">
        <f>_xlfn.TEXTAFTER(mvtst[[#This Row],[QR Suivis]],"_",5)</f>
        <v>1020</v>
      </c>
      <c r="R1125" s="84" t="str">
        <f>IF(
   COUNTIFS($A$2:A1125,A1125,
             $B$2:B1125,B1125,
             $C$2:C1125,C1125,
             $D$2:D1125,D1125,
             $G$2:G1125,G1125)&gt;1,
   "Doublon",
   "Correcte"
)</f>
        <v>Correcte</v>
      </c>
    </row>
    <row r="1126" spans="1:18" x14ac:dyDescent="0.25">
      <c r="A1126" s="104" t="s">
        <v>1885</v>
      </c>
      <c r="B1126" s="35" t="s">
        <v>712</v>
      </c>
      <c r="C1126" s="36">
        <v>5</v>
      </c>
      <c r="D1126" s="36">
        <v>0</v>
      </c>
      <c r="E1126" s="35" t="s">
        <v>699</v>
      </c>
      <c r="F1126" s="35" t="s">
        <v>634</v>
      </c>
      <c r="G1126" s="37">
        <v>45934.463923611111</v>
      </c>
      <c r="H1126" s="37" t="str">
        <f>INDEX(_xlfn.TEXTSPLIT(mvtst[[#This Row],[QR Suivis]],"_"),1,1)</f>
        <v>CA250016-6</v>
      </c>
      <c r="I1126" s="35" t="str">
        <f>_xlfn.TEXTBEFORE(mvtst[[#This Row],[Num Suivis]],"-",,,1)</f>
        <v>CA250016</v>
      </c>
      <c r="J1126" s="36">
        <f>SUMIF(mvtst[QR Suivis],mvtst[[#This Row],[QR Suivis]],mvtst[QTE SORTIS])-SUMIF(mvtst[QR Suivis],mvtst[[#This Row],[QR Suivis]],mvtst[QTE RETOUR])</f>
        <v>0</v>
      </c>
      <c r="K1126" s="35" t="str">
        <f t="shared" si="17"/>
        <v>Usine</v>
      </c>
      <c r="L1126" s="35" t="str">
        <f>_xlfn.XLOOKUP(mvtst[[#This Row],[Sous Traitant]],coordonnee_st[Identification],coordonnee_st[SERVICE],"Non Trouvé")</f>
        <v>Frange</v>
      </c>
      <c r="M1126" s="35" t="str">
        <f>INDEX(_xlfn.TEXTSPLIT(mvtst[[#This Row],[QR Suivis]],"_"),1,2)</f>
        <v>All by Fouta</v>
      </c>
      <c r="N1126" s="35" t="str">
        <f>INDEX(_xlfn.TEXTSPLIT(mvtst[[#This Row],[QR Suivis]],"_"),1,3)</f>
        <v>Stock</v>
      </c>
      <c r="O1126" s="35" t="str">
        <f>INDEX(_xlfn.TEXTSPLIT(mvtst[[#This Row],[QR Suivis]],"_"),1,4)</f>
        <v>UNS1020-27</v>
      </c>
      <c r="P1126" s="35" t="str">
        <f>INDEX(_xlfn.TEXTSPLIT(mvtst[[#This Row],[QR Suivis]],"_"),1,5)</f>
        <v>UNI SURPIQUE</v>
      </c>
      <c r="Q1126" s="35" t="str">
        <f>_xlfn.TEXTAFTER(mvtst[[#This Row],[QR Suivis]],"_",5)</f>
        <v>1020</v>
      </c>
      <c r="R1126" s="84" t="str">
        <f>IF(
   COUNTIFS($A$2:A1126,A1126,
             $B$2:B1126,B1126,
             $C$2:C1126,C1126,
             $D$2:D1126,D1126,
             $G$2:G1126,G1126)&gt;1,
   "Doublon",
   "Correcte"
)</f>
        <v>Correcte</v>
      </c>
    </row>
    <row r="1127" spans="1:18" x14ac:dyDescent="0.25">
      <c r="A1127" s="104" t="s">
        <v>1886</v>
      </c>
      <c r="B1127" s="35" t="s">
        <v>712</v>
      </c>
      <c r="C1127" s="36">
        <v>5</v>
      </c>
      <c r="D1127" s="36">
        <v>0</v>
      </c>
      <c r="E1127" s="35" t="s">
        <v>699</v>
      </c>
      <c r="F1127" s="35" t="s">
        <v>634</v>
      </c>
      <c r="G1127" s="37">
        <v>45934.464178240742</v>
      </c>
      <c r="H1127" s="37" t="str">
        <f>INDEX(_xlfn.TEXTSPLIT(mvtst[[#This Row],[QR Suivis]],"_"),1,1)</f>
        <v>CA250016-8</v>
      </c>
      <c r="I1127" s="35" t="str">
        <f>_xlfn.TEXTBEFORE(mvtst[[#This Row],[Num Suivis]],"-",,,1)</f>
        <v>CA250016</v>
      </c>
      <c r="J1127" s="36">
        <f>SUMIF(mvtst[QR Suivis],mvtst[[#This Row],[QR Suivis]],mvtst[QTE SORTIS])-SUMIF(mvtst[QR Suivis],mvtst[[#This Row],[QR Suivis]],mvtst[QTE RETOUR])</f>
        <v>0</v>
      </c>
      <c r="K1127" s="35" t="str">
        <f t="shared" si="17"/>
        <v>Usine</v>
      </c>
      <c r="L1127" s="35" t="str">
        <f>_xlfn.XLOOKUP(mvtst[[#This Row],[Sous Traitant]],coordonnee_st[Identification],coordonnee_st[SERVICE],"Non Trouvé")</f>
        <v>Frange</v>
      </c>
      <c r="M1127" s="35" t="str">
        <f>INDEX(_xlfn.TEXTSPLIT(mvtst[[#This Row],[QR Suivis]],"_"),1,2)</f>
        <v>All by Fouta</v>
      </c>
      <c r="N1127" s="35" t="str">
        <f>INDEX(_xlfn.TEXTSPLIT(mvtst[[#This Row],[QR Suivis]],"_"),1,3)</f>
        <v>Stock</v>
      </c>
      <c r="O1127" s="35" t="str">
        <f>INDEX(_xlfn.TEXTSPLIT(mvtst[[#This Row],[QR Suivis]],"_"),1,4)</f>
        <v>UNS1020-27</v>
      </c>
      <c r="P1127" s="35" t="str">
        <f>INDEX(_xlfn.TEXTSPLIT(mvtst[[#This Row],[QR Suivis]],"_"),1,5)</f>
        <v>UNI SURPIQUE</v>
      </c>
      <c r="Q1127" s="35" t="str">
        <f>_xlfn.TEXTAFTER(mvtst[[#This Row],[QR Suivis]],"_",5)</f>
        <v>1020</v>
      </c>
      <c r="R1127" s="84" t="str">
        <f>IF(
   COUNTIFS($A$2:A1127,A1127,
             $B$2:B1127,B1127,
             $C$2:C1127,C1127,
             $D$2:D1127,D1127,
             $G$2:G1127,G1127)&gt;1,
   "Doublon",
   "Correcte"
)</f>
        <v>Correcte</v>
      </c>
    </row>
    <row r="1128" spans="1:18" x14ac:dyDescent="0.25">
      <c r="A1128" s="104" t="s">
        <v>1887</v>
      </c>
      <c r="B1128" s="35" t="s">
        <v>712</v>
      </c>
      <c r="C1128" s="36">
        <v>5</v>
      </c>
      <c r="D1128" s="36">
        <v>0</v>
      </c>
      <c r="E1128" s="35" t="s">
        <v>699</v>
      </c>
      <c r="F1128" s="35" t="s">
        <v>634</v>
      </c>
      <c r="G1128" s="37">
        <v>45934.464432870373</v>
      </c>
      <c r="H1128" s="37" t="str">
        <f>INDEX(_xlfn.TEXTSPLIT(mvtst[[#This Row],[QR Suivis]],"_"),1,1)</f>
        <v>CA250016-4</v>
      </c>
      <c r="I1128" s="35" t="str">
        <f>_xlfn.TEXTBEFORE(mvtst[[#This Row],[Num Suivis]],"-",,,1)</f>
        <v>CA250016</v>
      </c>
      <c r="J1128" s="36">
        <f>SUMIF(mvtst[QR Suivis],mvtst[[#This Row],[QR Suivis]],mvtst[QTE SORTIS])-SUMIF(mvtst[QR Suivis],mvtst[[#This Row],[QR Suivis]],mvtst[QTE RETOUR])</f>
        <v>0</v>
      </c>
      <c r="K1128" s="35" t="str">
        <f t="shared" si="17"/>
        <v>Usine</v>
      </c>
      <c r="L1128" s="35" t="str">
        <f>_xlfn.XLOOKUP(mvtst[[#This Row],[Sous Traitant]],coordonnee_st[Identification],coordonnee_st[SERVICE],"Non Trouvé")</f>
        <v>Frange</v>
      </c>
      <c r="M1128" s="35" t="str">
        <f>INDEX(_xlfn.TEXTSPLIT(mvtst[[#This Row],[QR Suivis]],"_"),1,2)</f>
        <v>All by Fouta</v>
      </c>
      <c r="N1128" s="35" t="str">
        <f>INDEX(_xlfn.TEXTSPLIT(mvtst[[#This Row],[QR Suivis]],"_"),1,3)</f>
        <v>Stock</v>
      </c>
      <c r="O1128" s="35" t="str">
        <f>INDEX(_xlfn.TEXTSPLIT(mvtst[[#This Row],[QR Suivis]],"_"),1,4)</f>
        <v>UNS1020-27</v>
      </c>
      <c r="P1128" s="35" t="str">
        <f>INDEX(_xlfn.TEXTSPLIT(mvtst[[#This Row],[QR Suivis]],"_"),1,5)</f>
        <v>UNI SURPIQUE</v>
      </c>
      <c r="Q1128" s="35" t="str">
        <f>_xlfn.TEXTAFTER(mvtst[[#This Row],[QR Suivis]],"_",5)</f>
        <v>1020</v>
      </c>
      <c r="R1128" s="84" t="str">
        <f>IF(
   COUNTIFS($A$2:A1128,A1128,
             $B$2:B1128,B1128,
             $C$2:C1128,C1128,
             $D$2:D1128,D1128,
             $G$2:G1128,G1128)&gt;1,
   "Doublon",
   "Correcte"
)</f>
        <v>Correcte</v>
      </c>
    </row>
    <row r="1129" spans="1:18" x14ac:dyDescent="0.25">
      <c r="A1129" s="104" t="s">
        <v>1888</v>
      </c>
      <c r="B1129" s="35" t="s">
        <v>712</v>
      </c>
      <c r="C1129" s="36">
        <v>5</v>
      </c>
      <c r="D1129" s="36">
        <v>0</v>
      </c>
      <c r="E1129" s="35" t="s">
        <v>699</v>
      </c>
      <c r="F1129" s="35" t="s">
        <v>634</v>
      </c>
      <c r="G1129" s="37">
        <v>45934.465011574073</v>
      </c>
      <c r="H1129" s="37" t="str">
        <f>INDEX(_xlfn.TEXTSPLIT(mvtst[[#This Row],[QR Suivis]],"_"),1,1)</f>
        <v>CA250016-11</v>
      </c>
      <c r="I1129" s="35" t="str">
        <f>_xlfn.TEXTBEFORE(mvtst[[#This Row],[Num Suivis]],"-",,,1)</f>
        <v>CA250016</v>
      </c>
      <c r="J1129" s="36">
        <f>SUMIF(mvtst[QR Suivis],mvtst[[#This Row],[QR Suivis]],mvtst[QTE SORTIS])-SUMIF(mvtst[QR Suivis],mvtst[[#This Row],[QR Suivis]],mvtst[QTE RETOUR])</f>
        <v>0</v>
      </c>
      <c r="K1129" s="35" t="str">
        <f t="shared" si="17"/>
        <v>Usine</v>
      </c>
      <c r="L1129" s="35" t="str">
        <f>_xlfn.XLOOKUP(mvtst[[#This Row],[Sous Traitant]],coordonnee_st[Identification],coordonnee_st[SERVICE],"Non Trouvé")</f>
        <v>Frange</v>
      </c>
      <c r="M1129" s="35" t="str">
        <f>INDEX(_xlfn.TEXTSPLIT(mvtst[[#This Row],[QR Suivis]],"_"),1,2)</f>
        <v>All by Fouta</v>
      </c>
      <c r="N1129" s="35" t="str">
        <f>INDEX(_xlfn.TEXTSPLIT(mvtst[[#This Row],[QR Suivis]],"_"),1,3)</f>
        <v>Stock</v>
      </c>
      <c r="O1129" s="35" t="str">
        <f>INDEX(_xlfn.TEXTSPLIT(mvtst[[#This Row],[QR Suivis]],"_"),1,4)</f>
        <v>UNS1020-27</v>
      </c>
      <c r="P1129" s="35" t="str">
        <f>INDEX(_xlfn.TEXTSPLIT(mvtst[[#This Row],[QR Suivis]],"_"),1,5)</f>
        <v>UNI SURPIQUE</v>
      </c>
      <c r="Q1129" s="35" t="str">
        <f>_xlfn.TEXTAFTER(mvtst[[#This Row],[QR Suivis]],"_",5)</f>
        <v>1020</v>
      </c>
      <c r="R1129" s="84" t="str">
        <f>IF(
   COUNTIFS($A$2:A1129,A1129,
             $B$2:B1129,B1129,
             $C$2:C1129,C1129,
             $D$2:D1129,D1129,
             $G$2:G1129,G1129)&gt;1,
   "Doublon",
   "Correcte"
)</f>
        <v>Correcte</v>
      </c>
    </row>
    <row r="1130" spans="1:18" x14ac:dyDescent="0.25">
      <c r="A1130" s="104" t="s">
        <v>1889</v>
      </c>
      <c r="B1130" s="35" t="s">
        <v>712</v>
      </c>
      <c r="C1130" s="36">
        <v>5</v>
      </c>
      <c r="D1130" s="36">
        <v>0</v>
      </c>
      <c r="E1130" s="35" t="s">
        <v>699</v>
      </c>
      <c r="F1130" s="35" t="s">
        <v>634</v>
      </c>
      <c r="G1130" s="37">
        <v>45934.465486111112</v>
      </c>
      <c r="H1130" s="37" t="str">
        <f>INDEX(_xlfn.TEXTSPLIT(mvtst[[#This Row],[QR Suivis]],"_"),1,1)</f>
        <v>CA250016-10</v>
      </c>
      <c r="I1130" s="35" t="str">
        <f>_xlfn.TEXTBEFORE(mvtst[[#This Row],[Num Suivis]],"-",,,1)</f>
        <v>CA250016</v>
      </c>
      <c r="J1130" s="36">
        <f>SUMIF(mvtst[QR Suivis],mvtst[[#This Row],[QR Suivis]],mvtst[QTE SORTIS])-SUMIF(mvtst[QR Suivis],mvtst[[#This Row],[QR Suivis]],mvtst[QTE RETOUR])</f>
        <v>0</v>
      </c>
      <c r="K1130" s="35" t="str">
        <f t="shared" si="17"/>
        <v>Usine</v>
      </c>
      <c r="L1130" s="35" t="str">
        <f>_xlfn.XLOOKUP(mvtst[[#This Row],[Sous Traitant]],coordonnee_st[Identification],coordonnee_st[SERVICE],"Non Trouvé")</f>
        <v>Frange</v>
      </c>
      <c r="M1130" s="35" t="str">
        <f>INDEX(_xlfn.TEXTSPLIT(mvtst[[#This Row],[QR Suivis]],"_"),1,2)</f>
        <v>All by Fouta</v>
      </c>
      <c r="N1130" s="35" t="str">
        <f>INDEX(_xlfn.TEXTSPLIT(mvtst[[#This Row],[QR Suivis]],"_"),1,3)</f>
        <v>Stock</v>
      </c>
      <c r="O1130" s="35" t="str">
        <f>INDEX(_xlfn.TEXTSPLIT(mvtst[[#This Row],[QR Suivis]],"_"),1,4)</f>
        <v>UNS1020-27</v>
      </c>
      <c r="P1130" s="35" t="str">
        <f>INDEX(_xlfn.TEXTSPLIT(mvtst[[#This Row],[QR Suivis]],"_"),1,5)</f>
        <v>UNI SURPIQUE</v>
      </c>
      <c r="Q1130" s="35" t="str">
        <f>_xlfn.TEXTAFTER(mvtst[[#This Row],[QR Suivis]],"_",5)</f>
        <v>1020</v>
      </c>
      <c r="R1130" s="84" t="str">
        <f>IF(
   COUNTIFS($A$2:A1130,A1130,
             $B$2:B1130,B1130,
             $C$2:C1130,C1130,
             $D$2:D1130,D1130,
             $G$2:G1130,G1130)&gt;1,
   "Doublon",
   "Correcte"
)</f>
        <v>Correcte</v>
      </c>
    </row>
    <row r="1131" spans="1:18" x14ac:dyDescent="0.25">
      <c r="A1131" s="104" t="s">
        <v>1890</v>
      </c>
      <c r="B1131" s="35" t="s">
        <v>712</v>
      </c>
      <c r="C1131" s="36">
        <v>5</v>
      </c>
      <c r="D1131" s="36">
        <v>0</v>
      </c>
      <c r="E1131" s="35" t="s">
        <v>699</v>
      </c>
      <c r="F1131" s="35" t="s">
        <v>634</v>
      </c>
      <c r="G1131" s="37">
        <v>45934.465682870374</v>
      </c>
      <c r="H1131" s="37" t="str">
        <f>INDEX(_xlfn.TEXTSPLIT(mvtst[[#This Row],[QR Suivis]],"_"),1,1)</f>
        <v>CA250019-6</v>
      </c>
      <c r="I1131" s="35" t="str">
        <f>_xlfn.TEXTBEFORE(mvtst[[#This Row],[Num Suivis]],"-",,,1)</f>
        <v>CA250019</v>
      </c>
      <c r="J1131" s="36">
        <f>SUMIF(mvtst[QR Suivis],mvtst[[#This Row],[QR Suivis]],mvtst[QTE SORTIS])-SUMIF(mvtst[QR Suivis],mvtst[[#This Row],[QR Suivis]],mvtst[QTE RETOUR])</f>
        <v>0</v>
      </c>
      <c r="K1131" s="35" t="str">
        <f t="shared" si="17"/>
        <v>Usine</v>
      </c>
      <c r="L1131" s="35" t="str">
        <f>_xlfn.XLOOKUP(mvtst[[#This Row],[Sous Traitant]],coordonnee_st[Identification],coordonnee_st[SERVICE],"Non Trouvé")</f>
        <v>Frange</v>
      </c>
      <c r="M1131" s="35" t="str">
        <f>INDEX(_xlfn.TEXTSPLIT(mvtst[[#This Row],[QR Suivis]],"_"),1,2)</f>
        <v>All by Fouta</v>
      </c>
      <c r="N1131" s="35" t="str">
        <f>INDEX(_xlfn.TEXTSPLIT(mvtst[[#This Row],[QR Suivis]],"_"),1,3)</f>
        <v>Stock</v>
      </c>
      <c r="O1131" s="35" t="str">
        <f>INDEX(_xlfn.TEXTSPLIT(mvtst[[#This Row],[QR Suivis]],"_"),1,4)</f>
        <v>UNS1020-32</v>
      </c>
      <c r="P1131" s="35" t="str">
        <f>INDEX(_xlfn.TEXTSPLIT(mvtst[[#This Row],[QR Suivis]],"_"),1,5)</f>
        <v>UNI SURPIQUE</v>
      </c>
      <c r="Q1131" s="35" t="str">
        <f>_xlfn.TEXTAFTER(mvtst[[#This Row],[QR Suivis]],"_",5)</f>
        <v>1020</v>
      </c>
      <c r="R1131" s="84" t="str">
        <f>IF(
   COUNTIFS($A$2:A1131,A1131,
             $B$2:B1131,B1131,
             $C$2:C1131,C1131,
             $D$2:D1131,D1131,
             $G$2:G1131,G1131)&gt;1,
   "Doublon",
   "Correcte"
)</f>
        <v>Correcte</v>
      </c>
    </row>
    <row r="1132" spans="1:18" x14ac:dyDescent="0.25">
      <c r="A1132" s="104" t="s">
        <v>1891</v>
      </c>
      <c r="B1132" s="35" t="s">
        <v>712</v>
      </c>
      <c r="C1132" s="36">
        <v>5</v>
      </c>
      <c r="D1132" s="36">
        <v>0</v>
      </c>
      <c r="E1132" s="35" t="s">
        <v>699</v>
      </c>
      <c r="F1132" s="35" t="s">
        <v>634</v>
      </c>
      <c r="G1132" s="37">
        <v>45934.465949074074</v>
      </c>
      <c r="H1132" s="37" t="str">
        <f>INDEX(_xlfn.TEXTSPLIT(mvtst[[#This Row],[QR Suivis]],"_"),1,1)</f>
        <v>CA250019-3</v>
      </c>
      <c r="I1132" s="35" t="str">
        <f>_xlfn.TEXTBEFORE(mvtst[[#This Row],[Num Suivis]],"-",,,1)</f>
        <v>CA250019</v>
      </c>
      <c r="J1132" s="36">
        <f>SUMIF(mvtst[QR Suivis],mvtst[[#This Row],[QR Suivis]],mvtst[QTE SORTIS])-SUMIF(mvtst[QR Suivis],mvtst[[#This Row],[QR Suivis]],mvtst[QTE RETOUR])</f>
        <v>0</v>
      </c>
      <c r="K1132" s="35" t="str">
        <f t="shared" si="17"/>
        <v>Usine</v>
      </c>
      <c r="L1132" s="35" t="str">
        <f>_xlfn.XLOOKUP(mvtst[[#This Row],[Sous Traitant]],coordonnee_st[Identification],coordonnee_st[SERVICE],"Non Trouvé")</f>
        <v>Frange</v>
      </c>
      <c r="M1132" s="35" t="str">
        <f>INDEX(_xlfn.TEXTSPLIT(mvtst[[#This Row],[QR Suivis]],"_"),1,2)</f>
        <v>All by Fouta</v>
      </c>
      <c r="N1132" s="35" t="str">
        <f>INDEX(_xlfn.TEXTSPLIT(mvtst[[#This Row],[QR Suivis]],"_"),1,3)</f>
        <v>Stock</v>
      </c>
      <c r="O1132" s="35" t="str">
        <f>INDEX(_xlfn.TEXTSPLIT(mvtst[[#This Row],[QR Suivis]],"_"),1,4)</f>
        <v>UNS1020-32</v>
      </c>
      <c r="P1132" s="35" t="str">
        <f>INDEX(_xlfn.TEXTSPLIT(mvtst[[#This Row],[QR Suivis]],"_"),1,5)</f>
        <v>UNI SURPIQUE</v>
      </c>
      <c r="Q1132" s="35" t="str">
        <f>_xlfn.TEXTAFTER(mvtst[[#This Row],[QR Suivis]],"_",5)</f>
        <v>1020</v>
      </c>
      <c r="R1132" s="84" t="str">
        <f>IF(
   COUNTIFS($A$2:A1132,A1132,
             $B$2:B1132,B1132,
             $C$2:C1132,C1132,
             $D$2:D1132,D1132,
             $G$2:G1132,G1132)&gt;1,
   "Doublon",
   "Correcte"
)</f>
        <v>Correcte</v>
      </c>
    </row>
    <row r="1133" spans="1:18" x14ac:dyDescent="0.25">
      <c r="A1133" s="104" t="s">
        <v>1892</v>
      </c>
      <c r="B1133" s="35" t="s">
        <v>712</v>
      </c>
      <c r="C1133" s="36">
        <v>5</v>
      </c>
      <c r="D1133" s="36">
        <v>0</v>
      </c>
      <c r="E1133" s="35" t="s">
        <v>699</v>
      </c>
      <c r="F1133" s="35" t="s">
        <v>634</v>
      </c>
      <c r="G1133" s="37">
        <v>45934.466192129628</v>
      </c>
      <c r="H1133" s="37" t="str">
        <f>INDEX(_xlfn.TEXTSPLIT(mvtst[[#This Row],[QR Suivis]],"_"),1,1)</f>
        <v>CA250019-5</v>
      </c>
      <c r="I1133" s="35" t="str">
        <f>_xlfn.TEXTBEFORE(mvtst[[#This Row],[Num Suivis]],"-",,,1)</f>
        <v>CA250019</v>
      </c>
      <c r="J1133" s="36">
        <f>SUMIF(mvtst[QR Suivis],mvtst[[#This Row],[QR Suivis]],mvtst[QTE SORTIS])-SUMIF(mvtst[QR Suivis],mvtst[[#This Row],[QR Suivis]],mvtst[QTE RETOUR])</f>
        <v>0</v>
      </c>
      <c r="K1133" s="35" t="str">
        <f t="shared" si="17"/>
        <v>Usine</v>
      </c>
      <c r="L1133" s="35" t="str">
        <f>_xlfn.XLOOKUP(mvtst[[#This Row],[Sous Traitant]],coordonnee_st[Identification],coordonnee_st[SERVICE],"Non Trouvé")</f>
        <v>Frange</v>
      </c>
      <c r="M1133" s="35" t="str">
        <f>INDEX(_xlfn.TEXTSPLIT(mvtst[[#This Row],[QR Suivis]],"_"),1,2)</f>
        <v>All by Fouta</v>
      </c>
      <c r="N1133" s="35" t="str">
        <f>INDEX(_xlfn.TEXTSPLIT(mvtst[[#This Row],[QR Suivis]],"_"),1,3)</f>
        <v>Stock</v>
      </c>
      <c r="O1133" s="35" t="str">
        <f>INDEX(_xlfn.TEXTSPLIT(mvtst[[#This Row],[QR Suivis]],"_"),1,4)</f>
        <v>UNS1020-32</v>
      </c>
      <c r="P1133" s="35" t="str">
        <f>INDEX(_xlfn.TEXTSPLIT(mvtst[[#This Row],[QR Suivis]],"_"),1,5)</f>
        <v>UNI SURPIQUE</v>
      </c>
      <c r="Q1133" s="35" t="str">
        <f>_xlfn.TEXTAFTER(mvtst[[#This Row],[QR Suivis]],"_",5)</f>
        <v>1020</v>
      </c>
      <c r="R1133" s="84" t="str">
        <f>IF(
   COUNTIFS($A$2:A1133,A1133,
             $B$2:B1133,B1133,
             $C$2:C1133,C1133,
             $D$2:D1133,D1133,
             $G$2:G1133,G1133)&gt;1,
   "Doublon",
   "Correcte"
)</f>
        <v>Correcte</v>
      </c>
    </row>
    <row r="1134" spans="1:18" x14ac:dyDescent="0.25">
      <c r="A1134" s="104" t="s">
        <v>1893</v>
      </c>
      <c r="B1134" s="35" t="s">
        <v>712</v>
      </c>
      <c r="C1134" s="36">
        <v>5</v>
      </c>
      <c r="D1134" s="36">
        <v>0</v>
      </c>
      <c r="E1134" s="35" t="s">
        <v>699</v>
      </c>
      <c r="F1134" s="35" t="s">
        <v>634</v>
      </c>
      <c r="G1134" s="37">
        <v>45934.466446759259</v>
      </c>
      <c r="H1134" s="37" t="str">
        <f>INDEX(_xlfn.TEXTSPLIT(mvtst[[#This Row],[QR Suivis]],"_"),1,1)</f>
        <v>CA250019-4</v>
      </c>
      <c r="I1134" s="35" t="str">
        <f>_xlfn.TEXTBEFORE(mvtst[[#This Row],[Num Suivis]],"-",,,1)</f>
        <v>CA250019</v>
      </c>
      <c r="J1134" s="36">
        <f>SUMIF(mvtst[QR Suivis],mvtst[[#This Row],[QR Suivis]],mvtst[QTE SORTIS])-SUMIF(mvtst[QR Suivis],mvtst[[#This Row],[QR Suivis]],mvtst[QTE RETOUR])</f>
        <v>0</v>
      </c>
      <c r="K1134" s="35" t="str">
        <f t="shared" si="17"/>
        <v>Usine</v>
      </c>
      <c r="L1134" s="35" t="str">
        <f>_xlfn.XLOOKUP(mvtst[[#This Row],[Sous Traitant]],coordonnee_st[Identification],coordonnee_st[SERVICE],"Non Trouvé")</f>
        <v>Frange</v>
      </c>
      <c r="M1134" s="35" t="str">
        <f>INDEX(_xlfn.TEXTSPLIT(mvtst[[#This Row],[QR Suivis]],"_"),1,2)</f>
        <v>All by Fouta</v>
      </c>
      <c r="N1134" s="35" t="str">
        <f>INDEX(_xlfn.TEXTSPLIT(mvtst[[#This Row],[QR Suivis]],"_"),1,3)</f>
        <v>Stock</v>
      </c>
      <c r="O1134" s="35" t="str">
        <f>INDEX(_xlfn.TEXTSPLIT(mvtst[[#This Row],[QR Suivis]],"_"),1,4)</f>
        <v>UNS1020-32</v>
      </c>
      <c r="P1134" s="35" t="str">
        <f>INDEX(_xlfn.TEXTSPLIT(mvtst[[#This Row],[QR Suivis]],"_"),1,5)</f>
        <v>UNI SURPIQUE</v>
      </c>
      <c r="Q1134" s="35" t="str">
        <f>_xlfn.TEXTAFTER(mvtst[[#This Row],[QR Suivis]],"_",5)</f>
        <v>1020</v>
      </c>
      <c r="R1134" s="84" t="str">
        <f>IF(
   COUNTIFS($A$2:A1134,A1134,
             $B$2:B1134,B1134,
             $C$2:C1134,C1134,
             $D$2:D1134,D1134,
             $G$2:G1134,G1134)&gt;1,
   "Doublon",
   "Correcte"
)</f>
        <v>Correcte</v>
      </c>
    </row>
    <row r="1135" spans="1:18" x14ac:dyDescent="0.25">
      <c r="A1135" s="104" t="s">
        <v>1894</v>
      </c>
      <c r="B1135" s="35" t="s">
        <v>712</v>
      </c>
      <c r="C1135" s="36">
        <v>4</v>
      </c>
      <c r="D1135" s="36">
        <v>0</v>
      </c>
      <c r="E1135" s="35" t="s">
        <v>699</v>
      </c>
      <c r="F1135" s="35" t="s">
        <v>634</v>
      </c>
      <c r="G1135" s="37">
        <v>45934.46675925926</v>
      </c>
      <c r="H1135" s="37" t="str">
        <f>INDEX(_xlfn.TEXTSPLIT(mvtst[[#This Row],[QR Suivis]],"_"),1,1)</f>
        <v>CA250051-6</v>
      </c>
      <c r="I1135" s="35" t="str">
        <f>_xlfn.TEXTBEFORE(mvtst[[#This Row],[Num Suivis]],"-",,,1)</f>
        <v>CA250051</v>
      </c>
      <c r="J1135" s="36">
        <f>SUMIF(mvtst[QR Suivis],mvtst[[#This Row],[QR Suivis]],mvtst[QTE SORTIS])-SUMIF(mvtst[QR Suivis],mvtst[[#This Row],[QR Suivis]],mvtst[QTE RETOUR])</f>
        <v>0</v>
      </c>
      <c r="K1135" s="35" t="str">
        <f t="shared" si="17"/>
        <v>Usine</v>
      </c>
      <c r="L1135" s="35" t="str">
        <f>_xlfn.XLOOKUP(mvtst[[#This Row],[Sous Traitant]],coordonnee_st[Identification],coordonnee_st[SERVICE],"Non Trouvé")</f>
        <v>Frange</v>
      </c>
      <c r="M1135" s="35" t="str">
        <f>INDEX(_xlfn.TEXTSPLIT(mvtst[[#This Row],[QR Suivis]],"_"),1,2)</f>
        <v>All by Fouta</v>
      </c>
      <c r="N1135" s="35" t="str">
        <f>INDEX(_xlfn.TEXTSPLIT(mvtst[[#This Row],[QR Suivis]],"_"),1,3)</f>
        <v>Stock</v>
      </c>
      <c r="O1135" s="35" t="str">
        <f>INDEX(_xlfn.TEXTSPLIT(mvtst[[#This Row],[QR Suivis]],"_"),1,4)</f>
        <v>UNS1626-19</v>
      </c>
      <c r="P1135" s="35" t="str">
        <f>INDEX(_xlfn.TEXTSPLIT(mvtst[[#This Row],[QR Suivis]],"_"),1,5)</f>
        <v>UNI SURPIQUE</v>
      </c>
      <c r="Q1135" s="35" t="str">
        <f>_xlfn.TEXTAFTER(mvtst[[#This Row],[QR Suivis]],"_",5)</f>
        <v>1626</v>
      </c>
      <c r="R1135" s="84" t="str">
        <f>IF(
   COUNTIFS($A$2:A1135,A1135,
             $B$2:B1135,B1135,
             $C$2:C1135,C1135,
             $D$2:D1135,D1135,
             $G$2:G1135,G1135)&gt;1,
   "Doublon",
   "Correcte"
)</f>
        <v>Correcte</v>
      </c>
    </row>
    <row r="1136" spans="1:18" x14ac:dyDescent="0.25">
      <c r="A1136" s="104" t="s">
        <v>1895</v>
      </c>
      <c r="B1136" s="35" t="s">
        <v>712</v>
      </c>
      <c r="C1136" s="36">
        <v>1</v>
      </c>
      <c r="D1136" s="36">
        <v>0</v>
      </c>
      <c r="E1136" s="35" t="s">
        <v>699</v>
      </c>
      <c r="F1136" s="35" t="s">
        <v>634</v>
      </c>
      <c r="G1136" s="37">
        <v>45934.466944444444</v>
      </c>
      <c r="H1136" s="37" t="str">
        <f>INDEX(_xlfn.TEXTSPLIT(mvtst[[#This Row],[QR Suivis]],"_"),1,1)</f>
        <v>CA250021-7</v>
      </c>
      <c r="I1136" s="35" t="str">
        <f>_xlfn.TEXTBEFORE(mvtst[[#This Row],[Num Suivis]],"-",,,1)</f>
        <v>CA250021</v>
      </c>
      <c r="J1136" s="36">
        <f>SUMIF(mvtst[QR Suivis],mvtst[[#This Row],[QR Suivis]],mvtst[QTE SORTIS])-SUMIF(mvtst[QR Suivis],mvtst[[#This Row],[QR Suivis]],mvtst[QTE RETOUR])</f>
        <v>0</v>
      </c>
      <c r="K1136" s="35" t="str">
        <f t="shared" si="17"/>
        <v>Usine</v>
      </c>
      <c r="L1136" s="35" t="str">
        <f>_xlfn.XLOOKUP(mvtst[[#This Row],[Sous Traitant]],coordonnee_st[Identification],coordonnee_st[SERVICE],"Non Trouvé")</f>
        <v>Frange</v>
      </c>
      <c r="M1136" s="35" t="str">
        <f>INDEX(_xlfn.TEXTSPLIT(mvtst[[#This Row],[QR Suivis]],"_"),1,2)</f>
        <v>All by Fouta</v>
      </c>
      <c r="N1136" s="35" t="str">
        <f>INDEX(_xlfn.TEXTSPLIT(mvtst[[#This Row],[QR Suivis]],"_"),1,3)</f>
        <v>Stock</v>
      </c>
      <c r="O1136" s="35" t="str">
        <f>INDEX(_xlfn.TEXTSPLIT(mvtst[[#This Row],[QR Suivis]],"_"),1,4)</f>
        <v>UNS2020-03</v>
      </c>
      <c r="P1136" s="35" t="str">
        <f>INDEX(_xlfn.TEXTSPLIT(mvtst[[#This Row],[QR Suivis]],"_"),1,5)</f>
        <v>UNI SURPIQUE</v>
      </c>
      <c r="Q1136" s="35" t="str">
        <f>_xlfn.TEXTAFTER(mvtst[[#This Row],[QR Suivis]],"_",5)</f>
        <v>2020</v>
      </c>
      <c r="R1136" s="84" t="str">
        <f>IF(
   COUNTIFS($A$2:A1136,A1136,
             $B$2:B1136,B1136,
             $C$2:C1136,C1136,
             $D$2:D1136,D1136,
             $G$2:G1136,G1136)&gt;1,
   "Doublon",
   "Correcte"
)</f>
        <v>Correcte</v>
      </c>
    </row>
    <row r="1137" spans="1:18" x14ac:dyDescent="0.25">
      <c r="A1137" s="104" t="s">
        <v>1896</v>
      </c>
      <c r="B1137" s="35" t="s">
        <v>712</v>
      </c>
      <c r="C1137" s="36">
        <v>3</v>
      </c>
      <c r="D1137" s="36">
        <v>0</v>
      </c>
      <c r="E1137" s="35" t="s">
        <v>699</v>
      </c>
      <c r="F1137" s="35" t="s">
        <v>634</v>
      </c>
      <c r="G1137" s="37">
        <v>45934.467164351852</v>
      </c>
      <c r="H1137" s="37" t="str">
        <f>INDEX(_xlfn.TEXTSPLIT(mvtst[[#This Row],[QR Suivis]],"_"),1,1)</f>
        <v>CA250053-3</v>
      </c>
      <c r="I1137" s="35" t="str">
        <f>_xlfn.TEXTBEFORE(mvtst[[#This Row],[Num Suivis]],"-",,,1)</f>
        <v>CA250053</v>
      </c>
      <c r="J1137" s="36">
        <f>SUMIF(mvtst[QR Suivis],mvtst[[#This Row],[QR Suivis]],mvtst[QTE SORTIS])-SUMIF(mvtst[QR Suivis],mvtst[[#This Row],[QR Suivis]],mvtst[QTE RETOUR])</f>
        <v>0</v>
      </c>
      <c r="K1137" s="35" t="str">
        <f t="shared" si="17"/>
        <v>Usine</v>
      </c>
      <c r="L1137" s="35" t="str">
        <f>_xlfn.XLOOKUP(mvtst[[#This Row],[Sous Traitant]],coordonnee_st[Identification],coordonnee_st[SERVICE],"Non Trouvé")</f>
        <v>Frange</v>
      </c>
      <c r="M1137" s="35" t="str">
        <f>INDEX(_xlfn.TEXTSPLIT(mvtst[[#This Row],[QR Suivis]],"_"),1,2)</f>
        <v>All by Fouta</v>
      </c>
      <c r="N1137" s="35" t="str">
        <f>INDEX(_xlfn.TEXTSPLIT(mvtst[[#This Row],[QR Suivis]],"_"),1,3)</f>
        <v>Stock</v>
      </c>
      <c r="O1137" s="35" t="str">
        <f>INDEX(_xlfn.TEXTSPLIT(mvtst[[#This Row],[QR Suivis]],"_"),1,4)</f>
        <v>UNS1626-23</v>
      </c>
      <c r="P1137" s="35" t="str">
        <f>INDEX(_xlfn.TEXTSPLIT(mvtst[[#This Row],[QR Suivis]],"_"),1,5)</f>
        <v>UNI SURPIQUE</v>
      </c>
      <c r="Q1137" s="35" t="str">
        <f>_xlfn.TEXTAFTER(mvtst[[#This Row],[QR Suivis]],"_",5)</f>
        <v>1626</v>
      </c>
      <c r="R1137" s="84" t="str">
        <f>IF(
   COUNTIFS($A$2:A1137,A1137,
             $B$2:B1137,B1137,
             $C$2:C1137,C1137,
             $D$2:D1137,D1137,
             $G$2:G1137,G1137)&gt;1,
   "Doublon",
   "Correcte"
)</f>
        <v>Correcte</v>
      </c>
    </row>
    <row r="1138" spans="1:18" x14ac:dyDescent="0.25">
      <c r="A1138" s="104" t="s">
        <v>1897</v>
      </c>
      <c r="B1138" s="35" t="s">
        <v>712</v>
      </c>
      <c r="C1138" s="36">
        <v>4</v>
      </c>
      <c r="D1138" s="36">
        <v>0</v>
      </c>
      <c r="E1138" s="35" t="s">
        <v>699</v>
      </c>
      <c r="F1138" s="35" t="s">
        <v>634</v>
      </c>
      <c r="G1138" s="37">
        <v>45934.467395833337</v>
      </c>
      <c r="H1138" s="37" t="str">
        <f>INDEX(_xlfn.TEXTSPLIT(mvtst[[#This Row],[QR Suivis]],"_"),1,1)</f>
        <v>CA250024-6</v>
      </c>
      <c r="I1138" s="35" t="str">
        <f>_xlfn.TEXTBEFORE(mvtst[[#This Row],[Num Suivis]],"-",,,1)</f>
        <v>CA250024</v>
      </c>
      <c r="J1138" s="36">
        <f>SUMIF(mvtst[QR Suivis],mvtst[[#This Row],[QR Suivis]],mvtst[QTE SORTIS])-SUMIF(mvtst[QR Suivis],mvtst[[#This Row],[QR Suivis]],mvtst[QTE RETOUR])</f>
        <v>0</v>
      </c>
      <c r="K1138" s="35" t="str">
        <f t="shared" si="17"/>
        <v>Usine</v>
      </c>
      <c r="L1138" s="35" t="str">
        <f>_xlfn.XLOOKUP(mvtst[[#This Row],[Sous Traitant]],coordonnee_st[Identification],coordonnee_st[SERVICE],"Non Trouvé")</f>
        <v>Frange</v>
      </c>
      <c r="M1138" s="35" t="str">
        <f>INDEX(_xlfn.TEXTSPLIT(mvtst[[#This Row],[QR Suivis]],"_"),1,2)</f>
        <v>All by Fouta</v>
      </c>
      <c r="N1138" s="35" t="str">
        <f>INDEX(_xlfn.TEXTSPLIT(mvtst[[#This Row],[QR Suivis]],"_"),1,3)</f>
        <v>Stock</v>
      </c>
      <c r="O1138" s="35" t="str">
        <f>INDEX(_xlfn.TEXTSPLIT(mvtst[[#This Row],[QR Suivis]],"_"),1,4)</f>
        <v>UNS2020-09</v>
      </c>
      <c r="P1138" s="35" t="str">
        <f>INDEX(_xlfn.TEXTSPLIT(mvtst[[#This Row],[QR Suivis]],"_"),1,5)</f>
        <v>UNI SURPIQUE</v>
      </c>
      <c r="Q1138" s="35" t="str">
        <f>_xlfn.TEXTAFTER(mvtst[[#This Row],[QR Suivis]],"_",5)</f>
        <v>2020</v>
      </c>
      <c r="R1138" s="84" t="str">
        <f>IF(
   COUNTIFS($A$2:A1138,A1138,
             $B$2:B1138,B1138,
             $C$2:C1138,C1138,
             $D$2:D1138,D1138,
             $G$2:G1138,G1138)&gt;1,
   "Doublon",
   "Correcte"
)</f>
        <v>Correcte</v>
      </c>
    </row>
    <row r="1139" spans="1:18" x14ac:dyDescent="0.25">
      <c r="A1139" s="104" t="s">
        <v>1898</v>
      </c>
      <c r="B1139" s="35" t="s">
        <v>712</v>
      </c>
      <c r="C1139" s="36">
        <v>4</v>
      </c>
      <c r="D1139" s="36">
        <v>0</v>
      </c>
      <c r="E1139" s="35" t="s">
        <v>699</v>
      </c>
      <c r="F1139" s="35" t="s">
        <v>634</v>
      </c>
      <c r="G1139" s="37">
        <v>45934.467962962961</v>
      </c>
      <c r="H1139" s="37" t="str">
        <f>INDEX(_xlfn.TEXTSPLIT(mvtst[[#This Row],[QR Suivis]],"_"),1,1)</f>
        <v>CA250019-12</v>
      </c>
      <c r="I1139" s="35" t="str">
        <f>_xlfn.TEXTBEFORE(mvtst[[#This Row],[Num Suivis]],"-",,,1)</f>
        <v>CA250019</v>
      </c>
      <c r="J1139" s="36">
        <f>SUMIF(mvtst[QR Suivis],mvtst[[#This Row],[QR Suivis]],mvtst[QTE SORTIS])-SUMIF(mvtst[QR Suivis],mvtst[[#This Row],[QR Suivis]],mvtst[QTE RETOUR])</f>
        <v>0</v>
      </c>
      <c r="K1139" s="35" t="str">
        <f t="shared" si="17"/>
        <v>Usine</v>
      </c>
      <c r="L1139" s="35" t="str">
        <f>_xlfn.XLOOKUP(mvtst[[#This Row],[Sous Traitant]],coordonnee_st[Identification],coordonnee_st[SERVICE],"Non Trouvé")</f>
        <v>Frange</v>
      </c>
      <c r="M1139" s="35" t="str">
        <f>INDEX(_xlfn.TEXTSPLIT(mvtst[[#This Row],[QR Suivis]],"_"),1,2)</f>
        <v>All by Fouta</v>
      </c>
      <c r="N1139" s="35" t="str">
        <f>INDEX(_xlfn.TEXTSPLIT(mvtst[[#This Row],[QR Suivis]],"_"),1,3)</f>
        <v>Stock</v>
      </c>
      <c r="O1139" s="35" t="str">
        <f>INDEX(_xlfn.TEXTSPLIT(mvtst[[#This Row],[QR Suivis]],"_"),1,4)</f>
        <v>UNS1020-32</v>
      </c>
      <c r="P1139" s="35" t="str">
        <f>INDEX(_xlfn.TEXTSPLIT(mvtst[[#This Row],[QR Suivis]],"_"),1,5)</f>
        <v>UNI SURPIQUE</v>
      </c>
      <c r="Q1139" s="35" t="str">
        <f>_xlfn.TEXTAFTER(mvtst[[#This Row],[QR Suivis]],"_",5)</f>
        <v>1020</v>
      </c>
      <c r="R1139" s="84" t="str">
        <f>IF(
   COUNTIFS($A$2:A1139,A1139,
             $B$2:B1139,B1139,
             $C$2:C1139,C1139,
             $D$2:D1139,D1139,
             $G$2:G1139,G1139)&gt;1,
   "Doublon",
   "Correcte"
)</f>
        <v>Correcte</v>
      </c>
    </row>
    <row r="1140" spans="1:18" x14ac:dyDescent="0.25">
      <c r="A1140" s="104" t="s">
        <v>1899</v>
      </c>
      <c r="B1140" s="35" t="s">
        <v>712</v>
      </c>
      <c r="C1140" s="36">
        <v>5</v>
      </c>
      <c r="D1140" s="36">
        <v>0</v>
      </c>
      <c r="E1140" s="35" t="s">
        <v>699</v>
      </c>
      <c r="F1140" s="35" t="s">
        <v>634</v>
      </c>
      <c r="G1140" s="37">
        <v>45934.486990740741</v>
      </c>
      <c r="H1140" s="37" t="str">
        <f>INDEX(_xlfn.TEXTSPLIT(mvtst[[#This Row],[QR Suivis]],"_"),1,1)</f>
        <v>CA250047-4</v>
      </c>
      <c r="I1140" s="35" t="str">
        <f>_xlfn.TEXTBEFORE(mvtst[[#This Row],[Num Suivis]],"-",,,1)</f>
        <v>CA250047</v>
      </c>
      <c r="J1140" s="36">
        <f>SUMIF(mvtst[QR Suivis],mvtst[[#This Row],[QR Suivis]],mvtst[QTE SORTIS])-SUMIF(mvtst[QR Suivis],mvtst[[#This Row],[QR Suivis]],mvtst[QTE RETOUR])</f>
        <v>0</v>
      </c>
      <c r="K1140" s="35" t="str">
        <f t="shared" si="17"/>
        <v>Usine</v>
      </c>
      <c r="L1140" s="35" t="str">
        <f>_xlfn.XLOOKUP(mvtst[[#This Row],[Sous Traitant]],coordonnee_st[Identification],coordonnee_st[SERVICE],"Non Trouvé")</f>
        <v>Frange</v>
      </c>
      <c r="M1140" s="35" t="str">
        <f>INDEX(_xlfn.TEXTSPLIT(mvtst[[#This Row],[QR Suivis]],"_"),1,2)</f>
        <v>All by Fouta</v>
      </c>
      <c r="N1140" s="35" t="str">
        <f>INDEX(_xlfn.TEXTSPLIT(mvtst[[#This Row],[QR Suivis]],"_"),1,3)</f>
        <v>Stock</v>
      </c>
      <c r="O1140" s="35" t="str">
        <f>INDEX(_xlfn.TEXTSPLIT(mvtst[[#This Row],[QR Suivis]],"_"),1,4)</f>
        <v>UNS1626-13</v>
      </c>
      <c r="P1140" s="35" t="str">
        <f>INDEX(_xlfn.TEXTSPLIT(mvtst[[#This Row],[QR Suivis]],"_"),1,5)</f>
        <v>UNI SURPIQUE</v>
      </c>
      <c r="Q1140" s="35" t="str">
        <f>_xlfn.TEXTAFTER(mvtst[[#This Row],[QR Suivis]],"_",5)</f>
        <v>1626</v>
      </c>
      <c r="R1140" s="84" t="str">
        <f>IF(
   COUNTIFS($A$2:A1140,A1140,
             $B$2:B1140,B1140,
             $C$2:C1140,C1140,
             $D$2:D1140,D1140,
             $G$2:G1140,G1140)&gt;1,
   "Doublon",
   "Correcte"
)</f>
        <v>Correcte</v>
      </c>
    </row>
    <row r="1141" spans="1:18" x14ac:dyDescent="0.25">
      <c r="A1141" s="104" t="s">
        <v>1900</v>
      </c>
      <c r="B1141" s="35" t="s">
        <v>712</v>
      </c>
      <c r="C1141" s="36">
        <v>5</v>
      </c>
      <c r="D1141" s="36">
        <v>0</v>
      </c>
      <c r="E1141" s="35" t="s">
        <v>699</v>
      </c>
      <c r="F1141" s="35" t="s">
        <v>634</v>
      </c>
      <c r="G1141" s="37">
        <v>45934.487256944441</v>
      </c>
      <c r="H1141" s="37" t="str">
        <f>INDEX(_xlfn.TEXTSPLIT(mvtst[[#This Row],[QR Suivis]],"_"),1,1)</f>
        <v>CA250047-1</v>
      </c>
      <c r="I1141" s="35" t="str">
        <f>_xlfn.TEXTBEFORE(mvtst[[#This Row],[Num Suivis]],"-",,,1)</f>
        <v>CA250047</v>
      </c>
      <c r="J1141" s="36">
        <f>SUMIF(mvtst[QR Suivis],mvtst[[#This Row],[QR Suivis]],mvtst[QTE SORTIS])-SUMIF(mvtst[QR Suivis],mvtst[[#This Row],[QR Suivis]],mvtst[QTE RETOUR])</f>
        <v>0</v>
      </c>
      <c r="K1141" s="35" t="str">
        <f t="shared" si="17"/>
        <v>Usine</v>
      </c>
      <c r="L1141" s="35" t="str">
        <f>_xlfn.XLOOKUP(mvtst[[#This Row],[Sous Traitant]],coordonnee_st[Identification],coordonnee_st[SERVICE],"Non Trouvé")</f>
        <v>Frange</v>
      </c>
      <c r="M1141" s="35" t="str">
        <f>INDEX(_xlfn.TEXTSPLIT(mvtst[[#This Row],[QR Suivis]],"_"),1,2)</f>
        <v>All by Fouta</v>
      </c>
      <c r="N1141" s="35" t="str">
        <f>INDEX(_xlfn.TEXTSPLIT(mvtst[[#This Row],[QR Suivis]],"_"),1,3)</f>
        <v>Stock</v>
      </c>
      <c r="O1141" s="35" t="str">
        <f>INDEX(_xlfn.TEXTSPLIT(mvtst[[#This Row],[QR Suivis]],"_"),1,4)</f>
        <v>UNS1626-13</v>
      </c>
      <c r="P1141" s="35" t="str">
        <f>INDEX(_xlfn.TEXTSPLIT(mvtst[[#This Row],[QR Suivis]],"_"),1,5)</f>
        <v>UNI SURPIQUE</v>
      </c>
      <c r="Q1141" s="35" t="str">
        <f>_xlfn.TEXTAFTER(mvtst[[#This Row],[QR Suivis]],"_",5)</f>
        <v>1626</v>
      </c>
      <c r="R1141" s="84" t="str">
        <f>IF(
   COUNTIFS($A$2:A1141,A1141,
             $B$2:B1141,B1141,
             $C$2:C1141,C1141,
             $D$2:D1141,D1141,
             $G$2:G1141,G1141)&gt;1,
   "Doublon",
   "Correcte"
)</f>
        <v>Correcte</v>
      </c>
    </row>
    <row r="1142" spans="1:18" x14ac:dyDescent="0.25">
      <c r="A1142" s="104" t="s">
        <v>1901</v>
      </c>
      <c r="B1142" s="35" t="s">
        <v>712</v>
      </c>
      <c r="C1142" s="36">
        <v>5</v>
      </c>
      <c r="D1142" s="36">
        <v>0</v>
      </c>
      <c r="E1142" s="35" t="s">
        <v>699</v>
      </c>
      <c r="F1142" s="35" t="s">
        <v>634</v>
      </c>
      <c r="G1142" s="37">
        <v>45934.487442129626</v>
      </c>
      <c r="H1142" s="37" t="str">
        <f>INDEX(_xlfn.TEXTSPLIT(mvtst[[#This Row],[QR Suivis]],"_"),1,1)</f>
        <v>CA250047-3</v>
      </c>
      <c r="I1142" s="35" t="str">
        <f>_xlfn.TEXTBEFORE(mvtst[[#This Row],[Num Suivis]],"-",,,1)</f>
        <v>CA250047</v>
      </c>
      <c r="J1142" s="36">
        <f>SUMIF(mvtst[QR Suivis],mvtst[[#This Row],[QR Suivis]],mvtst[QTE SORTIS])-SUMIF(mvtst[QR Suivis],mvtst[[#This Row],[QR Suivis]],mvtst[QTE RETOUR])</f>
        <v>0</v>
      </c>
      <c r="K1142" s="35" t="str">
        <f t="shared" si="17"/>
        <v>Usine</v>
      </c>
      <c r="L1142" s="35" t="str">
        <f>_xlfn.XLOOKUP(mvtst[[#This Row],[Sous Traitant]],coordonnee_st[Identification],coordonnee_st[SERVICE],"Non Trouvé")</f>
        <v>Frange</v>
      </c>
      <c r="M1142" s="35" t="str">
        <f>INDEX(_xlfn.TEXTSPLIT(mvtst[[#This Row],[QR Suivis]],"_"),1,2)</f>
        <v>All by Fouta</v>
      </c>
      <c r="N1142" s="35" t="str">
        <f>INDEX(_xlfn.TEXTSPLIT(mvtst[[#This Row],[QR Suivis]],"_"),1,3)</f>
        <v>Stock</v>
      </c>
      <c r="O1142" s="35" t="str">
        <f>INDEX(_xlfn.TEXTSPLIT(mvtst[[#This Row],[QR Suivis]],"_"),1,4)</f>
        <v>UNS1626-13</v>
      </c>
      <c r="P1142" s="35" t="str">
        <f>INDEX(_xlfn.TEXTSPLIT(mvtst[[#This Row],[QR Suivis]],"_"),1,5)</f>
        <v>UNI SURPIQUE</v>
      </c>
      <c r="Q1142" s="35" t="str">
        <f>_xlfn.TEXTAFTER(mvtst[[#This Row],[QR Suivis]],"_",5)</f>
        <v>1626</v>
      </c>
      <c r="R1142" s="84" t="str">
        <f>IF(
   COUNTIFS($A$2:A1142,A1142,
             $B$2:B1142,B1142,
             $C$2:C1142,C1142,
             $D$2:D1142,D1142,
             $G$2:G1142,G1142)&gt;1,
   "Doublon",
   "Correcte"
)</f>
        <v>Correcte</v>
      </c>
    </row>
    <row r="1143" spans="1:18" x14ac:dyDescent="0.25">
      <c r="A1143" s="104" t="s">
        <v>1902</v>
      </c>
      <c r="B1143" s="35" t="s">
        <v>712</v>
      </c>
      <c r="C1143" s="36">
        <v>5</v>
      </c>
      <c r="D1143" s="36">
        <v>0</v>
      </c>
      <c r="E1143" s="35" t="s">
        <v>699</v>
      </c>
      <c r="F1143" s="35" t="s">
        <v>634</v>
      </c>
      <c r="G1143" s="37">
        <v>45934.487708333334</v>
      </c>
      <c r="H1143" s="37" t="str">
        <f>INDEX(_xlfn.TEXTSPLIT(mvtst[[#This Row],[QR Suivis]],"_"),1,1)</f>
        <v>CA250047-2</v>
      </c>
      <c r="I1143" s="35" t="str">
        <f>_xlfn.TEXTBEFORE(mvtst[[#This Row],[Num Suivis]],"-",,,1)</f>
        <v>CA250047</v>
      </c>
      <c r="J1143" s="36">
        <f>SUMIF(mvtst[QR Suivis],mvtst[[#This Row],[QR Suivis]],mvtst[QTE SORTIS])-SUMIF(mvtst[QR Suivis],mvtst[[#This Row],[QR Suivis]],mvtst[QTE RETOUR])</f>
        <v>0</v>
      </c>
      <c r="K1143" s="35" t="str">
        <f t="shared" si="17"/>
        <v>Usine</v>
      </c>
      <c r="L1143" s="35" t="str">
        <f>_xlfn.XLOOKUP(mvtst[[#This Row],[Sous Traitant]],coordonnee_st[Identification],coordonnee_st[SERVICE],"Non Trouvé")</f>
        <v>Frange</v>
      </c>
      <c r="M1143" s="35" t="str">
        <f>INDEX(_xlfn.TEXTSPLIT(mvtst[[#This Row],[QR Suivis]],"_"),1,2)</f>
        <v>All by Fouta</v>
      </c>
      <c r="N1143" s="35" t="str">
        <f>INDEX(_xlfn.TEXTSPLIT(mvtst[[#This Row],[QR Suivis]],"_"),1,3)</f>
        <v>Stock</v>
      </c>
      <c r="O1143" s="35" t="str">
        <f>INDEX(_xlfn.TEXTSPLIT(mvtst[[#This Row],[QR Suivis]],"_"),1,4)</f>
        <v>UNS1626-13</v>
      </c>
      <c r="P1143" s="35" t="str">
        <f>INDEX(_xlfn.TEXTSPLIT(mvtst[[#This Row],[QR Suivis]],"_"),1,5)</f>
        <v>UNI SURPIQUE</v>
      </c>
      <c r="Q1143" s="35" t="str">
        <f>_xlfn.TEXTAFTER(mvtst[[#This Row],[QR Suivis]],"_",5)</f>
        <v>1626</v>
      </c>
      <c r="R1143" s="84" t="str">
        <f>IF(
   COUNTIFS($A$2:A1143,A1143,
             $B$2:B1143,B1143,
             $C$2:C1143,C1143,
             $D$2:D1143,D1143,
             $G$2:G1143,G1143)&gt;1,
   "Doublon",
   "Correcte"
)</f>
        <v>Correcte</v>
      </c>
    </row>
    <row r="1144" spans="1:18" x14ac:dyDescent="0.25">
      <c r="A1144" s="104" t="s">
        <v>1903</v>
      </c>
      <c r="B1144" s="35" t="s">
        <v>712</v>
      </c>
      <c r="C1144" s="36">
        <v>5</v>
      </c>
      <c r="D1144" s="36">
        <v>0</v>
      </c>
      <c r="E1144" s="35" t="s">
        <v>699</v>
      </c>
      <c r="F1144" s="35" t="s">
        <v>634</v>
      </c>
      <c r="G1144" s="37">
        <v>45934.487974537034</v>
      </c>
      <c r="H1144" s="37" t="str">
        <f>INDEX(_xlfn.TEXTSPLIT(mvtst[[#This Row],[QR Suivis]],"_"),1,1)</f>
        <v>CA250047-5</v>
      </c>
      <c r="I1144" s="35" t="str">
        <f>_xlfn.TEXTBEFORE(mvtst[[#This Row],[Num Suivis]],"-",,,1)</f>
        <v>CA250047</v>
      </c>
      <c r="J1144" s="36">
        <f>SUMIF(mvtst[QR Suivis],mvtst[[#This Row],[QR Suivis]],mvtst[QTE SORTIS])-SUMIF(mvtst[QR Suivis],mvtst[[#This Row],[QR Suivis]],mvtst[QTE RETOUR])</f>
        <v>0</v>
      </c>
      <c r="K1144" s="35" t="str">
        <f t="shared" si="17"/>
        <v>Usine</v>
      </c>
      <c r="L1144" s="35" t="str">
        <f>_xlfn.XLOOKUP(mvtst[[#This Row],[Sous Traitant]],coordonnee_st[Identification],coordonnee_st[SERVICE],"Non Trouvé")</f>
        <v>Frange</v>
      </c>
      <c r="M1144" s="35" t="str">
        <f>INDEX(_xlfn.TEXTSPLIT(mvtst[[#This Row],[QR Suivis]],"_"),1,2)</f>
        <v>All by Fouta</v>
      </c>
      <c r="N1144" s="35" t="str">
        <f>INDEX(_xlfn.TEXTSPLIT(mvtst[[#This Row],[QR Suivis]],"_"),1,3)</f>
        <v>Stock</v>
      </c>
      <c r="O1144" s="35" t="str">
        <f>INDEX(_xlfn.TEXTSPLIT(mvtst[[#This Row],[QR Suivis]],"_"),1,4)</f>
        <v>UNS1626-13</v>
      </c>
      <c r="P1144" s="35" t="str">
        <f>INDEX(_xlfn.TEXTSPLIT(mvtst[[#This Row],[QR Suivis]],"_"),1,5)</f>
        <v>UNI SURPIQUE</v>
      </c>
      <c r="Q1144" s="35" t="str">
        <f>_xlfn.TEXTAFTER(mvtst[[#This Row],[QR Suivis]],"_",5)</f>
        <v>1626</v>
      </c>
      <c r="R1144" s="84" t="str">
        <f>IF(
   COUNTIFS($A$2:A1144,A1144,
             $B$2:B1144,B1144,
             $C$2:C1144,C1144,
             $D$2:D1144,D1144,
             $G$2:G1144,G1144)&gt;1,
   "Doublon",
   "Correcte"
)</f>
        <v>Correcte</v>
      </c>
    </row>
    <row r="1145" spans="1:18" x14ac:dyDescent="0.25">
      <c r="A1145" s="104" t="s">
        <v>1904</v>
      </c>
      <c r="B1145" s="35" t="s">
        <v>712</v>
      </c>
      <c r="C1145" s="36">
        <v>5</v>
      </c>
      <c r="D1145" s="36">
        <v>0</v>
      </c>
      <c r="E1145" s="35" t="s">
        <v>699</v>
      </c>
      <c r="F1145" s="35" t="s">
        <v>634</v>
      </c>
      <c r="G1145" s="37">
        <v>45934.491956018515</v>
      </c>
      <c r="H1145" s="37" t="str">
        <f>INDEX(_xlfn.TEXTSPLIT(mvtst[[#This Row],[QR Suivis]],"_"),1,1)</f>
        <v>CA250016-12</v>
      </c>
      <c r="I1145" s="35" t="str">
        <f>_xlfn.TEXTBEFORE(mvtst[[#This Row],[Num Suivis]],"-",,,1)</f>
        <v>CA250016</v>
      </c>
      <c r="J1145" s="36">
        <f>SUMIF(mvtst[QR Suivis],mvtst[[#This Row],[QR Suivis]],mvtst[QTE SORTIS])-SUMIF(mvtst[QR Suivis],mvtst[[#This Row],[QR Suivis]],mvtst[QTE RETOUR])</f>
        <v>0</v>
      </c>
      <c r="K1145" s="35" t="str">
        <f t="shared" si="17"/>
        <v>Usine</v>
      </c>
      <c r="L1145" s="35" t="str">
        <f>_xlfn.XLOOKUP(mvtst[[#This Row],[Sous Traitant]],coordonnee_st[Identification],coordonnee_st[SERVICE],"Non Trouvé")</f>
        <v>Frange</v>
      </c>
      <c r="M1145" s="35" t="str">
        <f>INDEX(_xlfn.TEXTSPLIT(mvtst[[#This Row],[QR Suivis]],"_"),1,2)</f>
        <v>All by Fouta</v>
      </c>
      <c r="N1145" s="35" t="str">
        <f>INDEX(_xlfn.TEXTSPLIT(mvtst[[#This Row],[QR Suivis]],"_"),1,3)</f>
        <v>Stock</v>
      </c>
      <c r="O1145" s="35" t="str">
        <f>INDEX(_xlfn.TEXTSPLIT(mvtst[[#This Row],[QR Suivis]],"_"),1,4)</f>
        <v>UNS1020-27</v>
      </c>
      <c r="P1145" s="35" t="str">
        <f>INDEX(_xlfn.TEXTSPLIT(mvtst[[#This Row],[QR Suivis]],"_"),1,5)</f>
        <v>UNI SURPIQUE</v>
      </c>
      <c r="Q1145" s="35" t="str">
        <f>_xlfn.TEXTAFTER(mvtst[[#This Row],[QR Suivis]],"_",5)</f>
        <v>1020</v>
      </c>
      <c r="R1145" s="84" t="str">
        <f>IF(
   COUNTIFS($A$2:A1145,A1145,
             $B$2:B1145,B1145,
             $C$2:C1145,C1145,
             $D$2:D1145,D1145,
             $G$2:G1145,G1145)&gt;1,
   "Doublon",
   "Correcte"
)</f>
        <v>Correcte</v>
      </c>
    </row>
    <row r="1146" spans="1:18" x14ac:dyDescent="0.25">
      <c r="A1146" s="104" t="s">
        <v>1905</v>
      </c>
      <c r="B1146" s="35" t="s">
        <v>595</v>
      </c>
      <c r="C1146" s="36">
        <v>5</v>
      </c>
      <c r="D1146" s="36">
        <v>0</v>
      </c>
      <c r="E1146" s="35" t="s">
        <v>699</v>
      </c>
      <c r="F1146" s="35" t="s">
        <v>634</v>
      </c>
      <c r="G1146" s="37">
        <v>45934.501388888886</v>
      </c>
      <c r="H1146" s="37" t="str">
        <f>INDEX(_xlfn.TEXTSPLIT(mvtst[[#This Row],[QR Suivis]],"_"),1,1)</f>
        <v>OF249869-12</v>
      </c>
      <c r="I1146" s="35" t="str">
        <f>_xlfn.TEXTBEFORE(mvtst[[#This Row],[Num Suivis]],"-",,,1)</f>
        <v>OF249869</v>
      </c>
      <c r="J1146" s="36">
        <f>SUMIF(mvtst[QR Suivis],mvtst[[#This Row],[QR Suivis]],mvtst[QTE SORTIS])-SUMIF(mvtst[QR Suivis],mvtst[[#This Row],[QR Suivis]],mvtst[QTE RETOUR])</f>
        <v>0</v>
      </c>
      <c r="K1146" s="35" t="str">
        <f t="shared" si="17"/>
        <v>Usine</v>
      </c>
      <c r="L1146" s="35" t="str">
        <f>_xlfn.XLOOKUP(mvtst[[#This Row],[Sous Traitant]],coordonnee_st[Identification],coordonnee_st[SERVICE],"Non Trouvé")</f>
        <v>Frange</v>
      </c>
      <c r="M1146" s="35" t="str">
        <f>INDEX(_xlfn.TEXTSPLIT(mvtst[[#This Row],[QR Suivis]],"_"),1,2)</f>
        <v>CL00884</v>
      </c>
      <c r="N1146" s="35" t="str">
        <f>INDEX(_xlfn.TEXTSPLIT(mvtst[[#This Row],[QR Suivis]],"_"),1,3)</f>
        <v>CM-FT0119</v>
      </c>
      <c r="O1146" s="35" t="str">
        <f>INDEX(_xlfn.TEXTSPLIT(mvtst[[#This Row],[QR Suivis]],"_"),1,4)</f>
        <v>EPMA0919-B29-02</v>
      </c>
      <c r="P1146" s="35" t="str">
        <f>INDEX(_xlfn.TEXTSPLIT(mvtst[[#This Row],[QR Suivis]],"_"),1,5)</f>
        <v>MARINIERE</v>
      </c>
      <c r="Q1146" s="35" t="str">
        <f>_xlfn.TEXTAFTER(mvtst[[#This Row],[QR Suivis]],"_",5)</f>
        <v>0919</v>
      </c>
      <c r="R1146" s="84" t="str">
        <f>IF(
   COUNTIFS($A$2:A1146,A1146,
             $B$2:B1146,B1146,
             $C$2:C1146,C1146,
             $D$2:D1146,D1146,
             $G$2:G1146,G1146)&gt;1,
   "Doublon",
   "Correcte"
)</f>
        <v>Correcte</v>
      </c>
    </row>
    <row r="1147" spans="1:18" x14ac:dyDescent="0.25">
      <c r="A1147" s="104" t="s">
        <v>1906</v>
      </c>
      <c r="B1147" s="35" t="s">
        <v>595</v>
      </c>
      <c r="C1147" s="36">
        <v>5</v>
      </c>
      <c r="D1147" s="36">
        <v>0</v>
      </c>
      <c r="E1147" s="35" t="s">
        <v>699</v>
      </c>
      <c r="F1147" s="35" t="s">
        <v>634</v>
      </c>
      <c r="G1147" s="37">
        <v>45934.50172453704</v>
      </c>
      <c r="H1147" s="37" t="str">
        <f>INDEX(_xlfn.TEXTSPLIT(mvtst[[#This Row],[QR Suivis]],"_"),1,1)</f>
        <v>OF249869-8</v>
      </c>
      <c r="I1147" s="35" t="str">
        <f>_xlfn.TEXTBEFORE(mvtst[[#This Row],[Num Suivis]],"-",,,1)</f>
        <v>OF249869</v>
      </c>
      <c r="J1147" s="36">
        <f>SUMIF(mvtst[QR Suivis],mvtst[[#This Row],[QR Suivis]],mvtst[QTE SORTIS])-SUMIF(mvtst[QR Suivis],mvtst[[#This Row],[QR Suivis]],mvtst[QTE RETOUR])</f>
        <v>0</v>
      </c>
      <c r="K1147" s="35" t="str">
        <f t="shared" si="17"/>
        <v>Usine</v>
      </c>
      <c r="L1147" s="35" t="str">
        <f>_xlfn.XLOOKUP(mvtst[[#This Row],[Sous Traitant]],coordonnee_st[Identification],coordonnee_st[SERVICE],"Non Trouvé")</f>
        <v>Frange</v>
      </c>
      <c r="M1147" s="35" t="str">
        <f>INDEX(_xlfn.TEXTSPLIT(mvtst[[#This Row],[QR Suivis]],"_"),1,2)</f>
        <v>CL00884</v>
      </c>
      <c r="N1147" s="35" t="str">
        <f>INDEX(_xlfn.TEXTSPLIT(mvtst[[#This Row],[QR Suivis]],"_"),1,3)</f>
        <v>CM-FT0119</v>
      </c>
      <c r="O1147" s="35" t="str">
        <f>INDEX(_xlfn.TEXTSPLIT(mvtst[[#This Row],[QR Suivis]],"_"),1,4)</f>
        <v>EPMA0919-B29-02</v>
      </c>
      <c r="P1147" s="35" t="str">
        <f>INDEX(_xlfn.TEXTSPLIT(mvtst[[#This Row],[QR Suivis]],"_"),1,5)</f>
        <v>MARINIERE</v>
      </c>
      <c r="Q1147" s="35" t="str">
        <f>_xlfn.TEXTAFTER(mvtst[[#This Row],[QR Suivis]],"_",5)</f>
        <v>0919</v>
      </c>
      <c r="R1147" s="84" t="str">
        <f>IF(
   COUNTIFS($A$2:A1147,A1147,
             $B$2:B1147,B1147,
             $C$2:C1147,C1147,
             $D$2:D1147,D1147,
             $G$2:G1147,G1147)&gt;1,
   "Doublon",
   "Correcte"
)</f>
        <v>Correcte</v>
      </c>
    </row>
    <row r="1148" spans="1:18" x14ac:dyDescent="0.25">
      <c r="A1148" s="104" t="s">
        <v>1907</v>
      </c>
      <c r="B1148" s="35" t="s">
        <v>595</v>
      </c>
      <c r="C1148" s="36">
        <v>5</v>
      </c>
      <c r="D1148" s="36">
        <v>0</v>
      </c>
      <c r="E1148" s="35" t="s">
        <v>699</v>
      </c>
      <c r="F1148" s="35" t="s">
        <v>634</v>
      </c>
      <c r="G1148" s="37">
        <v>45934.502013888887</v>
      </c>
      <c r="H1148" s="37" t="str">
        <f>INDEX(_xlfn.TEXTSPLIT(mvtst[[#This Row],[QR Suivis]],"_"),1,1)</f>
        <v>OF249869-9</v>
      </c>
      <c r="I1148" s="35" t="str">
        <f>_xlfn.TEXTBEFORE(mvtst[[#This Row],[Num Suivis]],"-",,,1)</f>
        <v>OF249869</v>
      </c>
      <c r="J1148" s="36">
        <f>SUMIF(mvtst[QR Suivis],mvtst[[#This Row],[QR Suivis]],mvtst[QTE SORTIS])-SUMIF(mvtst[QR Suivis],mvtst[[#This Row],[QR Suivis]],mvtst[QTE RETOUR])</f>
        <v>0</v>
      </c>
      <c r="K1148" s="35" t="str">
        <f t="shared" si="17"/>
        <v>Usine</v>
      </c>
      <c r="L1148" s="35" t="str">
        <f>_xlfn.XLOOKUP(mvtst[[#This Row],[Sous Traitant]],coordonnee_st[Identification],coordonnee_st[SERVICE],"Non Trouvé")</f>
        <v>Frange</v>
      </c>
      <c r="M1148" s="35" t="str">
        <f>INDEX(_xlfn.TEXTSPLIT(mvtst[[#This Row],[QR Suivis]],"_"),1,2)</f>
        <v>CL00884</v>
      </c>
      <c r="N1148" s="35" t="str">
        <f>INDEX(_xlfn.TEXTSPLIT(mvtst[[#This Row],[QR Suivis]],"_"),1,3)</f>
        <v>CM-FT0119</v>
      </c>
      <c r="O1148" s="35" t="str">
        <f>INDEX(_xlfn.TEXTSPLIT(mvtst[[#This Row],[QR Suivis]],"_"),1,4)</f>
        <v>EPMA0919-B29-02</v>
      </c>
      <c r="P1148" s="35" t="str">
        <f>INDEX(_xlfn.TEXTSPLIT(mvtst[[#This Row],[QR Suivis]],"_"),1,5)</f>
        <v>MARINIERE</v>
      </c>
      <c r="Q1148" s="35" t="str">
        <f>_xlfn.TEXTAFTER(mvtst[[#This Row],[QR Suivis]],"_",5)</f>
        <v>0919</v>
      </c>
      <c r="R1148" s="84" t="str">
        <f>IF(
   COUNTIFS($A$2:A1148,A1148,
             $B$2:B1148,B1148,
             $C$2:C1148,C1148,
             $D$2:D1148,D1148,
             $G$2:G1148,G1148)&gt;1,
   "Doublon",
   "Correcte"
)</f>
        <v>Correcte</v>
      </c>
    </row>
    <row r="1149" spans="1:18" x14ac:dyDescent="0.25">
      <c r="A1149" s="104" t="s">
        <v>1908</v>
      </c>
      <c r="B1149" s="35" t="s">
        <v>595</v>
      </c>
      <c r="C1149" s="36">
        <v>5</v>
      </c>
      <c r="D1149" s="36">
        <v>0</v>
      </c>
      <c r="E1149" s="35" t="s">
        <v>699</v>
      </c>
      <c r="F1149" s="35" t="s">
        <v>634</v>
      </c>
      <c r="G1149" s="37">
        <v>45934.502314814818</v>
      </c>
      <c r="H1149" s="37" t="str">
        <f>INDEX(_xlfn.TEXTSPLIT(mvtst[[#This Row],[QR Suivis]],"_"),1,1)</f>
        <v>OF249869-10</v>
      </c>
      <c r="I1149" s="35" t="str">
        <f>_xlfn.TEXTBEFORE(mvtst[[#This Row],[Num Suivis]],"-",,,1)</f>
        <v>OF249869</v>
      </c>
      <c r="J1149" s="36">
        <f>SUMIF(mvtst[QR Suivis],mvtst[[#This Row],[QR Suivis]],mvtst[QTE SORTIS])-SUMIF(mvtst[QR Suivis],mvtst[[#This Row],[QR Suivis]],mvtst[QTE RETOUR])</f>
        <v>0</v>
      </c>
      <c r="K1149" s="35" t="str">
        <f t="shared" si="17"/>
        <v>Usine</v>
      </c>
      <c r="L1149" s="35" t="str">
        <f>_xlfn.XLOOKUP(mvtst[[#This Row],[Sous Traitant]],coordonnee_st[Identification],coordonnee_st[SERVICE],"Non Trouvé")</f>
        <v>Frange</v>
      </c>
      <c r="M1149" s="35" t="str">
        <f>INDEX(_xlfn.TEXTSPLIT(mvtst[[#This Row],[QR Suivis]],"_"),1,2)</f>
        <v>CL00884</v>
      </c>
      <c r="N1149" s="35" t="str">
        <f>INDEX(_xlfn.TEXTSPLIT(mvtst[[#This Row],[QR Suivis]],"_"),1,3)</f>
        <v>CM-FT0119</v>
      </c>
      <c r="O1149" s="35" t="str">
        <f>INDEX(_xlfn.TEXTSPLIT(mvtst[[#This Row],[QR Suivis]],"_"),1,4)</f>
        <v>EPMA0919-B29-02</v>
      </c>
      <c r="P1149" s="35" t="str">
        <f>INDEX(_xlfn.TEXTSPLIT(mvtst[[#This Row],[QR Suivis]],"_"),1,5)</f>
        <v>MARINIERE</v>
      </c>
      <c r="Q1149" s="35" t="str">
        <f>_xlfn.TEXTAFTER(mvtst[[#This Row],[QR Suivis]],"_",5)</f>
        <v>0919</v>
      </c>
      <c r="R1149" s="84" t="str">
        <f>IF(
   COUNTIFS($A$2:A1149,A1149,
             $B$2:B1149,B1149,
             $C$2:C1149,C1149,
             $D$2:D1149,D1149,
             $G$2:G1149,G1149)&gt;1,
   "Doublon",
   "Correcte"
)</f>
        <v>Correcte</v>
      </c>
    </row>
    <row r="1150" spans="1:18" x14ac:dyDescent="0.25">
      <c r="A1150" s="104" t="s">
        <v>1909</v>
      </c>
      <c r="B1150" s="35" t="s">
        <v>595</v>
      </c>
      <c r="C1150" s="36">
        <v>5</v>
      </c>
      <c r="D1150" s="36">
        <v>0</v>
      </c>
      <c r="E1150" s="35" t="s">
        <v>699</v>
      </c>
      <c r="F1150" s="35" t="s">
        <v>634</v>
      </c>
      <c r="G1150" s="37">
        <v>45934.502523148149</v>
      </c>
      <c r="H1150" s="37" t="str">
        <f>INDEX(_xlfn.TEXTSPLIT(mvtst[[#This Row],[QR Suivis]],"_"),1,1)</f>
        <v>OF249869-11</v>
      </c>
      <c r="I1150" s="35" t="str">
        <f>_xlfn.TEXTBEFORE(mvtst[[#This Row],[Num Suivis]],"-",,,1)</f>
        <v>OF249869</v>
      </c>
      <c r="J1150" s="36">
        <f>SUMIF(mvtst[QR Suivis],mvtst[[#This Row],[QR Suivis]],mvtst[QTE SORTIS])-SUMIF(mvtst[QR Suivis],mvtst[[#This Row],[QR Suivis]],mvtst[QTE RETOUR])</f>
        <v>0</v>
      </c>
      <c r="K1150" s="35" t="str">
        <f t="shared" si="17"/>
        <v>Usine</v>
      </c>
      <c r="L1150" s="35" t="str">
        <f>_xlfn.XLOOKUP(mvtst[[#This Row],[Sous Traitant]],coordonnee_st[Identification],coordonnee_st[SERVICE],"Non Trouvé")</f>
        <v>Frange</v>
      </c>
      <c r="M1150" s="35" t="str">
        <f>INDEX(_xlfn.TEXTSPLIT(mvtst[[#This Row],[QR Suivis]],"_"),1,2)</f>
        <v>CL00884</v>
      </c>
      <c r="N1150" s="35" t="str">
        <f>INDEX(_xlfn.TEXTSPLIT(mvtst[[#This Row],[QR Suivis]],"_"),1,3)</f>
        <v>CM-FT0119</v>
      </c>
      <c r="O1150" s="35" t="str">
        <f>INDEX(_xlfn.TEXTSPLIT(mvtst[[#This Row],[QR Suivis]],"_"),1,4)</f>
        <v>EPMA0919-B29-02</v>
      </c>
      <c r="P1150" s="35" t="str">
        <f>INDEX(_xlfn.TEXTSPLIT(mvtst[[#This Row],[QR Suivis]],"_"),1,5)</f>
        <v>MARINIERE</v>
      </c>
      <c r="Q1150" s="35" t="str">
        <f>_xlfn.TEXTAFTER(mvtst[[#This Row],[QR Suivis]],"_",5)</f>
        <v>0919</v>
      </c>
      <c r="R1150" s="84" t="str">
        <f>IF(
   COUNTIFS($A$2:A1150,A1150,
             $B$2:B1150,B1150,
             $C$2:C1150,C1150,
             $D$2:D1150,D1150,
             $G$2:G1150,G1150)&gt;1,
   "Doublon",
   "Correcte"
)</f>
        <v>Correcte</v>
      </c>
    </row>
    <row r="1151" spans="1:18" x14ac:dyDescent="0.25">
      <c r="A1151" s="104" t="s">
        <v>1910</v>
      </c>
      <c r="B1151" s="35" t="s">
        <v>595</v>
      </c>
      <c r="C1151" s="36">
        <v>5</v>
      </c>
      <c r="D1151" s="36">
        <v>0</v>
      </c>
      <c r="E1151" s="35" t="s">
        <v>699</v>
      </c>
      <c r="F1151" s="35" t="s">
        <v>634</v>
      </c>
      <c r="G1151" s="37">
        <v>45934.502766203703</v>
      </c>
      <c r="H1151" s="37" t="str">
        <f>INDEX(_xlfn.TEXTSPLIT(mvtst[[#This Row],[QR Suivis]],"_"),1,1)</f>
        <v>CA250635-15</v>
      </c>
      <c r="I1151" s="35" t="str">
        <f>_xlfn.TEXTBEFORE(mvtst[[#This Row],[Num Suivis]],"-",,,1)</f>
        <v>CA250635</v>
      </c>
      <c r="J1151" s="36">
        <f>SUMIF(mvtst[QR Suivis],mvtst[[#This Row],[QR Suivis]],mvtst[QTE SORTIS])-SUMIF(mvtst[QR Suivis],mvtst[[#This Row],[QR Suivis]],mvtst[QTE RETOUR])</f>
        <v>0</v>
      </c>
      <c r="K1151" s="35" t="str">
        <f t="shared" si="17"/>
        <v>Usine</v>
      </c>
      <c r="L1151" s="35" t="str">
        <f>_xlfn.XLOOKUP(mvtst[[#This Row],[Sous Traitant]],coordonnee_st[Identification],coordonnee_st[SERVICE],"Non Trouvé")</f>
        <v>Frange</v>
      </c>
      <c r="M1151" s="35" t="str">
        <f>INDEX(_xlfn.TEXTSPLIT(mvtst[[#This Row],[QR Suivis]],"_"),1,2)</f>
        <v>All by Fouta</v>
      </c>
      <c r="N1151" s="35" t="str">
        <f>INDEX(_xlfn.TEXTSPLIT(mvtst[[#This Row],[QR Suivis]],"_"),1,3)</f>
        <v>Stock</v>
      </c>
      <c r="O1151" s="35" t="str">
        <f>INDEX(_xlfn.TEXTSPLIT(mvtst[[#This Row],[QR Suivis]],"_"),1,4)</f>
        <v>EPMA0919-B11-02</v>
      </c>
      <c r="P1151" s="35" t="str">
        <f>INDEX(_xlfn.TEXTSPLIT(mvtst[[#This Row],[QR Suivis]],"_"),1,5)</f>
        <v>MARINIERE</v>
      </c>
      <c r="Q1151" s="35" t="str">
        <f>_xlfn.TEXTAFTER(mvtst[[#This Row],[QR Suivis]],"_",5)</f>
        <v>0919</v>
      </c>
      <c r="R1151" s="84" t="str">
        <f>IF(
   COUNTIFS($A$2:A1151,A1151,
             $B$2:B1151,B1151,
             $C$2:C1151,C1151,
             $D$2:D1151,D1151,
             $G$2:G1151,G1151)&gt;1,
   "Doublon",
   "Correcte"
)</f>
        <v>Correcte</v>
      </c>
    </row>
    <row r="1152" spans="1:18" x14ac:dyDescent="0.25">
      <c r="A1152" s="104" t="s">
        <v>1911</v>
      </c>
      <c r="B1152" s="35" t="s">
        <v>595</v>
      </c>
      <c r="C1152" s="36">
        <v>5</v>
      </c>
      <c r="D1152" s="36">
        <v>0</v>
      </c>
      <c r="E1152" s="35" t="s">
        <v>699</v>
      </c>
      <c r="F1152" s="35" t="s">
        <v>634</v>
      </c>
      <c r="G1152" s="37">
        <v>45934.502939814818</v>
      </c>
      <c r="H1152" s="37" t="str">
        <f>INDEX(_xlfn.TEXTSPLIT(mvtst[[#This Row],[QR Suivis]],"_"),1,1)</f>
        <v>OF249868-20</v>
      </c>
      <c r="I1152" s="35" t="str">
        <f>_xlfn.TEXTBEFORE(mvtst[[#This Row],[Num Suivis]],"-",,,1)</f>
        <v>OF249868</v>
      </c>
      <c r="J1152" s="36">
        <f>SUMIF(mvtst[QR Suivis],mvtst[[#This Row],[QR Suivis]],mvtst[QTE SORTIS])-SUMIF(mvtst[QR Suivis],mvtst[[#This Row],[QR Suivis]],mvtst[QTE RETOUR])</f>
        <v>0</v>
      </c>
      <c r="K1152" s="35" t="str">
        <f t="shared" si="17"/>
        <v>Usine</v>
      </c>
      <c r="L1152" s="35" t="str">
        <f>_xlfn.XLOOKUP(mvtst[[#This Row],[Sous Traitant]],coordonnee_st[Identification],coordonnee_st[SERVICE],"Non Trouvé")</f>
        <v>Frange</v>
      </c>
      <c r="M1152" s="35" t="str">
        <f>INDEX(_xlfn.TEXTSPLIT(mvtst[[#This Row],[QR Suivis]],"_"),1,2)</f>
        <v>CL00884</v>
      </c>
      <c r="N1152" s="35" t="str">
        <f>INDEX(_xlfn.TEXTSPLIT(mvtst[[#This Row],[QR Suivis]],"_"),1,3)</f>
        <v>CM-FT0119</v>
      </c>
      <c r="O1152" s="35" t="str">
        <f>INDEX(_xlfn.TEXTSPLIT(mvtst[[#This Row],[QR Suivis]],"_"),1,4)</f>
        <v>EPMA0919-B24-02</v>
      </c>
      <c r="P1152" s="35" t="str">
        <f>INDEX(_xlfn.TEXTSPLIT(mvtst[[#This Row],[QR Suivis]],"_"),1,5)</f>
        <v>MARINIERE</v>
      </c>
      <c r="Q1152" s="35" t="str">
        <f>_xlfn.TEXTAFTER(mvtst[[#This Row],[QR Suivis]],"_",5)</f>
        <v>0919</v>
      </c>
      <c r="R1152" s="84" t="str">
        <f>IF(
   COUNTIFS($A$2:A1152,A1152,
             $B$2:B1152,B1152,
             $C$2:C1152,C1152,
             $D$2:D1152,D1152,
             $G$2:G1152,G1152)&gt;1,
   "Doublon",
   "Correcte"
)</f>
        <v>Correcte</v>
      </c>
    </row>
    <row r="1153" spans="1:18" x14ac:dyDescent="0.25">
      <c r="A1153" s="104" t="s">
        <v>1912</v>
      </c>
      <c r="B1153" s="35" t="s">
        <v>595</v>
      </c>
      <c r="C1153" s="36">
        <v>5</v>
      </c>
      <c r="D1153" s="36">
        <v>0</v>
      </c>
      <c r="E1153" s="35" t="s">
        <v>699</v>
      </c>
      <c r="F1153" s="35" t="s">
        <v>634</v>
      </c>
      <c r="G1153" s="37">
        <v>45934.503113425926</v>
      </c>
      <c r="H1153" s="37" t="str">
        <f>INDEX(_xlfn.TEXTSPLIT(mvtst[[#This Row],[QR Suivis]],"_"),1,1)</f>
        <v>OF249869-13</v>
      </c>
      <c r="I1153" s="35" t="str">
        <f>_xlfn.TEXTBEFORE(mvtst[[#This Row],[Num Suivis]],"-",,,1)</f>
        <v>OF249869</v>
      </c>
      <c r="J1153" s="36">
        <f>SUMIF(mvtst[QR Suivis],mvtst[[#This Row],[QR Suivis]],mvtst[QTE SORTIS])-SUMIF(mvtst[QR Suivis],mvtst[[#This Row],[QR Suivis]],mvtst[QTE RETOUR])</f>
        <v>0</v>
      </c>
      <c r="K1153" s="35" t="str">
        <f t="shared" si="17"/>
        <v>Usine</v>
      </c>
      <c r="L1153" s="35" t="str">
        <f>_xlfn.XLOOKUP(mvtst[[#This Row],[Sous Traitant]],coordonnee_st[Identification],coordonnee_st[SERVICE],"Non Trouvé")</f>
        <v>Frange</v>
      </c>
      <c r="M1153" s="35" t="str">
        <f>INDEX(_xlfn.TEXTSPLIT(mvtst[[#This Row],[QR Suivis]],"_"),1,2)</f>
        <v>CL00884</v>
      </c>
      <c r="N1153" s="35" t="str">
        <f>INDEX(_xlfn.TEXTSPLIT(mvtst[[#This Row],[QR Suivis]],"_"),1,3)</f>
        <v>CM-FT0119</v>
      </c>
      <c r="O1153" s="35" t="str">
        <f>INDEX(_xlfn.TEXTSPLIT(mvtst[[#This Row],[QR Suivis]],"_"),1,4)</f>
        <v>EPMA0919-B29-02</v>
      </c>
      <c r="P1153" s="35" t="str">
        <f>INDEX(_xlfn.TEXTSPLIT(mvtst[[#This Row],[QR Suivis]],"_"),1,5)</f>
        <v>MARINIERE</v>
      </c>
      <c r="Q1153" s="35" t="str">
        <f>_xlfn.TEXTAFTER(mvtst[[#This Row],[QR Suivis]],"_",5)</f>
        <v>0919</v>
      </c>
      <c r="R1153" s="84" t="str">
        <f>IF(
   COUNTIFS($A$2:A1153,A1153,
             $B$2:B1153,B1153,
             $C$2:C1153,C1153,
             $D$2:D1153,D1153,
             $G$2:G1153,G1153)&gt;1,
   "Doublon",
   "Correcte"
)</f>
        <v>Correcte</v>
      </c>
    </row>
    <row r="1154" spans="1:18" x14ac:dyDescent="0.25">
      <c r="A1154" s="104" t="s">
        <v>1913</v>
      </c>
      <c r="B1154" s="35" t="s">
        <v>595</v>
      </c>
      <c r="C1154" s="36">
        <v>5</v>
      </c>
      <c r="D1154" s="36">
        <v>0</v>
      </c>
      <c r="E1154" s="35" t="s">
        <v>699</v>
      </c>
      <c r="F1154" s="35" t="s">
        <v>634</v>
      </c>
      <c r="G1154" s="37">
        <v>45934.503310185188</v>
      </c>
      <c r="H1154" s="37" t="str">
        <f>INDEX(_xlfn.TEXTSPLIT(mvtst[[#This Row],[QR Suivis]],"_"),1,1)</f>
        <v>OF249868-19</v>
      </c>
      <c r="I1154" s="35" t="str">
        <f>_xlfn.TEXTBEFORE(mvtst[[#This Row],[Num Suivis]],"-",,,1)</f>
        <v>OF249868</v>
      </c>
      <c r="J1154" s="36">
        <f>SUMIF(mvtst[QR Suivis],mvtst[[#This Row],[QR Suivis]],mvtst[QTE SORTIS])-SUMIF(mvtst[QR Suivis],mvtst[[#This Row],[QR Suivis]],mvtst[QTE RETOUR])</f>
        <v>0</v>
      </c>
      <c r="K1154" s="35" t="str">
        <f t="shared" si="17"/>
        <v>Usine</v>
      </c>
      <c r="L1154" s="35" t="str">
        <f>_xlfn.XLOOKUP(mvtst[[#This Row],[Sous Traitant]],coordonnee_st[Identification],coordonnee_st[SERVICE],"Non Trouvé")</f>
        <v>Frange</v>
      </c>
      <c r="M1154" s="35" t="str">
        <f>INDEX(_xlfn.TEXTSPLIT(mvtst[[#This Row],[QR Suivis]],"_"),1,2)</f>
        <v>CL00884</v>
      </c>
      <c r="N1154" s="35" t="str">
        <f>INDEX(_xlfn.TEXTSPLIT(mvtst[[#This Row],[QR Suivis]],"_"),1,3)</f>
        <v>CM-FT0119</v>
      </c>
      <c r="O1154" s="35" t="str">
        <f>INDEX(_xlfn.TEXTSPLIT(mvtst[[#This Row],[QR Suivis]],"_"),1,4)</f>
        <v>EPMA0919-B24-02</v>
      </c>
      <c r="P1154" s="35" t="str">
        <f>INDEX(_xlfn.TEXTSPLIT(mvtst[[#This Row],[QR Suivis]],"_"),1,5)</f>
        <v>MARINIERE</v>
      </c>
      <c r="Q1154" s="35" t="str">
        <f>_xlfn.TEXTAFTER(mvtst[[#This Row],[QR Suivis]],"_",5)</f>
        <v>0919</v>
      </c>
      <c r="R1154" s="84" t="str">
        <f>IF(
   COUNTIFS($A$2:A1154,A1154,
             $B$2:B1154,B1154,
             $C$2:C1154,C1154,
             $D$2:D1154,D1154,
             $G$2:G1154,G1154)&gt;1,
   "Doublon",
   "Correcte"
)</f>
        <v>Correcte</v>
      </c>
    </row>
    <row r="1155" spans="1:18" x14ac:dyDescent="0.25">
      <c r="A1155" s="104" t="s">
        <v>1914</v>
      </c>
      <c r="B1155" s="35" t="s">
        <v>595</v>
      </c>
      <c r="C1155" s="36">
        <v>5</v>
      </c>
      <c r="D1155" s="36">
        <v>0</v>
      </c>
      <c r="E1155" s="35" t="s">
        <v>699</v>
      </c>
      <c r="F1155" s="35" t="s">
        <v>634</v>
      </c>
      <c r="G1155" s="37">
        <v>45934.503472222219</v>
      </c>
      <c r="H1155" s="37" t="str">
        <f>INDEX(_xlfn.TEXTSPLIT(mvtst[[#This Row],[QR Suivis]],"_"),1,1)</f>
        <v>OF249868-18</v>
      </c>
      <c r="I1155" s="35" t="str">
        <f>_xlfn.TEXTBEFORE(mvtst[[#This Row],[Num Suivis]],"-",,,1)</f>
        <v>OF249868</v>
      </c>
      <c r="J1155" s="36">
        <f>SUMIF(mvtst[QR Suivis],mvtst[[#This Row],[QR Suivis]],mvtst[QTE SORTIS])-SUMIF(mvtst[QR Suivis],mvtst[[#This Row],[QR Suivis]],mvtst[QTE RETOUR])</f>
        <v>0</v>
      </c>
      <c r="K1155" s="35" t="str">
        <f t="shared" ref="K1155:K1218" si="18">"Usine"</f>
        <v>Usine</v>
      </c>
      <c r="L1155" s="35" t="str">
        <f>_xlfn.XLOOKUP(mvtst[[#This Row],[Sous Traitant]],coordonnee_st[Identification],coordonnee_st[SERVICE],"Non Trouvé")</f>
        <v>Frange</v>
      </c>
      <c r="M1155" s="35" t="str">
        <f>INDEX(_xlfn.TEXTSPLIT(mvtst[[#This Row],[QR Suivis]],"_"),1,2)</f>
        <v>CL00884</v>
      </c>
      <c r="N1155" s="35" t="str">
        <f>INDEX(_xlfn.TEXTSPLIT(mvtst[[#This Row],[QR Suivis]],"_"),1,3)</f>
        <v>CM-FT0119</v>
      </c>
      <c r="O1155" s="35" t="str">
        <f>INDEX(_xlfn.TEXTSPLIT(mvtst[[#This Row],[QR Suivis]],"_"),1,4)</f>
        <v>EPMA0919-B24-02</v>
      </c>
      <c r="P1155" s="35" t="str">
        <f>INDEX(_xlfn.TEXTSPLIT(mvtst[[#This Row],[QR Suivis]],"_"),1,5)</f>
        <v>MARINIERE</v>
      </c>
      <c r="Q1155" s="35" t="str">
        <f>_xlfn.TEXTAFTER(mvtst[[#This Row],[QR Suivis]],"_",5)</f>
        <v>0919</v>
      </c>
      <c r="R1155" s="84" t="str">
        <f>IF(
   COUNTIFS($A$2:A1155,A1155,
             $B$2:B1155,B1155,
             $C$2:C1155,C1155,
             $D$2:D1155,D1155,
             $G$2:G1155,G1155)&gt;1,
   "Doublon",
   "Correcte"
)</f>
        <v>Correcte</v>
      </c>
    </row>
    <row r="1156" spans="1:18" x14ac:dyDescent="0.25">
      <c r="A1156" s="104" t="s">
        <v>1846</v>
      </c>
      <c r="B1156" s="35" t="s">
        <v>595</v>
      </c>
      <c r="C1156" s="36">
        <v>0</v>
      </c>
      <c r="D1156" s="36">
        <v>4</v>
      </c>
      <c r="E1156" s="35" t="s">
        <v>699</v>
      </c>
      <c r="F1156" s="35" t="s">
        <v>634</v>
      </c>
      <c r="G1156" s="37">
        <v>45934.52380787037</v>
      </c>
      <c r="H1156" s="37" t="str">
        <f>INDEX(_xlfn.TEXTSPLIT(mvtst[[#This Row],[QR Suivis]],"_"),1,1)</f>
        <v>OF246547-16</v>
      </c>
      <c r="I1156" s="35" t="str">
        <f>_xlfn.TEXTBEFORE(mvtst[[#This Row],[Num Suivis]],"-",,,1)</f>
        <v>OF246547</v>
      </c>
      <c r="J1156" s="36">
        <f>SUMIF(mvtst[QR Suivis],mvtst[[#This Row],[QR Suivis]],mvtst[QTE SORTIS])-SUMIF(mvtst[QR Suivis],mvtst[[#This Row],[QR Suivis]],mvtst[QTE RETOUR])</f>
        <v>0</v>
      </c>
      <c r="K1156" s="35" t="str">
        <f t="shared" si="18"/>
        <v>Usine</v>
      </c>
      <c r="L1156" s="35" t="str">
        <f>_xlfn.XLOOKUP(mvtst[[#This Row],[Sous Traitant]],coordonnee_st[Identification],coordonnee_st[SERVICE],"Non Trouvé")</f>
        <v>Frange</v>
      </c>
      <c r="M1156" s="35" t="str">
        <f>INDEX(_xlfn.TEXTSPLIT(mvtst[[#This Row],[QR Suivis]],"_"),1,2)</f>
        <v>CL00296</v>
      </c>
      <c r="N1156" s="35" t="str">
        <f>INDEX(_xlfn.TEXTSPLIT(mvtst[[#This Row],[QR Suivis]],"_"),1,3)</f>
        <v>CM-FT0108</v>
      </c>
      <c r="O1156" s="35" t="str">
        <f>INDEX(_xlfn.TEXTSPLIT(mvtst[[#This Row],[QR Suivis]],"_"),1,4)</f>
        <v>EPMA0919-B11-02</v>
      </c>
      <c r="P1156" s="35" t="str">
        <f>INDEX(_xlfn.TEXTSPLIT(mvtst[[#This Row],[QR Suivis]],"_"),1,5)</f>
        <v>MARINIERE</v>
      </c>
      <c r="Q1156" s="35" t="str">
        <f>_xlfn.TEXTAFTER(mvtst[[#This Row],[QR Suivis]],"_",5)</f>
        <v>0919</v>
      </c>
      <c r="R1156" s="84" t="str">
        <f>IF(
   COUNTIFS($A$2:A1156,A1156,
             $B$2:B1156,B1156,
             $C$2:C1156,C1156,
             $D$2:D1156,D1156,
             $G$2:G1156,G1156)&gt;1,
   "Doublon",
   "Correcte"
)</f>
        <v>Correcte</v>
      </c>
    </row>
    <row r="1157" spans="1:18" x14ac:dyDescent="0.25">
      <c r="A1157" s="104" t="s">
        <v>1844</v>
      </c>
      <c r="B1157" s="35" t="s">
        <v>595</v>
      </c>
      <c r="C1157" s="36">
        <v>0</v>
      </c>
      <c r="D1157" s="36">
        <v>5</v>
      </c>
      <c r="E1157" s="35" t="s">
        <v>699</v>
      </c>
      <c r="F1157" s="35" t="s">
        <v>634</v>
      </c>
      <c r="G1157" s="37">
        <v>45934.523958333331</v>
      </c>
      <c r="H1157" s="37" t="str">
        <f>INDEX(_xlfn.TEXTSPLIT(mvtst[[#This Row],[QR Suivis]],"_"),1,1)</f>
        <v>OF249869-3</v>
      </c>
      <c r="I1157" s="35" t="str">
        <f>_xlfn.TEXTBEFORE(mvtst[[#This Row],[Num Suivis]],"-",,,1)</f>
        <v>OF249869</v>
      </c>
      <c r="J1157" s="36">
        <f>SUMIF(mvtst[QR Suivis],mvtst[[#This Row],[QR Suivis]],mvtst[QTE SORTIS])-SUMIF(mvtst[QR Suivis],mvtst[[#This Row],[QR Suivis]],mvtst[QTE RETOUR])</f>
        <v>0</v>
      </c>
      <c r="K1157" s="35" t="str">
        <f t="shared" si="18"/>
        <v>Usine</v>
      </c>
      <c r="L1157" s="35" t="str">
        <f>_xlfn.XLOOKUP(mvtst[[#This Row],[Sous Traitant]],coordonnee_st[Identification],coordonnee_st[SERVICE],"Non Trouvé")</f>
        <v>Frange</v>
      </c>
      <c r="M1157" s="35" t="str">
        <f>INDEX(_xlfn.TEXTSPLIT(mvtst[[#This Row],[QR Suivis]],"_"),1,2)</f>
        <v>CL00884</v>
      </c>
      <c r="N1157" s="35" t="str">
        <f>INDEX(_xlfn.TEXTSPLIT(mvtst[[#This Row],[QR Suivis]],"_"),1,3)</f>
        <v>CM-FT0119</v>
      </c>
      <c r="O1157" s="35" t="str">
        <f>INDEX(_xlfn.TEXTSPLIT(mvtst[[#This Row],[QR Suivis]],"_"),1,4)</f>
        <v>EPMA0919-B29-02</v>
      </c>
      <c r="P1157" s="35" t="str">
        <f>INDEX(_xlfn.TEXTSPLIT(mvtst[[#This Row],[QR Suivis]],"_"),1,5)</f>
        <v>MARINIERE</v>
      </c>
      <c r="Q1157" s="35" t="str">
        <f>_xlfn.TEXTAFTER(mvtst[[#This Row],[QR Suivis]],"_",5)</f>
        <v>0919</v>
      </c>
      <c r="R1157" s="84" t="str">
        <f>IF(
   COUNTIFS($A$2:A1157,A1157,
             $B$2:B1157,B1157,
             $C$2:C1157,C1157,
             $D$2:D1157,D1157,
             $G$2:G1157,G1157)&gt;1,
   "Doublon",
   "Correcte"
)</f>
        <v>Correcte</v>
      </c>
    </row>
    <row r="1158" spans="1:18" x14ac:dyDescent="0.25">
      <c r="A1158" s="104" t="s">
        <v>1843</v>
      </c>
      <c r="B1158" s="35" t="s">
        <v>595</v>
      </c>
      <c r="C1158" s="36">
        <v>0</v>
      </c>
      <c r="D1158" s="36">
        <v>5</v>
      </c>
      <c r="E1158" s="35" t="s">
        <v>699</v>
      </c>
      <c r="F1158" s="35" t="s">
        <v>634</v>
      </c>
      <c r="G1158" s="37">
        <v>45934.524212962962</v>
      </c>
      <c r="H1158" s="37" t="str">
        <f>INDEX(_xlfn.TEXTSPLIT(mvtst[[#This Row],[QR Suivis]],"_"),1,1)</f>
        <v>OF249869-2</v>
      </c>
      <c r="I1158" s="35" t="str">
        <f>_xlfn.TEXTBEFORE(mvtst[[#This Row],[Num Suivis]],"-",,,1)</f>
        <v>OF249869</v>
      </c>
      <c r="J1158" s="36">
        <f>SUMIF(mvtst[QR Suivis],mvtst[[#This Row],[QR Suivis]],mvtst[QTE SORTIS])-SUMIF(mvtst[QR Suivis],mvtst[[#This Row],[QR Suivis]],mvtst[QTE RETOUR])</f>
        <v>0</v>
      </c>
      <c r="K1158" s="35" t="str">
        <f t="shared" si="18"/>
        <v>Usine</v>
      </c>
      <c r="L1158" s="35" t="str">
        <f>_xlfn.XLOOKUP(mvtst[[#This Row],[Sous Traitant]],coordonnee_st[Identification],coordonnee_st[SERVICE],"Non Trouvé")</f>
        <v>Frange</v>
      </c>
      <c r="M1158" s="35" t="str">
        <f>INDEX(_xlfn.TEXTSPLIT(mvtst[[#This Row],[QR Suivis]],"_"),1,2)</f>
        <v>CL00884</v>
      </c>
      <c r="N1158" s="35" t="str">
        <f>INDEX(_xlfn.TEXTSPLIT(mvtst[[#This Row],[QR Suivis]],"_"),1,3)</f>
        <v>CM-FT0119</v>
      </c>
      <c r="O1158" s="35" t="str">
        <f>INDEX(_xlfn.TEXTSPLIT(mvtst[[#This Row],[QR Suivis]],"_"),1,4)</f>
        <v>EPMA0919-B29-02</v>
      </c>
      <c r="P1158" s="35" t="str">
        <f>INDEX(_xlfn.TEXTSPLIT(mvtst[[#This Row],[QR Suivis]],"_"),1,5)</f>
        <v>MARINIERE</v>
      </c>
      <c r="Q1158" s="35" t="str">
        <f>_xlfn.TEXTAFTER(mvtst[[#This Row],[QR Suivis]],"_",5)</f>
        <v>0919</v>
      </c>
      <c r="R1158" s="84" t="str">
        <f>IF(
   COUNTIFS($A$2:A1158,A1158,
             $B$2:B1158,B1158,
             $C$2:C1158,C1158,
             $D$2:D1158,D1158,
             $G$2:G1158,G1158)&gt;1,
   "Doublon",
   "Correcte"
)</f>
        <v>Correcte</v>
      </c>
    </row>
    <row r="1159" spans="1:18" x14ac:dyDescent="0.25">
      <c r="A1159" s="104" t="s">
        <v>1848</v>
      </c>
      <c r="B1159" s="35" t="s">
        <v>595</v>
      </c>
      <c r="C1159" s="36">
        <v>0</v>
      </c>
      <c r="D1159" s="36">
        <v>1</v>
      </c>
      <c r="E1159" s="35" t="s">
        <v>699</v>
      </c>
      <c r="F1159" s="35" t="s">
        <v>634</v>
      </c>
      <c r="G1159" s="37">
        <v>45934.524409722224</v>
      </c>
      <c r="H1159" s="37" t="str">
        <f>INDEX(_xlfn.TEXTSPLIT(mvtst[[#This Row],[QR Suivis]],"_"),1,1)</f>
        <v>OF246544-17</v>
      </c>
      <c r="I1159" s="35" t="str">
        <f>_xlfn.TEXTBEFORE(mvtst[[#This Row],[Num Suivis]],"-",,,1)</f>
        <v>OF246544</v>
      </c>
      <c r="J1159" s="36">
        <f>SUMIF(mvtst[QR Suivis],mvtst[[#This Row],[QR Suivis]],mvtst[QTE SORTIS])-SUMIF(mvtst[QR Suivis],mvtst[[#This Row],[QR Suivis]],mvtst[QTE RETOUR])</f>
        <v>0</v>
      </c>
      <c r="K1159" s="35" t="str">
        <f t="shared" si="18"/>
        <v>Usine</v>
      </c>
      <c r="L1159" s="35" t="str">
        <f>_xlfn.XLOOKUP(mvtst[[#This Row],[Sous Traitant]],coordonnee_st[Identification],coordonnee_st[SERVICE],"Non Trouvé")</f>
        <v>Frange</v>
      </c>
      <c r="M1159" s="35" t="str">
        <f>INDEX(_xlfn.TEXTSPLIT(mvtst[[#This Row],[QR Suivis]],"_"),1,2)</f>
        <v>CL00296</v>
      </c>
      <c r="N1159" s="35" t="str">
        <f>INDEX(_xlfn.TEXTSPLIT(mvtst[[#This Row],[QR Suivis]],"_"),1,3)</f>
        <v>CM-FT0108</v>
      </c>
      <c r="O1159" s="35" t="str">
        <f>INDEX(_xlfn.TEXTSPLIT(mvtst[[#This Row],[QR Suivis]],"_"),1,4)</f>
        <v>EPMA0919-B03-02</v>
      </c>
      <c r="P1159" s="35" t="str">
        <f>INDEX(_xlfn.TEXTSPLIT(mvtst[[#This Row],[QR Suivis]],"_"),1,5)</f>
        <v>MARINIERE</v>
      </c>
      <c r="Q1159" s="35" t="str">
        <f>_xlfn.TEXTAFTER(mvtst[[#This Row],[QR Suivis]],"_",5)</f>
        <v>0919</v>
      </c>
      <c r="R1159" s="84" t="str">
        <f>IF(
   COUNTIFS($A$2:A1159,A1159,
             $B$2:B1159,B1159,
             $C$2:C1159,C1159,
             $D$2:D1159,D1159,
             $G$2:G1159,G1159)&gt;1,
   "Doublon",
   "Correcte"
)</f>
        <v>Correcte</v>
      </c>
    </row>
    <row r="1160" spans="1:18" x14ac:dyDescent="0.25">
      <c r="A1160" s="104" t="s">
        <v>1842</v>
      </c>
      <c r="B1160" s="35" t="s">
        <v>595</v>
      </c>
      <c r="C1160" s="36">
        <v>0</v>
      </c>
      <c r="D1160" s="36">
        <v>5</v>
      </c>
      <c r="E1160" s="35" t="s">
        <v>699</v>
      </c>
      <c r="F1160" s="35" t="s">
        <v>634</v>
      </c>
      <c r="G1160" s="37">
        <v>45934.524675925924</v>
      </c>
      <c r="H1160" s="37" t="str">
        <f>INDEX(_xlfn.TEXTSPLIT(mvtst[[#This Row],[QR Suivis]],"_"),1,1)</f>
        <v>OF246535-6</v>
      </c>
      <c r="I1160" s="35" t="str">
        <f>_xlfn.TEXTBEFORE(mvtst[[#This Row],[Num Suivis]],"-",,,1)</f>
        <v>OF246535</v>
      </c>
      <c r="J1160" s="36">
        <f>SUMIF(mvtst[QR Suivis],mvtst[[#This Row],[QR Suivis]],mvtst[QTE SORTIS])-SUMIF(mvtst[QR Suivis],mvtst[[#This Row],[QR Suivis]],mvtst[QTE RETOUR])</f>
        <v>0</v>
      </c>
      <c r="K1160" s="35" t="str">
        <f t="shared" si="18"/>
        <v>Usine</v>
      </c>
      <c r="L1160" s="35" t="str">
        <f>_xlfn.XLOOKUP(mvtst[[#This Row],[Sous Traitant]],coordonnee_st[Identification],coordonnee_st[SERVICE],"Non Trouvé")</f>
        <v>Frange</v>
      </c>
      <c r="M1160" s="35" t="str">
        <f>INDEX(_xlfn.TEXTSPLIT(mvtst[[#This Row],[QR Suivis]],"_"),1,2)</f>
        <v>CL00296</v>
      </c>
      <c r="N1160" s="35" t="str">
        <f>INDEX(_xlfn.TEXTSPLIT(mvtst[[#This Row],[QR Suivis]],"_"),1,3)</f>
        <v>CM-FT0108</v>
      </c>
      <c r="O1160" s="35" t="str">
        <f>INDEX(_xlfn.TEXTSPLIT(mvtst[[#This Row],[QR Suivis]],"_"),1,4)</f>
        <v>EPMA0919-B03-02</v>
      </c>
      <c r="P1160" s="35" t="str">
        <f>INDEX(_xlfn.TEXTSPLIT(mvtst[[#This Row],[QR Suivis]],"_"),1,5)</f>
        <v>MARINIERE</v>
      </c>
      <c r="Q1160" s="35" t="str">
        <f>_xlfn.TEXTAFTER(mvtst[[#This Row],[QR Suivis]],"_",5)</f>
        <v>0919</v>
      </c>
      <c r="R1160" s="84" t="str">
        <f>IF(
   COUNTIFS($A$2:A1160,A1160,
             $B$2:B1160,B1160,
             $C$2:C1160,C1160,
             $D$2:D1160,D1160,
             $G$2:G1160,G1160)&gt;1,
   "Doublon",
   "Correcte"
)</f>
        <v>Correcte</v>
      </c>
    </row>
    <row r="1161" spans="1:18" x14ac:dyDescent="0.25">
      <c r="A1161" s="104" t="s">
        <v>1847</v>
      </c>
      <c r="B1161" s="35" t="s">
        <v>595</v>
      </c>
      <c r="C1161" s="36">
        <v>0</v>
      </c>
      <c r="D1161" s="36">
        <v>5</v>
      </c>
      <c r="E1161" s="35" t="s">
        <v>699</v>
      </c>
      <c r="F1161" s="35" t="s">
        <v>634</v>
      </c>
      <c r="G1161" s="37">
        <v>45934.524895833332</v>
      </c>
      <c r="H1161" s="37" t="str">
        <f>INDEX(_xlfn.TEXTSPLIT(mvtst[[#This Row],[QR Suivis]],"_"),1,1)</f>
        <v>OF246535-5</v>
      </c>
      <c r="I1161" s="35" t="str">
        <f>_xlfn.TEXTBEFORE(mvtst[[#This Row],[Num Suivis]],"-",,,1)</f>
        <v>OF246535</v>
      </c>
      <c r="J1161" s="36">
        <f>SUMIF(mvtst[QR Suivis],mvtst[[#This Row],[QR Suivis]],mvtst[QTE SORTIS])-SUMIF(mvtst[QR Suivis],mvtst[[#This Row],[QR Suivis]],mvtst[QTE RETOUR])</f>
        <v>0</v>
      </c>
      <c r="K1161" s="35" t="str">
        <f t="shared" si="18"/>
        <v>Usine</v>
      </c>
      <c r="L1161" s="35" t="str">
        <f>_xlfn.XLOOKUP(mvtst[[#This Row],[Sous Traitant]],coordonnee_st[Identification],coordonnee_st[SERVICE],"Non Trouvé")</f>
        <v>Frange</v>
      </c>
      <c r="M1161" s="35" t="str">
        <f>INDEX(_xlfn.TEXTSPLIT(mvtst[[#This Row],[QR Suivis]],"_"),1,2)</f>
        <v>CL00296</v>
      </c>
      <c r="N1161" s="35" t="str">
        <f>INDEX(_xlfn.TEXTSPLIT(mvtst[[#This Row],[QR Suivis]],"_"),1,3)</f>
        <v>CM-FT0108</v>
      </c>
      <c r="O1161" s="35" t="str">
        <f>INDEX(_xlfn.TEXTSPLIT(mvtst[[#This Row],[QR Suivis]],"_"),1,4)</f>
        <v>EPMA0919-B03-02</v>
      </c>
      <c r="P1161" s="35" t="str">
        <f>INDEX(_xlfn.TEXTSPLIT(mvtst[[#This Row],[QR Suivis]],"_"),1,5)</f>
        <v>MARINIERE</v>
      </c>
      <c r="Q1161" s="35" t="str">
        <f>_xlfn.TEXTAFTER(mvtst[[#This Row],[QR Suivis]],"_",5)</f>
        <v>0919</v>
      </c>
      <c r="R1161" s="84" t="str">
        <f>IF(
   COUNTIFS($A$2:A1161,A1161,
             $B$2:B1161,B1161,
             $C$2:C1161,C1161,
             $D$2:D1161,D1161,
             $G$2:G1161,G1161)&gt;1,
   "Doublon",
   "Correcte"
)</f>
        <v>Correcte</v>
      </c>
    </row>
    <row r="1162" spans="1:18" x14ac:dyDescent="0.25">
      <c r="A1162" s="104" t="s">
        <v>1849</v>
      </c>
      <c r="B1162" s="35" t="s">
        <v>595</v>
      </c>
      <c r="C1162" s="36">
        <v>0</v>
      </c>
      <c r="D1162" s="36">
        <v>5</v>
      </c>
      <c r="E1162" s="35" t="s">
        <v>699</v>
      </c>
      <c r="F1162" s="35" t="s">
        <v>634</v>
      </c>
      <c r="G1162" s="37">
        <v>45934.525081018517</v>
      </c>
      <c r="H1162" s="37" t="str">
        <f>INDEX(_xlfn.TEXTSPLIT(mvtst[[#This Row],[QR Suivis]],"_"),1,1)</f>
        <v>OF249869-7</v>
      </c>
      <c r="I1162" s="35" t="str">
        <f>_xlfn.TEXTBEFORE(mvtst[[#This Row],[Num Suivis]],"-",,,1)</f>
        <v>OF249869</v>
      </c>
      <c r="J1162" s="36">
        <f>SUMIF(mvtst[QR Suivis],mvtst[[#This Row],[QR Suivis]],mvtst[QTE SORTIS])-SUMIF(mvtst[QR Suivis],mvtst[[#This Row],[QR Suivis]],mvtst[QTE RETOUR])</f>
        <v>0</v>
      </c>
      <c r="K1162" s="35" t="str">
        <f t="shared" si="18"/>
        <v>Usine</v>
      </c>
      <c r="L1162" s="35" t="str">
        <f>_xlfn.XLOOKUP(mvtst[[#This Row],[Sous Traitant]],coordonnee_st[Identification],coordonnee_st[SERVICE],"Non Trouvé")</f>
        <v>Frange</v>
      </c>
      <c r="M1162" s="35" t="str">
        <f>INDEX(_xlfn.TEXTSPLIT(mvtst[[#This Row],[QR Suivis]],"_"),1,2)</f>
        <v>CL00884</v>
      </c>
      <c r="N1162" s="35" t="str">
        <f>INDEX(_xlfn.TEXTSPLIT(mvtst[[#This Row],[QR Suivis]],"_"),1,3)</f>
        <v>CM-FT0119</v>
      </c>
      <c r="O1162" s="35" t="str">
        <f>INDEX(_xlfn.TEXTSPLIT(mvtst[[#This Row],[QR Suivis]],"_"),1,4)</f>
        <v>EPMA0919-B29-02</v>
      </c>
      <c r="P1162" s="35" t="str">
        <f>INDEX(_xlfn.TEXTSPLIT(mvtst[[#This Row],[QR Suivis]],"_"),1,5)</f>
        <v>MARINIERE</v>
      </c>
      <c r="Q1162" s="35" t="str">
        <f>_xlfn.TEXTAFTER(mvtst[[#This Row],[QR Suivis]],"_",5)</f>
        <v>0919</v>
      </c>
      <c r="R1162" s="84" t="str">
        <f>IF(
   COUNTIFS($A$2:A1162,A1162,
             $B$2:B1162,B1162,
             $C$2:C1162,C1162,
             $D$2:D1162,D1162,
             $G$2:G1162,G1162)&gt;1,
   "Doublon",
   "Correcte"
)</f>
        <v>Correcte</v>
      </c>
    </row>
    <row r="1163" spans="1:18" x14ac:dyDescent="0.25">
      <c r="A1163" s="104" t="s">
        <v>1852</v>
      </c>
      <c r="B1163" s="35" t="s">
        <v>595</v>
      </c>
      <c r="C1163" s="36">
        <v>0</v>
      </c>
      <c r="D1163" s="36">
        <v>5</v>
      </c>
      <c r="E1163" s="35" t="s">
        <v>699</v>
      </c>
      <c r="F1163" s="35" t="s">
        <v>634</v>
      </c>
      <c r="G1163" s="37">
        <v>45934.525347222225</v>
      </c>
      <c r="H1163" s="37" t="str">
        <f>INDEX(_xlfn.TEXTSPLIT(mvtst[[#This Row],[QR Suivis]],"_"),1,1)</f>
        <v>OF249869-6</v>
      </c>
      <c r="I1163" s="35" t="str">
        <f>_xlfn.TEXTBEFORE(mvtst[[#This Row],[Num Suivis]],"-",,,1)</f>
        <v>OF249869</v>
      </c>
      <c r="J1163" s="36">
        <f>SUMIF(mvtst[QR Suivis],mvtst[[#This Row],[QR Suivis]],mvtst[QTE SORTIS])-SUMIF(mvtst[QR Suivis],mvtst[[#This Row],[QR Suivis]],mvtst[QTE RETOUR])</f>
        <v>0</v>
      </c>
      <c r="K1163" s="35" t="str">
        <f t="shared" si="18"/>
        <v>Usine</v>
      </c>
      <c r="L1163" s="35" t="str">
        <f>_xlfn.XLOOKUP(mvtst[[#This Row],[Sous Traitant]],coordonnee_st[Identification],coordonnee_st[SERVICE],"Non Trouvé")</f>
        <v>Frange</v>
      </c>
      <c r="M1163" s="35" t="str">
        <f>INDEX(_xlfn.TEXTSPLIT(mvtst[[#This Row],[QR Suivis]],"_"),1,2)</f>
        <v>CL00884</v>
      </c>
      <c r="N1163" s="35" t="str">
        <f>INDEX(_xlfn.TEXTSPLIT(mvtst[[#This Row],[QR Suivis]],"_"),1,3)</f>
        <v>CM-FT0119</v>
      </c>
      <c r="O1163" s="35" t="str">
        <f>INDEX(_xlfn.TEXTSPLIT(mvtst[[#This Row],[QR Suivis]],"_"),1,4)</f>
        <v>EPMA0919-B29-02</v>
      </c>
      <c r="P1163" s="35" t="str">
        <f>INDEX(_xlfn.TEXTSPLIT(mvtst[[#This Row],[QR Suivis]],"_"),1,5)</f>
        <v>MARINIERE</v>
      </c>
      <c r="Q1163" s="35" t="str">
        <f>_xlfn.TEXTAFTER(mvtst[[#This Row],[QR Suivis]],"_",5)</f>
        <v>0919</v>
      </c>
      <c r="R1163" s="84" t="str">
        <f>IF(
   COUNTIFS($A$2:A1163,A1163,
             $B$2:B1163,B1163,
             $C$2:C1163,C1163,
             $D$2:D1163,D1163,
             $G$2:G1163,G1163)&gt;1,
   "Doublon",
   "Correcte"
)</f>
        <v>Correcte</v>
      </c>
    </row>
    <row r="1164" spans="1:18" x14ac:dyDescent="0.25">
      <c r="A1164" s="104" t="s">
        <v>1845</v>
      </c>
      <c r="B1164" s="35" t="s">
        <v>595</v>
      </c>
      <c r="C1164" s="36">
        <v>0</v>
      </c>
      <c r="D1164" s="36">
        <v>5</v>
      </c>
      <c r="E1164" s="35" t="s">
        <v>699</v>
      </c>
      <c r="F1164" s="35" t="s">
        <v>634</v>
      </c>
      <c r="G1164" s="37">
        <v>45934.525509259256</v>
      </c>
      <c r="H1164" s="37" t="str">
        <f>INDEX(_xlfn.TEXTSPLIT(mvtst[[#This Row],[QR Suivis]],"_"),1,1)</f>
        <v>OF249869-4</v>
      </c>
      <c r="I1164" s="35" t="str">
        <f>_xlfn.TEXTBEFORE(mvtst[[#This Row],[Num Suivis]],"-",,,1)</f>
        <v>OF249869</v>
      </c>
      <c r="J1164" s="36">
        <f>SUMIF(mvtst[QR Suivis],mvtst[[#This Row],[QR Suivis]],mvtst[QTE SORTIS])-SUMIF(mvtst[QR Suivis],mvtst[[#This Row],[QR Suivis]],mvtst[QTE RETOUR])</f>
        <v>0</v>
      </c>
      <c r="K1164" s="35" t="str">
        <f t="shared" si="18"/>
        <v>Usine</v>
      </c>
      <c r="L1164" s="35" t="str">
        <f>_xlfn.XLOOKUP(mvtst[[#This Row],[Sous Traitant]],coordonnee_st[Identification],coordonnee_st[SERVICE],"Non Trouvé")</f>
        <v>Frange</v>
      </c>
      <c r="M1164" s="35" t="str">
        <f>INDEX(_xlfn.TEXTSPLIT(mvtst[[#This Row],[QR Suivis]],"_"),1,2)</f>
        <v>CL00884</v>
      </c>
      <c r="N1164" s="35" t="str">
        <f>INDEX(_xlfn.TEXTSPLIT(mvtst[[#This Row],[QR Suivis]],"_"),1,3)</f>
        <v>CM-FT0119</v>
      </c>
      <c r="O1164" s="35" t="str">
        <f>INDEX(_xlfn.TEXTSPLIT(mvtst[[#This Row],[QR Suivis]],"_"),1,4)</f>
        <v>EPMA0919-B29-02</v>
      </c>
      <c r="P1164" s="35" t="str">
        <f>INDEX(_xlfn.TEXTSPLIT(mvtst[[#This Row],[QR Suivis]],"_"),1,5)</f>
        <v>MARINIERE</v>
      </c>
      <c r="Q1164" s="35" t="str">
        <f>_xlfn.TEXTAFTER(mvtst[[#This Row],[QR Suivis]],"_",5)</f>
        <v>0919</v>
      </c>
      <c r="R1164" s="84" t="str">
        <f>IF(
   COUNTIFS($A$2:A1164,A1164,
             $B$2:B1164,B1164,
             $C$2:C1164,C1164,
             $D$2:D1164,D1164,
             $G$2:G1164,G1164)&gt;1,
   "Doublon",
   "Correcte"
)</f>
        <v>Correcte</v>
      </c>
    </row>
    <row r="1165" spans="1:18" x14ac:dyDescent="0.25">
      <c r="A1165" s="104" t="s">
        <v>1851</v>
      </c>
      <c r="B1165" s="35" t="s">
        <v>595</v>
      </c>
      <c r="C1165" s="36">
        <v>0</v>
      </c>
      <c r="D1165" s="36">
        <v>5</v>
      </c>
      <c r="E1165" s="35" t="s">
        <v>699</v>
      </c>
      <c r="F1165" s="35" t="s">
        <v>634</v>
      </c>
      <c r="G1165" s="37">
        <v>45934.525775462964</v>
      </c>
      <c r="H1165" s="37" t="str">
        <f>INDEX(_xlfn.TEXTSPLIT(mvtst[[#This Row],[QR Suivis]],"_"),1,1)</f>
        <v>OF249869-5</v>
      </c>
      <c r="I1165" s="35" t="str">
        <f>_xlfn.TEXTBEFORE(mvtst[[#This Row],[Num Suivis]],"-",,,1)</f>
        <v>OF249869</v>
      </c>
      <c r="J1165" s="36">
        <f>SUMIF(mvtst[QR Suivis],mvtst[[#This Row],[QR Suivis]],mvtst[QTE SORTIS])-SUMIF(mvtst[QR Suivis],mvtst[[#This Row],[QR Suivis]],mvtst[QTE RETOUR])</f>
        <v>0</v>
      </c>
      <c r="K1165" s="35" t="str">
        <f t="shared" si="18"/>
        <v>Usine</v>
      </c>
      <c r="L1165" s="35" t="str">
        <f>_xlfn.XLOOKUP(mvtst[[#This Row],[Sous Traitant]],coordonnee_st[Identification],coordonnee_st[SERVICE],"Non Trouvé")</f>
        <v>Frange</v>
      </c>
      <c r="M1165" s="35" t="str">
        <f>INDEX(_xlfn.TEXTSPLIT(mvtst[[#This Row],[QR Suivis]],"_"),1,2)</f>
        <v>CL00884</v>
      </c>
      <c r="N1165" s="35" t="str">
        <f>INDEX(_xlfn.TEXTSPLIT(mvtst[[#This Row],[QR Suivis]],"_"),1,3)</f>
        <v>CM-FT0119</v>
      </c>
      <c r="O1165" s="35" t="str">
        <f>INDEX(_xlfn.TEXTSPLIT(mvtst[[#This Row],[QR Suivis]],"_"),1,4)</f>
        <v>EPMA0919-B29-02</v>
      </c>
      <c r="P1165" s="35" t="str">
        <f>INDEX(_xlfn.TEXTSPLIT(mvtst[[#This Row],[QR Suivis]],"_"),1,5)</f>
        <v>MARINIERE</v>
      </c>
      <c r="Q1165" s="35" t="str">
        <f>_xlfn.TEXTAFTER(mvtst[[#This Row],[QR Suivis]],"_",5)</f>
        <v>0919</v>
      </c>
      <c r="R1165" s="84" t="str">
        <f>IF(
   COUNTIFS($A$2:A1165,A1165,
             $B$2:B1165,B1165,
             $C$2:C1165,C1165,
             $D$2:D1165,D1165,
             $G$2:G1165,G1165)&gt;1,
   "Doublon",
   "Correcte"
)</f>
        <v>Correcte</v>
      </c>
    </row>
    <row r="1166" spans="1:18" x14ac:dyDescent="0.25">
      <c r="A1166" s="104" t="s">
        <v>1874</v>
      </c>
      <c r="B1166" s="35" t="s">
        <v>649</v>
      </c>
      <c r="C1166" s="36">
        <v>0</v>
      </c>
      <c r="D1166" s="36">
        <v>5</v>
      </c>
      <c r="E1166" s="35" t="s">
        <v>699</v>
      </c>
      <c r="F1166" s="35" t="s">
        <v>634</v>
      </c>
      <c r="G1166" s="37">
        <v>45936.669050925928</v>
      </c>
      <c r="H1166" s="37" t="str">
        <f>INDEX(_xlfn.TEXTSPLIT(mvtst[[#This Row],[QR Suivis]],"_"),1,1)</f>
        <v>CA250635-11</v>
      </c>
      <c r="I1166" s="35" t="str">
        <f>_xlfn.TEXTBEFORE(mvtst[[#This Row],[Num Suivis]],"-",,,1)</f>
        <v>CA250635</v>
      </c>
      <c r="J1166" s="36">
        <f>SUMIF(mvtst[QR Suivis],mvtst[[#This Row],[QR Suivis]],mvtst[QTE SORTIS])-SUMIF(mvtst[QR Suivis],mvtst[[#This Row],[QR Suivis]],mvtst[QTE RETOUR])</f>
        <v>0</v>
      </c>
      <c r="K1166" s="35" t="str">
        <f t="shared" si="18"/>
        <v>Usine</v>
      </c>
      <c r="L1166" s="35" t="str">
        <f>_xlfn.XLOOKUP(mvtst[[#This Row],[Sous Traitant]],coordonnee_st[Identification],coordonnee_st[SERVICE],"Non Trouvé")</f>
        <v>Frange</v>
      </c>
      <c r="M1166" s="35" t="str">
        <f>INDEX(_xlfn.TEXTSPLIT(mvtst[[#This Row],[QR Suivis]],"_"),1,2)</f>
        <v>All by Fouta</v>
      </c>
      <c r="N1166" s="35" t="str">
        <f>INDEX(_xlfn.TEXTSPLIT(mvtst[[#This Row],[QR Suivis]],"_"),1,3)</f>
        <v>Stock</v>
      </c>
      <c r="O1166" s="35" t="str">
        <f>INDEX(_xlfn.TEXTSPLIT(mvtst[[#This Row],[QR Suivis]],"_"),1,4)</f>
        <v>EPMA0919-B11-02</v>
      </c>
      <c r="P1166" s="35" t="str">
        <f>INDEX(_xlfn.TEXTSPLIT(mvtst[[#This Row],[QR Suivis]],"_"),1,5)</f>
        <v>MARINIERE</v>
      </c>
      <c r="Q1166" s="35" t="str">
        <f>_xlfn.TEXTAFTER(mvtst[[#This Row],[QR Suivis]],"_",5)</f>
        <v>0919</v>
      </c>
      <c r="R1166" s="84" t="str">
        <f>IF(
   COUNTIFS($A$2:A1166,A1166,
             $B$2:B1166,B1166,
             $C$2:C1166,C1166,
             $D$2:D1166,D1166,
             $G$2:G1166,G1166)&gt;1,
   "Doublon",
   "Correcte"
)</f>
        <v>Correcte</v>
      </c>
    </row>
    <row r="1167" spans="1:18" x14ac:dyDescent="0.25">
      <c r="A1167" s="104" t="s">
        <v>1875</v>
      </c>
      <c r="B1167" s="35" t="s">
        <v>649</v>
      </c>
      <c r="C1167" s="36">
        <v>0</v>
      </c>
      <c r="D1167" s="36">
        <v>5</v>
      </c>
      <c r="E1167" s="35" t="s">
        <v>699</v>
      </c>
      <c r="F1167" s="35" t="s">
        <v>634</v>
      </c>
      <c r="G1167" s="37">
        <v>45936.669293981482</v>
      </c>
      <c r="H1167" s="37" t="str">
        <f>INDEX(_xlfn.TEXTSPLIT(mvtst[[#This Row],[QR Suivis]],"_"),1,1)</f>
        <v>CA250635-8</v>
      </c>
      <c r="I1167" s="35" t="str">
        <f>_xlfn.TEXTBEFORE(mvtst[[#This Row],[Num Suivis]],"-",,,1)</f>
        <v>CA250635</v>
      </c>
      <c r="J1167" s="36">
        <f>SUMIF(mvtst[QR Suivis],mvtst[[#This Row],[QR Suivis]],mvtst[QTE SORTIS])-SUMIF(mvtst[QR Suivis],mvtst[[#This Row],[QR Suivis]],mvtst[QTE RETOUR])</f>
        <v>0</v>
      </c>
      <c r="K1167" s="35" t="str">
        <f t="shared" si="18"/>
        <v>Usine</v>
      </c>
      <c r="L1167" s="35" t="str">
        <f>_xlfn.XLOOKUP(mvtst[[#This Row],[Sous Traitant]],coordonnee_st[Identification],coordonnee_st[SERVICE],"Non Trouvé")</f>
        <v>Frange</v>
      </c>
      <c r="M1167" s="35" t="str">
        <f>INDEX(_xlfn.TEXTSPLIT(mvtst[[#This Row],[QR Suivis]],"_"),1,2)</f>
        <v>All by Fouta</v>
      </c>
      <c r="N1167" s="35" t="str">
        <f>INDEX(_xlfn.TEXTSPLIT(mvtst[[#This Row],[QR Suivis]],"_"),1,3)</f>
        <v>Stock</v>
      </c>
      <c r="O1167" s="35" t="str">
        <f>INDEX(_xlfn.TEXTSPLIT(mvtst[[#This Row],[QR Suivis]],"_"),1,4)</f>
        <v>EPMA0919-B11-02</v>
      </c>
      <c r="P1167" s="35" t="str">
        <f>INDEX(_xlfn.TEXTSPLIT(mvtst[[#This Row],[QR Suivis]],"_"),1,5)</f>
        <v>MARINIERE</v>
      </c>
      <c r="Q1167" s="35" t="str">
        <f>_xlfn.TEXTAFTER(mvtst[[#This Row],[QR Suivis]],"_",5)</f>
        <v>0919</v>
      </c>
      <c r="R1167" s="84" t="str">
        <f>IF(
   COUNTIFS($A$2:A1167,A1167,
             $B$2:B1167,B1167,
             $C$2:C1167,C1167,
             $D$2:D1167,D1167,
             $G$2:G1167,G1167)&gt;1,
   "Doublon",
   "Correcte"
)</f>
        <v>Correcte</v>
      </c>
    </row>
    <row r="1168" spans="1:18" x14ac:dyDescent="0.25">
      <c r="A1168" s="104" t="s">
        <v>1876</v>
      </c>
      <c r="B1168" s="35" t="s">
        <v>649</v>
      </c>
      <c r="C1168" s="36">
        <v>0</v>
      </c>
      <c r="D1168" s="36">
        <v>5</v>
      </c>
      <c r="E1168" s="35" t="s">
        <v>699</v>
      </c>
      <c r="F1168" s="35" t="s">
        <v>634</v>
      </c>
      <c r="G1168" s="37">
        <v>45936.669432870367</v>
      </c>
      <c r="H1168" s="37" t="str">
        <f>INDEX(_xlfn.TEXTSPLIT(mvtst[[#This Row],[QR Suivis]],"_"),1,1)</f>
        <v>CA250635-2</v>
      </c>
      <c r="I1168" s="35" t="str">
        <f>_xlfn.TEXTBEFORE(mvtst[[#This Row],[Num Suivis]],"-",,,1)</f>
        <v>CA250635</v>
      </c>
      <c r="J1168" s="36">
        <f>SUMIF(mvtst[QR Suivis],mvtst[[#This Row],[QR Suivis]],mvtst[QTE SORTIS])-SUMIF(mvtst[QR Suivis],mvtst[[#This Row],[QR Suivis]],mvtst[QTE RETOUR])</f>
        <v>0</v>
      </c>
      <c r="K1168" s="35" t="str">
        <f t="shared" si="18"/>
        <v>Usine</v>
      </c>
      <c r="L1168" s="35" t="str">
        <f>_xlfn.XLOOKUP(mvtst[[#This Row],[Sous Traitant]],coordonnee_st[Identification],coordonnee_st[SERVICE],"Non Trouvé")</f>
        <v>Frange</v>
      </c>
      <c r="M1168" s="35" t="str">
        <f>INDEX(_xlfn.TEXTSPLIT(mvtst[[#This Row],[QR Suivis]],"_"),1,2)</f>
        <v>All by Fouta</v>
      </c>
      <c r="N1168" s="35" t="str">
        <f>INDEX(_xlfn.TEXTSPLIT(mvtst[[#This Row],[QR Suivis]],"_"),1,3)</f>
        <v>Stock</v>
      </c>
      <c r="O1168" s="35" t="str">
        <f>INDEX(_xlfn.TEXTSPLIT(mvtst[[#This Row],[QR Suivis]],"_"),1,4)</f>
        <v>EPMA0919-B11-02</v>
      </c>
      <c r="P1168" s="35" t="str">
        <f>INDEX(_xlfn.TEXTSPLIT(mvtst[[#This Row],[QR Suivis]],"_"),1,5)</f>
        <v>MARINIERE</v>
      </c>
      <c r="Q1168" s="35" t="str">
        <f>_xlfn.TEXTAFTER(mvtst[[#This Row],[QR Suivis]],"_",5)</f>
        <v>0919</v>
      </c>
      <c r="R1168" s="84" t="str">
        <f>IF(
   COUNTIFS($A$2:A1168,A1168,
             $B$2:B1168,B1168,
             $C$2:C1168,C1168,
             $D$2:D1168,D1168,
             $G$2:G1168,G1168)&gt;1,
   "Doublon",
   "Correcte"
)</f>
        <v>Correcte</v>
      </c>
    </row>
    <row r="1169" spans="1:18" x14ac:dyDescent="0.25">
      <c r="A1169" s="104" t="s">
        <v>1871</v>
      </c>
      <c r="B1169" s="35" t="s">
        <v>649</v>
      </c>
      <c r="C1169" s="36">
        <v>0</v>
      </c>
      <c r="D1169" s="36">
        <v>5</v>
      </c>
      <c r="E1169" s="35" t="s">
        <v>699</v>
      </c>
      <c r="F1169" s="35" t="s">
        <v>634</v>
      </c>
      <c r="G1169" s="37">
        <v>45936.670104166667</v>
      </c>
      <c r="H1169" s="37" t="str">
        <f>INDEX(_xlfn.TEXTSPLIT(mvtst[[#This Row],[QR Suivis]],"_"),1,1)</f>
        <v>CA250635-9</v>
      </c>
      <c r="I1169" s="35" t="str">
        <f>_xlfn.TEXTBEFORE(mvtst[[#This Row],[Num Suivis]],"-",,,1)</f>
        <v>CA250635</v>
      </c>
      <c r="J1169" s="36">
        <f>SUMIF(mvtst[QR Suivis],mvtst[[#This Row],[QR Suivis]],mvtst[QTE SORTIS])-SUMIF(mvtst[QR Suivis],mvtst[[#This Row],[QR Suivis]],mvtst[QTE RETOUR])</f>
        <v>0</v>
      </c>
      <c r="K1169" s="35" t="str">
        <f t="shared" si="18"/>
        <v>Usine</v>
      </c>
      <c r="L1169" s="35" t="str">
        <f>_xlfn.XLOOKUP(mvtst[[#This Row],[Sous Traitant]],coordonnee_st[Identification],coordonnee_st[SERVICE],"Non Trouvé")</f>
        <v>Frange</v>
      </c>
      <c r="M1169" s="35" t="str">
        <f>INDEX(_xlfn.TEXTSPLIT(mvtst[[#This Row],[QR Suivis]],"_"),1,2)</f>
        <v>All by Fouta</v>
      </c>
      <c r="N1169" s="35" t="str">
        <f>INDEX(_xlfn.TEXTSPLIT(mvtst[[#This Row],[QR Suivis]],"_"),1,3)</f>
        <v>Stock</v>
      </c>
      <c r="O1169" s="35" t="str">
        <f>INDEX(_xlfn.TEXTSPLIT(mvtst[[#This Row],[QR Suivis]],"_"),1,4)</f>
        <v>EPMA0919-B11-02</v>
      </c>
      <c r="P1169" s="35" t="str">
        <f>INDEX(_xlfn.TEXTSPLIT(mvtst[[#This Row],[QR Suivis]],"_"),1,5)</f>
        <v>MARINIERE</v>
      </c>
      <c r="Q1169" s="35" t="str">
        <f>_xlfn.TEXTAFTER(mvtst[[#This Row],[QR Suivis]],"_",5)</f>
        <v>0919</v>
      </c>
      <c r="R1169" s="84" t="str">
        <f>IF(
   COUNTIFS($A$2:A1169,A1169,
             $B$2:B1169,B1169,
             $C$2:C1169,C1169,
             $D$2:D1169,D1169,
             $G$2:G1169,G1169)&gt;1,
   "Doublon",
   "Correcte"
)</f>
        <v>Correcte</v>
      </c>
    </row>
    <row r="1170" spans="1:18" x14ac:dyDescent="0.25">
      <c r="A1170" s="104" t="s">
        <v>1869</v>
      </c>
      <c r="B1170" s="35" t="s">
        <v>649</v>
      </c>
      <c r="C1170" s="36">
        <v>0</v>
      </c>
      <c r="D1170" s="36">
        <v>5</v>
      </c>
      <c r="E1170" s="35" t="s">
        <v>699</v>
      </c>
      <c r="F1170" s="35" t="s">
        <v>634</v>
      </c>
      <c r="G1170" s="37">
        <v>45936.670231481483</v>
      </c>
      <c r="H1170" s="37" t="str">
        <f>INDEX(_xlfn.TEXTSPLIT(mvtst[[#This Row],[QR Suivis]],"_"),1,1)</f>
        <v>CA250635-1</v>
      </c>
      <c r="I1170" s="35" t="str">
        <f>_xlfn.TEXTBEFORE(mvtst[[#This Row],[Num Suivis]],"-",,,1)</f>
        <v>CA250635</v>
      </c>
      <c r="J1170" s="36">
        <f>SUMIF(mvtst[QR Suivis],mvtst[[#This Row],[QR Suivis]],mvtst[QTE SORTIS])-SUMIF(mvtst[QR Suivis],mvtst[[#This Row],[QR Suivis]],mvtst[QTE RETOUR])</f>
        <v>0</v>
      </c>
      <c r="K1170" s="35" t="str">
        <f t="shared" si="18"/>
        <v>Usine</v>
      </c>
      <c r="L1170" s="35" t="str">
        <f>_xlfn.XLOOKUP(mvtst[[#This Row],[Sous Traitant]],coordonnee_st[Identification],coordonnee_st[SERVICE],"Non Trouvé")</f>
        <v>Frange</v>
      </c>
      <c r="M1170" s="35" t="str">
        <f>INDEX(_xlfn.TEXTSPLIT(mvtst[[#This Row],[QR Suivis]],"_"),1,2)</f>
        <v>All by Fouta</v>
      </c>
      <c r="N1170" s="35" t="str">
        <f>INDEX(_xlfn.TEXTSPLIT(mvtst[[#This Row],[QR Suivis]],"_"),1,3)</f>
        <v>Stock</v>
      </c>
      <c r="O1170" s="35" t="str">
        <f>INDEX(_xlfn.TEXTSPLIT(mvtst[[#This Row],[QR Suivis]],"_"),1,4)</f>
        <v>EPMA0919-B11-02</v>
      </c>
      <c r="P1170" s="35" t="str">
        <f>INDEX(_xlfn.TEXTSPLIT(mvtst[[#This Row],[QR Suivis]],"_"),1,5)</f>
        <v>MARINIERE</v>
      </c>
      <c r="Q1170" s="35" t="str">
        <f>_xlfn.TEXTAFTER(mvtst[[#This Row],[QR Suivis]],"_",5)</f>
        <v>0919</v>
      </c>
      <c r="R1170" s="84" t="str">
        <f>IF(
   COUNTIFS($A$2:A1170,A1170,
             $B$2:B1170,B1170,
             $C$2:C1170,C1170,
             $D$2:D1170,D1170,
             $G$2:G1170,G1170)&gt;1,
   "Doublon",
   "Correcte"
)</f>
        <v>Correcte</v>
      </c>
    </row>
    <row r="1171" spans="1:18" x14ac:dyDescent="0.25">
      <c r="A1171" s="104" t="s">
        <v>1877</v>
      </c>
      <c r="B1171" s="35" t="s">
        <v>649</v>
      </c>
      <c r="C1171" s="36">
        <v>0</v>
      </c>
      <c r="D1171" s="36">
        <v>5</v>
      </c>
      <c r="E1171" s="35" t="s">
        <v>699</v>
      </c>
      <c r="F1171" s="35" t="s">
        <v>634</v>
      </c>
      <c r="G1171" s="37">
        <v>45936.670428240737</v>
      </c>
      <c r="H1171" s="37" t="str">
        <f>INDEX(_xlfn.TEXTSPLIT(mvtst[[#This Row],[QR Suivis]],"_"),1,1)</f>
        <v>CA250635-4</v>
      </c>
      <c r="I1171" s="35" t="str">
        <f>_xlfn.TEXTBEFORE(mvtst[[#This Row],[Num Suivis]],"-",,,1)</f>
        <v>CA250635</v>
      </c>
      <c r="J1171" s="36">
        <f>SUMIF(mvtst[QR Suivis],mvtst[[#This Row],[QR Suivis]],mvtst[QTE SORTIS])-SUMIF(mvtst[QR Suivis],mvtst[[#This Row],[QR Suivis]],mvtst[QTE RETOUR])</f>
        <v>0</v>
      </c>
      <c r="K1171" s="35" t="str">
        <f t="shared" si="18"/>
        <v>Usine</v>
      </c>
      <c r="L1171" s="35" t="str">
        <f>_xlfn.XLOOKUP(mvtst[[#This Row],[Sous Traitant]],coordonnee_st[Identification],coordonnee_st[SERVICE],"Non Trouvé")</f>
        <v>Frange</v>
      </c>
      <c r="M1171" s="35" t="str">
        <f>INDEX(_xlfn.TEXTSPLIT(mvtst[[#This Row],[QR Suivis]],"_"),1,2)</f>
        <v>All by Fouta</v>
      </c>
      <c r="N1171" s="35" t="str">
        <f>INDEX(_xlfn.TEXTSPLIT(mvtst[[#This Row],[QR Suivis]],"_"),1,3)</f>
        <v>Stock</v>
      </c>
      <c r="O1171" s="35" t="str">
        <f>INDEX(_xlfn.TEXTSPLIT(mvtst[[#This Row],[QR Suivis]],"_"),1,4)</f>
        <v>EPMA0919-B11-02</v>
      </c>
      <c r="P1171" s="35" t="str">
        <f>INDEX(_xlfn.TEXTSPLIT(mvtst[[#This Row],[QR Suivis]],"_"),1,5)</f>
        <v>MARINIERE</v>
      </c>
      <c r="Q1171" s="35" t="str">
        <f>_xlfn.TEXTAFTER(mvtst[[#This Row],[QR Suivis]],"_",5)</f>
        <v>0919</v>
      </c>
      <c r="R1171" s="84" t="str">
        <f>IF(
   COUNTIFS($A$2:A1171,A1171,
             $B$2:B1171,B1171,
             $C$2:C1171,C1171,
             $D$2:D1171,D1171,
             $G$2:G1171,G1171)&gt;1,
   "Doublon",
   "Correcte"
)</f>
        <v>Correcte</v>
      </c>
    </row>
    <row r="1172" spans="1:18" x14ac:dyDescent="0.25">
      <c r="A1172" s="104" t="s">
        <v>1872</v>
      </c>
      <c r="B1172" s="35" t="s">
        <v>649</v>
      </c>
      <c r="C1172" s="36">
        <v>0</v>
      </c>
      <c r="D1172" s="36">
        <v>5</v>
      </c>
      <c r="E1172" s="35" t="s">
        <v>699</v>
      </c>
      <c r="F1172" s="35" t="s">
        <v>634</v>
      </c>
      <c r="G1172" s="37">
        <v>45936.670520833337</v>
      </c>
      <c r="H1172" s="37" t="str">
        <f>INDEX(_xlfn.TEXTSPLIT(mvtst[[#This Row],[QR Suivis]],"_"),1,1)</f>
        <v>CA250635-14</v>
      </c>
      <c r="I1172" s="35" t="str">
        <f>_xlfn.TEXTBEFORE(mvtst[[#This Row],[Num Suivis]],"-",,,1)</f>
        <v>CA250635</v>
      </c>
      <c r="J1172" s="36">
        <f>SUMIF(mvtst[QR Suivis],mvtst[[#This Row],[QR Suivis]],mvtst[QTE SORTIS])-SUMIF(mvtst[QR Suivis],mvtst[[#This Row],[QR Suivis]],mvtst[QTE RETOUR])</f>
        <v>0</v>
      </c>
      <c r="K1172" s="35" t="str">
        <f t="shared" si="18"/>
        <v>Usine</v>
      </c>
      <c r="L1172" s="35" t="str">
        <f>_xlfn.XLOOKUP(mvtst[[#This Row],[Sous Traitant]],coordonnee_st[Identification],coordonnee_st[SERVICE],"Non Trouvé")</f>
        <v>Frange</v>
      </c>
      <c r="M1172" s="35" t="str">
        <f>INDEX(_xlfn.TEXTSPLIT(mvtst[[#This Row],[QR Suivis]],"_"),1,2)</f>
        <v>All by Fouta</v>
      </c>
      <c r="N1172" s="35" t="str">
        <f>INDEX(_xlfn.TEXTSPLIT(mvtst[[#This Row],[QR Suivis]],"_"),1,3)</f>
        <v>Stock</v>
      </c>
      <c r="O1172" s="35" t="str">
        <f>INDEX(_xlfn.TEXTSPLIT(mvtst[[#This Row],[QR Suivis]],"_"),1,4)</f>
        <v>EPMA0919-B11-02</v>
      </c>
      <c r="P1172" s="35" t="str">
        <f>INDEX(_xlfn.TEXTSPLIT(mvtst[[#This Row],[QR Suivis]],"_"),1,5)</f>
        <v>MARINIERE</v>
      </c>
      <c r="Q1172" s="35" t="str">
        <f>_xlfn.TEXTAFTER(mvtst[[#This Row],[QR Suivis]],"_",5)</f>
        <v>0919</v>
      </c>
      <c r="R1172" s="84" t="str">
        <f>IF(
   COUNTIFS($A$2:A1172,A1172,
             $B$2:B1172,B1172,
             $C$2:C1172,C1172,
             $D$2:D1172,D1172,
             $G$2:G1172,G1172)&gt;1,
   "Doublon",
   "Correcte"
)</f>
        <v>Correcte</v>
      </c>
    </row>
    <row r="1173" spans="1:18" x14ac:dyDescent="0.25">
      <c r="A1173" s="104" t="s">
        <v>1915</v>
      </c>
      <c r="B1173" s="35" t="s">
        <v>649</v>
      </c>
      <c r="C1173" s="36">
        <v>5</v>
      </c>
      <c r="D1173" s="36">
        <v>0</v>
      </c>
      <c r="E1173" s="35" t="s">
        <v>699</v>
      </c>
      <c r="F1173" s="35" t="s">
        <v>634</v>
      </c>
      <c r="G1173" s="37">
        <v>45936.671203703707</v>
      </c>
      <c r="H1173" s="37" t="str">
        <f>INDEX(_xlfn.TEXTSPLIT(mvtst[[#This Row],[QR Suivis]],"_"),1,1)</f>
        <v>OF249868-17</v>
      </c>
      <c r="I1173" s="35" t="str">
        <f>_xlfn.TEXTBEFORE(mvtst[[#This Row],[Num Suivis]],"-",,,1)</f>
        <v>OF249868</v>
      </c>
      <c r="J1173" s="36">
        <f>SUMIF(mvtst[QR Suivis],mvtst[[#This Row],[QR Suivis]],mvtst[QTE SORTIS])-SUMIF(mvtst[QR Suivis],mvtst[[#This Row],[QR Suivis]],mvtst[QTE RETOUR])</f>
        <v>0</v>
      </c>
      <c r="K1173" s="35" t="str">
        <f t="shared" si="18"/>
        <v>Usine</v>
      </c>
      <c r="L1173" s="35" t="str">
        <f>_xlfn.XLOOKUP(mvtst[[#This Row],[Sous Traitant]],coordonnee_st[Identification],coordonnee_st[SERVICE],"Non Trouvé")</f>
        <v>Frange</v>
      </c>
      <c r="M1173" s="35" t="str">
        <f>INDEX(_xlfn.TEXTSPLIT(mvtst[[#This Row],[QR Suivis]],"_"),1,2)</f>
        <v>CL00884</v>
      </c>
      <c r="N1173" s="35" t="str">
        <f>INDEX(_xlfn.TEXTSPLIT(mvtst[[#This Row],[QR Suivis]],"_"),1,3)</f>
        <v>CM-FT0119</v>
      </c>
      <c r="O1173" s="35" t="str">
        <f>INDEX(_xlfn.TEXTSPLIT(mvtst[[#This Row],[QR Suivis]],"_"),1,4)</f>
        <v>EPMA0919-B24-02</v>
      </c>
      <c r="P1173" s="35" t="str">
        <f>INDEX(_xlfn.TEXTSPLIT(mvtst[[#This Row],[QR Suivis]],"_"),1,5)</f>
        <v>MARINIERE</v>
      </c>
      <c r="Q1173" s="35" t="str">
        <f>_xlfn.TEXTAFTER(mvtst[[#This Row],[QR Suivis]],"_",5)</f>
        <v>0919</v>
      </c>
      <c r="R1173" s="84" t="str">
        <f>IF(
   COUNTIFS($A$2:A1173,A1173,
             $B$2:B1173,B1173,
             $C$2:C1173,C1173,
             $D$2:D1173,D1173,
             $G$2:G1173,G1173)&gt;1,
   "Doublon",
   "Correcte"
)</f>
        <v>Correcte</v>
      </c>
    </row>
    <row r="1174" spans="1:18" x14ac:dyDescent="0.25">
      <c r="A1174" s="104" t="s">
        <v>1916</v>
      </c>
      <c r="B1174" s="35" t="s">
        <v>649</v>
      </c>
      <c r="C1174" s="36">
        <v>5</v>
      </c>
      <c r="D1174" s="36">
        <v>0</v>
      </c>
      <c r="E1174" s="35" t="s">
        <v>699</v>
      </c>
      <c r="F1174" s="35" t="s">
        <v>634</v>
      </c>
      <c r="G1174" s="37">
        <v>45936.671423611115</v>
      </c>
      <c r="H1174" s="37" t="str">
        <f>INDEX(_xlfn.TEXTSPLIT(mvtst[[#This Row],[QR Suivis]],"_"),1,1)</f>
        <v>OF249868-9</v>
      </c>
      <c r="I1174" s="35" t="str">
        <f>_xlfn.TEXTBEFORE(mvtst[[#This Row],[Num Suivis]],"-",,,1)</f>
        <v>OF249868</v>
      </c>
      <c r="J1174" s="36">
        <f>SUMIF(mvtst[QR Suivis],mvtst[[#This Row],[QR Suivis]],mvtst[QTE SORTIS])-SUMIF(mvtst[QR Suivis],mvtst[[#This Row],[QR Suivis]],mvtst[QTE RETOUR])</f>
        <v>0</v>
      </c>
      <c r="K1174" s="35" t="str">
        <f t="shared" si="18"/>
        <v>Usine</v>
      </c>
      <c r="L1174" s="35" t="str">
        <f>_xlfn.XLOOKUP(mvtst[[#This Row],[Sous Traitant]],coordonnee_st[Identification],coordonnee_st[SERVICE],"Non Trouvé")</f>
        <v>Frange</v>
      </c>
      <c r="M1174" s="35" t="str">
        <f>INDEX(_xlfn.TEXTSPLIT(mvtst[[#This Row],[QR Suivis]],"_"),1,2)</f>
        <v>CL00884</v>
      </c>
      <c r="N1174" s="35" t="str">
        <f>INDEX(_xlfn.TEXTSPLIT(mvtst[[#This Row],[QR Suivis]],"_"),1,3)</f>
        <v>CM-FT0119</v>
      </c>
      <c r="O1174" s="35" t="str">
        <f>INDEX(_xlfn.TEXTSPLIT(mvtst[[#This Row],[QR Suivis]],"_"),1,4)</f>
        <v>EPMA0919-B24-02</v>
      </c>
      <c r="P1174" s="35" t="str">
        <f>INDEX(_xlfn.TEXTSPLIT(mvtst[[#This Row],[QR Suivis]],"_"),1,5)</f>
        <v>MARINIERE</v>
      </c>
      <c r="Q1174" s="35" t="str">
        <f>_xlfn.TEXTAFTER(mvtst[[#This Row],[QR Suivis]],"_",5)</f>
        <v>0919</v>
      </c>
      <c r="R1174" s="84" t="str">
        <f>IF(
   COUNTIFS($A$2:A1174,A1174,
             $B$2:B1174,B1174,
             $C$2:C1174,C1174,
             $D$2:D1174,D1174,
             $G$2:G1174,G1174)&gt;1,
   "Doublon",
   "Correcte"
)</f>
        <v>Correcte</v>
      </c>
    </row>
    <row r="1175" spans="1:18" x14ac:dyDescent="0.25">
      <c r="A1175" s="104" t="s">
        <v>1917</v>
      </c>
      <c r="B1175" s="35" t="s">
        <v>649</v>
      </c>
      <c r="C1175" s="36">
        <v>5</v>
      </c>
      <c r="D1175" s="36">
        <v>0</v>
      </c>
      <c r="E1175" s="35" t="s">
        <v>699</v>
      </c>
      <c r="F1175" s="35" t="s">
        <v>634</v>
      </c>
      <c r="G1175" s="37">
        <v>45936.671620370369</v>
      </c>
      <c r="H1175" s="37" t="str">
        <f>INDEX(_xlfn.TEXTSPLIT(mvtst[[#This Row],[QR Suivis]],"_"),1,1)</f>
        <v>OF249868-16</v>
      </c>
      <c r="I1175" s="35" t="str">
        <f>_xlfn.TEXTBEFORE(mvtst[[#This Row],[Num Suivis]],"-",,,1)</f>
        <v>OF249868</v>
      </c>
      <c r="J1175" s="36">
        <f>SUMIF(mvtst[QR Suivis],mvtst[[#This Row],[QR Suivis]],mvtst[QTE SORTIS])-SUMIF(mvtst[QR Suivis],mvtst[[#This Row],[QR Suivis]],mvtst[QTE RETOUR])</f>
        <v>0</v>
      </c>
      <c r="K1175" s="35" t="str">
        <f t="shared" si="18"/>
        <v>Usine</v>
      </c>
      <c r="L1175" s="35" t="str">
        <f>_xlfn.XLOOKUP(mvtst[[#This Row],[Sous Traitant]],coordonnee_st[Identification],coordonnee_st[SERVICE],"Non Trouvé")</f>
        <v>Frange</v>
      </c>
      <c r="M1175" s="35" t="str">
        <f>INDEX(_xlfn.TEXTSPLIT(mvtst[[#This Row],[QR Suivis]],"_"),1,2)</f>
        <v>CL00884</v>
      </c>
      <c r="N1175" s="35" t="str">
        <f>INDEX(_xlfn.TEXTSPLIT(mvtst[[#This Row],[QR Suivis]],"_"),1,3)</f>
        <v>CM-FT0119</v>
      </c>
      <c r="O1175" s="35" t="str">
        <f>INDEX(_xlfn.TEXTSPLIT(mvtst[[#This Row],[QR Suivis]],"_"),1,4)</f>
        <v>EPMA0919-B24-02</v>
      </c>
      <c r="P1175" s="35" t="str">
        <f>INDEX(_xlfn.TEXTSPLIT(mvtst[[#This Row],[QR Suivis]],"_"),1,5)</f>
        <v>MARINIERE</v>
      </c>
      <c r="Q1175" s="35" t="str">
        <f>_xlfn.TEXTAFTER(mvtst[[#This Row],[QR Suivis]],"_",5)</f>
        <v>0919</v>
      </c>
      <c r="R1175" s="84" t="str">
        <f>IF(
   COUNTIFS($A$2:A1175,A1175,
             $B$2:B1175,B1175,
             $C$2:C1175,C1175,
             $D$2:D1175,D1175,
             $G$2:G1175,G1175)&gt;1,
   "Doublon",
   "Correcte"
)</f>
        <v>Correcte</v>
      </c>
    </row>
    <row r="1176" spans="1:18" x14ac:dyDescent="0.25">
      <c r="A1176" s="104" t="s">
        <v>1918</v>
      </c>
      <c r="B1176" s="35" t="s">
        <v>649</v>
      </c>
      <c r="C1176" s="36">
        <v>5</v>
      </c>
      <c r="D1176" s="36">
        <v>0</v>
      </c>
      <c r="E1176" s="35" t="s">
        <v>699</v>
      </c>
      <c r="F1176" s="35" t="s">
        <v>634</v>
      </c>
      <c r="G1176" s="37">
        <v>45936.671840277777</v>
      </c>
      <c r="H1176" s="37" t="str">
        <f>INDEX(_xlfn.TEXTSPLIT(mvtst[[#This Row],[QR Suivis]],"_"),1,1)</f>
        <v>OF249868-14</v>
      </c>
      <c r="I1176" s="35" t="str">
        <f>_xlfn.TEXTBEFORE(mvtst[[#This Row],[Num Suivis]],"-",,,1)</f>
        <v>OF249868</v>
      </c>
      <c r="J1176" s="36">
        <f>SUMIF(mvtst[QR Suivis],mvtst[[#This Row],[QR Suivis]],mvtst[QTE SORTIS])-SUMIF(mvtst[QR Suivis],mvtst[[#This Row],[QR Suivis]],mvtst[QTE RETOUR])</f>
        <v>0</v>
      </c>
      <c r="K1176" s="35" t="str">
        <f t="shared" si="18"/>
        <v>Usine</v>
      </c>
      <c r="L1176" s="35" t="str">
        <f>_xlfn.XLOOKUP(mvtst[[#This Row],[Sous Traitant]],coordonnee_st[Identification],coordonnee_st[SERVICE],"Non Trouvé")</f>
        <v>Frange</v>
      </c>
      <c r="M1176" s="35" t="str">
        <f>INDEX(_xlfn.TEXTSPLIT(mvtst[[#This Row],[QR Suivis]],"_"),1,2)</f>
        <v>CL00884</v>
      </c>
      <c r="N1176" s="35" t="str">
        <f>INDEX(_xlfn.TEXTSPLIT(mvtst[[#This Row],[QR Suivis]],"_"),1,3)</f>
        <v>CM-FT0119</v>
      </c>
      <c r="O1176" s="35" t="str">
        <f>INDEX(_xlfn.TEXTSPLIT(mvtst[[#This Row],[QR Suivis]],"_"),1,4)</f>
        <v>EPMA0919-B24-02</v>
      </c>
      <c r="P1176" s="35" t="str">
        <f>INDEX(_xlfn.TEXTSPLIT(mvtst[[#This Row],[QR Suivis]],"_"),1,5)</f>
        <v>MARINIERE</v>
      </c>
      <c r="Q1176" s="35" t="str">
        <f>_xlfn.TEXTAFTER(mvtst[[#This Row],[QR Suivis]],"_",5)</f>
        <v>0919</v>
      </c>
      <c r="R1176" s="84" t="str">
        <f>IF(
   COUNTIFS($A$2:A1176,A1176,
             $B$2:B1176,B1176,
             $C$2:C1176,C1176,
             $D$2:D1176,D1176,
             $G$2:G1176,G1176)&gt;1,
   "Doublon",
   "Correcte"
)</f>
        <v>Correcte</v>
      </c>
    </row>
    <row r="1177" spans="1:18" x14ac:dyDescent="0.25">
      <c r="A1177" s="104" t="s">
        <v>1919</v>
      </c>
      <c r="B1177" s="35" t="s">
        <v>649</v>
      </c>
      <c r="C1177" s="36">
        <v>5</v>
      </c>
      <c r="D1177" s="36">
        <v>0</v>
      </c>
      <c r="E1177" s="35" t="s">
        <v>699</v>
      </c>
      <c r="F1177" s="35" t="s">
        <v>634</v>
      </c>
      <c r="G1177" s="37">
        <v>45936.672280092593</v>
      </c>
      <c r="H1177" s="37" t="str">
        <f>INDEX(_xlfn.TEXTSPLIT(mvtst[[#This Row],[QR Suivis]],"_"),1,1)</f>
        <v>OF249868-10</v>
      </c>
      <c r="I1177" s="35" t="str">
        <f>_xlfn.TEXTBEFORE(mvtst[[#This Row],[Num Suivis]],"-",,,1)</f>
        <v>OF249868</v>
      </c>
      <c r="J1177" s="36">
        <f>SUMIF(mvtst[QR Suivis],mvtst[[#This Row],[QR Suivis]],mvtst[QTE SORTIS])-SUMIF(mvtst[QR Suivis],mvtst[[#This Row],[QR Suivis]],mvtst[QTE RETOUR])</f>
        <v>0</v>
      </c>
      <c r="K1177" s="35" t="str">
        <f t="shared" si="18"/>
        <v>Usine</v>
      </c>
      <c r="L1177" s="35" t="str">
        <f>_xlfn.XLOOKUP(mvtst[[#This Row],[Sous Traitant]],coordonnee_st[Identification],coordonnee_st[SERVICE],"Non Trouvé")</f>
        <v>Frange</v>
      </c>
      <c r="M1177" s="35" t="str">
        <f>INDEX(_xlfn.TEXTSPLIT(mvtst[[#This Row],[QR Suivis]],"_"),1,2)</f>
        <v>CL00884</v>
      </c>
      <c r="N1177" s="35" t="str">
        <f>INDEX(_xlfn.TEXTSPLIT(mvtst[[#This Row],[QR Suivis]],"_"),1,3)</f>
        <v>CM-FT0119</v>
      </c>
      <c r="O1177" s="35" t="str">
        <f>INDEX(_xlfn.TEXTSPLIT(mvtst[[#This Row],[QR Suivis]],"_"),1,4)</f>
        <v>EPMA0919-B24-02</v>
      </c>
      <c r="P1177" s="35" t="str">
        <f>INDEX(_xlfn.TEXTSPLIT(mvtst[[#This Row],[QR Suivis]],"_"),1,5)</f>
        <v>MARINIERE</v>
      </c>
      <c r="Q1177" s="35" t="str">
        <f>_xlfn.TEXTAFTER(mvtst[[#This Row],[QR Suivis]],"_",5)</f>
        <v>0919</v>
      </c>
      <c r="R1177" s="84" t="str">
        <f>IF(
   COUNTIFS($A$2:A1177,A1177,
             $B$2:B1177,B1177,
             $C$2:C1177,C1177,
             $D$2:D1177,D1177,
             $G$2:G1177,G1177)&gt;1,
   "Doublon",
   "Correcte"
)</f>
        <v>Correcte</v>
      </c>
    </row>
    <row r="1178" spans="1:18" x14ac:dyDescent="0.25">
      <c r="A1178" s="104" t="s">
        <v>1920</v>
      </c>
      <c r="B1178" s="35" t="s">
        <v>649</v>
      </c>
      <c r="C1178" s="36">
        <v>5</v>
      </c>
      <c r="D1178" s="36">
        <v>0</v>
      </c>
      <c r="E1178" s="35" t="s">
        <v>699</v>
      </c>
      <c r="F1178" s="35" t="s">
        <v>634</v>
      </c>
      <c r="G1178" s="37">
        <v>45936.672453703701</v>
      </c>
      <c r="H1178" s="37" t="str">
        <f>INDEX(_xlfn.TEXTSPLIT(mvtst[[#This Row],[QR Suivis]],"_"),1,1)</f>
        <v>OF249868-2</v>
      </c>
      <c r="I1178" s="35" t="str">
        <f>_xlfn.TEXTBEFORE(mvtst[[#This Row],[Num Suivis]],"-",,,1)</f>
        <v>OF249868</v>
      </c>
      <c r="J1178" s="36">
        <f>SUMIF(mvtst[QR Suivis],mvtst[[#This Row],[QR Suivis]],mvtst[QTE SORTIS])-SUMIF(mvtst[QR Suivis],mvtst[[#This Row],[QR Suivis]],mvtst[QTE RETOUR])</f>
        <v>0</v>
      </c>
      <c r="K1178" s="35" t="str">
        <f t="shared" si="18"/>
        <v>Usine</v>
      </c>
      <c r="L1178" s="35" t="str">
        <f>_xlfn.XLOOKUP(mvtst[[#This Row],[Sous Traitant]],coordonnee_st[Identification],coordonnee_st[SERVICE],"Non Trouvé")</f>
        <v>Frange</v>
      </c>
      <c r="M1178" s="35" t="str">
        <f>INDEX(_xlfn.TEXTSPLIT(mvtst[[#This Row],[QR Suivis]],"_"),1,2)</f>
        <v>CL00884</v>
      </c>
      <c r="N1178" s="35" t="str">
        <f>INDEX(_xlfn.TEXTSPLIT(mvtst[[#This Row],[QR Suivis]],"_"),1,3)</f>
        <v>CM-FT0119</v>
      </c>
      <c r="O1178" s="35" t="str">
        <f>INDEX(_xlfn.TEXTSPLIT(mvtst[[#This Row],[QR Suivis]],"_"),1,4)</f>
        <v>EPMA0919-B24-02</v>
      </c>
      <c r="P1178" s="35" t="str">
        <f>INDEX(_xlfn.TEXTSPLIT(mvtst[[#This Row],[QR Suivis]],"_"),1,5)</f>
        <v>MARINIERE</v>
      </c>
      <c r="Q1178" s="35" t="str">
        <f>_xlfn.TEXTAFTER(mvtst[[#This Row],[QR Suivis]],"_",5)</f>
        <v>0919</v>
      </c>
      <c r="R1178" s="84" t="str">
        <f>IF(
   COUNTIFS($A$2:A1178,A1178,
             $B$2:B1178,B1178,
             $C$2:C1178,C1178,
             $D$2:D1178,D1178,
             $G$2:G1178,G1178)&gt;1,
   "Doublon",
   "Correcte"
)</f>
        <v>Correcte</v>
      </c>
    </row>
    <row r="1179" spans="1:18" x14ac:dyDescent="0.25">
      <c r="A1179" s="104" t="s">
        <v>1302</v>
      </c>
      <c r="B1179" s="35" t="s">
        <v>650</v>
      </c>
      <c r="C1179" s="36">
        <v>0</v>
      </c>
      <c r="D1179" s="36">
        <v>3</v>
      </c>
      <c r="E1179" s="35" t="s">
        <v>699</v>
      </c>
      <c r="F1179" s="35" t="s">
        <v>634</v>
      </c>
      <c r="G1179" s="37">
        <v>45936.704722222225</v>
      </c>
      <c r="H1179" s="37" t="str">
        <f>INDEX(_xlfn.TEXTSPLIT(mvtst[[#This Row],[QR Suivis]],"_"),1,1)</f>
        <v>OF246543</v>
      </c>
      <c r="I1179" s="35" t="str">
        <f>_xlfn.TEXTBEFORE(mvtst[[#This Row],[Num Suivis]],"-",,,1)</f>
        <v>OF246543</v>
      </c>
      <c r="J1179" s="36">
        <f>SUMIF(mvtst[QR Suivis],mvtst[[#This Row],[QR Suivis]],mvtst[QTE SORTIS])-SUMIF(mvtst[QR Suivis],mvtst[[#This Row],[QR Suivis]],mvtst[QTE RETOUR])</f>
        <v>0</v>
      </c>
      <c r="K1179" s="35" t="str">
        <f t="shared" si="18"/>
        <v>Usine</v>
      </c>
      <c r="L1179" s="35" t="str">
        <f>_xlfn.XLOOKUP(mvtst[[#This Row],[Sous Traitant]],coordonnee_st[Identification],coordonnee_st[SERVICE],"Non Trouvé")</f>
        <v>Frange</v>
      </c>
      <c r="M1179" s="35" t="str">
        <f>INDEX(_xlfn.TEXTSPLIT(mvtst[[#This Row],[QR Suivis]],"_"),1,2)</f>
        <v>CL00296</v>
      </c>
      <c r="N1179" s="35" t="str">
        <f>INDEX(_xlfn.TEXTSPLIT(mvtst[[#This Row],[QR Suivis]],"_"),1,3)</f>
        <v>CM-FT0108</v>
      </c>
      <c r="O1179" s="35" t="str">
        <f>INDEX(_xlfn.TEXTSPLIT(mvtst[[#This Row],[QR Suivis]],"_"),1,4)</f>
        <v>EPMA0919-B15-02</v>
      </c>
      <c r="P1179" s="35" t="str">
        <f>INDEX(_xlfn.TEXTSPLIT(mvtst[[#This Row],[QR Suivis]],"_"),1,5)</f>
        <v>MARINIERE</v>
      </c>
      <c r="Q1179" s="35" t="str">
        <f>_xlfn.TEXTAFTER(mvtst[[#This Row],[QR Suivis]],"_",5)</f>
        <v>0919</v>
      </c>
      <c r="R1179" s="84" t="str">
        <f>IF(
   COUNTIFS($A$2:A1179,A1179,
             $B$2:B1179,B1179,
             $C$2:C1179,C1179,
             $D$2:D1179,D1179,
             $G$2:G1179,G1179)&gt;1,
   "Doublon",
   "Correcte"
)</f>
        <v>Correcte</v>
      </c>
    </row>
    <row r="1180" spans="1:18" x14ac:dyDescent="0.25">
      <c r="A1180" s="104" t="s">
        <v>1901</v>
      </c>
      <c r="B1180" s="35" t="s">
        <v>712</v>
      </c>
      <c r="C1180" s="36">
        <v>0</v>
      </c>
      <c r="D1180" s="36">
        <v>5</v>
      </c>
      <c r="E1180" s="35" t="s">
        <v>699</v>
      </c>
      <c r="F1180" s="35" t="s">
        <v>634</v>
      </c>
      <c r="G1180" s="37">
        <v>45936.705150462964</v>
      </c>
      <c r="H1180" s="37" t="str">
        <f>INDEX(_xlfn.TEXTSPLIT(mvtst[[#This Row],[QR Suivis]],"_"),1,1)</f>
        <v>CA250047-3</v>
      </c>
      <c r="I1180" s="35" t="str">
        <f>_xlfn.TEXTBEFORE(mvtst[[#This Row],[Num Suivis]],"-",,,1)</f>
        <v>CA250047</v>
      </c>
      <c r="J1180" s="36">
        <f>SUMIF(mvtst[QR Suivis],mvtst[[#This Row],[QR Suivis]],mvtst[QTE SORTIS])-SUMIF(mvtst[QR Suivis],mvtst[[#This Row],[QR Suivis]],mvtst[QTE RETOUR])</f>
        <v>0</v>
      </c>
      <c r="K1180" s="35" t="str">
        <f t="shared" si="18"/>
        <v>Usine</v>
      </c>
      <c r="L1180" s="35" t="str">
        <f>_xlfn.XLOOKUP(mvtst[[#This Row],[Sous Traitant]],coordonnee_st[Identification],coordonnee_st[SERVICE],"Non Trouvé")</f>
        <v>Frange</v>
      </c>
      <c r="M1180" s="35" t="str">
        <f>INDEX(_xlfn.TEXTSPLIT(mvtst[[#This Row],[QR Suivis]],"_"),1,2)</f>
        <v>All by Fouta</v>
      </c>
      <c r="N1180" s="35" t="str">
        <f>INDEX(_xlfn.TEXTSPLIT(mvtst[[#This Row],[QR Suivis]],"_"),1,3)</f>
        <v>Stock</v>
      </c>
      <c r="O1180" s="35" t="str">
        <f>INDEX(_xlfn.TEXTSPLIT(mvtst[[#This Row],[QR Suivis]],"_"),1,4)</f>
        <v>UNS1626-13</v>
      </c>
      <c r="P1180" s="35" t="str">
        <f>INDEX(_xlfn.TEXTSPLIT(mvtst[[#This Row],[QR Suivis]],"_"),1,5)</f>
        <v>UNI SURPIQUE</v>
      </c>
      <c r="Q1180" s="35" t="str">
        <f>_xlfn.TEXTAFTER(mvtst[[#This Row],[QR Suivis]],"_",5)</f>
        <v>1626</v>
      </c>
      <c r="R1180" s="84" t="str">
        <f>IF(
   COUNTIFS($A$2:A1180,A1180,
             $B$2:B1180,B1180,
             $C$2:C1180,C1180,
             $D$2:D1180,D1180,
             $G$2:G1180,G1180)&gt;1,
   "Doublon",
   "Correcte"
)</f>
        <v>Correcte</v>
      </c>
    </row>
    <row r="1181" spans="1:18" x14ac:dyDescent="0.25">
      <c r="A1181" s="104" t="s">
        <v>1900</v>
      </c>
      <c r="B1181" s="35" t="s">
        <v>712</v>
      </c>
      <c r="C1181" s="36">
        <v>0</v>
      </c>
      <c r="D1181" s="36">
        <v>5</v>
      </c>
      <c r="E1181" s="35" t="s">
        <v>699</v>
      </c>
      <c r="F1181" s="35" t="s">
        <v>634</v>
      </c>
      <c r="G1181" s="37">
        <v>45936.705335648148</v>
      </c>
      <c r="H1181" s="37" t="str">
        <f>INDEX(_xlfn.TEXTSPLIT(mvtst[[#This Row],[QR Suivis]],"_"),1,1)</f>
        <v>CA250047-1</v>
      </c>
      <c r="I1181" s="35" t="str">
        <f>_xlfn.TEXTBEFORE(mvtst[[#This Row],[Num Suivis]],"-",,,1)</f>
        <v>CA250047</v>
      </c>
      <c r="J1181" s="36">
        <f>SUMIF(mvtst[QR Suivis],mvtst[[#This Row],[QR Suivis]],mvtst[QTE SORTIS])-SUMIF(mvtst[QR Suivis],mvtst[[#This Row],[QR Suivis]],mvtst[QTE RETOUR])</f>
        <v>0</v>
      </c>
      <c r="K1181" s="35" t="str">
        <f t="shared" si="18"/>
        <v>Usine</v>
      </c>
      <c r="L1181" s="35" t="str">
        <f>_xlfn.XLOOKUP(mvtst[[#This Row],[Sous Traitant]],coordonnee_st[Identification],coordonnee_st[SERVICE],"Non Trouvé")</f>
        <v>Frange</v>
      </c>
      <c r="M1181" s="35" t="str">
        <f>INDEX(_xlfn.TEXTSPLIT(mvtst[[#This Row],[QR Suivis]],"_"),1,2)</f>
        <v>All by Fouta</v>
      </c>
      <c r="N1181" s="35" t="str">
        <f>INDEX(_xlfn.TEXTSPLIT(mvtst[[#This Row],[QR Suivis]],"_"),1,3)</f>
        <v>Stock</v>
      </c>
      <c r="O1181" s="35" t="str">
        <f>INDEX(_xlfn.TEXTSPLIT(mvtst[[#This Row],[QR Suivis]],"_"),1,4)</f>
        <v>UNS1626-13</v>
      </c>
      <c r="P1181" s="35" t="str">
        <f>INDEX(_xlfn.TEXTSPLIT(mvtst[[#This Row],[QR Suivis]],"_"),1,5)</f>
        <v>UNI SURPIQUE</v>
      </c>
      <c r="Q1181" s="35" t="str">
        <f>_xlfn.TEXTAFTER(mvtst[[#This Row],[QR Suivis]],"_",5)</f>
        <v>1626</v>
      </c>
      <c r="R1181" s="84" t="str">
        <f>IF(
   COUNTIFS($A$2:A1181,A1181,
             $B$2:B1181,B1181,
             $C$2:C1181,C1181,
             $D$2:D1181,D1181,
             $G$2:G1181,G1181)&gt;1,
   "Doublon",
   "Correcte"
)</f>
        <v>Correcte</v>
      </c>
    </row>
    <row r="1182" spans="1:18" x14ac:dyDescent="0.25">
      <c r="A1182" s="104" t="s">
        <v>1903</v>
      </c>
      <c r="B1182" s="35" t="s">
        <v>712</v>
      </c>
      <c r="C1182" s="36">
        <v>0</v>
      </c>
      <c r="D1182" s="36">
        <v>5</v>
      </c>
      <c r="E1182" s="35" t="s">
        <v>699</v>
      </c>
      <c r="F1182" s="35" t="s">
        <v>634</v>
      </c>
      <c r="G1182" s="37">
        <v>45936.705543981479</v>
      </c>
      <c r="H1182" s="37" t="str">
        <f>INDEX(_xlfn.TEXTSPLIT(mvtst[[#This Row],[QR Suivis]],"_"),1,1)</f>
        <v>CA250047-5</v>
      </c>
      <c r="I1182" s="35" t="str">
        <f>_xlfn.TEXTBEFORE(mvtst[[#This Row],[Num Suivis]],"-",,,1)</f>
        <v>CA250047</v>
      </c>
      <c r="J1182" s="36">
        <f>SUMIF(mvtst[QR Suivis],mvtst[[#This Row],[QR Suivis]],mvtst[QTE SORTIS])-SUMIF(mvtst[QR Suivis],mvtst[[#This Row],[QR Suivis]],mvtst[QTE RETOUR])</f>
        <v>0</v>
      </c>
      <c r="K1182" s="35" t="str">
        <f t="shared" si="18"/>
        <v>Usine</v>
      </c>
      <c r="L1182" s="35" t="str">
        <f>_xlfn.XLOOKUP(mvtst[[#This Row],[Sous Traitant]],coordonnee_st[Identification],coordonnee_st[SERVICE],"Non Trouvé")</f>
        <v>Frange</v>
      </c>
      <c r="M1182" s="35" t="str">
        <f>INDEX(_xlfn.TEXTSPLIT(mvtst[[#This Row],[QR Suivis]],"_"),1,2)</f>
        <v>All by Fouta</v>
      </c>
      <c r="N1182" s="35" t="str">
        <f>INDEX(_xlfn.TEXTSPLIT(mvtst[[#This Row],[QR Suivis]],"_"),1,3)</f>
        <v>Stock</v>
      </c>
      <c r="O1182" s="35" t="str">
        <f>INDEX(_xlfn.TEXTSPLIT(mvtst[[#This Row],[QR Suivis]],"_"),1,4)</f>
        <v>UNS1626-13</v>
      </c>
      <c r="P1182" s="35" t="str">
        <f>INDEX(_xlfn.TEXTSPLIT(mvtst[[#This Row],[QR Suivis]],"_"),1,5)</f>
        <v>UNI SURPIQUE</v>
      </c>
      <c r="Q1182" s="35" t="str">
        <f>_xlfn.TEXTAFTER(mvtst[[#This Row],[QR Suivis]],"_",5)</f>
        <v>1626</v>
      </c>
      <c r="R1182" s="84" t="str">
        <f>IF(
   COUNTIFS($A$2:A1182,A1182,
             $B$2:B1182,B1182,
             $C$2:C1182,C1182,
             $D$2:D1182,D1182,
             $G$2:G1182,G1182)&gt;1,
   "Doublon",
   "Correcte"
)</f>
        <v>Correcte</v>
      </c>
    </row>
    <row r="1183" spans="1:18" x14ac:dyDescent="0.25">
      <c r="A1183" s="104" t="s">
        <v>1899</v>
      </c>
      <c r="B1183" s="35" t="s">
        <v>712</v>
      </c>
      <c r="C1183" s="36">
        <v>0</v>
      </c>
      <c r="D1183" s="36">
        <v>5</v>
      </c>
      <c r="E1183" s="35" t="s">
        <v>699</v>
      </c>
      <c r="F1183" s="35" t="s">
        <v>634</v>
      </c>
      <c r="G1183" s="37">
        <v>45936.705752314818</v>
      </c>
      <c r="H1183" s="37" t="str">
        <f>INDEX(_xlfn.TEXTSPLIT(mvtst[[#This Row],[QR Suivis]],"_"),1,1)</f>
        <v>CA250047-4</v>
      </c>
      <c r="I1183" s="35" t="str">
        <f>_xlfn.TEXTBEFORE(mvtst[[#This Row],[Num Suivis]],"-",,,1)</f>
        <v>CA250047</v>
      </c>
      <c r="J1183" s="36">
        <f>SUMIF(mvtst[QR Suivis],mvtst[[#This Row],[QR Suivis]],mvtst[QTE SORTIS])-SUMIF(mvtst[QR Suivis],mvtst[[#This Row],[QR Suivis]],mvtst[QTE RETOUR])</f>
        <v>0</v>
      </c>
      <c r="K1183" s="35" t="str">
        <f t="shared" si="18"/>
        <v>Usine</v>
      </c>
      <c r="L1183" s="35" t="str">
        <f>_xlfn.XLOOKUP(mvtst[[#This Row],[Sous Traitant]],coordonnee_st[Identification],coordonnee_st[SERVICE],"Non Trouvé")</f>
        <v>Frange</v>
      </c>
      <c r="M1183" s="35" t="str">
        <f>INDEX(_xlfn.TEXTSPLIT(mvtst[[#This Row],[QR Suivis]],"_"),1,2)</f>
        <v>All by Fouta</v>
      </c>
      <c r="N1183" s="35" t="str">
        <f>INDEX(_xlfn.TEXTSPLIT(mvtst[[#This Row],[QR Suivis]],"_"),1,3)</f>
        <v>Stock</v>
      </c>
      <c r="O1183" s="35" t="str">
        <f>INDEX(_xlfn.TEXTSPLIT(mvtst[[#This Row],[QR Suivis]],"_"),1,4)</f>
        <v>UNS1626-13</v>
      </c>
      <c r="P1183" s="35" t="str">
        <f>INDEX(_xlfn.TEXTSPLIT(mvtst[[#This Row],[QR Suivis]],"_"),1,5)</f>
        <v>UNI SURPIQUE</v>
      </c>
      <c r="Q1183" s="35" t="str">
        <f>_xlfn.TEXTAFTER(mvtst[[#This Row],[QR Suivis]],"_",5)</f>
        <v>1626</v>
      </c>
      <c r="R1183" s="84" t="str">
        <f>IF(
   COUNTIFS($A$2:A1183,A1183,
             $B$2:B1183,B1183,
             $C$2:C1183,C1183,
             $D$2:D1183,D1183,
             $G$2:G1183,G1183)&gt;1,
   "Doublon",
   "Correcte"
)</f>
        <v>Correcte</v>
      </c>
    </row>
    <row r="1184" spans="1:18" x14ac:dyDescent="0.25">
      <c r="A1184" s="104" t="s">
        <v>1902</v>
      </c>
      <c r="B1184" s="35" t="s">
        <v>712</v>
      </c>
      <c r="C1184" s="36">
        <v>0</v>
      </c>
      <c r="D1184" s="36">
        <v>5</v>
      </c>
      <c r="E1184" s="35" t="s">
        <v>699</v>
      </c>
      <c r="F1184" s="35" t="s">
        <v>634</v>
      </c>
      <c r="G1184" s="37">
        <v>45936.705995370372</v>
      </c>
      <c r="H1184" s="37" t="str">
        <f>INDEX(_xlfn.TEXTSPLIT(mvtst[[#This Row],[QR Suivis]],"_"),1,1)</f>
        <v>CA250047-2</v>
      </c>
      <c r="I1184" s="35" t="str">
        <f>_xlfn.TEXTBEFORE(mvtst[[#This Row],[Num Suivis]],"-",,,1)</f>
        <v>CA250047</v>
      </c>
      <c r="J1184" s="36">
        <f>SUMIF(mvtst[QR Suivis],mvtst[[#This Row],[QR Suivis]],mvtst[QTE SORTIS])-SUMIF(mvtst[QR Suivis],mvtst[[#This Row],[QR Suivis]],mvtst[QTE RETOUR])</f>
        <v>0</v>
      </c>
      <c r="K1184" s="35" t="str">
        <f t="shared" si="18"/>
        <v>Usine</v>
      </c>
      <c r="L1184" s="35" t="str">
        <f>_xlfn.XLOOKUP(mvtst[[#This Row],[Sous Traitant]],coordonnee_st[Identification],coordonnee_st[SERVICE],"Non Trouvé")</f>
        <v>Frange</v>
      </c>
      <c r="M1184" s="35" t="str">
        <f>INDEX(_xlfn.TEXTSPLIT(mvtst[[#This Row],[QR Suivis]],"_"),1,2)</f>
        <v>All by Fouta</v>
      </c>
      <c r="N1184" s="35" t="str">
        <f>INDEX(_xlfn.TEXTSPLIT(mvtst[[#This Row],[QR Suivis]],"_"),1,3)</f>
        <v>Stock</v>
      </c>
      <c r="O1184" s="35" t="str">
        <f>INDEX(_xlfn.TEXTSPLIT(mvtst[[#This Row],[QR Suivis]],"_"),1,4)</f>
        <v>UNS1626-13</v>
      </c>
      <c r="P1184" s="35" t="str">
        <f>INDEX(_xlfn.TEXTSPLIT(mvtst[[#This Row],[QR Suivis]],"_"),1,5)</f>
        <v>UNI SURPIQUE</v>
      </c>
      <c r="Q1184" s="35" t="str">
        <f>_xlfn.TEXTAFTER(mvtst[[#This Row],[QR Suivis]],"_",5)</f>
        <v>1626</v>
      </c>
      <c r="R1184" s="84" t="str">
        <f>IF(
   COUNTIFS($A$2:A1184,A1184,
             $B$2:B1184,B1184,
             $C$2:C1184,C1184,
             $D$2:D1184,D1184,
             $G$2:G1184,G1184)&gt;1,
   "Doublon",
   "Correcte"
)</f>
        <v>Correcte</v>
      </c>
    </row>
    <row r="1185" spans="1:18" x14ac:dyDescent="0.25">
      <c r="A1185" s="104" t="s">
        <v>1809</v>
      </c>
      <c r="B1185" s="35" t="s">
        <v>712</v>
      </c>
      <c r="C1185" s="36">
        <v>0</v>
      </c>
      <c r="D1185" s="36">
        <v>5</v>
      </c>
      <c r="E1185" s="35" t="s">
        <v>699</v>
      </c>
      <c r="F1185" s="35" t="s">
        <v>634</v>
      </c>
      <c r="G1185" s="37">
        <v>45936.706226851849</v>
      </c>
      <c r="H1185" s="37" t="str">
        <f>INDEX(_xlfn.TEXTSPLIT(mvtst[[#This Row],[QR Suivis]],"_"),1,1)</f>
        <v>CA250052-6</v>
      </c>
      <c r="I1185" s="35" t="str">
        <f>_xlfn.TEXTBEFORE(mvtst[[#This Row],[Num Suivis]],"-",,,1)</f>
        <v>CA250052</v>
      </c>
      <c r="J1185" s="36">
        <f>SUMIF(mvtst[QR Suivis],mvtst[[#This Row],[QR Suivis]],mvtst[QTE SORTIS])-SUMIF(mvtst[QR Suivis],mvtst[[#This Row],[QR Suivis]],mvtst[QTE RETOUR])</f>
        <v>0</v>
      </c>
      <c r="K1185" s="35" t="str">
        <f t="shared" si="18"/>
        <v>Usine</v>
      </c>
      <c r="L1185" s="35" t="str">
        <f>_xlfn.XLOOKUP(mvtst[[#This Row],[Sous Traitant]],coordonnee_st[Identification],coordonnee_st[SERVICE],"Non Trouvé")</f>
        <v>Frange</v>
      </c>
      <c r="M1185" s="35" t="str">
        <f>INDEX(_xlfn.TEXTSPLIT(mvtst[[#This Row],[QR Suivis]],"_"),1,2)</f>
        <v>All by Fouta</v>
      </c>
      <c r="N1185" s="35" t="str">
        <f>INDEX(_xlfn.TEXTSPLIT(mvtst[[#This Row],[QR Suivis]],"_"),1,3)</f>
        <v>Stock</v>
      </c>
      <c r="O1185" s="35" t="str">
        <f>INDEX(_xlfn.TEXTSPLIT(mvtst[[#This Row],[QR Suivis]],"_"),1,4)</f>
        <v>UNS1626-20</v>
      </c>
      <c r="P1185" s="35" t="str">
        <f>INDEX(_xlfn.TEXTSPLIT(mvtst[[#This Row],[QR Suivis]],"_"),1,5)</f>
        <v>UNI SURPIQUE</v>
      </c>
      <c r="Q1185" s="35" t="str">
        <f>_xlfn.TEXTAFTER(mvtst[[#This Row],[QR Suivis]],"_",5)</f>
        <v>1626</v>
      </c>
      <c r="R1185" s="84" t="str">
        <f>IF(
   COUNTIFS($A$2:A1185,A1185,
             $B$2:B1185,B1185,
             $C$2:C1185,C1185,
             $D$2:D1185,D1185,
             $G$2:G1185,G1185)&gt;1,
   "Doublon",
   "Correcte"
)</f>
        <v>Correcte</v>
      </c>
    </row>
    <row r="1186" spans="1:18" x14ac:dyDescent="0.25">
      <c r="A1186" s="104" t="s">
        <v>1805</v>
      </c>
      <c r="B1186" s="35" t="s">
        <v>712</v>
      </c>
      <c r="C1186" s="36">
        <v>0</v>
      </c>
      <c r="D1186" s="36">
        <v>5</v>
      </c>
      <c r="E1186" s="35" t="s">
        <v>699</v>
      </c>
      <c r="F1186" s="35" t="s">
        <v>634</v>
      </c>
      <c r="G1186" s="37">
        <v>45936.706435185188</v>
      </c>
      <c r="H1186" s="37" t="str">
        <f>INDEX(_xlfn.TEXTSPLIT(mvtst[[#This Row],[QR Suivis]],"_"),1,1)</f>
        <v>CA250052-4</v>
      </c>
      <c r="I1186" s="35" t="str">
        <f>_xlfn.TEXTBEFORE(mvtst[[#This Row],[Num Suivis]],"-",,,1)</f>
        <v>CA250052</v>
      </c>
      <c r="J1186" s="36">
        <f>SUMIF(mvtst[QR Suivis],mvtst[[#This Row],[QR Suivis]],mvtst[QTE SORTIS])-SUMIF(mvtst[QR Suivis],mvtst[[#This Row],[QR Suivis]],mvtst[QTE RETOUR])</f>
        <v>0</v>
      </c>
      <c r="K1186" s="35" t="str">
        <f t="shared" si="18"/>
        <v>Usine</v>
      </c>
      <c r="L1186" s="35" t="str">
        <f>_xlfn.XLOOKUP(mvtst[[#This Row],[Sous Traitant]],coordonnee_st[Identification],coordonnee_st[SERVICE],"Non Trouvé")</f>
        <v>Frange</v>
      </c>
      <c r="M1186" s="35" t="str">
        <f>INDEX(_xlfn.TEXTSPLIT(mvtst[[#This Row],[QR Suivis]],"_"),1,2)</f>
        <v>All by Fouta</v>
      </c>
      <c r="N1186" s="35" t="str">
        <f>INDEX(_xlfn.TEXTSPLIT(mvtst[[#This Row],[QR Suivis]],"_"),1,3)</f>
        <v>Stock</v>
      </c>
      <c r="O1186" s="35" t="str">
        <f>INDEX(_xlfn.TEXTSPLIT(mvtst[[#This Row],[QR Suivis]],"_"),1,4)</f>
        <v>UNS1626-20</v>
      </c>
      <c r="P1186" s="35" t="str">
        <f>INDEX(_xlfn.TEXTSPLIT(mvtst[[#This Row],[QR Suivis]],"_"),1,5)</f>
        <v>UNI SURPIQUE</v>
      </c>
      <c r="Q1186" s="35" t="str">
        <f>_xlfn.TEXTAFTER(mvtst[[#This Row],[QR Suivis]],"_",5)</f>
        <v>1626</v>
      </c>
      <c r="R1186" s="84" t="str">
        <f>IF(
   COUNTIFS($A$2:A1186,A1186,
             $B$2:B1186,B1186,
             $C$2:C1186,C1186,
             $D$2:D1186,D1186,
             $G$2:G1186,G1186)&gt;1,
   "Doublon",
   "Correcte"
)</f>
        <v>Correcte</v>
      </c>
    </row>
    <row r="1187" spans="1:18" x14ac:dyDescent="0.25">
      <c r="A1187" s="104" t="s">
        <v>1839</v>
      </c>
      <c r="B1187" s="35" t="s">
        <v>712</v>
      </c>
      <c r="C1187" s="36">
        <v>0</v>
      </c>
      <c r="D1187" s="36">
        <v>5</v>
      </c>
      <c r="E1187" s="35" t="s">
        <v>699</v>
      </c>
      <c r="F1187" s="35" t="s">
        <v>634</v>
      </c>
      <c r="G1187" s="37">
        <v>45936.706631944442</v>
      </c>
      <c r="H1187" s="37" t="str">
        <f>INDEX(_xlfn.TEXTSPLIT(mvtst[[#This Row],[QR Suivis]],"_"),1,1)</f>
        <v>CA250053-1</v>
      </c>
      <c r="I1187" s="35" t="str">
        <f>_xlfn.TEXTBEFORE(mvtst[[#This Row],[Num Suivis]],"-",,,1)</f>
        <v>CA250053</v>
      </c>
      <c r="J1187" s="36">
        <f>SUMIF(mvtst[QR Suivis],mvtst[[#This Row],[QR Suivis]],mvtst[QTE SORTIS])-SUMIF(mvtst[QR Suivis],mvtst[[#This Row],[QR Suivis]],mvtst[QTE RETOUR])</f>
        <v>0</v>
      </c>
      <c r="K1187" s="35" t="str">
        <f t="shared" si="18"/>
        <v>Usine</v>
      </c>
      <c r="L1187" s="35" t="str">
        <f>_xlfn.XLOOKUP(mvtst[[#This Row],[Sous Traitant]],coordonnee_st[Identification],coordonnee_st[SERVICE],"Non Trouvé")</f>
        <v>Frange</v>
      </c>
      <c r="M1187" s="35" t="str">
        <f>INDEX(_xlfn.TEXTSPLIT(mvtst[[#This Row],[QR Suivis]],"_"),1,2)</f>
        <v>All by Fouta</v>
      </c>
      <c r="N1187" s="35" t="str">
        <f>INDEX(_xlfn.TEXTSPLIT(mvtst[[#This Row],[QR Suivis]],"_"),1,3)</f>
        <v>Stock</v>
      </c>
      <c r="O1187" s="35" t="str">
        <f>INDEX(_xlfn.TEXTSPLIT(mvtst[[#This Row],[QR Suivis]],"_"),1,4)</f>
        <v>UNS1626-23</v>
      </c>
      <c r="P1187" s="35" t="str">
        <f>INDEX(_xlfn.TEXTSPLIT(mvtst[[#This Row],[QR Suivis]],"_"),1,5)</f>
        <v>UNI SURPIQUE</v>
      </c>
      <c r="Q1187" s="35" t="str">
        <f>_xlfn.TEXTAFTER(mvtst[[#This Row],[QR Suivis]],"_",5)</f>
        <v>1626</v>
      </c>
      <c r="R1187" s="84" t="str">
        <f>IF(
   COUNTIFS($A$2:A1187,A1187,
             $B$2:B1187,B1187,
             $C$2:C1187,C1187,
             $D$2:D1187,D1187,
             $G$2:G1187,G1187)&gt;1,
   "Doublon",
   "Correcte"
)</f>
        <v>Correcte</v>
      </c>
    </row>
    <row r="1188" spans="1:18" x14ac:dyDescent="0.25">
      <c r="A1188" s="104" t="s">
        <v>1837</v>
      </c>
      <c r="B1188" s="35" t="s">
        <v>712</v>
      </c>
      <c r="C1188" s="36">
        <v>0</v>
      </c>
      <c r="D1188" s="36">
        <v>5</v>
      </c>
      <c r="E1188" s="35" t="s">
        <v>699</v>
      </c>
      <c r="F1188" s="35" t="s">
        <v>634</v>
      </c>
      <c r="G1188" s="37">
        <v>45936.706921296296</v>
      </c>
      <c r="H1188" s="37" t="str">
        <f>INDEX(_xlfn.TEXTSPLIT(mvtst[[#This Row],[QR Suivis]],"_"),1,1)</f>
        <v>CA250051-4</v>
      </c>
      <c r="I1188" s="35" t="str">
        <f>_xlfn.TEXTBEFORE(mvtst[[#This Row],[Num Suivis]],"-",,,1)</f>
        <v>CA250051</v>
      </c>
      <c r="J1188" s="36">
        <f>SUMIF(mvtst[QR Suivis],mvtst[[#This Row],[QR Suivis]],mvtst[QTE SORTIS])-SUMIF(mvtst[QR Suivis],mvtst[[#This Row],[QR Suivis]],mvtst[QTE RETOUR])</f>
        <v>0</v>
      </c>
      <c r="K1188" s="35" t="str">
        <f t="shared" si="18"/>
        <v>Usine</v>
      </c>
      <c r="L1188" s="35" t="str">
        <f>_xlfn.XLOOKUP(mvtst[[#This Row],[Sous Traitant]],coordonnee_st[Identification],coordonnee_st[SERVICE],"Non Trouvé")</f>
        <v>Frange</v>
      </c>
      <c r="M1188" s="35" t="str">
        <f>INDEX(_xlfn.TEXTSPLIT(mvtst[[#This Row],[QR Suivis]],"_"),1,2)</f>
        <v>All by Fouta</v>
      </c>
      <c r="N1188" s="35" t="str">
        <f>INDEX(_xlfn.TEXTSPLIT(mvtst[[#This Row],[QR Suivis]],"_"),1,3)</f>
        <v>Stock</v>
      </c>
      <c r="O1188" s="35" t="str">
        <f>INDEX(_xlfn.TEXTSPLIT(mvtst[[#This Row],[QR Suivis]],"_"),1,4)</f>
        <v>UNS1626-19</v>
      </c>
      <c r="P1188" s="35" t="str">
        <f>INDEX(_xlfn.TEXTSPLIT(mvtst[[#This Row],[QR Suivis]],"_"),1,5)</f>
        <v>UNI SURPIQUE</v>
      </c>
      <c r="Q1188" s="35" t="str">
        <f>_xlfn.TEXTAFTER(mvtst[[#This Row],[QR Suivis]],"_",5)</f>
        <v>1626</v>
      </c>
      <c r="R1188" s="84" t="str">
        <f>IF(
   COUNTIFS($A$2:A1188,A1188,
             $B$2:B1188,B1188,
             $C$2:C1188,C1188,
             $D$2:D1188,D1188,
             $G$2:G1188,G1188)&gt;1,
   "Doublon",
   "Correcte"
)</f>
        <v>Correcte</v>
      </c>
    </row>
    <row r="1189" spans="1:18" x14ac:dyDescent="0.25">
      <c r="A1189" s="104" t="s">
        <v>1841</v>
      </c>
      <c r="B1189" s="35" t="s">
        <v>712</v>
      </c>
      <c r="C1189" s="36">
        <v>0</v>
      </c>
      <c r="D1189" s="36">
        <v>5</v>
      </c>
      <c r="E1189" s="35" t="s">
        <v>699</v>
      </c>
      <c r="F1189" s="35" t="s">
        <v>634</v>
      </c>
      <c r="G1189" s="37">
        <v>45936.707199074073</v>
      </c>
      <c r="H1189" s="37" t="str">
        <f>INDEX(_xlfn.TEXTSPLIT(mvtst[[#This Row],[QR Suivis]],"_"),1,1)</f>
        <v>CA250051-1</v>
      </c>
      <c r="I1189" s="35" t="str">
        <f>_xlfn.TEXTBEFORE(mvtst[[#This Row],[Num Suivis]],"-",,,1)</f>
        <v>CA250051</v>
      </c>
      <c r="J1189" s="36">
        <f>SUMIF(mvtst[QR Suivis],mvtst[[#This Row],[QR Suivis]],mvtst[QTE SORTIS])-SUMIF(mvtst[QR Suivis],mvtst[[#This Row],[QR Suivis]],mvtst[QTE RETOUR])</f>
        <v>0</v>
      </c>
      <c r="K1189" s="35" t="str">
        <f t="shared" si="18"/>
        <v>Usine</v>
      </c>
      <c r="L1189" s="35" t="str">
        <f>_xlfn.XLOOKUP(mvtst[[#This Row],[Sous Traitant]],coordonnee_st[Identification],coordonnee_st[SERVICE],"Non Trouvé")</f>
        <v>Frange</v>
      </c>
      <c r="M1189" s="35" t="str">
        <f>INDEX(_xlfn.TEXTSPLIT(mvtst[[#This Row],[QR Suivis]],"_"),1,2)</f>
        <v>All by Fouta</v>
      </c>
      <c r="N1189" s="35" t="str">
        <f>INDEX(_xlfn.TEXTSPLIT(mvtst[[#This Row],[QR Suivis]],"_"),1,3)</f>
        <v>Stock</v>
      </c>
      <c r="O1189" s="35" t="str">
        <f>INDEX(_xlfn.TEXTSPLIT(mvtst[[#This Row],[QR Suivis]],"_"),1,4)</f>
        <v>UNS1626-19</v>
      </c>
      <c r="P1189" s="35" t="str">
        <f>INDEX(_xlfn.TEXTSPLIT(mvtst[[#This Row],[QR Suivis]],"_"),1,5)</f>
        <v>UNI SURPIQUE</v>
      </c>
      <c r="Q1189" s="35" t="str">
        <f>_xlfn.TEXTAFTER(mvtst[[#This Row],[QR Suivis]],"_",5)</f>
        <v>1626</v>
      </c>
      <c r="R1189" s="84" t="str">
        <f>IF(
   COUNTIFS($A$2:A1189,A1189,
             $B$2:B1189,B1189,
             $C$2:C1189,C1189,
             $D$2:D1189,D1189,
             $G$2:G1189,G1189)&gt;1,
   "Doublon",
   "Correcte"
)</f>
        <v>Correcte</v>
      </c>
    </row>
    <row r="1190" spans="1:18" x14ac:dyDescent="0.25">
      <c r="A1190" s="104" t="s">
        <v>1824</v>
      </c>
      <c r="B1190" s="35" t="s">
        <v>712</v>
      </c>
      <c r="C1190" s="36">
        <v>0</v>
      </c>
      <c r="D1190" s="36">
        <v>1</v>
      </c>
      <c r="E1190" s="35" t="s">
        <v>699</v>
      </c>
      <c r="F1190" s="35" t="s">
        <v>634</v>
      </c>
      <c r="G1190" s="37">
        <v>45936.707430555558</v>
      </c>
      <c r="H1190" s="37" t="str">
        <f>INDEX(_xlfn.TEXTSPLIT(mvtst[[#This Row],[QR Suivis]],"_"),1,1)</f>
        <v>CA250037-7</v>
      </c>
      <c r="I1190" s="35" t="str">
        <f>_xlfn.TEXTBEFORE(mvtst[[#This Row],[Num Suivis]],"-",,,1)</f>
        <v>CA250037</v>
      </c>
      <c r="J1190" s="36">
        <f>SUMIF(mvtst[QR Suivis],mvtst[[#This Row],[QR Suivis]],mvtst[QTE SORTIS])-SUMIF(mvtst[QR Suivis],mvtst[[#This Row],[QR Suivis]],mvtst[QTE RETOUR])</f>
        <v>0</v>
      </c>
      <c r="K1190" s="35" t="str">
        <f t="shared" si="18"/>
        <v>Usine</v>
      </c>
      <c r="L1190" s="35" t="str">
        <f>_xlfn.XLOOKUP(mvtst[[#This Row],[Sous Traitant]],coordonnee_st[Identification],coordonnee_st[SERVICE],"Non Trouvé")</f>
        <v>Frange</v>
      </c>
      <c r="M1190" s="35" t="str">
        <f>INDEX(_xlfn.TEXTSPLIT(mvtst[[#This Row],[QR Suivis]],"_"),1,2)</f>
        <v>All by Fouta</v>
      </c>
      <c r="N1190" s="35" t="str">
        <f>INDEX(_xlfn.TEXTSPLIT(mvtst[[#This Row],[QR Suivis]],"_"),1,3)</f>
        <v>Stock</v>
      </c>
      <c r="O1190" s="35" t="str">
        <f>INDEX(_xlfn.TEXTSPLIT(mvtst[[#This Row],[QR Suivis]],"_"),1,4)</f>
        <v>UNS2020-30</v>
      </c>
      <c r="P1190" s="35" t="str">
        <f>INDEX(_xlfn.TEXTSPLIT(mvtst[[#This Row],[QR Suivis]],"_"),1,5)</f>
        <v>UNI SURPIQUE</v>
      </c>
      <c r="Q1190" s="35" t="str">
        <f>_xlfn.TEXTAFTER(mvtst[[#This Row],[QR Suivis]],"_",5)</f>
        <v>2020</v>
      </c>
      <c r="R1190" s="84" t="str">
        <f>IF(
   COUNTIFS($A$2:A1190,A1190,
             $B$2:B1190,B1190,
             $C$2:C1190,C1190,
             $D$2:D1190,D1190,
             $G$2:G1190,G1190)&gt;1,
   "Doublon",
   "Correcte"
)</f>
        <v>Correcte</v>
      </c>
    </row>
    <row r="1191" spans="1:18" x14ac:dyDescent="0.25">
      <c r="A1191" s="104" t="s">
        <v>1813</v>
      </c>
      <c r="B1191" s="35" t="s">
        <v>712</v>
      </c>
      <c r="C1191" s="36">
        <v>0</v>
      </c>
      <c r="D1191" s="36">
        <v>5</v>
      </c>
      <c r="E1191" s="35" t="s">
        <v>699</v>
      </c>
      <c r="F1191" s="35" t="s">
        <v>634</v>
      </c>
      <c r="G1191" s="37">
        <v>45936.707650462966</v>
      </c>
      <c r="H1191" s="37" t="str">
        <f>INDEX(_xlfn.TEXTSPLIT(mvtst[[#This Row],[QR Suivis]],"_"),1,1)</f>
        <v>CA250051-5</v>
      </c>
      <c r="I1191" s="35" t="str">
        <f>_xlfn.TEXTBEFORE(mvtst[[#This Row],[Num Suivis]],"-",,,1)</f>
        <v>CA250051</v>
      </c>
      <c r="J1191" s="36">
        <f>SUMIF(mvtst[QR Suivis],mvtst[[#This Row],[QR Suivis]],mvtst[QTE SORTIS])-SUMIF(mvtst[QR Suivis],mvtst[[#This Row],[QR Suivis]],mvtst[QTE RETOUR])</f>
        <v>0</v>
      </c>
      <c r="K1191" s="35" t="str">
        <f t="shared" si="18"/>
        <v>Usine</v>
      </c>
      <c r="L1191" s="35" t="str">
        <f>_xlfn.XLOOKUP(mvtst[[#This Row],[Sous Traitant]],coordonnee_st[Identification],coordonnee_st[SERVICE],"Non Trouvé")</f>
        <v>Frange</v>
      </c>
      <c r="M1191" s="35" t="str">
        <f>INDEX(_xlfn.TEXTSPLIT(mvtst[[#This Row],[QR Suivis]],"_"),1,2)</f>
        <v>All by Fouta</v>
      </c>
      <c r="N1191" s="35" t="str">
        <f>INDEX(_xlfn.TEXTSPLIT(mvtst[[#This Row],[QR Suivis]],"_"),1,3)</f>
        <v>Stock</v>
      </c>
      <c r="O1191" s="35" t="str">
        <f>INDEX(_xlfn.TEXTSPLIT(mvtst[[#This Row],[QR Suivis]],"_"),1,4)</f>
        <v>UNS1626-19</v>
      </c>
      <c r="P1191" s="35" t="str">
        <f>INDEX(_xlfn.TEXTSPLIT(mvtst[[#This Row],[QR Suivis]],"_"),1,5)</f>
        <v>UNI SURPIQUE</v>
      </c>
      <c r="Q1191" s="35" t="str">
        <f>_xlfn.TEXTAFTER(mvtst[[#This Row],[QR Suivis]],"_",5)</f>
        <v>1626</v>
      </c>
      <c r="R1191" s="84" t="str">
        <f>IF(
   COUNTIFS($A$2:A1191,A1191,
             $B$2:B1191,B1191,
             $C$2:C1191,C1191,
             $D$2:D1191,D1191,
             $G$2:G1191,G1191)&gt;1,
   "Doublon",
   "Correcte"
)</f>
        <v>Correcte</v>
      </c>
    </row>
    <row r="1192" spans="1:18" x14ac:dyDescent="0.25">
      <c r="A1192" s="104" t="s">
        <v>1836</v>
      </c>
      <c r="B1192" s="35" t="s">
        <v>712</v>
      </c>
      <c r="C1192" s="36">
        <v>0</v>
      </c>
      <c r="D1192" s="36">
        <v>2</v>
      </c>
      <c r="E1192" s="35" t="s">
        <v>699</v>
      </c>
      <c r="F1192" s="35" t="s">
        <v>634</v>
      </c>
      <c r="G1192" s="37">
        <v>45936.707835648151</v>
      </c>
      <c r="H1192" s="37" t="str">
        <f>INDEX(_xlfn.TEXTSPLIT(mvtst[[#This Row],[QR Suivis]],"_"),1,1)</f>
        <v>CA250038-7</v>
      </c>
      <c r="I1192" s="35" t="str">
        <f>_xlfn.TEXTBEFORE(mvtst[[#This Row],[Num Suivis]],"-",,,1)</f>
        <v>CA250038</v>
      </c>
      <c r="J1192" s="36">
        <f>SUMIF(mvtst[QR Suivis],mvtst[[#This Row],[QR Suivis]],mvtst[QTE SORTIS])-SUMIF(mvtst[QR Suivis],mvtst[[#This Row],[QR Suivis]],mvtst[QTE RETOUR])</f>
        <v>0</v>
      </c>
      <c r="K1192" s="35" t="str">
        <f t="shared" si="18"/>
        <v>Usine</v>
      </c>
      <c r="L1192" s="35" t="str">
        <f>_xlfn.XLOOKUP(mvtst[[#This Row],[Sous Traitant]],coordonnee_st[Identification],coordonnee_st[SERVICE],"Non Trouvé")</f>
        <v>Frange</v>
      </c>
      <c r="M1192" s="35" t="str">
        <f>INDEX(_xlfn.TEXTSPLIT(mvtst[[#This Row],[QR Suivis]],"_"),1,2)</f>
        <v>All by Fouta</v>
      </c>
      <c r="N1192" s="35" t="str">
        <f>INDEX(_xlfn.TEXTSPLIT(mvtst[[#This Row],[QR Suivis]],"_"),1,3)</f>
        <v>Stock</v>
      </c>
      <c r="O1192" s="35" t="str">
        <f>INDEX(_xlfn.TEXTSPLIT(mvtst[[#This Row],[QR Suivis]],"_"),1,4)</f>
        <v>UNS2020-31</v>
      </c>
      <c r="P1192" s="35" t="str">
        <f>INDEX(_xlfn.TEXTSPLIT(mvtst[[#This Row],[QR Suivis]],"_"),1,5)</f>
        <v>UNI SURPIQUE</v>
      </c>
      <c r="Q1192" s="35" t="str">
        <f>_xlfn.TEXTAFTER(mvtst[[#This Row],[QR Suivis]],"_",5)</f>
        <v>2020</v>
      </c>
      <c r="R1192" s="84" t="str">
        <f>IF(
   COUNTIFS($A$2:A1192,A1192,
             $B$2:B1192,B1192,
             $C$2:C1192,C1192,
             $D$2:D1192,D1192,
             $G$2:G1192,G1192)&gt;1,
   "Doublon",
   "Correcte"
)</f>
        <v>Correcte</v>
      </c>
    </row>
    <row r="1193" spans="1:18" x14ac:dyDescent="0.25">
      <c r="A1193" s="104" t="s">
        <v>1814</v>
      </c>
      <c r="B1193" s="35" t="s">
        <v>712</v>
      </c>
      <c r="C1193" s="36">
        <v>0</v>
      </c>
      <c r="D1193" s="36">
        <v>5</v>
      </c>
      <c r="E1193" s="35" t="s">
        <v>699</v>
      </c>
      <c r="F1193" s="35" t="s">
        <v>634</v>
      </c>
      <c r="G1193" s="37">
        <v>45936.708043981482</v>
      </c>
      <c r="H1193" s="37" t="str">
        <f>INDEX(_xlfn.TEXTSPLIT(mvtst[[#This Row],[QR Suivis]],"_"),1,1)</f>
        <v>CA250052-5</v>
      </c>
      <c r="I1193" s="35" t="str">
        <f>_xlfn.TEXTBEFORE(mvtst[[#This Row],[Num Suivis]],"-",,,1)</f>
        <v>CA250052</v>
      </c>
      <c r="J1193" s="36">
        <f>SUMIF(mvtst[QR Suivis],mvtst[[#This Row],[QR Suivis]],mvtst[QTE SORTIS])-SUMIF(mvtst[QR Suivis],mvtst[[#This Row],[QR Suivis]],mvtst[QTE RETOUR])</f>
        <v>0</v>
      </c>
      <c r="K1193" s="35" t="str">
        <f t="shared" si="18"/>
        <v>Usine</v>
      </c>
      <c r="L1193" s="35" t="str">
        <f>_xlfn.XLOOKUP(mvtst[[#This Row],[Sous Traitant]],coordonnee_st[Identification],coordonnee_st[SERVICE],"Non Trouvé")</f>
        <v>Frange</v>
      </c>
      <c r="M1193" s="35" t="str">
        <f>INDEX(_xlfn.TEXTSPLIT(mvtst[[#This Row],[QR Suivis]],"_"),1,2)</f>
        <v>All by Fouta</v>
      </c>
      <c r="N1193" s="35" t="str">
        <f>INDEX(_xlfn.TEXTSPLIT(mvtst[[#This Row],[QR Suivis]],"_"),1,3)</f>
        <v>Stock</v>
      </c>
      <c r="O1193" s="35" t="str">
        <f>INDEX(_xlfn.TEXTSPLIT(mvtst[[#This Row],[QR Suivis]],"_"),1,4)</f>
        <v>UNS1626-20</v>
      </c>
      <c r="P1193" s="35" t="str">
        <f>INDEX(_xlfn.TEXTSPLIT(mvtst[[#This Row],[QR Suivis]],"_"),1,5)</f>
        <v>UNI SURPIQUE</v>
      </c>
      <c r="Q1193" s="35" t="str">
        <f>_xlfn.TEXTAFTER(mvtst[[#This Row],[QR Suivis]],"_",5)</f>
        <v>1626</v>
      </c>
      <c r="R1193" s="84" t="str">
        <f>IF(
   COUNTIFS($A$2:A1193,A1193,
             $B$2:B1193,B1193,
             $C$2:C1193,C1193,
             $D$2:D1193,D1193,
             $G$2:G1193,G1193)&gt;1,
   "Doublon",
   "Correcte"
)</f>
        <v>Correcte</v>
      </c>
    </row>
    <row r="1194" spans="1:18" x14ac:dyDescent="0.25">
      <c r="A1194" s="104" t="s">
        <v>1840</v>
      </c>
      <c r="B1194" s="35" t="s">
        <v>712</v>
      </c>
      <c r="C1194" s="36">
        <v>0</v>
      </c>
      <c r="D1194" s="36">
        <v>5</v>
      </c>
      <c r="E1194" s="35" t="s">
        <v>699</v>
      </c>
      <c r="F1194" s="35" t="s">
        <v>634</v>
      </c>
      <c r="G1194" s="37">
        <v>45936.708252314813</v>
      </c>
      <c r="H1194" s="37" t="str">
        <f>INDEX(_xlfn.TEXTSPLIT(mvtst[[#This Row],[QR Suivis]],"_"),1,1)</f>
        <v>CA250051-3</v>
      </c>
      <c r="I1194" s="35" t="str">
        <f>_xlfn.TEXTBEFORE(mvtst[[#This Row],[Num Suivis]],"-",,,1)</f>
        <v>CA250051</v>
      </c>
      <c r="J1194" s="36">
        <f>SUMIF(mvtst[QR Suivis],mvtst[[#This Row],[QR Suivis]],mvtst[QTE SORTIS])-SUMIF(mvtst[QR Suivis],mvtst[[#This Row],[QR Suivis]],mvtst[QTE RETOUR])</f>
        <v>0</v>
      </c>
      <c r="K1194" s="35" t="str">
        <f t="shared" si="18"/>
        <v>Usine</v>
      </c>
      <c r="L1194" s="35" t="str">
        <f>_xlfn.XLOOKUP(mvtst[[#This Row],[Sous Traitant]],coordonnee_st[Identification],coordonnee_st[SERVICE],"Non Trouvé")</f>
        <v>Frange</v>
      </c>
      <c r="M1194" s="35" t="str">
        <f>INDEX(_xlfn.TEXTSPLIT(mvtst[[#This Row],[QR Suivis]],"_"),1,2)</f>
        <v>All by Fouta</v>
      </c>
      <c r="N1194" s="35" t="str">
        <f>INDEX(_xlfn.TEXTSPLIT(mvtst[[#This Row],[QR Suivis]],"_"),1,3)</f>
        <v>Stock</v>
      </c>
      <c r="O1194" s="35" t="str">
        <f>INDEX(_xlfn.TEXTSPLIT(mvtst[[#This Row],[QR Suivis]],"_"),1,4)</f>
        <v>UNS1626-19</v>
      </c>
      <c r="P1194" s="35" t="str">
        <f>INDEX(_xlfn.TEXTSPLIT(mvtst[[#This Row],[QR Suivis]],"_"),1,5)</f>
        <v>UNI SURPIQUE</v>
      </c>
      <c r="Q1194" s="35" t="str">
        <f>_xlfn.TEXTAFTER(mvtst[[#This Row],[QR Suivis]],"_",5)</f>
        <v>1626</v>
      </c>
      <c r="R1194" s="84" t="str">
        <f>IF(
   COUNTIFS($A$2:A1194,A1194,
             $B$2:B1194,B1194,
             $C$2:C1194,C1194,
             $D$2:D1194,D1194,
             $G$2:G1194,G1194)&gt;1,
   "Doublon",
   "Correcte"
)</f>
        <v>Correcte</v>
      </c>
    </row>
    <row r="1195" spans="1:18" x14ac:dyDescent="0.25">
      <c r="A1195" s="104" t="s">
        <v>1830</v>
      </c>
      <c r="B1195" s="35" t="s">
        <v>712</v>
      </c>
      <c r="C1195" s="36">
        <v>0</v>
      </c>
      <c r="D1195" s="36">
        <v>5</v>
      </c>
      <c r="E1195" s="35" t="s">
        <v>699</v>
      </c>
      <c r="F1195" s="35" t="s">
        <v>634</v>
      </c>
      <c r="G1195" s="37">
        <v>45936.708460648151</v>
      </c>
      <c r="H1195" s="37" t="str">
        <f>INDEX(_xlfn.TEXTSPLIT(mvtst[[#This Row],[QR Suivis]],"_"),1,1)</f>
        <v>CA250038-6</v>
      </c>
      <c r="I1195" s="35" t="str">
        <f>_xlfn.TEXTBEFORE(mvtst[[#This Row],[Num Suivis]],"-",,,1)</f>
        <v>CA250038</v>
      </c>
      <c r="J1195" s="36">
        <f>SUMIF(mvtst[QR Suivis],mvtst[[#This Row],[QR Suivis]],mvtst[QTE SORTIS])-SUMIF(mvtst[QR Suivis],mvtst[[#This Row],[QR Suivis]],mvtst[QTE RETOUR])</f>
        <v>0</v>
      </c>
      <c r="K1195" s="35" t="str">
        <f t="shared" si="18"/>
        <v>Usine</v>
      </c>
      <c r="L1195" s="35" t="str">
        <f>_xlfn.XLOOKUP(mvtst[[#This Row],[Sous Traitant]],coordonnee_st[Identification],coordonnee_st[SERVICE],"Non Trouvé")</f>
        <v>Frange</v>
      </c>
      <c r="M1195" s="35" t="str">
        <f>INDEX(_xlfn.TEXTSPLIT(mvtst[[#This Row],[QR Suivis]],"_"),1,2)</f>
        <v>All by Fouta</v>
      </c>
      <c r="N1195" s="35" t="str">
        <f>INDEX(_xlfn.TEXTSPLIT(mvtst[[#This Row],[QR Suivis]],"_"),1,3)</f>
        <v>Stock</v>
      </c>
      <c r="O1195" s="35" t="str">
        <f>INDEX(_xlfn.TEXTSPLIT(mvtst[[#This Row],[QR Suivis]],"_"),1,4)</f>
        <v>UNS2020-31</v>
      </c>
      <c r="P1195" s="35" t="str">
        <f>INDEX(_xlfn.TEXTSPLIT(mvtst[[#This Row],[QR Suivis]],"_"),1,5)</f>
        <v>UNI SURPIQUE</v>
      </c>
      <c r="Q1195" s="35" t="str">
        <f>_xlfn.TEXTAFTER(mvtst[[#This Row],[QR Suivis]],"_",5)</f>
        <v>2020</v>
      </c>
      <c r="R1195" s="84" t="str">
        <f>IF(
   COUNTIFS($A$2:A1195,A1195,
             $B$2:B1195,B1195,
             $C$2:C1195,C1195,
             $D$2:D1195,D1195,
             $G$2:G1195,G1195)&gt;1,
   "Doublon",
   "Correcte"
)</f>
        <v>Correcte</v>
      </c>
    </row>
    <row r="1196" spans="1:18" x14ac:dyDescent="0.25">
      <c r="A1196" s="104" t="s">
        <v>1880</v>
      </c>
      <c r="B1196" s="35" t="s">
        <v>712</v>
      </c>
      <c r="C1196" s="36">
        <v>0</v>
      </c>
      <c r="D1196" s="36">
        <v>5</v>
      </c>
      <c r="E1196" s="35" t="s">
        <v>699</v>
      </c>
      <c r="F1196" s="35" t="s">
        <v>634</v>
      </c>
      <c r="G1196" s="37">
        <v>45936.708680555559</v>
      </c>
      <c r="H1196" s="37" t="str">
        <f>INDEX(_xlfn.TEXTSPLIT(mvtst[[#This Row],[QR Suivis]],"_"),1,1)</f>
        <v>CA250016-2</v>
      </c>
      <c r="I1196" s="35" t="str">
        <f>_xlfn.TEXTBEFORE(mvtst[[#This Row],[Num Suivis]],"-",,,1)</f>
        <v>CA250016</v>
      </c>
      <c r="J1196" s="36">
        <f>SUMIF(mvtst[QR Suivis],mvtst[[#This Row],[QR Suivis]],mvtst[QTE SORTIS])-SUMIF(mvtst[QR Suivis],mvtst[[#This Row],[QR Suivis]],mvtst[QTE RETOUR])</f>
        <v>0</v>
      </c>
      <c r="K1196" s="35" t="str">
        <f t="shared" si="18"/>
        <v>Usine</v>
      </c>
      <c r="L1196" s="35" t="str">
        <f>_xlfn.XLOOKUP(mvtst[[#This Row],[Sous Traitant]],coordonnee_st[Identification],coordonnee_st[SERVICE],"Non Trouvé")</f>
        <v>Frange</v>
      </c>
      <c r="M1196" s="35" t="str">
        <f>INDEX(_xlfn.TEXTSPLIT(mvtst[[#This Row],[QR Suivis]],"_"),1,2)</f>
        <v>All by Fouta</v>
      </c>
      <c r="N1196" s="35" t="str">
        <f>INDEX(_xlfn.TEXTSPLIT(mvtst[[#This Row],[QR Suivis]],"_"),1,3)</f>
        <v>Stock</v>
      </c>
      <c r="O1196" s="35" t="str">
        <f>INDEX(_xlfn.TEXTSPLIT(mvtst[[#This Row],[QR Suivis]],"_"),1,4)</f>
        <v>UNS1020-27</v>
      </c>
      <c r="P1196" s="35" t="str">
        <f>INDEX(_xlfn.TEXTSPLIT(mvtst[[#This Row],[QR Suivis]],"_"),1,5)</f>
        <v>UNI SURPIQUE</v>
      </c>
      <c r="Q1196" s="35" t="str">
        <f>_xlfn.TEXTAFTER(mvtst[[#This Row],[QR Suivis]],"_",5)</f>
        <v>1020</v>
      </c>
      <c r="R1196" s="84" t="str">
        <f>IF(
   COUNTIFS($A$2:A1196,A1196,
             $B$2:B1196,B1196,
             $C$2:C1196,C1196,
             $D$2:D1196,D1196,
             $G$2:G1196,G1196)&gt;1,
   "Doublon",
   "Correcte"
)</f>
        <v>Correcte</v>
      </c>
    </row>
    <row r="1197" spans="1:18" x14ac:dyDescent="0.25">
      <c r="A1197" s="104" t="s">
        <v>1821</v>
      </c>
      <c r="B1197" s="35" t="s">
        <v>712</v>
      </c>
      <c r="C1197" s="36">
        <v>0</v>
      </c>
      <c r="D1197" s="36">
        <v>5</v>
      </c>
      <c r="E1197" s="35" t="s">
        <v>699</v>
      </c>
      <c r="F1197" s="35" t="s">
        <v>634</v>
      </c>
      <c r="G1197" s="37">
        <v>45936.708877314813</v>
      </c>
      <c r="H1197" s="37" t="str">
        <f>INDEX(_xlfn.TEXTSPLIT(mvtst[[#This Row],[QR Suivis]],"_"),1,1)</f>
        <v>CA250037-4</v>
      </c>
      <c r="I1197" s="35" t="str">
        <f>_xlfn.TEXTBEFORE(mvtst[[#This Row],[Num Suivis]],"-",,,1)</f>
        <v>CA250037</v>
      </c>
      <c r="J1197" s="36">
        <f>SUMIF(mvtst[QR Suivis],mvtst[[#This Row],[QR Suivis]],mvtst[QTE SORTIS])-SUMIF(mvtst[QR Suivis],mvtst[[#This Row],[QR Suivis]],mvtst[QTE RETOUR])</f>
        <v>0</v>
      </c>
      <c r="K1197" s="35" t="str">
        <f t="shared" si="18"/>
        <v>Usine</v>
      </c>
      <c r="L1197" s="35" t="str">
        <f>_xlfn.XLOOKUP(mvtst[[#This Row],[Sous Traitant]],coordonnee_st[Identification],coordonnee_st[SERVICE],"Non Trouvé")</f>
        <v>Frange</v>
      </c>
      <c r="M1197" s="35" t="str">
        <f>INDEX(_xlfn.TEXTSPLIT(mvtst[[#This Row],[QR Suivis]],"_"),1,2)</f>
        <v>All by Fouta</v>
      </c>
      <c r="N1197" s="35" t="str">
        <f>INDEX(_xlfn.TEXTSPLIT(mvtst[[#This Row],[QR Suivis]],"_"),1,3)</f>
        <v>Stock</v>
      </c>
      <c r="O1197" s="35" t="str">
        <f>INDEX(_xlfn.TEXTSPLIT(mvtst[[#This Row],[QR Suivis]],"_"),1,4)</f>
        <v>UNS2020-30</v>
      </c>
      <c r="P1197" s="35" t="str">
        <f>INDEX(_xlfn.TEXTSPLIT(mvtst[[#This Row],[QR Suivis]],"_"),1,5)</f>
        <v>UNI SURPIQUE</v>
      </c>
      <c r="Q1197" s="35" t="str">
        <f>_xlfn.TEXTAFTER(mvtst[[#This Row],[QR Suivis]],"_",5)</f>
        <v>2020</v>
      </c>
      <c r="R1197" s="84" t="str">
        <f>IF(
   COUNTIFS($A$2:A1197,A1197,
             $B$2:B1197,B1197,
             $C$2:C1197,C1197,
             $D$2:D1197,D1197,
             $G$2:G1197,G1197)&gt;1,
   "Doublon",
   "Correcte"
)</f>
        <v>Correcte</v>
      </c>
    </row>
    <row r="1198" spans="1:18" x14ac:dyDescent="0.25">
      <c r="A1198" s="104" t="s">
        <v>1838</v>
      </c>
      <c r="B1198" s="35" t="s">
        <v>712</v>
      </c>
      <c r="C1198" s="36">
        <v>0</v>
      </c>
      <c r="D1198" s="36">
        <v>5</v>
      </c>
      <c r="E1198" s="35" t="s">
        <v>699</v>
      </c>
      <c r="F1198" s="35" t="s">
        <v>634</v>
      </c>
      <c r="G1198" s="37">
        <v>45936.709178240744</v>
      </c>
      <c r="H1198" s="37" t="str">
        <f>INDEX(_xlfn.TEXTSPLIT(mvtst[[#This Row],[QR Suivis]],"_"),1,1)</f>
        <v>CA250053-2</v>
      </c>
      <c r="I1198" s="35" t="str">
        <f>_xlfn.TEXTBEFORE(mvtst[[#This Row],[Num Suivis]],"-",,,1)</f>
        <v>CA250053</v>
      </c>
      <c r="J1198" s="36">
        <f>SUMIF(mvtst[QR Suivis],mvtst[[#This Row],[QR Suivis]],mvtst[QTE SORTIS])-SUMIF(mvtst[QR Suivis],mvtst[[#This Row],[QR Suivis]],mvtst[QTE RETOUR])</f>
        <v>0</v>
      </c>
      <c r="K1198" s="35" t="str">
        <f t="shared" si="18"/>
        <v>Usine</v>
      </c>
      <c r="L1198" s="35" t="str">
        <f>_xlfn.XLOOKUP(mvtst[[#This Row],[Sous Traitant]],coordonnee_st[Identification],coordonnee_st[SERVICE],"Non Trouvé")</f>
        <v>Frange</v>
      </c>
      <c r="M1198" s="35" t="str">
        <f>INDEX(_xlfn.TEXTSPLIT(mvtst[[#This Row],[QR Suivis]],"_"),1,2)</f>
        <v>All by Fouta</v>
      </c>
      <c r="N1198" s="35" t="str">
        <f>INDEX(_xlfn.TEXTSPLIT(mvtst[[#This Row],[QR Suivis]],"_"),1,3)</f>
        <v>Stock</v>
      </c>
      <c r="O1198" s="35" t="str">
        <f>INDEX(_xlfn.TEXTSPLIT(mvtst[[#This Row],[QR Suivis]],"_"),1,4)</f>
        <v>UNS1626-23</v>
      </c>
      <c r="P1198" s="35" t="str">
        <f>INDEX(_xlfn.TEXTSPLIT(mvtst[[#This Row],[QR Suivis]],"_"),1,5)</f>
        <v>UNI SURPIQUE</v>
      </c>
      <c r="Q1198" s="35" t="str">
        <f>_xlfn.TEXTAFTER(mvtst[[#This Row],[QR Suivis]],"_",5)</f>
        <v>1626</v>
      </c>
      <c r="R1198" s="84" t="str">
        <f>IF(
   COUNTIFS($A$2:A1198,A1198,
             $B$2:B1198,B1198,
             $C$2:C1198,C1198,
             $D$2:D1198,D1198,
             $G$2:G1198,G1198)&gt;1,
   "Doublon",
   "Correcte"
)</f>
        <v>Correcte</v>
      </c>
    </row>
    <row r="1199" spans="1:18" x14ac:dyDescent="0.25">
      <c r="A1199" s="104" t="s">
        <v>1887</v>
      </c>
      <c r="B1199" s="35" t="s">
        <v>712</v>
      </c>
      <c r="C1199" s="36">
        <v>0</v>
      </c>
      <c r="D1199" s="36">
        <v>5</v>
      </c>
      <c r="E1199" s="35" t="s">
        <v>699</v>
      </c>
      <c r="F1199" s="35" t="s">
        <v>634</v>
      </c>
      <c r="G1199" s="37">
        <v>45936.709363425929</v>
      </c>
      <c r="H1199" s="37" t="str">
        <f>INDEX(_xlfn.TEXTSPLIT(mvtst[[#This Row],[QR Suivis]],"_"),1,1)</f>
        <v>CA250016-4</v>
      </c>
      <c r="I1199" s="35" t="str">
        <f>_xlfn.TEXTBEFORE(mvtst[[#This Row],[Num Suivis]],"-",,,1)</f>
        <v>CA250016</v>
      </c>
      <c r="J1199" s="36">
        <f>SUMIF(mvtst[QR Suivis],mvtst[[#This Row],[QR Suivis]],mvtst[QTE SORTIS])-SUMIF(mvtst[QR Suivis],mvtst[[#This Row],[QR Suivis]],mvtst[QTE RETOUR])</f>
        <v>0</v>
      </c>
      <c r="K1199" s="35" t="str">
        <f t="shared" si="18"/>
        <v>Usine</v>
      </c>
      <c r="L1199" s="35" t="str">
        <f>_xlfn.XLOOKUP(mvtst[[#This Row],[Sous Traitant]],coordonnee_st[Identification],coordonnee_st[SERVICE],"Non Trouvé")</f>
        <v>Frange</v>
      </c>
      <c r="M1199" s="35" t="str">
        <f>INDEX(_xlfn.TEXTSPLIT(mvtst[[#This Row],[QR Suivis]],"_"),1,2)</f>
        <v>All by Fouta</v>
      </c>
      <c r="N1199" s="35" t="str">
        <f>INDEX(_xlfn.TEXTSPLIT(mvtst[[#This Row],[QR Suivis]],"_"),1,3)</f>
        <v>Stock</v>
      </c>
      <c r="O1199" s="35" t="str">
        <f>INDEX(_xlfn.TEXTSPLIT(mvtst[[#This Row],[QR Suivis]],"_"),1,4)</f>
        <v>UNS1020-27</v>
      </c>
      <c r="P1199" s="35" t="str">
        <f>INDEX(_xlfn.TEXTSPLIT(mvtst[[#This Row],[QR Suivis]],"_"),1,5)</f>
        <v>UNI SURPIQUE</v>
      </c>
      <c r="Q1199" s="35" t="str">
        <f>_xlfn.TEXTAFTER(mvtst[[#This Row],[QR Suivis]],"_",5)</f>
        <v>1020</v>
      </c>
      <c r="R1199" s="84" t="str">
        <f>IF(
   COUNTIFS($A$2:A1199,A1199,
             $B$2:B1199,B1199,
             $C$2:C1199,C1199,
             $D$2:D1199,D1199,
             $G$2:G1199,G1199)&gt;1,
   "Doublon",
   "Correcte"
)</f>
        <v>Correcte</v>
      </c>
    </row>
    <row r="1200" spans="1:18" x14ac:dyDescent="0.25">
      <c r="A1200" s="104" t="s">
        <v>1882</v>
      </c>
      <c r="B1200" s="35" t="s">
        <v>712</v>
      </c>
      <c r="C1200" s="36">
        <v>0</v>
      </c>
      <c r="D1200" s="36">
        <v>5</v>
      </c>
      <c r="E1200" s="35" t="s">
        <v>699</v>
      </c>
      <c r="F1200" s="35" t="s">
        <v>634</v>
      </c>
      <c r="G1200" s="37">
        <v>45936.709548611114</v>
      </c>
      <c r="H1200" s="37" t="str">
        <f>INDEX(_xlfn.TEXTSPLIT(mvtst[[#This Row],[QR Suivis]],"_"),1,1)</f>
        <v>CA250016-7</v>
      </c>
      <c r="I1200" s="35" t="str">
        <f>_xlfn.TEXTBEFORE(mvtst[[#This Row],[Num Suivis]],"-",,,1)</f>
        <v>CA250016</v>
      </c>
      <c r="J1200" s="36">
        <f>SUMIF(mvtst[QR Suivis],mvtst[[#This Row],[QR Suivis]],mvtst[QTE SORTIS])-SUMIF(mvtst[QR Suivis],mvtst[[#This Row],[QR Suivis]],mvtst[QTE RETOUR])</f>
        <v>0</v>
      </c>
      <c r="K1200" s="35" t="str">
        <f t="shared" si="18"/>
        <v>Usine</v>
      </c>
      <c r="L1200" s="35" t="str">
        <f>_xlfn.XLOOKUP(mvtst[[#This Row],[Sous Traitant]],coordonnee_st[Identification],coordonnee_st[SERVICE],"Non Trouvé")</f>
        <v>Frange</v>
      </c>
      <c r="M1200" s="35" t="str">
        <f>INDEX(_xlfn.TEXTSPLIT(mvtst[[#This Row],[QR Suivis]],"_"),1,2)</f>
        <v>All by Fouta</v>
      </c>
      <c r="N1200" s="35" t="str">
        <f>INDEX(_xlfn.TEXTSPLIT(mvtst[[#This Row],[QR Suivis]],"_"),1,3)</f>
        <v>Stock</v>
      </c>
      <c r="O1200" s="35" t="str">
        <f>INDEX(_xlfn.TEXTSPLIT(mvtst[[#This Row],[QR Suivis]],"_"),1,4)</f>
        <v>UNS1020-27</v>
      </c>
      <c r="P1200" s="35" t="str">
        <f>INDEX(_xlfn.TEXTSPLIT(mvtst[[#This Row],[QR Suivis]],"_"),1,5)</f>
        <v>UNI SURPIQUE</v>
      </c>
      <c r="Q1200" s="35" t="str">
        <f>_xlfn.TEXTAFTER(mvtst[[#This Row],[QR Suivis]],"_",5)</f>
        <v>1020</v>
      </c>
      <c r="R1200" s="84" t="str">
        <f>IF(
   COUNTIFS($A$2:A1200,A1200,
             $B$2:B1200,B1200,
             $C$2:C1200,C1200,
             $D$2:D1200,D1200,
             $G$2:G1200,G1200)&gt;1,
   "Doublon",
   "Correcte"
)</f>
        <v>Correcte</v>
      </c>
    </row>
    <row r="1201" spans="1:18" x14ac:dyDescent="0.25">
      <c r="A1201" s="104" t="s">
        <v>1828</v>
      </c>
      <c r="B1201" s="35" t="s">
        <v>712</v>
      </c>
      <c r="C1201" s="36">
        <v>0</v>
      </c>
      <c r="D1201" s="36">
        <v>5</v>
      </c>
      <c r="E1201" s="35" t="s">
        <v>699</v>
      </c>
      <c r="F1201" s="35" t="s">
        <v>634</v>
      </c>
      <c r="G1201" s="37">
        <v>45936.709756944445</v>
      </c>
      <c r="H1201" s="37" t="str">
        <f>INDEX(_xlfn.TEXTSPLIT(mvtst[[#This Row],[QR Suivis]],"_"),1,1)</f>
        <v>CA250038-4</v>
      </c>
      <c r="I1201" s="35" t="str">
        <f>_xlfn.TEXTBEFORE(mvtst[[#This Row],[Num Suivis]],"-",,,1)</f>
        <v>CA250038</v>
      </c>
      <c r="J1201" s="36">
        <f>SUMIF(mvtst[QR Suivis],mvtst[[#This Row],[QR Suivis]],mvtst[QTE SORTIS])-SUMIF(mvtst[QR Suivis],mvtst[[#This Row],[QR Suivis]],mvtst[QTE RETOUR])</f>
        <v>0</v>
      </c>
      <c r="K1201" s="35" t="str">
        <f t="shared" si="18"/>
        <v>Usine</v>
      </c>
      <c r="L1201" s="35" t="str">
        <f>_xlfn.XLOOKUP(mvtst[[#This Row],[Sous Traitant]],coordonnee_st[Identification],coordonnee_st[SERVICE],"Non Trouvé")</f>
        <v>Frange</v>
      </c>
      <c r="M1201" s="35" t="str">
        <f>INDEX(_xlfn.TEXTSPLIT(mvtst[[#This Row],[QR Suivis]],"_"),1,2)</f>
        <v>All by Fouta</v>
      </c>
      <c r="N1201" s="35" t="str">
        <f>INDEX(_xlfn.TEXTSPLIT(mvtst[[#This Row],[QR Suivis]],"_"),1,3)</f>
        <v>Stock</v>
      </c>
      <c r="O1201" s="35" t="str">
        <f>INDEX(_xlfn.TEXTSPLIT(mvtst[[#This Row],[QR Suivis]],"_"),1,4)</f>
        <v>UNS2020-31</v>
      </c>
      <c r="P1201" s="35" t="str">
        <f>INDEX(_xlfn.TEXTSPLIT(mvtst[[#This Row],[QR Suivis]],"_"),1,5)</f>
        <v>UNI SURPIQUE</v>
      </c>
      <c r="Q1201" s="35" t="str">
        <f>_xlfn.TEXTAFTER(mvtst[[#This Row],[QR Suivis]],"_",5)</f>
        <v>2020</v>
      </c>
      <c r="R1201" s="84" t="str">
        <f>IF(
   COUNTIFS($A$2:A1201,A1201,
             $B$2:B1201,B1201,
             $C$2:C1201,C1201,
             $D$2:D1201,D1201,
             $G$2:G1201,G1201)&gt;1,
   "Doublon",
   "Correcte"
)</f>
        <v>Correcte</v>
      </c>
    </row>
    <row r="1202" spans="1:18" x14ac:dyDescent="0.25">
      <c r="A1202" s="104" t="s">
        <v>1889</v>
      </c>
      <c r="B1202" s="35" t="s">
        <v>712</v>
      </c>
      <c r="C1202" s="36">
        <v>0</v>
      </c>
      <c r="D1202" s="36">
        <v>5</v>
      </c>
      <c r="E1202" s="35" t="s">
        <v>699</v>
      </c>
      <c r="F1202" s="35" t="s">
        <v>634</v>
      </c>
      <c r="G1202" s="37">
        <v>45936.710127314815</v>
      </c>
      <c r="H1202" s="37" t="str">
        <f>INDEX(_xlfn.TEXTSPLIT(mvtst[[#This Row],[QR Suivis]],"_"),1,1)</f>
        <v>CA250016-10</v>
      </c>
      <c r="I1202" s="35" t="str">
        <f>_xlfn.TEXTBEFORE(mvtst[[#This Row],[Num Suivis]],"-",,,1)</f>
        <v>CA250016</v>
      </c>
      <c r="J1202" s="36">
        <f>SUMIF(mvtst[QR Suivis],mvtst[[#This Row],[QR Suivis]],mvtst[QTE SORTIS])-SUMIF(mvtst[QR Suivis],mvtst[[#This Row],[QR Suivis]],mvtst[QTE RETOUR])</f>
        <v>0</v>
      </c>
      <c r="K1202" s="35" t="str">
        <f t="shared" si="18"/>
        <v>Usine</v>
      </c>
      <c r="L1202" s="35" t="str">
        <f>_xlfn.XLOOKUP(mvtst[[#This Row],[Sous Traitant]],coordonnee_st[Identification],coordonnee_st[SERVICE],"Non Trouvé")</f>
        <v>Frange</v>
      </c>
      <c r="M1202" s="35" t="str">
        <f>INDEX(_xlfn.TEXTSPLIT(mvtst[[#This Row],[QR Suivis]],"_"),1,2)</f>
        <v>All by Fouta</v>
      </c>
      <c r="N1202" s="35" t="str">
        <f>INDEX(_xlfn.TEXTSPLIT(mvtst[[#This Row],[QR Suivis]],"_"),1,3)</f>
        <v>Stock</v>
      </c>
      <c r="O1202" s="35" t="str">
        <f>INDEX(_xlfn.TEXTSPLIT(mvtst[[#This Row],[QR Suivis]],"_"),1,4)</f>
        <v>UNS1020-27</v>
      </c>
      <c r="P1202" s="35" t="str">
        <f>INDEX(_xlfn.TEXTSPLIT(mvtst[[#This Row],[QR Suivis]],"_"),1,5)</f>
        <v>UNI SURPIQUE</v>
      </c>
      <c r="Q1202" s="35" t="str">
        <f>_xlfn.TEXTAFTER(mvtst[[#This Row],[QR Suivis]],"_",5)</f>
        <v>1020</v>
      </c>
      <c r="R1202" s="84" t="str">
        <f>IF(
   COUNTIFS($A$2:A1202,A1202,
             $B$2:B1202,B1202,
             $C$2:C1202,C1202,
             $D$2:D1202,D1202,
             $G$2:G1202,G1202)&gt;1,
   "Doublon",
   "Correcte"
)</f>
        <v>Correcte</v>
      </c>
    </row>
    <row r="1203" spans="1:18" x14ac:dyDescent="0.25">
      <c r="A1203" s="104" t="s">
        <v>1823</v>
      </c>
      <c r="B1203" s="35" t="s">
        <v>712</v>
      </c>
      <c r="C1203" s="36">
        <v>0</v>
      </c>
      <c r="D1203" s="36">
        <v>5</v>
      </c>
      <c r="E1203" s="35" t="s">
        <v>699</v>
      </c>
      <c r="F1203" s="35" t="s">
        <v>634</v>
      </c>
      <c r="G1203" s="37">
        <v>45936.710358796299</v>
      </c>
      <c r="H1203" s="37" t="str">
        <f>INDEX(_xlfn.TEXTSPLIT(mvtst[[#This Row],[QR Suivis]],"_"),1,1)</f>
        <v>CA250037-2</v>
      </c>
      <c r="I1203" s="35" t="str">
        <f>_xlfn.TEXTBEFORE(mvtst[[#This Row],[Num Suivis]],"-",,,1)</f>
        <v>CA250037</v>
      </c>
      <c r="J1203" s="36">
        <f>SUMIF(mvtst[QR Suivis],mvtst[[#This Row],[QR Suivis]],mvtst[QTE SORTIS])-SUMIF(mvtst[QR Suivis],mvtst[[#This Row],[QR Suivis]],mvtst[QTE RETOUR])</f>
        <v>0</v>
      </c>
      <c r="K1203" s="35" t="str">
        <f t="shared" si="18"/>
        <v>Usine</v>
      </c>
      <c r="L1203" s="35" t="str">
        <f>_xlfn.XLOOKUP(mvtst[[#This Row],[Sous Traitant]],coordonnee_st[Identification],coordonnee_st[SERVICE],"Non Trouvé")</f>
        <v>Frange</v>
      </c>
      <c r="M1203" s="35" t="str">
        <f>INDEX(_xlfn.TEXTSPLIT(mvtst[[#This Row],[QR Suivis]],"_"),1,2)</f>
        <v>All by Fouta</v>
      </c>
      <c r="N1203" s="35" t="str">
        <f>INDEX(_xlfn.TEXTSPLIT(mvtst[[#This Row],[QR Suivis]],"_"),1,3)</f>
        <v>Stock</v>
      </c>
      <c r="O1203" s="35" t="str">
        <f>INDEX(_xlfn.TEXTSPLIT(mvtst[[#This Row],[QR Suivis]],"_"),1,4)</f>
        <v>UNS2020-30</v>
      </c>
      <c r="P1203" s="35" t="str">
        <f>INDEX(_xlfn.TEXTSPLIT(mvtst[[#This Row],[QR Suivis]],"_"),1,5)</f>
        <v>UNI SURPIQUE</v>
      </c>
      <c r="Q1203" s="35" t="str">
        <f>_xlfn.TEXTAFTER(mvtst[[#This Row],[QR Suivis]],"_",5)</f>
        <v>2020</v>
      </c>
      <c r="R1203" s="84" t="str">
        <f>IF(
   COUNTIFS($A$2:A1203,A1203,
             $B$2:B1203,B1203,
             $C$2:C1203,C1203,
             $D$2:D1203,D1203,
             $G$2:G1203,G1203)&gt;1,
   "Doublon",
   "Correcte"
)</f>
        <v>Correcte</v>
      </c>
    </row>
    <row r="1204" spans="1:18" x14ac:dyDescent="0.25">
      <c r="A1204" s="104" t="s">
        <v>1829</v>
      </c>
      <c r="B1204" s="35" t="s">
        <v>712</v>
      </c>
      <c r="C1204" s="36">
        <v>0</v>
      </c>
      <c r="D1204" s="36">
        <v>5</v>
      </c>
      <c r="E1204" s="35" t="s">
        <v>699</v>
      </c>
      <c r="F1204" s="35" t="s">
        <v>634</v>
      </c>
      <c r="G1204" s="37">
        <v>45936.710590277777</v>
      </c>
      <c r="H1204" s="37" t="str">
        <f>INDEX(_xlfn.TEXTSPLIT(mvtst[[#This Row],[QR Suivis]],"_"),1,1)</f>
        <v>CA250037-5</v>
      </c>
      <c r="I1204" s="35" t="str">
        <f>_xlfn.TEXTBEFORE(mvtst[[#This Row],[Num Suivis]],"-",,,1)</f>
        <v>CA250037</v>
      </c>
      <c r="J1204" s="36">
        <f>SUMIF(mvtst[QR Suivis],mvtst[[#This Row],[QR Suivis]],mvtst[QTE SORTIS])-SUMIF(mvtst[QR Suivis],mvtst[[#This Row],[QR Suivis]],mvtst[QTE RETOUR])</f>
        <v>0</v>
      </c>
      <c r="K1204" s="35" t="str">
        <f t="shared" si="18"/>
        <v>Usine</v>
      </c>
      <c r="L1204" s="35" t="str">
        <f>_xlfn.XLOOKUP(mvtst[[#This Row],[Sous Traitant]],coordonnee_st[Identification],coordonnee_st[SERVICE],"Non Trouvé")</f>
        <v>Frange</v>
      </c>
      <c r="M1204" s="35" t="str">
        <f>INDEX(_xlfn.TEXTSPLIT(mvtst[[#This Row],[QR Suivis]],"_"),1,2)</f>
        <v>All by Fouta</v>
      </c>
      <c r="N1204" s="35" t="str">
        <f>INDEX(_xlfn.TEXTSPLIT(mvtst[[#This Row],[QR Suivis]],"_"),1,3)</f>
        <v>Stock</v>
      </c>
      <c r="O1204" s="35" t="str">
        <f>INDEX(_xlfn.TEXTSPLIT(mvtst[[#This Row],[QR Suivis]],"_"),1,4)</f>
        <v>UNS2020-30</v>
      </c>
      <c r="P1204" s="35" t="str">
        <f>INDEX(_xlfn.TEXTSPLIT(mvtst[[#This Row],[QR Suivis]],"_"),1,5)</f>
        <v>UNI SURPIQUE</v>
      </c>
      <c r="Q1204" s="35" t="str">
        <f>_xlfn.TEXTAFTER(mvtst[[#This Row],[QR Suivis]],"_",5)</f>
        <v>2020</v>
      </c>
      <c r="R1204" s="84" t="str">
        <f>IF(
   COUNTIFS($A$2:A1204,A1204,
             $B$2:B1204,B1204,
             $C$2:C1204,C1204,
             $D$2:D1204,D1204,
             $G$2:G1204,G1204)&gt;1,
   "Doublon",
   "Correcte"
)</f>
        <v>Correcte</v>
      </c>
    </row>
    <row r="1205" spans="1:18" x14ac:dyDescent="0.25">
      <c r="A1205" s="104" t="s">
        <v>1833</v>
      </c>
      <c r="B1205" s="35" t="s">
        <v>712</v>
      </c>
      <c r="C1205" s="36">
        <v>0</v>
      </c>
      <c r="D1205" s="36">
        <v>5</v>
      </c>
      <c r="E1205" s="35" t="s">
        <v>699</v>
      </c>
      <c r="F1205" s="35" t="s">
        <v>634</v>
      </c>
      <c r="G1205" s="37">
        <v>45936.710833333331</v>
      </c>
      <c r="H1205" s="37" t="str">
        <f>INDEX(_xlfn.TEXTSPLIT(mvtst[[#This Row],[QR Suivis]],"_"),1,1)</f>
        <v>CA250037-6</v>
      </c>
      <c r="I1205" s="35" t="str">
        <f>_xlfn.TEXTBEFORE(mvtst[[#This Row],[Num Suivis]],"-",,,1)</f>
        <v>CA250037</v>
      </c>
      <c r="J1205" s="36">
        <f>SUMIF(mvtst[QR Suivis],mvtst[[#This Row],[QR Suivis]],mvtst[QTE SORTIS])-SUMIF(mvtst[QR Suivis],mvtst[[#This Row],[QR Suivis]],mvtst[QTE RETOUR])</f>
        <v>0</v>
      </c>
      <c r="K1205" s="35" t="str">
        <f t="shared" si="18"/>
        <v>Usine</v>
      </c>
      <c r="L1205" s="35" t="str">
        <f>_xlfn.XLOOKUP(mvtst[[#This Row],[Sous Traitant]],coordonnee_st[Identification],coordonnee_st[SERVICE],"Non Trouvé")</f>
        <v>Frange</v>
      </c>
      <c r="M1205" s="35" t="str">
        <f>INDEX(_xlfn.TEXTSPLIT(mvtst[[#This Row],[QR Suivis]],"_"),1,2)</f>
        <v>All by Fouta</v>
      </c>
      <c r="N1205" s="35" t="str">
        <f>INDEX(_xlfn.TEXTSPLIT(mvtst[[#This Row],[QR Suivis]],"_"),1,3)</f>
        <v>Stock</v>
      </c>
      <c r="O1205" s="35" t="str">
        <f>INDEX(_xlfn.TEXTSPLIT(mvtst[[#This Row],[QR Suivis]],"_"),1,4)</f>
        <v>UNS2020-30</v>
      </c>
      <c r="P1205" s="35" t="str">
        <f>INDEX(_xlfn.TEXTSPLIT(mvtst[[#This Row],[QR Suivis]],"_"),1,5)</f>
        <v>UNI SURPIQUE</v>
      </c>
      <c r="Q1205" s="35" t="str">
        <f>_xlfn.TEXTAFTER(mvtst[[#This Row],[QR Suivis]],"_",5)</f>
        <v>2020</v>
      </c>
      <c r="R1205" s="84" t="str">
        <f>IF(
   COUNTIFS($A$2:A1205,A1205,
             $B$2:B1205,B1205,
             $C$2:C1205,C1205,
             $D$2:D1205,D1205,
             $G$2:G1205,G1205)&gt;1,
   "Doublon",
   "Correcte"
)</f>
        <v>Correcte</v>
      </c>
    </row>
    <row r="1206" spans="1:18" x14ac:dyDescent="0.25">
      <c r="A1206" s="104" t="s">
        <v>1822</v>
      </c>
      <c r="B1206" s="35" t="s">
        <v>712</v>
      </c>
      <c r="C1206" s="36">
        <v>0</v>
      </c>
      <c r="D1206" s="36">
        <v>5</v>
      </c>
      <c r="E1206" s="35" t="s">
        <v>699</v>
      </c>
      <c r="F1206" s="35" t="s">
        <v>634</v>
      </c>
      <c r="G1206" s="37">
        <v>45936.710995370369</v>
      </c>
      <c r="H1206" s="37" t="str">
        <f>INDEX(_xlfn.TEXTSPLIT(mvtst[[#This Row],[QR Suivis]],"_"),1,1)</f>
        <v>CA250037-3</v>
      </c>
      <c r="I1206" s="35" t="str">
        <f>_xlfn.TEXTBEFORE(mvtst[[#This Row],[Num Suivis]],"-",,,1)</f>
        <v>CA250037</v>
      </c>
      <c r="J1206" s="36">
        <f>SUMIF(mvtst[QR Suivis],mvtst[[#This Row],[QR Suivis]],mvtst[QTE SORTIS])-SUMIF(mvtst[QR Suivis],mvtst[[#This Row],[QR Suivis]],mvtst[QTE RETOUR])</f>
        <v>0</v>
      </c>
      <c r="K1206" s="35" t="str">
        <f t="shared" si="18"/>
        <v>Usine</v>
      </c>
      <c r="L1206" s="35" t="str">
        <f>_xlfn.XLOOKUP(mvtst[[#This Row],[Sous Traitant]],coordonnee_st[Identification],coordonnee_st[SERVICE],"Non Trouvé")</f>
        <v>Frange</v>
      </c>
      <c r="M1206" s="35" t="str">
        <f>INDEX(_xlfn.TEXTSPLIT(mvtst[[#This Row],[QR Suivis]],"_"),1,2)</f>
        <v>All by Fouta</v>
      </c>
      <c r="N1206" s="35" t="str">
        <f>INDEX(_xlfn.TEXTSPLIT(mvtst[[#This Row],[QR Suivis]],"_"),1,3)</f>
        <v>Stock</v>
      </c>
      <c r="O1206" s="35" t="str">
        <f>INDEX(_xlfn.TEXTSPLIT(mvtst[[#This Row],[QR Suivis]],"_"),1,4)</f>
        <v>UNS2020-30</v>
      </c>
      <c r="P1206" s="35" t="str">
        <f>INDEX(_xlfn.TEXTSPLIT(mvtst[[#This Row],[QR Suivis]],"_"),1,5)</f>
        <v>UNI SURPIQUE</v>
      </c>
      <c r="Q1206" s="35" t="str">
        <f>_xlfn.TEXTAFTER(mvtst[[#This Row],[QR Suivis]],"_",5)</f>
        <v>2020</v>
      </c>
      <c r="R1206" s="84" t="str">
        <f>IF(
   COUNTIFS($A$2:A1206,A1206,
             $B$2:B1206,B1206,
             $C$2:C1206,C1206,
             $D$2:D1206,D1206,
             $G$2:G1206,G1206)&gt;1,
   "Doublon",
   "Correcte"
)</f>
        <v>Correcte</v>
      </c>
    </row>
    <row r="1207" spans="1:18" x14ac:dyDescent="0.25">
      <c r="A1207" s="104" t="s">
        <v>1891</v>
      </c>
      <c r="B1207" s="35" t="s">
        <v>712</v>
      </c>
      <c r="C1207" s="36">
        <v>0</v>
      </c>
      <c r="D1207" s="36">
        <v>5</v>
      </c>
      <c r="E1207" s="35" t="s">
        <v>699</v>
      </c>
      <c r="F1207" s="35" t="s">
        <v>634</v>
      </c>
      <c r="G1207" s="37">
        <v>45936.711354166669</v>
      </c>
      <c r="H1207" s="37" t="str">
        <f>INDEX(_xlfn.TEXTSPLIT(mvtst[[#This Row],[QR Suivis]],"_"),1,1)</f>
        <v>CA250019-3</v>
      </c>
      <c r="I1207" s="35" t="str">
        <f>_xlfn.TEXTBEFORE(mvtst[[#This Row],[Num Suivis]],"-",,,1)</f>
        <v>CA250019</v>
      </c>
      <c r="J1207" s="36">
        <f>SUMIF(mvtst[QR Suivis],mvtst[[#This Row],[QR Suivis]],mvtst[QTE SORTIS])-SUMIF(mvtst[QR Suivis],mvtst[[#This Row],[QR Suivis]],mvtst[QTE RETOUR])</f>
        <v>0</v>
      </c>
      <c r="K1207" s="35" t="str">
        <f t="shared" si="18"/>
        <v>Usine</v>
      </c>
      <c r="L1207" s="35" t="str">
        <f>_xlfn.XLOOKUP(mvtst[[#This Row],[Sous Traitant]],coordonnee_st[Identification],coordonnee_st[SERVICE],"Non Trouvé")</f>
        <v>Frange</v>
      </c>
      <c r="M1207" s="35" t="str">
        <f>INDEX(_xlfn.TEXTSPLIT(mvtst[[#This Row],[QR Suivis]],"_"),1,2)</f>
        <v>All by Fouta</v>
      </c>
      <c r="N1207" s="35" t="str">
        <f>INDEX(_xlfn.TEXTSPLIT(mvtst[[#This Row],[QR Suivis]],"_"),1,3)</f>
        <v>Stock</v>
      </c>
      <c r="O1207" s="35" t="str">
        <f>INDEX(_xlfn.TEXTSPLIT(mvtst[[#This Row],[QR Suivis]],"_"),1,4)</f>
        <v>UNS1020-32</v>
      </c>
      <c r="P1207" s="35" t="str">
        <f>INDEX(_xlfn.TEXTSPLIT(mvtst[[#This Row],[QR Suivis]],"_"),1,5)</f>
        <v>UNI SURPIQUE</v>
      </c>
      <c r="Q1207" s="35" t="str">
        <f>_xlfn.TEXTAFTER(mvtst[[#This Row],[QR Suivis]],"_",5)</f>
        <v>1020</v>
      </c>
      <c r="R1207" s="84" t="str">
        <f>IF(
   COUNTIFS($A$2:A1207,A1207,
             $B$2:B1207,B1207,
             $C$2:C1207,C1207,
             $D$2:D1207,D1207,
             $G$2:G1207,G1207)&gt;1,
   "Doublon",
   "Correcte"
)</f>
        <v>Correcte</v>
      </c>
    </row>
    <row r="1208" spans="1:18" x14ac:dyDescent="0.25">
      <c r="A1208" s="104" t="s">
        <v>1893</v>
      </c>
      <c r="B1208" s="35" t="s">
        <v>712</v>
      </c>
      <c r="C1208" s="36">
        <v>0</v>
      </c>
      <c r="D1208" s="36">
        <v>5</v>
      </c>
      <c r="E1208" s="35" t="s">
        <v>699</v>
      </c>
      <c r="F1208" s="35" t="s">
        <v>634</v>
      </c>
      <c r="G1208" s="37">
        <v>45936.711585648147</v>
      </c>
      <c r="H1208" s="37" t="str">
        <f>INDEX(_xlfn.TEXTSPLIT(mvtst[[#This Row],[QR Suivis]],"_"),1,1)</f>
        <v>CA250019-4</v>
      </c>
      <c r="I1208" s="35" t="str">
        <f>_xlfn.TEXTBEFORE(mvtst[[#This Row],[Num Suivis]],"-",,,1)</f>
        <v>CA250019</v>
      </c>
      <c r="J1208" s="36">
        <f>SUMIF(mvtst[QR Suivis],mvtst[[#This Row],[QR Suivis]],mvtst[QTE SORTIS])-SUMIF(mvtst[QR Suivis],mvtst[[#This Row],[QR Suivis]],mvtst[QTE RETOUR])</f>
        <v>0</v>
      </c>
      <c r="K1208" s="35" t="str">
        <f t="shared" si="18"/>
        <v>Usine</v>
      </c>
      <c r="L1208" s="35" t="str">
        <f>_xlfn.XLOOKUP(mvtst[[#This Row],[Sous Traitant]],coordonnee_st[Identification],coordonnee_st[SERVICE],"Non Trouvé")</f>
        <v>Frange</v>
      </c>
      <c r="M1208" s="35" t="str">
        <f>INDEX(_xlfn.TEXTSPLIT(mvtst[[#This Row],[QR Suivis]],"_"),1,2)</f>
        <v>All by Fouta</v>
      </c>
      <c r="N1208" s="35" t="str">
        <f>INDEX(_xlfn.TEXTSPLIT(mvtst[[#This Row],[QR Suivis]],"_"),1,3)</f>
        <v>Stock</v>
      </c>
      <c r="O1208" s="35" t="str">
        <f>INDEX(_xlfn.TEXTSPLIT(mvtst[[#This Row],[QR Suivis]],"_"),1,4)</f>
        <v>UNS1020-32</v>
      </c>
      <c r="P1208" s="35" t="str">
        <f>INDEX(_xlfn.TEXTSPLIT(mvtst[[#This Row],[QR Suivis]],"_"),1,5)</f>
        <v>UNI SURPIQUE</v>
      </c>
      <c r="Q1208" s="35" t="str">
        <f>_xlfn.TEXTAFTER(mvtst[[#This Row],[QR Suivis]],"_",5)</f>
        <v>1020</v>
      </c>
      <c r="R1208" s="84" t="str">
        <f>IF(
   COUNTIFS($A$2:A1208,A1208,
             $B$2:B1208,B1208,
             $C$2:C1208,C1208,
             $D$2:D1208,D1208,
             $G$2:G1208,G1208)&gt;1,
   "Doublon",
   "Correcte"
)</f>
        <v>Correcte</v>
      </c>
    </row>
    <row r="1209" spans="1:18" x14ac:dyDescent="0.25">
      <c r="A1209" s="104" t="s">
        <v>1825</v>
      </c>
      <c r="B1209" s="35" t="s">
        <v>712</v>
      </c>
      <c r="C1209" s="36">
        <v>0</v>
      </c>
      <c r="D1209" s="36">
        <v>5</v>
      </c>
      <c r="E1209" s="35" t="s">
        <v>699</v>
      </c>
      <c r="F1209" s="35" t="s">
        <v>634</v>
      </c>
      <c r="G1209" s="37">
        <v>45936.711782407408</v>
      </c>
      <c r="H1209" s="37" t="str">
        <f>INDEX(_xlfn.TEXTSPLIT(mvtst[[#This Row],[QR Suivis]],"_"),1,1)</f>
        <v>CA250037-1</v>
      </c>
      <c r="I1209" s="35" t="str">
        <f>_xlfn.TEXTBEFORE(mvtst[[#This Row],[Num Suivis]],"-",,,1)</f>
        <v>CA250037</v>
      </c>
      <c r="J1209" s="36">
        <f>SUMIF(mvtst[QR Suivis],mvtst[[#This Row],[QR Suivis]],mvtst[QTE SORTIS])-SUMIF(mvtst[QR Suivis],mvtst[[#This Row],[QR Suivis]],mvtst[QTE RETOUR])</f>
        <v>0</v>
      </c>
      <c r="K1209" s="35" t="str">
        <f t="shared" si="18"/>
        <v>Usine</v>
      </c>
      <c r="L1209" s="35" t="str">
        <f>_xlfn.XLOOKUP(mvtst[[#This Row],[Sous Traitant]],coordonnee_st[Identification],coordonnee_st[SERVICE],"Non Trouvé")</f>
        <v>Frange</v>
      </c>
      <c r="M1209" s="35" t="str">
        <f>INDEX(_xlfn.TEXTSPLIT(mvtst[[#This Row],[QR Suivis]],"_"),1,2)</f>
        <v>All by Fouta</v>
      </c>
      <c r="N1209" s="35" t="str">
        <f>INDEX(_xlfn.TEXTSPLIT(mvtst[[#This Row],[QR Suivis]],"_"),1,3)</f>
        <v>Stock</v>
      </c>
      <c r="O1209" s="35" t="str">
        <f>INDEX(_xlfn.TEXTSPLIT(mvtst[[#This Row],[QR Suivis]],"_"),1,4)</f>
        <v>UNS2020-30</v>
      </c>
      <c r="P1209" s="35" t="str">
        <f>INDEX(_xlfn.TEXTSPLIT(mvtst[[#This Row],[QR Suivis]],"_"),1,5)</f>
        <v>UNI SURPIQUE</v>
      </c>
      <c r="Q1209" s="35" t="str">
        <f>_xlfn.TEXTAFTER(mvtst[[#This Row],[QR Suivis]],"_",5)</f>
        <v>2020</v>
      </c>
      <c r="R1209" s="84" t="str">
        <f>IF(
   COUNTIFS($A$2:A1209,A1209,
             $B$2:B1209,B1209,
             $C$2:C1209,C1209,
             $D$2:D1209,D1209,
             $G$2:G1209,G1209)&gt;1,
   "Doublon",
   "Correcte"
)</f>
        <v>Correcte</v>
      </c>
    </row>
    <row r="1210" spans="1:18" x14ac:dyDescent="0.25">
      <c r="A1210" s="104" t="s">
        <v>1831</v>
      </c>
      <c r="B1210" s="35" t="s">
        <v>712</v>
      </c>
      <c r="C1210" s="36">
        <v>0</v>
      </c>
      <c r="D1210" s="36">
        <v>5</v>
      </c>
      <c r="E1210" s="35" t="s">
        <v>699</v>
      </c>
      <c r="F1210" s="35" t="s">
        <v>634</v>
      </c>
      <c r="G1210" s="37">
        <v>45936.712037037039</v>
      </c>
      <c r="H1210" s="37" t="str">
        <f>INDEX(_xlfn.TEXTSPLIT(mvtst[[#This Row],[QR Suivis]],"_"),1,1)</f>
        <v>CA250051-2</v>
      </c>
      <c r="I1210" s="35" t="str">
        <f>_xlfn.TEXTBEFORE(mvtst[[#This Row],[Num Suivis]],"-",,,1)</f>
        <v>CA250051</v>
      </c>
      <c r="J1210" s="36">
        <f>SUMIF(mvtst[QR Suivis],mvtst[[#This Row],[QR Suivis]],mvtst[QTE SORTIS])-SUMIF(mvtst[QR Suivis],mvtst[[#This Row],[QR Suivis]],mvtst[QTE RETOUR])</f>
        <v>0</v>
      </c>
      <c r="K1210" s="35" t="str">
        <f t="shared" si="18"/>
        <v>Usine</v>
      </c>
      <c r="L1210" s="35" t="str">
        <f>_xlfn.XLOOKUP(mvtst[[#This Row],[Sous Traitant]],coordonnee_st[Identification],coordonnee_st[SERVICE],"Non Trouvé")</f>
        <v>Frange</v>
      </c>
      <c r="M1210" s="35" t="str">
        <f>INDEX(_xlfn.TEXTSPLIT(mvtst[[#This Row],[QR Suivis]],"_"),1,2)</f>
        <v>All by Fouta</v>
      </c>
      <c r="N1210" s="35" t="str">
        <f>INDEX(_xlfn.TEXTSPLIT(mvtst[[#This Row],[QR Suivis]],"_"),1,3)</f>
        <v>Stock</v>
      </c>
      <c r="O1210" s="35" t="str">
        <f>INDEX(_xlfn.TEXTSPLIT(mvtst[[#This Row],[QR Suivis]],"_"),1,4)</f>
        <v>UNS1626-19</v>
      </c>
      <c r="P1210" s="35" t="str">
        <f>INDEX(_xlfn.TEXTSPLIT(mvtst[[#This Row],[QR Suivis]],"_"),1,5)</f>
        <v>UNI SURPIQUE</v>
      </c>
      <c r="Q1210" s="35" t="str">
        <f>_xlfn.TEXTAFTER(mvtst[[#This Row],[QR Suivis]],"_",5)</f>
        <v>1626</v>
      </c>
      <c r="R1210" s="84" t="str">
        <f>IF(
   COUNTIFS($A$2:A1210,A1210,
             $B$2:B1210,B1210,
             $C$2:C1210,C1210,
             $D$2:D1210,D1210,
             $G$2:G1210,G1210)&gt;1,
   "Doublon",
   "Correcte"
)</f>
        <v>Correcte</v>
      </c>
    </row>
    <row r="1211" spans="1:18" x14ac:dyDescent="0.25">
      <c r="A1211" s="104" t="s">
        <v>1818</v>
      </c>
      <c r="B1211" s="35" t="s">
        <v>712</v>
      </c>
      <c r="C1211" s="36">
        <v>0</v>
      </c>
      <c r="D1211" s="36">
        <v>5</v>
      </c>
      <c r="E1211" s="35" t="s">
        <v>699</v>
      </c>
      <c r="F1211" s="35" t="s">
        <v>634</v>
      </c>
      <c r="G1211" s="37">
        <v>45936.712233796294</v>
      </c>
      <c r="H1211" s="37" t="str">
        <f>INDEX(_xlfn.TEXTSPLIT(mvtst[[#This Row],[QR Suivis]],"_"),1,1)</f>
        <v>CA250019-10</v>
      </c>
      <c r="I1211" s="35" t="str">
        <f>_xlfn.TEXTBEFORE(mvtst[[#This Row],[Num Suivis]],"-",,,1)</f>
        <v>CA250019</v>
      </c>
      <c r="J1211" s="36">
        <f>SUMIF(mvtst[QR Suivis],mvtst[[#This Row],[QR Suivis]],mvtst[QTE SORTIS])-SUMIF(mvtst[QR Suivis],mvtst[[#This Row],[QR Suivis]],mvtst[QTE RETOUR])</f>
        <v>0</v>
      </c>
      <c r="K1211" s="35" t="str">
        <f t="shared" si="18"/>
        <v>Usine</v>
      </c>
      <c r="L1211" s="35" t="str">
        <f>_xlfn.XLOOKUP(mvtst[[#This Row],[Sous Traitant]],coordonnee_st[Identification],coordonnee_st[SERVICE],"Non Trouvé")</f>
        <v>Frange</v>
      </c>
      <c r="M1211" s="35" t="str">
        <f>INDEX(_xlfn.TEXTSPLIT(mvtst[[#This Row],[QR Suivis]],"_"),1,2)</f>
        <v>All by Fouta</v>
      </c>
      <c r="N1211" s="35" t="str">
        <f>INDEX(_xlfn.TEXTSPLIT(mvtst[[#This Row],[QR Suivis]],"_"),1,3)</f>
        <v>Stock</v>
      </c>
      <c r="O1211" s="35" t="str">
        <f>INDEX(_xlfn.TEXTSPLIT(mvtst[[#This Row],[QR Suivis]],"_"),1,4)</f>
        <v>UNS1020-32</v>
      </c>
      <c r="P1211" s="35" t="str">
        <f>INDEX(_xlfn.TEXTSPLIT(mvtst[[#This Row],[QR Suivis]],"_"),1,5)</f>
        <v>UNI SURPIQUE</v>
      </c>
      <c r="Q1211" s="35" t="str">
        <f>_xlfn.TEXTAFTER(mvtst[[#This Row],[QR Suivis]],"_",5)</f>
        <v>1020</v>
      </c>
      <c r="R1211" s="84" t="str">
        <f>IF(
   COUNTIFS($A$2:A1211,A1211,
             $B$2:B1211,B1211,
             $C$2:C1211,C1211,
             $D$2:D1211,D1211,
             $G$2:G1211,G1211)&gt;1,
   "Doublon",
   "Correcte"
)</f>
        <v>Correcte</v>
      </c>
    </row>
    <row r="1212" spans="1:18" x14ac:dyDescent="0.25">
      <c r="A1212" s="104" t="s">
        <v>1808</v>
      </c>
      <c r="B1212" s="35" t="s">
        <v>712</v>
      </c>
      <c r="C1212" s="36">
        <v>0</v>
      </c>
      <c r="D1212" s="36">
        <v>5</v>
      </c>
      <c r="E1212" s="35" t="s">
        <v>699</v>
      </c>
      <c r="F1212" s="35" t="s">
        <v>634</v>
      </c>
      <c r="G1212" s="37">
        <v>45936.712546296294</v>
      </c>
      <c r="H1212" s="37" t="str">
        <f>INDEX(_xlfn.TEXTSPLIT(mvtst[[#This Row],[QR Suivis]],"_"),1,1)</f>
        <v>CA250019-11</v>
      </c>
      <c r="I1212" s="35" t="str">
        <f>_xlfn.TEXTBEFORE(mvtst[[#This Row],[Num Suivis]],"-",,,1)</f>
        <v>CA250019</v>
      </c>
      <c r="J1212" s="36">
        <f>SUMIF(mvtst[QR Suivis],mvtst[[#This Row],[QR Suivis]],mvtst[QTE SORTIS])-SUMIF(mvtst[QR Suivis],mvtst[[#This Row],[QR Suivis]],mvtst[QTE RETOUR])</f>
        <v>0</v>
      </c>
      <c r="K1212" s="35" t="str">
        <f t="shared" si="18"/>
        <v>Usine</v>
      </c>
      <c r="L1212" s="35" t="str">
        <f>_xlfn.XLOOKUP(mvtst[[#This Row],[Sous Traitant]],coordonnee_st[Identification],coordonnee_st[SERVICE],"Non Trouvé")</f>
        <v>Frange</v>
      </c>
      <c r="M1212" s="35" t="str">
        <f>INDEX(_xlfn.TEXTSPLIT(mvtst[[#This Row],[QR Suivis]],"_"),1,2)</f>
        <v>All by Fouta</v>
      </c>
      <c r="N1212" s="35" t="str">
        <f>INDEX(_xlfn.TEXTSPLIT(mvtst[[#This Row],[QR Suivis]],"_"),1,3)</f>
        <v>Stock</v>
      </c>
      <c r="O1212" s="35" t="str">
        <f>INDEX(_xlfn.TEXTSPLIT(mvtst[[#This Row],[QR Suivis]],"_"),1,4)</f>
        <v>UNS1020-32</v>
      </c>
      <c r="P1212" s="35" t="str">
        <f>INDEX(_xlfn.TEXTSPLIT(mvtst[[#This Row],[QR Suivis]],"_"),1,5)</f>
        <v>UNI SURPIQUE</v>
      </c>
      <c r="Q1212" s="35" t="str">
        <f>_xlfn.TEXTAFTER(mvtst[[#This Row],[QR Suivis]],"_",5)</f>
        <v>1020</v>
      </c>
      <c r="R1212" s="84" t="str">
        <f>IF(
   COUNTIFS($A$2:A1212,A1212,
             $B$2:B1212,B1212,
             $C$2:C1212,C1212,
             $D$2:D1212,D1212,
             $G$2:G1212,G1212)&gt;1,
   "Doublon",
   "Correcte"
)</f>
        <v>Correcte</v>
      </c>
    </row>
    <row r="1213" spans="1:18" x14ac:dyDescent="0.25">
      <c r="A1213" s="104" t="s">
        <v>1816</v>
      </c>
      <c r="B1213" s="35" t="s">
        <v>712</v>
      </c>
      <c r="C1213" s="36">
        <v>0</v>
      </c>
      <c r="D1213" s="36">
        <v>5</v>
      </c>
      <c r="E1213" s="35" t="s">
        <v>699</v>
      </c>
      <c r="F1213" s="35" t="s">
        <v>634</v>
      </c>
      <c r="G1213" s="37">
        <v>45936.712777777779</v>
      </c>
      <c r="H1213" s="37" t="str">
        <f>INDEX(_xlfn.TEXTSPLIT(mvtst[[#This Row],[QR Suivis]],"_"),1,1)</f>
        <v>CA250019-9</v>
      </c>
      <c r="I1213" s="35" t="str">
        <f>_xlfn.TEXTBEFORE(mvtst[[#This Row],[Num Suivis]],"-",,,1)</f>
        <v>CA250019</v>
      </c>
      <c r="J1213" s="36">
        <f>SUMIF(mvtst[QR Suivis],mvtst[[#This Row],[QR Suivis]],mvtst[QTE SORTIS])-SUMIF(mvtst[QR Suivis],mvtst[[#This Row],[QR Suivis]],mvtst[QTE RETOUR])</f>
        <v>0</v>
      </c>
      <c r="K1213" s="35" t="str">
        <f t="shared" si="18"/>
        <v>Usine</v>
      </c>
      <c r="L1213" s="35" t="str">
        <f>_xlfn.XLOOKUP(mvtst[[#This Row],[Sous Traitant]],coordonnee_st[Identification],coordonnee_st[SERVICE],"Non Trouvé")</f>
        <v>Frange</v>
      </c>
      <c r="M1213" s="35" t="str">
        <f>INDEX(_xlfn.TEXTSPLIT(mvtst[[#This Row],[QR Suivis]],"_"),1,2)</f>
        <v>All by Fouta</v>
      </c>
      <c r="N1213" s="35" t="str">
        <f>INDEX(_xlfn.TEXTSPLIT(mvtst[[#This Row],[QR Suivis]],"_"),1,3)</f>
        <v>Stock</v>
      </c>
      <c r="O1213" s="35" t="str">
        <f>INDEX(_xlfn.TEXTSPLIT(mvtst[[#This Row],[QR Suivis]],"_"),1,4)</f>
        <v>UNS1020-32</v>
      </c>
      <c r="P1213" s="35" t="str">
        <f>INDEX(_xlfn.TEXTSPLIT(mvtst[[#This Row],[QR Suivis]],"_"),1,5)</f>
        <v>UNI SURPIQUE</v>
      </c>
      <c r="Q1213" s="35" t="str">
        <f>_xlfn.TEXTAFTER(mvtst[[#This Row],[QR Suivis]],"_",5)</f>
        <v>1020</v>
      </c>
      <c r="R1213" s="84" t="str">
        <f>IF(
   COUNTIFS($A$2:A1213,A1213,
             $B$2:B1213,B1213,
             $C$2:C1213,C1213,
             $D$2:D1213,D1213,
             $G$2:G1213,G1213)&gt;1,
   "Doublon",
   "Correcte"
)</f>
        <v>Correcte</v>
      </c>
    </row>
    <row r="1214" spans="1:18" x14ac:dyDescent="0.25">
      <c r="A1214" s="104" t="s">
        <v>1820</v>
      </c>
      <c r="B1214" s="35" t="s">
        <v>712</v>
      </c>
      <c r="C1214" s="36">
        <v>0</v>
      </c>
      <c r="D1214" s="36">
        <v>5</v>
      </c>
      <c r="E1214" s="35" t="s">
        <v>699</v>
      </c>
      <c r="F1214" s="35" t="s">
        <v>634</v>
      </c>
      <c r="G1214" s="37">
        <v>45936.71297453704</v>
      </c>
      <c r="H1214" s="37" t="str">
        <f>INDEX(_xlfn.TEXTSPLIT(mvtst[[#This Row],[QR Suivis]],"_"),1,1)</f>
        <v>CA250019-8</v>
      </c>
      <c r="I1214" s="35" t="str">
        <f>_xlfn.TEXTBEFORE(mvtst[[#This Row],[Num Suivis]],"-",,,1)</f>
        <v>CA250019</v>
      </c>
      <c r="J1214" s="36">
        <f>SUMIF(mvtst[QR Suivis],mvtst[[#This Row],[QR Suivis]],mvtst[QTE SORTIS])-SUMIF(mvtst[QR Suivis],mvtst[[#This Row],[QR Suivis]],mvtst[QTE RETOUR])</f>
        <v>0</v>
      </c>
      <c r="K1214" s="35" t="str">
        <f t="shared" si="18"/>
        <v>Usine</v>
      </c>
      <c r="L1214" s="35" t="str">
        <f>_xlfn.XLOOKUP(mvtst[[#This Row],[Sous Traitant]],coordonnee_st[Identification],coordonnee_st[SERVICE],"Non Trouvé")</f>
        <v>Frange</v>
      </c>
      <c r="M1214" s="35" t="str">
        <f>INDEX(_xlfn.TEXTSPLIT(mvtst[[#This Row],[QR Suivis]],"_"),1,2)</f>
        <v>All by Fouta</v>
      </c>
      <c r="N1214" s="35" t="str">
        <f>INDEX(_xlfn.TEXTSPLIT(mvtst[[#This Row],[QR Suivis]],"_"),1,3)</f>
        <v>Stock</v>
      </c>
      <c r="O1214" s="35" t="str">
        <f>INDEX(_xlfn.TEXTSPLIT(mvtst[[#This Row],[QR Suivis]],"_"),1,4)</f>
        <v>UNS1020-32</v>
      </c>
      <c r="P1214" s="35" t="str">
        <f>INDEX(_xlfn.TEXTSPLIT(mvtst[[#This Row],[QR Suivis]],"_"),1,5)</f>
        <v>UNI SURPIQUE</v>
      </c>
      <c r="Q1214" s="35" t="str">
        <f>_xlfn.TEXTAFTER(mvtst[[#This Row],[QR Suivis]],"_",5)</f>
        <v>1020</v>
      </c>
      <c r="R1214" s="84" t="str">
        <f>IF(
   COUNTIFS($A$2:A1214,A1214,
             $B$2:B1214,B1214,
             $C$2:C1214,C1214,
             $D$2:D1214,D1214,
             $G$2:G1214,G1214)&gt;1,
   "Doublon",
   "Correcte"
)</f>
        <v>Correcte</v>
      </c>
    </row>
    <row r="1215" spans="1:18" x14ac:dyDescent="0.25">
      <c r="A1215" s="104" t="s">
        <v>1819</v>
      </c>
      <c r="B1215" s="35" t="s">
        <v>712</v>
      </c>
      <c r="C1215" s="36">
        <v>0</v>
      </c>
      <c r="D1215" s="36">
        <v>5</v>
      </c>
      <c r="E1215" s="35" t="s">
        <v>699</v>
      </c>
      <c r="F1215" s="35" t="s">
        <v>634</v>
      </c>
      <c r="G1215" s="37">
        <v>45936.713125000002</v>
      </c>
      <c r="H1215" s="37" t="str">
        <f>INDEX(_xlfn.TEXTSPLIT(mvtst[[#This Row],[QR Suivis]],"_"),1,1)</f>
        <v>CA250019-7</v>
      </c>
      <c r="I1215" s="35" t="str">
        <f>_xlfn.TEXTBEFORE(mvtst[[#This Row],[Num Suivis]],"-",,,1)</f>
        <v>CA250019</v>
      </c>
      <c r="J1215" s="36">
        <f>SUMIF(mvtst[QR Suivis],mvtst[[#This Row],[QR Suivis]],mvtst[QTE SORTIS])-SUMIF(mvtst[QR Suivis],mvtst[[#This Row],[QR Suivis]],mvtst[QTE RETOUR])</f>
        <v>0</v>
      </c>
      <c r="K1215" s="35" t="str">
        <f t="shared" si="18"/>
        <v>Usine</v>
      </c>
      <c r="L1215" s="35" t="str">
        <f>_xlfn.XLOOKUP(mvtst[[#This Row],[Sous Traitant]],coordonnee_st[Identification],coordonnee_st[SERVICE],"Non Trouvé")</f>
        <v>Frange</v>
      </c>
      <c r="M1215" s="35" t="str">
        <f>INDEX(_xlfn.TEXTSPLIT(mvtst[[#This Row],[QR Suivis]],"_"),1,2)</f>
        <v>All by Fouta</v>
      </c>
      <c r="N1215" s="35" t="str">
        <f>INDEX(_xlfn.TEXTSPLIT(mvtst[[#This Row],[QR Suivis]],"_"),1,3)</f>
        <v>Stock</v>
      </c>
      <c r="O1215" s="35" t="str">
        <f>INDEX(_xlfn.TEXTSPLIT(mvtst[[#This Row],[QR Suivis]],"_"),1,4)</f>
        <v>UNS1020-32</v>
      </c>
      <c r="P1215" s="35" t="str">
        <f>INDEX(_xlfn.TEXTSPLIT(mvtst[[#This Row],[QR Suivis]],"_"),1,5)</f>
        <v>UNI SURPIQUE</v>
      </c>
      <c r="Q1215" s="35" t="str">
        <f>_xlfn.TEXTAFTER(mvtst[[#This Row],[QR Suivis]],"_",5)</f>
        <v>1020</v>
      </c>
      <c r="R1215" s="84" t="str">
        <f>IF(
   COUNTIFS($A$2:A1215,A1215,
             $B$2:B1215,B1215,
             $C$2:C1215,C1215,
             $D$2:D1215,D1215,
             $G$2:G1215,G1215)&gt;1,
   "Doublon",
   "Correcte"
)</f>
        <v>Correcte</v>
      </c>
    </row>
    <row r="1216" spans="1:18" x14ac:dyDescent="0.25">
      <c r="A1216" s="104" t="s">
        <v>1811</v>
      </c>
      <c r="B1216" s="35" t="s">
        <v>712</v>
      </c>
      <c r="C1216" s="36">
        <v>0</v>
      </c>
      <c r="D1216" s="36">
        <v>5</v>
      </c>
      <c r="E1216" s="35" t="s">
        <v>699</v>
      </c>
      <c r="F1216" s="35" t="s">
        <v>634</v>
      </c>
      <c r="G1216" s="37">
        <v>45936.71329861111</v>
      </c>
      <c r="H1216" s="37" t="str">
        <f>INDEX(_xlfn.TEXTSPLIT(mvtst[[#This Row],[QR Suivis]],"_"),1,1)</f>
        <v>CA250056-3</v>
      </c>
      <c r="I1216" s="35" t="str">
        <f>_xlfn.TEXTBEFORE(mvtst[[#This Row],[Num Suivis]],"-",,,1)</f>
        <v>CA250056</v>
      </c>
      <c r="J1216" s="36">
        <f>SUMIF(mvtst[QR Suivis],mvtst[[#This Row],[QR Suivis]],mvtst[QTE SORTIS])-SUMIF(mvtst[QR Suivis],mvtst[[#This Row],[QR Suivis]],mvtst[QTE RETOUR])</f>
        <v>0</v>
      </c>
      <c r="K1216" s="35" t="str">
        <f t="shared" si="18"/>
        <v>Usine</v>
      </c>
      <c r="L1216" s="35" t="str">
        <f>_xlfn.XLOOKUP(mvtst[[#This Row],[Sous Traitant]],coordonnee_st[Identification],coordonnee_st[SERVICE],"Non Trouvé")</f>
        <v>Frange</v>
      </c>
      <c r="M1216" s="35" t="str">
        <f>INDEX(_xlfn.TEXTSPLIT(mvtst[[#This Row],[QR Suivis]],"_"),1,2)</f>
        <v>All by Fouta</v>
      </c>
      <c r="N1216" s="35" t="str">
        <f>INDEX(_xlfn.TEXTSPLIT(mvtst[[#This Row],[QR Suivis]],"_"),1,3)</f>
        <v>Stock</v>
      </c>
      <c r="O1216" s="35" t="str">
        <f>INDEX(_xlfn.TEXTSPLIT(mvtst[[#This Row],[QR Suivis]],"_"),1,4)</f>
        <v>UNS1626-27</v>
      </c>
      <c r="P1216" s="35" t="str">
        <f>INDEX(_xlfn.TEXTSPLIT(mvtst[[#This Row],[QR Suivis]],"_"),1,5)</f>
        <v>UNI SURPIQUE</v>
      </c>
      <c r="Q1216" s="35" t="str">
        <f>_xlfn.TEXTAFTER(mvtst[[#This Row],[QR Suivis]],"_",5)</f>
        <v>1626</v>
      </c>
      <c r="R1216" s="84" t="str">
        <f>IF(
   COUNTIFS($A$2:A1216,A1216,
             $B$2:B1216,B1216,
             $C$2:C1216,C1216,
             $D$2:D1216,D1216,
             $G$2:G1216,G1216)&gt;1,
   "Doublon",
   "Correcte"
)</f>
        <v>Correcte</v>
      </c>
    </row>
    <row r="1217" spans="1:18" x14ac:dyDescent="0.25">
      <c r="A1217" s="104" t="s">
        <v>1835</v>
      </c>
      <c r="B1217" s="35" t="s">
        <v>712</v>
      </c>
      <c r="C1217" s="36">
        <v>0</v>
      </c>
      <c r="D1217" s="36">
        <v>5</v>
      </c>
      <c r="E1217" s="35" t="s">
        <v>699</v>
      </c>
      <c r="F1217" s="35" t="s">
        <v>634</v>
      </c>
      <c r="G1217" s="37">
        <v>45936.713449074072</v>
      </c>
      <c r="H1217" s="37" t="str">
        <f>INDEX(_xlfn.TEXTSPLIT(mvtst[[#This Row],[QR Suivis]],"_"),1,1)</f>
        <v>CA250036-6</v>
      </c>
      <c r="I1217" s="35" t="str">
        <f>_xlfn.TEXTBEFORE(mvtst[[#This Row],[Num Suivis]],"-",,,1)</f>
        <v>CA250036</v>
      </c>
      <c r="J1217" s="36">
        <f>SUMIF(mvtst[QR Suivis],mvtst[[#This Row],[QR Suivis]],mvtst[QTE SORTIS])-SUMIF(mvtst[QR Suivis],mvtst[[#This Row],[QR Suivis]],mvtst[QTE RETOUR])</f>
        <v>0</v>
      </c>
      <c r="K1217" s="35" t="str">
        <f t="shared" si="18"/>
        <v>Usine</v>
      </c>
      <c r="L1217" s="35" t="str">
        <f>_xlfn.XLOOKUP(mvtst[[#This Row],[Sous Traitant]],coordonnee_st[Identification],coordonnee_st[SERVICE],"Non Trouvé")</f>
        <v>Frange</v>
      </c>
      <c r="M1217" s="35" t="str">
        <f>INDEX(_xlfn.TEXTSPLIT(mvtst[[#This Row],[QR Suivis]],"_"),1,2)</f>
        <v>All by Fouta</v>
      </c>
      <c r="N1217" s="35" t="str">
        <f>INDEX(_xlfn.TEXTSPLIT(mvtst[[#This Row],[QR Suivis]],"_"),1,3)</f>
        <v>Stock</v>
      </c>
      <c r="O1217" s="35" t="str">
        <f>INDEX(_xlfn.TEXTSPLIT(mvtst[[#This Row],[QR Suivis]],"_"),1,4)</f>
        <v>UNS2020-27</v>
      </c>
      <c r="P1217" s="35" t="str">
        <f>INDEX(_xlfn.TEXTSPLIT(mvtst[[#This Row],[QR Suivis]],"_"),1,5)</f>
        <v>UNI SURPIQUE</v>
      </c>
      <c r="Q1217" s="35" t="str">
        <f>_xlfn.TEXTAFTER(mvtst[[#This Row],[QR Suivis]],"_",5)</f>
        <v>2020</v>
      </c>
      <c r="R1217" s="84" t="str">
        <f>IF(
   COUNTIFS($A$2:A1217,A1217,
             $B$2:B1217,B1217,
             $C$2:C1217,C1217,
             $D$2:D1217,D1217,
             $G$2:G1217,G1217)&gt;1,
   "Doublon",
   "Correcte"
)</f>
        <v>Correcte</v>
      </c>
    </row>
    <row r="1218" spans="1:18" x14ac:dyDescent="0.25">
      <c r="A1218" s="104" t="s">
        <v>1817</v>
      </c>
      <c r="B1218" s="35" t="s">
        <v>712</v>
      </c>
      <c r="C1218" s="36">
        <v>0</v>
      </c>
      <c r="D1218" s="36">
        <v>5</v>
      </c>
      <c r="E1218" s="35" t="s">
        <v>699</v>
      </c>
      <c r="F1218" s="35" t="s">
        <v>634</v>
      </c>
      <c r="G1218" s="37">
        <v>45936.713634259257</v>
      </c>
      <c r="H1218" s="37" t="str">
        <f>INDEX(_xlfn.TEXTSPLIT(mvtst[[#This Row],[QR Suivis]],"_"),1,1)</f>
        <v>CA250056-2</v>
      </c>
      <c r="I1218" s="35" t="str">
        <f>_xlfn.TEXTBEFORE(mvtst[[#This Row],[Num Suivis]],"-",,,1)</f>
        <v>CA250056</v>
      </c>
      <c r="J1218" s="36">
        <f>SUMIF(mvtst[QR Suivis],mvtst[[#This Row],[QR Suivis]],mvtst[QTE SORTIS])-SUMIF(mvtst[QR Suivis],mvtst[[#This Row],[QR Suivis]],mvtst[QTE RETOUR])</f>
        <v>0</v>
      </c>
      <c r="K1218" s="35" t="str">
        <f t="shared" si="18"/>
        <v>Usine</v>
      </c>
      <c r="L1218" s="35" t="str">
        <f>_xlfn.XLOOKUP(mvtst[[#This Row],[Sous Traitant]],coordonnee_st[Identification],coordonnee_st[SERVICE],"Non Trouvé")</f>
        <v>Frange</v>
      </c>
      <c r="M1218" s="35" t="str">
        <f>INDEX(_xlfn.TEXTSPLIT(mvtst[[#This Row],[QR Suivis]],"_"),1,2)</f>
        <v>All by Fouta</v>
      </c>
      <c r="N1218" s="35" t="str">
        <f>INDEX(_xlfn.TEXTSPLIT(mvtst[[#This Row],[QR Suivis]],"_"),1,3)</f>
        <v>Stock</v>
      </c>
      <c r="O1218" s="35" t="str">
        <f>INDEX(_xlfn.TEXTSPLIT(mvtst[[#This Row],[QR Suivis]],"_"),1,4)</f>
        <v>UNS1626-27</v>
      </c>
      <c r="P1218" s="35" t="str">
        <f>INDEX(_xlfn.TEXTSPLIT(mvtst[[#This Row],[QR Suivis]],"_"),1,5)</f>
        <v>UNI SURPIQUE</v>
      </c>
      <c r="Q1218" s="35" t="str">
        <f>_xlfn.TEXTAFTER(mvtst[[#This Row],[QR Suivis]],"_",5)</f>
        <v>1626</v>
      </c>
      <c r="R1218" s="84" t="str">
        <f>IF(
   COUNTIFS($A$2:A1218,A1218,
             $B$2:B1218,B1218,
             $C$2:C1218,C1218,
             $D$2:D1218,D1218,
             $G$2:G1218,G1218)&gt;1,
   "Doublon",
   "Correcte"
)</f>
        <v>Correcte</v>
      </c>
    </row>
    <row r="1219" spans="1:18" x14ac:dyDescent="0.25">
      <c r="A1219" s="104" t="s">
        <v>1879</v>
      </c>
      <c r="B1219" s="35" t="s">
        <v>712</v>
      </c>
      <c r="C1219" s="36">
        <v>0</v>
      </c>
      <c r="D1219" s="36">
        <v>5</v>
      </c>
      <c r="E1219" s="35" t="s">
        <v>699</v>
      </c>
      <c r="F1219" s="35" t="s">
        <v>634</v>
      </c>
      <c r="G1219" s="37">
        <v>45936.713831018518</v>
      </c>
      <c r="H1219" s="37" t="str">
        <f>INDEX(_xlfn.TEXTSPLIT(mvtst[[#This Row],[QR Suivis]],"_"),1,1)</f>
        <v>CA250016-1</v>
      </c>
      <c r="I1219" s="35" t="str">
        <f>_xlfn.TEXTBEFORE(mvtst[[#This Row],[Num Suivis]],"-",,,1)</f>
        <v>CA250016</v>
      </c>
      <c r="J1219" s="36">
        <f>SUMIF(mvtst[QR Suivis],mvtst[[#This Row],[QR Suivis]],mvtst[QTE SORTIS])-SUMIF(mvtst[QR Suivis],mvtst[[#This Row],[QR Suivis]],mvtst[QTE RETOUR])</f>
        <v>0</v>
      </c>
      <c r="K1219" s="35" t="str">
        <f t="shared" ref="K1219:K1282" si="19">"Usine"</f>
        <v>Usine</v>
      </c>
      <c r="L1219" s="35" t="str">
        <f>_xlfn.XLOOKUP(mvtst[[#This Row],[Sous Traitant]],coordonnee_st[Identification],coordonnee_st[SERVICE],"Non Trouvé")</f>
        <v>Frange</v>
      </c>
      <c r="M1219" s="35" t="str">
        <f>INDEX(_xlfn.TEXTSPLIT(mvtst[[#This Row],[QR Suivis]],"_"),1,2)</f>
        <v>All by Fouta</v>
      </c>
      <c r="N1219" s="35" t="str">
        <f>INDEX(_xlfn.TEXTSPLIT(mvtst[[#This Row],[QR Suivis]],"_"),1,3)</f>
        <v>Stock</v>
      </c>
      <c r="O1219" s="35" t="str">
        <f>INDEX(_xlfn.TEXTSPLIT(mvtst[[#This Row],[QR Suivis]],"_"),1,4)</f>
        <v>UNS1020-27</v>
      </c>
      <c r="P1219" s="35" t="str">
        <f>INDEX(_xlfn.TEXTSPLIT(mvtst[[#This Row],[QR Suivis]],"_"),1,5)</f>
        <v>UNI SURPIQUE</v>
      </c>
      <c r="Q1219" s="35" t="str">
        <f>_xlfn.TEXTAFTER(mvtst[[#This Row],[QR Suivis]],"_",5)</f>
        <v>1020</v>
      </c>
      <c r="R1219" s="84" t="str">
        <f>IF(
   COUNTIFS($A$2:A1219,A1219,
             $B$2:B1219,B1219,
             $C$2:C1219,C1219,
             $D$2:D1219,D1219,
             $G$2:G1219,G1219)&gt;1,
   "Doublon",
   "Correcte"
)</f>
        <v>Correcte</v>
      </c>
    </row>
    <row r="1220" spans="1:18" x14ac:dyDescent="0.25">
      <c r="A1220" s="104" t="s">
        <v>1888</v>
      </c>
      <c r="B1220" s="35" t="s">
        <v>712</v>
      </c>
      <c r="C1220" s="36">
        <v>0</v>
      </c>
      <c r="D1220" s="36">
        <v>5</v>
      </c>
      <c r="E1220" s="35" t="s">
        <v>699</v>
      </c>
      <c r="F1220" s="35" t="s">
        <v>634</v>
      </c>
      <c r="G1220" s="37">
        <v>45936.714131944442</v>
      </c>
      <c r="H1220" s="37" t="str">
        <f>INDEX(_xlfn.TEXTSPLIT(mvtst[[#This Row],[QR Suivis]],"_"),1,1)</f>
        <v>CA250016-11</v>
      </c>
      <c r="I1220" s="35" t="str">
        <f>_xlfn.TEXTBEFORE(mvtst[[#This Row],[Num Suivis]],"-",,,1)</f>
        <v>CA250016</v>
      </c>
      <c r="J1220" s="36">
        <f>SUMIF(mvtst[QR Suivis],mvtst[[#This Row],[QR Suivis]],mvtst[QTE SORTIS])-SUMIF(mvtst[QR Suivis],mvtst[[#This Row],[QR Suivis]],mvtst[QTE RETOUR])</f>
        <v>0</v>
      </c>
      <c r="K1220" s="35" t="str">
        <f t="shared" si="19"/>
        <v>Usine</v>
      </c>
      <c r="L1220" s="35" t="str">
        <f>_xlfn.XLOOKUP(mvtst[[#This Row],[Sous Traitant]],coordonnee_st[Identification],coordonnee_st[SERVICE],"Non Trouvé")</f>
        <v>Frange</v>
      </c>
      <c r="M1220" s="35" t="str">
        <f>INDEX(_xlfn.TEXTSPLIT(mvtst[[#This Row],[QR Suivis]],"_"),1,2)</f>
        <v>All by Fouta</v>
      </c>
      <c r="N1220" s="35" t="str">
        <f>INDEX(_xlfn.TEXTSPLIT(mvtst[[#This Row],[QR Suivis]],"_"),1,3)</f>
        <v>Stock</v>
      </c>
      <c r="O1220" s="35" t="str">
        <f>INDEX(_xlfn.TEXTSPLIT(mvtst[[#This Row],[QR Suivis]],"_"),1,4)</f>
        <v>UNS1020-27</v>
      </c>
      <c r="P1220" s="35" t="str">
        <f>INDEX(_xlfn.TEXTSPLIT(mvtst[[#This Row],[QR Suivis]],"_"),1,5)</f>
        <v>UNI SURPIQUE</v>
      </c>
      <c r="Q1220" s="35" t="str">
        <f>_xlfn.TEXTAFTER(mvtst[[#This Row],[QR Suivis]],"_",5)</f>
        <v>1020</v>
      </c>
      <c r="R1220" s="84" t="str">
        <f>IF(
   COUNTIFS($A$2:A1220,A1220,
             $B$2:B1220,B1220,
             $C$2:C1220,C1220,
             $D$2:D1220,D1220,
             $G$2:G1220,G1220)&gt;1,
   "Doublon",
   "Correcte"
)</f>
        <v>Correcte</v>
      </c>
    </row>
    <row r="1221" spans="1:18" x14ac:dyDescent="0.25">
      <c r="A1221" s="104" t="s">
        <v>1886</v>
      </c>
      <c r="B1221" s="35" t="s">
        <v>712</v>
      </c>
      <c r="C1221" s="36">
        <v>0</v>
      </c>
      <c r="D1221" s="36">
        <v>5</v>
      </c>
      <c r="E1221" s="35" t="s">
        <v>699</v>
      </c>
      <c r="F1221" s="35" t="s">
        <v>634</v>
      </c>
      <c r="G1221" s="37">
        <v>45936.714305555557</v>
      </c>
      <c r="H1221" s="37" t="str">
        <f>INDEX(_xlfn.TEXTSPLIT(mvtst[[#This Row],[QR Suivis]],"_"),1,1)</f>
        <v>CA250016-8</v>
      </c>
      <c r="I1221" s="35" t="str">
        <f>_xlfn.TEXTBEFORE(mvtst[[#This Row],[Num Suivis]],"-",,,1)</f>
        <v>CA250016</v>
      </c>
      <c r="J1221" s="36">
        <f>SUMIF(mvtst[QR Suivis],mvtst[[#This Row],[QR Suivis]],mvtst[QTE SORTIS])-SUMIF(mvtst[QR Suivis],mvtst[[#This Row],[QR Suivis]],mvtst[QTE RETOUR])</f>
        <v>0</v>
      </c>
      <c r="K1221" s="35" t="str">
        <f t="shared" si="19"/>
        <v>Usine</v>
      </c>
      <c r="L1221" s="35" t="str">
        <f>_xlfn.XLOOKUP(mvtst[[#This Row],[Sous Traitant]],coordonnee_st[Identification],coordonnee_st[SERVICE],"Non Trouvé")</f>
        <v>Frange</v>
      </c>
      <c r="M1221" s="35" t="str">
        <f>INDEX(_xlfn.TEXTSPLIT(mvtst[[#This Row],[QR Suivis]],"_"),1,2)</f>
        <v>All by Fouta</v>
      </c>
      <c r="N1221" s="35" t="str">
        <f>INDEX(_xlfn.TEXTSPLIT(mvtst[[#This Row],[QR Suivis]],"_"),1,3)</f>
        <v>Stock</v>
      </c>
      <c r="O1221" s="35" t="str">
        <f>INDEX(_xlfn.TEXTSPLIT(mvtst[[#This Row],[QR Suivis]],"_"),1,4)</f>
        <v>UNS1020-27</v>
      </c>
      <c r="P1221" s="35" t="str">
        <f>INDEX(_xlfn.TEXTSPLIT(mvtst[[#This Row],[QR Suivis]],"_"),1,5)</f>
        <v>UNI SURPIQUE</v>
      </c>
      <c r="Q1221" s="35" t="str">
        <f>_xlfn.TEXTAFTER(mvtst[[#This Row],[QR Suivis]],"_",5)</f>
        <v>1020</v>
      </c>
      <c r="R1221" s="84" t="str">
        <f>IF(
   COUNTIFS($A$2:A1221,A1221,
             $B$2:B1221,B1221,
             $C$2:C1221,C1221,
             $D$2:D1221,D1221,
             $G$2:G1221,G1221)&gt;1,
   "Doublon",
   "Correcte"
)</f>
        <v>Correcte</v>
      </c>
    </row>
    <row r="1222" spans="1:18" x14ac:dyDescent="0.25">
      <c r="A1222" s="104" t="s">
        <v>1881</v>
      </c>
      <c r="B1222" s="35" t="s">
        <v>712</v>
      </c>
      <c r="C1222" s="36">
        <v>0</v>
      </c>
      <c r="D1222" s="36">
        <v>5</v>
      </c>
      <c r="E1222" s="35" t="s">
        <v>699</v>
      </c>
      <c r="F1222" s="35" t="s">
        <v>634</v>
      </c>
      <c r="G1222" s="37">
        <v>45936.714490740742</v>
      </c>
      <c r="H1222" s="37" t="str">
        <f>INDEX(_xlfn.TEXTSPLIT(mvtst[[#This Row],[QR Suivis]],"_"),1,1)</f>
        <v>CA250016-3</v>
      </c>
      <c r="I1222" s="35" t="str">
        <f>_xlfn.TEXTBEFORE(mvtst[[#This Row],[Num Suivis]],"-",,,1)</f>
        <v>CA250016</v>
      </c>
      <c r="J1222" s="36">
        <f>SUMIF(mvtst[QR Suivis],mvtst[[#This Row],[QR Suivis]],mvtst[QTE SORTIS])-SUMIF(mvtst[QR Suivis],mvtst[[#This Row],[QR Suivis]],mvtst[QTE RETOUR])</f>
        <v>0</v>
      </c>
      <c r="K1222" s="35" t="str">
        <f t="shared" si="19"/>
        <v>Usine</v>
      </c>
      <c r="L1222" s="35" t="str">
        <f>_xlfn.XLOOKUP(mvtst[[#This Row],[Sous Traitant]],coordonnee_st[Identification],coordonnee_st[SERVICE],"Non Trouvé")</f>
        <v>Frange</v>
      </c>
      <c r="M1222" s="35" t="str">
        <f>INDEX(_xlfn.TEXTSPLIT(mvtst[[#This Row],[QR Suivis]],"_"),1,2)</f>
        <v>All by Fouta</v>
      </c>
      <c r="N1222" s="35" t="str">
        <f>INDEX(_xlfn.TEXTSPLIT(mvtst[[#This Row],[QR Suivis]],"_"),1,3)</f>
        <v>Stock</v>
      </c>
      <c r="O1222" s="35" t="str">
        <f>INDEX(_xlfn.TEXTSPLIT(mvtst[[#This Row],[QR Suivis]],"_"),1,4)</f>
        <v>UNS1020-27</v>
      </c>
      <c r="P1222" s="35" t="str">
        <f>INDEX(_xlfn.TEXTSPLIT(mvtst[[#This Row],[QR Suivis]],"_"),1,5)</f>
        <v>UNI SURPIQUE</v>
      </c>
      <c r="Q1222" s="35" t="str">
        <f>_xlfn.TEXTAFTER(mvtst[[#This Row],[QR Suivis]],"_",5)</f>
        <v>1020</v>
      </c>
      <c r="R1222" s="84" t="str">
        <f>IF(
   COUNTIFS($A$2:A1222,A1222,
             $B$2:B1222,B1222,
             $C$2:C1222,C1222,
             $D$2:D1222,D1222,
             $G$2:G1222,G1222)&gt;1,
   "Doublon",
   "Correcte"
)</f>
        <v>Correcte</v>
      </c>
    </row>
    <row r="1223" spans="1:18" x14ac:dyDescent="0.25">
      <c r="A1223" s="104" t="s">
        <v>1885</v>
      </c>
      <c r="B1223" s="35" t="s">
        <v>712</v>
      </c>
      <c r="C1223" s="36">
        <v>0</v>
      </c>
      <c r="D1223" s="36">
        <v>5</v>
      </c>
      <c r="E1223" s="35" t="s">
        <v>699</v>
      </c>
      <c r="F1223" s="35" t="s">
        <v>634</v>
      </c>
      <c r="G1223" s="37">
        <v>45936.714641203704</v>
      </c>
      <c r="H1223" s="37" t="str">
        <f>INDEX(_xlfn.TEXTSPLIT(mvtst[[#This Row],[QR Suivis]],"_"),1,1)</f>
        <v>CA250016-6</v>
      </c>
      <c r="I1223" s="35" t="str">
        <f>_xlfn.TEXTBEFORE(mvtst[[#This Row],[Num Suivis]],"-",,,1)</f>
        <v>CA250016</v>
      </c>
      <c r="J1223" s="36">
        <f>SUMIF(mvtst[QR Suivis],mvtst[[#This Row],[QR Suivis]],mvtst[QTE SORTIS])-SUMIF(mvtst[QR Suivis],mvtst[[#This Row],[QR Suivis]],mvtst[QTE RETOUR])</f>
        <v>0</v>
      </c>
      <c r="K1223" s="35" t="str">
        <f t="shared" si="19"/>
        <v>Usine</v>
      </c>
      <c r="L1223" s="35" t="str">
        <f>_xlfn.XLOOKUP(mvtst[[#This Row],[Sous Traitant]],coordonnee_st[Identification],coordonnee_st[SERVICE],"Non Trouvé")</f>
        <v>Frange</v>
      </c>
      <c r="M1223" s="35" t="str">
        <f>INDEX(_xlfn.TEXTSPLIT(mvtst[[#This Row],[QR Suivis]],"_"),1,2)</f>
        <v>All by Fouta</v>
      </c>
      <c r="N1223" s="35" t="str">
        <f>INDEX(_xlfn.TEXTSPLIT(mvtst[[#This Row],[QR Suivis]],"_"),1,3)</f>
        <v>Stock</v>
      </c>
      <c r="O1223" s="35" t="str">
        <f>INDEX(_xlfn.TEXTSPLIT(mvtst[[#This Row],[QR Suivis]],"_"),1,4)</f>
        <v>UNS1020-27</v>
      </c>
      <c r="P1223" s="35" t="str">
        <f>INDEX(_xlfn.TEXTSPLIT(mvtst[[#This Row],[QR Suivis]],"_"),1,5)</f>
        <v>UNI SURPIQUE</v>
      </c>
      <c r="Q1223" s="35" t="str">
        <f>_xlfn.TEXTAFTER(mvtst[[#This Row],[QR Suivis]],"_",5)</f>
        <v>1020</v>
      </c>
      <c r="R1223" s="84" t="str">
        <f>IF(
   COUNTIFS($A$2:A1223,A1223,
             $B$2:B1223,B1223,
             $C$2:C1223,C1223,
             $D$2:D1223,D1223,
             $G$2:G1223,G1223)&gt;1,
   "Doublon",
   "Correcte"
)</f>
        <v>Correcte</v>
      </c>
    </row>
    <row r="1224" spans="1:18" x14ac:dyDescent="0.25">
      <c r="A1224" s="104" t="s">
        <v>1812</v>
      </c>
      <c r="B1224" s="35" t="s">
        <v>712</v>
      </c>
      <c r="C1224" s="36">
        <v>0</v>
      </c>
      <c r="D1224" s="36">
        <v>5</v>
      </c>
      <c r="E1224" s="35" t="s">
        <v>699</v>
      </c>
      <c r="F1224" s="35" t="s">
        <v>634</v>
      </c>
      <c r="G1224" s="37">
        <v>45936.714837962965</v>
      </c>
      <c r="H1224" s="37" t="str">
        <f>INDEX(_xlfn.TEXTSPLIT(mvtst[[#This Row],[QR Suivis]],"_"),1,1)</f>
        <v>CA250056-1</v>
      </c>
      <c r="I1224" s="35" t="str">
        <f>_xlfn.TEXTBEFORE(mvtst[[#This Row],[Num Suivis]],"-",,,1)</f>
        <v>CA250056</v>
      </c>
      <c r="J1224" s="36">
        <f>SUMIF(mvtst[QR Suivis],mvtst[[#This Row],[QR Suivis]],mvtst[QTE SORTIS])-SUMIF(mvtst[QR Suivis],mvtst[[#This Row],[QR Suivis]],mvtst[QTE RETOUR])</f>
        <v>0</v>
      </c>
      <c r="K1224" s="35" t="str">
        <f t="shared" si="19"/>
        <v>Usine</v>
      </c>
      <c r="L1224" s="35" t="str">
        <f>_xlfn.XLOOKUP(mvtst[[#This Row],[Sous Traitant]],coordonnee_st[Identification],coordonnee_st[SERVICE],"Non Trouvé")</f>
        <v>Frange</v>
      </c>
      <c r="M1224" s="35" t="str">
        <f>INDEX(_xlfn.TEXTSPLIT(mvtst[[#This Row],[QR Suivis]],"_"),1,2)</f>
        <v>All by Fouta</v>
      </c>
      <c r="N1224" s="35" t="str">
        <f>INDEX(_xlfn.TEXTSPLIT(mvtst[[#This Row],[QR Suivis]],"_"),1,3)</f>
        <v>Stock</v>
      </c>
      <c r="O1224" s="35" t="str">
        <f>INDEX(_xlfn.TEXTSPLIT(mvtst[[#This Row],[QR Suivis]],"_"),1,4)</f>
        <v>UNS1626-27</v>
      </c>
      <c r="P1224" s="35" t="str">
        <f>INDEX(_xlfn.TEXTSPLIT(mvtst[[#This Row],[QR Suivis]],"_"),1,5)</f>
        <v>UNI SURPIQUE</v>
      </c>
      <c r="Q1224" s="35" t="str">
        <f>_xlfn.TEXTAFTER(mvtst[[#This Row],[QR Suivis]],"_",5)</f>
        <v>1626</v>
      </c>
      <c r="R1224" s="84" t="str">
        <f>IF(
   COUNTIFS($A$2:A1224,A1224,
             $B$2:B1224,B1224,
             $C$2:C1224,C1224,
             $D$2:D1224,D1224,
             $G$2:G1224,G1224)&gt;1,
   "Doublon",
   "Correcte"
)</f>
        <v>Correcte</v>
      </c>
    </row>
    <row r="1225" spans="1:18" x14ac:dyDescent="0.25">
      <c r="A1225" s="104" t="s">
        <v>1883</v>
      </c>
      <c r="B1225" s="35" t="s">
        <v>712</v>
      </c>
      <c r="C1225" s="36">
        <v>0</v>
      </c>
      <c r="D1225" s="36">
        <v>5</v>
      </c>
      <c r="E1225" s="35" t="s">
        <v>699</v>
      </c>
      <c r="F1225" s="35" t="s">
        <v>634</v>
      </c>
      <c r="G1225" s="37">
        <v>45936.715057870373</v>
      </c>
      <c r="H1225" s="37" t="str">
        <f>INDEX(_xlfn.TEXTSPLIT(mvtst[[#This Row],[QR Suivis]],"_"),1,1)</f>
        <v>CA250016-9</v>
      </c>
      <c r="I1225" s="35" t="str">
        <f>_xlfn.TEXTBEFORE(mvtst[[#This Row],[Num Suivis]],"-",,,1)</f>
        <v>CA250016</v>
      </c>
      <c r="J1225" s="36">
        <f>SUMIF(mvtst[QR Suivis],mvtst[[#This Row],[QR Suivis]],mvtst[QTE SORTIS])-SUMIF(mvtst[QR Suivis],mvtst[[#This Row],[QR Suivis]],mvtst[QTE RETOUR])</f>
        <v>0</v>
      </c>
      <c r="K1225" s="35" t="str">
        <f t="shared" si="19"/>
        <v>Usine</v>
      </c>
      <c r="L1225" s="35" t="str">
        <f>_xlfn.XLOOKUP(mvtst[[#This Row],[Sous Traitant]],coordonnee_st[Identification],coordonnee_st[SERVICE],"Non Trouvé")</f>
        <v>Frange</v>
      </c>
      <c r="M1225" s="35" t="str">
        <f>INDEX(_xlfn.TEXTSPLIT(mvtst[[#This Row],[QR Suivis]],"_"),1,2)</f>
        <v>All by Fouta</v>
      </c>
      <c r="N1225" s="35" t="str">
        <f>INDEX(_xlfn.TEXTSPLIT(mvtst[[#This Row],[QR Suivis]],"_"),1,3)</f>
        <v>Stock</v>
      </c>
      <c r="O1225" s="35" t="str">
        <f>INDEX(_xlfn.TEXTSPLIT(mvtst[[#This Row],[QR Suivis]],"_"),1,4)</f>
        <v>UNS1020-27</v>
      </c>
      <c r="P1225" s="35" t="str">
        <f>INDEX(_xlfn.TEXTSPLIT(mvtst[[#This Row],[QR Suivis]],"_"),1,5)</f>
        <v>UNI SURPIQUE</v>
      </c>
      <c r="Q1225" s="35" t="str">
        <f>_xlfn.TEXTAFTER(mvtst[[#This Row],[QR Suivis]],"_",5)</f>
        <v>1020</v>
      </c>
      <c r="R1225" s="84" t="str">
        <f>IF(
   COUNTIFS($A$2:A1225,A1225,
             $B$2:B1225,B1225,
             $C$2:C1225,C1225,
             $D$2:D1225,D1225,
             $G$2:G1225,G1225)&gt;1,
   "Doublon",
   "Correcte"
)</f>
        <v>Correcte</v>
      </c>
    </row>
    <row r="1226" spans="1:18" x14ac:dyDescent="0.25">
      <c r="A1226" s="104" t="s">
        <v>1904</v>
      </c>
      <c r="B1226" s="35" t="s">
        <v>712</v>
      </c>
      <c r="C1226" s="36">
        <v>0</v>
      </c>
      <c r="D1226" s="36">
        <v>5</v>
      </c>
      <c r="E1226" s="35" t="s">
        <v>699</v>
      </c>
      <c r="F1226" s="35" t="s">
        <v>634</v>
      </c>
      <c r="G1226" s="37">
        <v>45936.715381944443</v>
      </c>
      <c r="H1226" s="37" t="str">
        <f>INDEX(_xlfn.TEXTSPLIT(mvtst[[#This Row],[QR Suivis]],"_"),1,1)</f>
        <v>CA250016-12</v>
      </c>
      <c r="I1226" s="35" t="str">
        <f>_xlfn.TEXTBEFORE(mvtst[[#This Row],[Num Suivis]],"-",,,1)</f>
        <v>CA250016</v>
      </c>
      <c r="J1226" s="36">
        <f>SUMIF(mvtst[QR Suivis],mvtst[[#This Row],[QR Suivis]],mvtst[QTE SORTIS])-SUMIF(mvtst[QR Suivis],mvtst[[#This Row],[QR Suivis]],mvtst[QTE RETOUR])</f>
        <v>0</v>
      </c>
      <c r="K1226" s="35" t="str">
        <f t="shared" si="19"/>
        <v>Usine</v>
      </c>
      <c r="L1226" s="35" t="str">
        <f>_xlfn.XLOOKUP(mvtst[[#This Row],[Sous Traitant]],coordonnee_st[Identification],coordonnee_st[SERVICE],"Non Trouvé")</f>
        <v>Frange</v>
      </c>
      <c r="M1226" s="35" t="str">
        <f>INDEX(_xlfn.TEXTSPLIT(mvtst[[#This Row],[QR Suivis]],"_"),1,2)</f>
        <v>All by Fouta</v>
      </c>
      <c r="N1226" s="35" t="str">
        <f>INDEX(_xlfn.TEXTSPLIT(mvtst[[#This Row],[QR Suivis]],"_"),1,3)</f>
        <v>Stock</v>
      </c>
      <c r="O1226" s="35" t="str">
        <f>INDEX(_xlfn.TEXTSPLIT(mvtst[[#This Row],[QR Suivis]],"_"),1,4)</f>
        <v>UNS1020-27</v>
      </c>
      <c r="P1226" s="35" t="str">
        <f>INDEX(_xlfn.TEXTSPLIT(mvtst[[#This Row],[QR Suivis]],"_"),1,5)</f>
        <v>UNI SURPIQUE</v>
      </c>
      <c r="Q1226" s="35" t="str">
        <f>_xlfn.TEXTAFTER(mvtst[[#This Row],[QR Suivis]],"_",5)</f>
        <v>1020</v>
      </c>
      <c r="R1226" s="84" t="str">
        <f>IF(
   COUNTIFS($A$2:A1226,A1226,
             $B$2:B1226,B1226,
             $C$2:C1226,C1226,
             $D$2:D1226,D1226,
             $G$2:G1226,G1226)&gt;1,
   "Doublon",
   "Correcte"
)</f>
        <v>Correcte</v>
      </c>
    </row>
    <row r="1227" spans="1:18" x14ac:dyDescent="0.25">
      <c r="A1227" s="104" t="s">
        <v>1884</v>
      </c>
      <c r="B1227" s="35" t="s">
        <v>712</v>
      </c>
      <c r="C1227" s="36">
        <v>0</v>
      </c>
      <c r="D1227" s="36">
        <v>5</v>
      </c>
      <c r="E1227" s="35" t="s">
        <v>699</v>
      </c>
      <c r="F1227" s="35" t="s">
        <v>634</v>
      </c>
      <c r="G1227" s="37">
        <v>45936.715567129628</v>
      </c>
      <c r="H1227" s="37" t="str">
        <f>INDEX(_xlfn.TEXTSPLIT(mvtst[[#This Row],[QR Suivis]],"_"),1,1)</f>
        <v>CA250016-5</v>
      </c>
      <c r="I1227" s="35" t="str">
        <f>_xlfn.TEXTBEFORE(mvtst[[#This Row],[Num Suivis]],"-",,,1)</f>
        <v>CA250016</v>
      </c>
      <c r="J1227" s="36">
        <f>SUMIF(mvtst[QR Suivis],mvtst[[#This Row],[QR Suivis]],mvtst[QTE SORTIS])-SUMIF(mvtst[QR Suivis],mvtst[[#This Row],[QR Suivis]],mvtst[QTE RETOUR])</f>
        <v>0</v>
      </c>
      <c r="K1227" s="35" t="str">
        <f t="shared" si="19"/>
        <v>Usine</v>
      </c>
      <c r="L1227" s="35" t="str">
        <f>_xlfn.XLOOKUP(mvtst[[#This Row],[Sous Traitant]],coordonnee_st[Identification],coordonnee_st[SERVICE],"Non Trouvé")</f>
        <v>Frange</v>
      </c>
      <c r="M1227" s="35" t="str">
        <f>INDEX(_xlfn.TEXTSPLIT(mvtst[[#This Row],[QR Suivis]],"_"),1,2)</f>
        <v>All by Fouta</v>
      </c>
      <c r="N1227" s="35" t="str">
        <f>INDEX(_xlfn.TEXTSPLIT(mvtst[[#This Row],[QR Suivis]],"_"),1,3)</f>
        <v>Stock</v>
      </c>
      <c r="O1227" s="35" t="str">
        <f>INDEX(_xlfn.TEXTSPLIT(mvtst[[#This Row],[QR Suivis]],"_"),1,4)</f>
        <v>UNS1020-27</v>
      </c>
      <c r="P1227" s="35" t="str">
        <f>INDEX(_xlfn.TEXTSPLIT(mvtst[[#This Row],[QR Suivis]],"_"),1,5)</f>
        <v>UNI SURPIQUE</v>
      </c>
      <c r="Q1227" s="35" t="str">
        <f>_xlfn.TEXTAFTER(mvtst[[#This Row],[QR Suivis]],"_",5)</f>
        <v>1020</v>
      </c>
      <c r="R1227" s="84" t="str">
        <f>IF(
   COUNTIFS($A$2:A1227,A1227,
             $B$2:B1227,B1227,
             $C$2:C1227,C1227,
             $D$2:D1227,D1227,
             $G$2:G1227,G1227)&gt;1,
   "Doublon",
   "Correcte"
)</f>
        <v>Correcte</v>
      </c>
    </row>
    <row r="1228" spans="1:18" x14ac:dyDescent="0.25">
      <c r="A1228" s="104" t="s">
        <v>1810</v>
      </c>
      <c r="B1228" s="35" t="s">
        <v>712</v>
      </c>
      <c r="C1228" s="36">
        <v>0</v>
      </c>
      <c r="D1228" s="36">
        <v>1</v>
      </c>
      <c r="E1228" s="35" t="s">
        <v>699</v>
      </c>
      <c r="F1228" s="35" t="s">
        <v>634</v>
      </c>
      <c r="G1228" s="37">
        <v>45936.715752314813</v>
      </c>
      <c r="H1228" s="37" t="str">
        <f>INDEX(_xlfn.TEXTSPLIT(mvtst[[#This Row],[QR Suivis]],"_"),1,1)</f>
        <v>CA250052-7</v>
      </c>
      <c r="I1228" s="35" t="str">
        <f>_xlfn.TEXTBEFORE(mvtst[[#This Row],[Num Suivis]],"-",,,1)</f>
        <v>CA250052</v>
      </c>
      <c r="J1228" s="36">
        <f>SUMIF(mvtst[QR Suivis],mvtst[[#This Row],[QR Suivis]],mvtst[QTE SORTIS])-SUMIF(mvtst[QR Suivis],mvtst[[#This Row],[QR Suivis]],mvtst[QTE RETOUR])</f>
        <v>0</v>
      </c>
      <c r="K1228" s="35" t="str">
        <f t="shared" si="19"/>
        <v>Usine</v>
      </c>
      <c r="L1228" s="35" t="str">
        <f>_xlfn.XLOOKUP(mvtst[[#This Row],[Sous Traitant]],coordonnee_st[Identification],coordonnee_st[SERVICE],"Non Trouvé")</f>
        <v>Frange</v>
      </c>
      <c r="M1228" s="35" t="str">
        <f>INDEX(_xlfn.TEXTSPLIT(mvtst[[#This Row],[QR Suivis]],"_"),1,2)</f>
        <v>All by Fouta</v>
      </c>
      <c r="N1228" s="35" t="str">
        <f>INDEX(_xlfn.TEXTSPLIT(mvtst[[#This Row],[QR Suivis]],"_"),1,3)</f>
        <v>Stock</v>
      </c>
      <c r="O1228" s="35" t="str">
        <f>INDEX(_xlfn.TEXTSPLIT(mvtst[[#This Row],[QR Suivis]],"_"),1,4)</f>
        <v>UNS1626-20</v>
      </c>
      <c r="P1228" s="35" t="str">
        <f>INDEX(_xlfn.TEXTSPLIT(mvtst[[#This Row],[QR Suivis]],"_"),1,5)</f>
        <v>UNI SURPIQUE</v>
      </c>
      <c r="Q1228" s="35" t="str">
        <f>_xlfn.TEXTAFTER(mvtst[[#This Row],[QR Suivis]],"_",5)</f>
        <v>1626</v>
      </c>
      <c r="R1228" s="84" t="str">
        <f>IF(
   COUNTIFS($A$2:A1228,A1228,
             $B$2:B1228,B1228,
             $C$2:C1228,C1228,
             $D$2:D1228,D1228,
             $G$2:G1228,G1228)&gt;1,
   "Doublon",
   "Correcte"
)</f>
        <v>Correcte</v>
      </c>
    </row>
    <row r="1229" spans="1:18" x14ac:dyDescent="0.25">
      <c r="A1229" s="104" t="s">
        <v>1806</v>
      </c>
      <c r="B1229" s="35" t="s">
        <v>712</v>
      </c>
      <c r="C1229" s="36">
        <v>0</v>
      </c>
      <c r="D1229" s="36">
        <v>5</v>
      </c>
      <c r="E1229" s="35" t="s">
        <v>699</v>
      </c>
      <c r="F1229" s="35" t="s">
        <v>634</v>
      </c>
      <c r="G1229" s="37">
        <v>45936.716273148151</v>
      </c>
      <c r="H1229" s="37" t="str">
        <f>INDEX(_xlfn.TEXTSPLIT(mvtst[[#This Row],[QR Suivis]],"_"),1,1)</f>
        <v>CA250052-2</v>
      </c>
      <c r="I1229" s="35" t="str">
        <f>_xlfn.TEXTBEFORE(mvtst[[#This Row],[Num Suivis]],"-",,,1)</f>
        <v>CA250052</v>
      </c>
      <c r="J1229" s="36">
        <f>SUMIF(mvtst[QR Suivis],mvtst[[#This Row],[QR Suivis]],mvtst[QTE SORTIS])-SUMIF(mvtst[QR Suivis],mvtst[[#This Row],[QR Suivis]],mvtst[QTE RETOUR])</f>
        <v>0</v>
      </c>
      <c r="K1229" s="35" t="str">
        <f t="shared" si="19"/>
        <v>Usine</v>
      </c>
      <c r="L1229" s="35" t="str">
        <f>_xlfn.XLOOKUP(mvtst[[#This Row],[Sous Traitant]],coordonnee_st[Identification],coordonnee_st[SERVICE],"Non Trouvé")</f>
        <v>Frange</v>
      </c>
      <c r="M1229" s="35" t="str">
        <f>INDEX(_xlfn.TEXTSPLIT(mvtst[[#This Row],[QR Suivis]],"_"),1,2)</f>
        <v>All by Fouta</v>
      </c>
      <c r="N1229" s="35" t="str">
        <f>INDEX(_xlfn.TEXTSPLIT(mvtst[[#This Row],[QR Suivis]],"_"),1,3)</f>
        <v>Stock</v>
      </c>
      <c r="O1229" s="35" t="str">
        <f>INDEX(_xlfn.TEXTSPLIT(mvtst[[#This Row],[QR Suivis]],"_"),1,4)</f>
        <v>UNS1626-20</v>
      </c>
      <c r="P1229" s="35" t="str">
        <f>INDEX(_xlfn.TEXTSPLIT(mvtst[[#This Row],[QR Suivis]],"_"),1,5)</f>
        <v>UNI SURPIQUE</v>
      </c>
      <c r="Q1229" s="35" t="str">
        <f>_xlfn.TEXTAFTER(mvtst[[#This Row],[QR Suivis]],"_",5)</f>
        <v>1626</v>
      </c>
      <c r="R1229" s="84" t="str">
        <f>IF(
   COUNTIFS($A$2:A1229,A1229,
             $B$2:B1229,B1229,
             $C$2:C1229,C1229,
             $D$2:D1229,D1229,
             $G$2:G1229,G1229)&gt;1,
   "Doublon",
   "Correcte"
)</f>
        <v>Correcte</v>
      </c>
    </row>
    <row r="1230" spans="1:18" x14ac:dyDescent="0.25">
      <c r="A1230" s="104" t="s">
        <v>1815</v>
      </c>
      <c r="B1230" s="35" t="s">
        <v>712</v>
      </c>
      <c r="C1230" s="36">
        <v>0</v>
      </c>
      <c r="D1230" s="36">
        <v>5</v>
      </c>
      <c r="E1230" s="35" t="s">
        <v>699</v>
      </c>
      <c r="F1230" s="35" t="s">
        <v>634</v>
      </c>
      <c r="G1230" s="37">
        <v>45936.716493055559</v>
      </c>
      <c r="H1230" s="37" t="str">
        <f>INDEX(_xlfn.TEXTSPLIT(mvtst[[#This Row],[QR Suivis]],"_"),1,1)</f>
        <v>CA250052-3</v>
      </c>
      <c r="I1230" s="35" t="str">
        <f>_xlfn.TEXTBEFORE(mvtst[[#This Row],[Num Suivis]],"-",,,1)</f>
        <v>CA250052</v>
      </c>
      <c r="J1230" s="36">
        <f>SUMIF(mvtst[QR Suivis],mvtst[[#This Row],[QR Suivis]],mvtst[QTE SORTIS])-SUMIF(mvtst[QR Suivis],mvtst[[#This Row],[QR Suivis]],mvtst[QTE RETOUR])</f>
        <v>0</v>
      </c>
      <c r="K1230" s="35" t="str">
        <f t="shared" si="19"/>
        <v>Usine</v>
      </c>
      <c r="L1230" s="35" t="str">
        <f>_xlfn.XLOOKUP(mvtst[[#This Row],[Sous Traitant]],coordonnee_st[Identification],coordonnee_st[SERVICE],"Non Trouvé")</f>
        <v>Frange</v>
      </c>
      <c r="M1230" s="35" t="str">
        <f>INDEX(_xlfn.TEXTSPLIT(mvtst[[#This Row],[QR Suivis]],"_"),1,2)</f>
        <v>All by Fouta</v>
      </c>
      <c r="N1230" s="35" t="str">
        <f>INDEX(_xlfn.TEXTSPLIT(mvtst[[#This Row],[QR Suivis]],"_"),1,3)</f>
        <v>Stock</v>
      </c>
      <c r="O1230" s="35" t="str">
        <f>INDEX(_xlfn.TEXTSPLIT(mvtst[[#This Row],[QR Suivis]],"_"),1,4)</f>
        <v>UNS1626-20</v>
      </c>
      <c r="P1230" s="35" t="str">
        <f>INDEX(_xlfn.TEXTSPLIT(mvtst[[#This Row],[QR Suivis]],"_"),1,5)</f>
        <v>UNI SURPIQUE</v>
      </c>
      <c r="Q1230" s="35" t="str">
        <f>_xlfn.TEXTAFTER(mvtst[[#This Row],[QR Suivis]],"_",5)</f>
        <v>1626</v>
      </c>
      <c r="R1230" s="84" t="str">
        <f>IF(
   COUNTIFS($A$2:A1230,A1230,
             $B$2:B1230,B1230,
             $C$2:C1230,C1230,
             $D$2:D1230,D1230,
             $G$2:G1230,G1230)&gt;1,
   "Doublon",
   "Correcte"
)</f>
        <v>Correcte</v>
      </c>
    </row>
    <row r="1231" spans="1:18" x14ac:dyDescent="0.25">
      <c r="A1231" s="104" t="s">
        <v>1807</v>
      </c>
      <c r="B1231" s="35" t="s">
        <v>712</v>
      </c>
      <c r="C1231" s="36">
        <v>0</v>
      </c>
      <c r="D1231" s="36">
        <v>5</v>
      </c>
      <c r="E1231" s="35" t="s">
        <v>699</v>
      </c>
      <c r="F1231" s="35" t="s">
        <v>634</v>
      </c>
      <c r="G1231" s="37">
        <v>45936.716874999998</v>
      </c>
      <c r="H1231" s="37" t="str">
        <f>INDEX(_xlfn.TEXTSPLIT(mvtst[[#This Row],[QR Suivis]],"_"),1,1)</f>
        <v>CA250052-1</v>
      </c>
      <c r="I1231" s="35" t="str">
        <f>_xlfn.TEXTBEFORE(mvtst[[#This Row],[Num Suivis]],"-",,,1)</f>
        <v>CA250052</v>
      </c>
      <c r="J1231" s="36">
        <f>SUMIF(mvtst[QR Suivis],mvtst[[#This Row],[QR Suivis]],mvtst[QTE SORTIS])-SUMIF(mvtst[QR Suivis],mvtst[[#This Row],[QR Suivis]],mvtst[QTE RETOUR])</f>
        <v>0</v>
      </c>
      <c r="K1231" s="35" t="str">
        <f t="shared" si="19"/>
        <v>Usine</v>
      </c>
      <c r="L1231" s="35" t="str">
        <f>_xlfn.XLOOKUP(mvtst[[#This Row],[Sous Traitant]],coordonnee_st[Identification],coordonnee_st[SERVICE],"Non Trouvé")</f>
        <v>Frange</v>
      </c>
      <c r="M1231" s="35" t="str">
        <f>INDEX(_xlfn.TEXTSPLIT(mvtst[[#This Row],[QR Suivis]],"_"),1,2)</f>
        <v>All by Fouta</v>
      </c>
      <c r="N1231" s="35" t="str">
        <f>INDEX(_xlfn.TEXTSPLIT(mvtst[[#This Row],[QR Suivis]],"_"),1,3)</f>
        <v>Stock</v>
      </c>
      <c r="O1231" s="35" t="str">
        <f>INDEX(_xlfn.TEXTSPLIT(mvtst[[#This Row],[QR Suivis]],"_"),1,4)</f>
        <v>UNS1626-20</v>
      </c>
      <c r="P1231" s="35" t="str">
        <f>INDEX(_xlfn.TEXTSPLIT(mvtst[[#This Row],[QR Suivis]],"_"),1,5)</f>
        <v>UNI SURPIQUE</v>
      </c>
      <c r="Q1231" s="35" t="str">
        <f>_xlfn.TEXTAFTER(mvtst[[#This Row],[QR Suivis]],"_",5)</f>
        <v>1626</v>
      </c>
      <c r="R1231" s="84" t="str">
        <f>IF(
   COUNTIFS($A$2:A1231,A1231,
             $B$2:B1231,B1231,
             $C$2:C1231,C1231,
             $D$2:D1231,D1231,
             $G$2:G1231,G1231)&gt;1,
   "Doublon",
   "Correcte"
)</f>
        <v>Correcte</v>
      </c>
    </row>
    <row r="1232" spans="1:18" x14ac:dyDescent="0.25">
      <c r="A1232" s="104" t="s">
        <v>1832</v>
      </c>
      <c r="B1232" s="35" t="s">
        <v>712</v>
      </c>
      <c r="C1232" s="36">
        <v>0</v>
      </c>
      <c r="D1232" s="36">
        <v>5</v>
      </c>
      <c r="E1232" s="35" t="s">
        <v>699</v>
      </c>
      <c r="F1232" s="35" t="s">
        <v>634</v>
      </c>
      <c r="G1232" s="37">
        <v>45936.717164351852</v>
      </c>
      <c r="H1232" s="37" t="str">
        <f>INDEX(_xlfn.TEXTSPLIT(mvtst[[#This Row],[QR Suivis]],"_"),1,1)</f>
        <v>CA250038-2</v>
      </c>
      <c r="I1232" s="35" t="str">
        <f>_xlfn.TEXTBEFORE(mvtst[[#This Row],[Num Suivis]],"-",,,1)</f>
        <v>CA250038</v>
      </c>
      <c r="J1232" s="36">
        <f>SUMIF(mvtst[QR Suivis],mvtst[[#This Row],[QR Suivis]],mvtst[QTE SORTIS])-SUMIF(mvtst[QR Suivis],mvtst[[#This Row],[QR Suivis]],mvtst[QTE RETOUR])</f>
        <v>0</v>
      </c>
      <c r="K1232" s="35" t="str">
        <f t="shared" si="19"/>
        <v>Usine</v>
      </c>
      <c r="L1232" s="35" t="str">
        <f>_xlfn.XLOOKUP(mvtst[[#This Row],[Sous Traitant]],coordonnee_st[Identification],coordonnee_st[SERVICE],"Non Trouvé")</f>
        <v>Frange</v>
      </c>
      <c r="M1232" s="35" t="str">
        <f>INDEX(_xlfn.TEXTSPLIT(mvtst[[#This Row],[QR Suivis]],"_"),1,2)</f>
        <v>All by Fouta</v>
      </c>
      <c r="N1232" s="35" t="str">
        <f>INDEX(_xlfn.TEXTSPLIT(mvtst[[#This Row],[QR Suivis]],"_"),1,3)</f>
        <v>Stock</v>
      </c>
      <c r="O1232" s="35" t="str">
        <f>INDEX(_xlfn.TEXTSPLIT(mvtst[[#This Row],[QR Suivis]],"_"),1,4)</f>
        <v>UNS2020-31</v>
      </c>
      <c r="P1232" s="35" t="str">
        <f>INDEX(_xlfn.TEXTSPLIT(mvtst[[#This Row],[QR Suivis]],"_"),1,5)</f>
        <v>UNI SURPIQUE</v>
      </c>
      <c r="Q1232" s="35" t="str">
        <f>_xlfn.TEXTAFTER(mvtst[[#This Row],[QR Suivis]],"_",5)</f>
        <v>2020</v>
      </c>
      <c r="R1232" s="84" t="str">
        <f>IF(
   COUNTIFS($A$2:A1232,A1232,
             $B$2:B1232,B1232,
             $C$2:C1232,C1232,
             $D$2:D1232,D1232,
             $G$2:G1232,G1232)&gt;1,
   "Doublon",
   "Correcte"
)</f>
        <v>Correcte</v>
      </c>
    </row>
    <row r="1233" spans="1:18" x14ac:dyDescent="0.25">
      <c r="A1233" s="104" t="s">
        <v>1827</v>
      </c>
      <c r="B1233" s="35" t="s">
        <v>712</v>
      </c>
      <c r="C1233" s="36">
        <v>0</v>
      </c>
      <c r="D1233" s="36">
        <v>5</v>
      </c>
      <c r="E1233" s="35" t="s">
        <v>699</v>
      </c>
      <c r="F1233" s="35" t="s">
        <v>634</v>
      </c>
      <c r="G1233" s="37">
        <v>45936.71733796296</v>
      </c>
      <c r="H1233" s="37" t="str">
        <f>INDEX(_xlfn.TEXTSPLIT(mvtst[[#This Row],[QR Suivis]],"_"),1,1)</f>
        <v>CA250038-5</v>
      </c>
      <c r="I1233" s="35" t="str">
        <f>_xlfn.TEXTBEFORE(mvtst[[#This Row],[Num Suivis]],"-",,,1)</f>
        <v>CA250038</v>
      </c>
      <c r="J1233" s="36">
        <f>SUMIF(mvtst[QR Suivis],mvtst[[#This Row],[QR Suivis]],mvtst[QTE SORTIS])-SUMIF(mvtst[QR Suivis],mvtst[[#This Row],[QR Suivis]],mvtst[QTE RETOUR])</f>
        <v>0</v>
      </c>
      <c r="K1233" s="35" t="str">
        <f t="shared" si="19"/>
        <v>Usine</v>
      </c>
      <c r="L1233" s="35" t="str">
        <f>_xlfn.XLOOKUP(mvtst[[#This Row],[Sous Traitant]],coordonnee_st[Identification],coordonnee_st[SERVICE],"Non Trouvé")</f>
        <v>Frange</v>
      </c>
      <c r="M1233" s="35" t="str">
        <f>INDEX(_xlfn.TEXTSPLIT(mvtst[[#This Row],[QR Suivis]],"_"),1,2)</f>
        <v>All by Fouta</v>
      </c>
      <c r="N1233" s="35" t="str">
        <f>INDEX(_xlfn.TEXTSPLIT(mvtst[[#This Row],[QR Suivis]],"_"),1,3)</f>
        <v>Stock</v>
      </c>
      <c r="O1233" s="35" t="str">
        <f>INDEX(_xlfn.TEXTSPLIT(mvtst[[#This Row],[QR Suivis]],"_"),1,4)</f>
        <v>UNS2020-31</v>
      </c>
      <c r="P1233" s="35" t="str">
        <f>INDEX(_xlfn.TEXTSPLIT(mvtst[[#This Row],[QR Suivis]],"_"),1,5)</f>
        <v>UNI SURPIQUE</v>
      </c>
      <c r="Q1233" s="35" t="str">
        <f>_xlfn.TEXTAFTER(mvtst[[#This Row],[QR Suivis]],"_",5)</f>
        <v>2020</v>
      </c>
      <c r="R1233" s="84" t="str">
        <f>IF(
   COUNTIFS($A$2:A1233,A1233,
             $B$2:B1233,B1233,
             $C$2:C1233,C1233,
             $D$2:D1233,D1233,
             $G$2:G1233,G1233)&gt;1,
   "Doublon",
   "Correcte"
)</f>
        <v>Correcte</v>
      </c>
    </row>
    <row r="1234" spans="1:18" x14ac:dyDescent="0.25">
      <c r="A1234" s="104" t="s">
        <v>1834</v>
      </c>
      <c r="B1234" s="35" t="s">
        <v>712</v>
      </c>
      <c r="C1234" s="36">
        <v>0</v>
      </c>
      <c r="D1234" s="36">
        <v>5</v>
      </c>
      <c r="E1234" s="35" t="s">
        <v>699</v>
      </c>
      <c r="F1234" s="35" t="s">
        <v>634</v>
      </c>
      <c r="G1234" s="37">
        <v>45936.717499999999</v>
      </c>
      <c r="H1234" s="37" t="str">
        <f>INDEX(_xlfn.TEXTSPLIT(mvtst[[#This Row],[QR Suivis]],"_"),1,1)</f>
        <v>CA250038-3</v>
      </c>
      <c r="I1234" s="35" t="str">
        <f>_xlfn.TEXTBEFORE(mvtst[[#This Row],[Num Suivis]],"-",,,1)</f>
        <v>CA250038</v>
      </c>
      <c r="J1234" s="36">
        <f>SUMIF(mvtst[QR Suivis],mvtst[[#This Row],[QR Suivis]],mvtst[QTE SORTIS])-SUMIF(mvtst[QR Suivis],mvtst[[#This Row],[QR Suivis]],mvtst[QTE RETOUR])</f>
        <v>0</v>
      </c>
      <c r="K1234" s="35" t="str">
        <f t="shared" si="19"/>
        <v>Usine</v>
      </c>
      <c r="L1234" s="35" t="str">
        <f>_xlfn.XLOOKUP(mvtst[[#This Row],[Sous Traitant]],coordonnee_st[Identification],coordonnee_st[SERVICE],"Non Trouvé")</f>
        <v>Frange</v>
      </c>
      <c r="M1234" s="35" t="str">
        <f>INDEX(_xlfn.TEXTSPLIT(mvtst[[#This Row],[QR Suivis]],"_"),1,2)</f>
        <v>All by Fouta</v>
      </c>
      <c r="N1234" s="35" t="str">
        <f>INDEX(_xlfn.TEXTSPLIT(mvtst[[#This Row],[QR Suivis]],"_"),1,3)</f>
        <v>Stock</v>
      </c>
      <c r="O1234" s="35" t="str">
        <f>INDEX(_xlfn.TEXTSPLIT(mvtst[[#This Row],[QR Suivis]],"_"),1,4)</f>
        <v>UNS2020-31</v>
      </c>
      <c r="P1234" s="35" t="str">
        <f>INDEX(_xlfn.TEXTSPLIT(mvtst[[#This Row],[QR Suivis]],"_"),1,5)</f>
        <v>UNI SURPIQUE</v>
      </c>
      <c r="Q1234" s="35" t="str">
        <f>_xlfn.TEXTAFTER(mvtst[[#This Row],[QR Suivis]],"_",5)</f>
        <v>2020</v>
      </c>
      <c r="R1234" s="84" t="str">
        <f>IF(
   COUNTIFS($A$2:A1234,A1234,
             $B$2:B1234,B1234,
             $C$2:C1234,C1234,
             $D$2:D1234,D1234,
             $G$2:G1234,G1234)&gt;1,
   "Doublon",
   "Correcte"
)</f>
        <v>Correcte</v>
      </c>
    </row>
    <row r="1235" spans="1:18" x14ac:dyDescent="0.25">
      <c r="A1235" s="104" t="s">
        <v>1826</v>
      </c>
      <c r="B1235" s="35" t="s">
        <v>712</v>
      </c>
      <c r="C1235" s="36">
        <v>0</v>
      </c>
      <c r="D1235" s="36">
        <v>5</v>
      </c>
      <c r="E1235" s="35" t="s">
        <v>699</v>
      </c>
      <c r="F1235" s="35" t="s">
        <v>634</v>
      </c>
      <c r="G1235" s="37">
        <v>45936.717650462961</v>
      </c>
      <c r="H1235" s="37" t="str">
        <f>INDEX(_xlfn.TEXTSPLIT(mvtst[[#This Row],[QR Suivis]],"_"),1,1)</f>
        <v>CA250038-1</v>
      </c>
      <c r="I1235" s="35" t="str">
        <f>_xlfn.TEXTBEFORE(mvtst[[#This Row],[Num Suivis]],"-",,,1)</f>
        <v>CA250038</v>
      </c>
      <c r="J1235" s="36">
        <f>SUMIF(mvtst[QR Suivis],mvtst[[#This Row],[QR Suivis]],mvtst[QTE SORTIS])-SUMIF(mvtst[QR Suivis],mvtst[[#This Row],[QR Suivis]],mvtst[QTE RETOUR])</f>
        <v>0</v>
      </c>
      <c r="K1235" s="35" t="str">
        <f t="shared" si="19"/>
        <v>Usine</v>
      </c>
      <c r="L1235" s="35" t="str">
        <f>_xlfn.XLOOKUP(mvtst[[#This Row],[Sous Traitant]],coordonnee_st[Identification],coordonnee_st[SERVICE],"Non Trouvé")</f>
        <v>Frange</v>
      </c>
      <c r="M1235" s="35" t="str">
        <f>INDEX(_xlfn.TEXTSPLIT(mvtst[[#This Row],[QR Suivis]],"_"),1,2)</f>
        <v>All by Fouta</v>
      </c>
      <c r="N1235" s="35" t="str">
        <f>INDEX(_xlfn.TEXTSPLIT(mvtst[[#This Row],[QR Suivis]],"_"),1,3)</f>
        <v>Stock</v>
      </c>
      <c r="O1235" s="35" t="str">
        <f>INDEX(_xlfn.TEXTSPLIT(mvtst[[#This Row],[QR Suivis]],"_"),1,4)</f>
        <v>UNS2020-31</v>
      </c>
      <c r="P1235" s="35" t="str">
        <f>INDEX(_xlfn.TEXTSPLIT(mvtst[[#This Row],[QR Suivis]],"_"),1,5)</f>
        <v>UNI SURPIQUE</v>
      </c>
      <c r="Q1235" s="35" t="str">
        <f>_xlfn.TEXTAFTER(mvtst[[#This Row],[QR Suivis]],"_",5)</f>
        <v>2020</v>
      </c>
      <c r="R1235" s="84" t="str">
        <f>IF(
   COUNTIFS($A$2:A1235,A1235,
             $B$2:B1235,B1235,
             $C$2:C1235,C1235,
             $D$2:D1235,D1235,
             $G$2:G1235,G1235)&gt;1,
   "Doublon",
   "Correcte"
)</f>
        <v>Correcte</v>
      </c>
    </row>
    <row r="1236" spans="1:18" x14ac:dyDescent="0.25">
      <c r="A1236" s="104" t="s">
        <v>1921</v>
      </c>
      <c r="B1236" s="35" t="s">
        <v>1090</v>
      </c>
      <c r="C1236" s="36">
        <v>5</v>
      </c>
      <c r="D1236" s="36">
        <v>0</v>
      </c>
      <c r="E1236" s="35" t="s">
        <v>699</v>
      </c>
      <c r="F1236" s="35" t="s">
        <v>634</v>
      </c>
      <c r="G1236" s="37">
        <v>45937.391273148147</v>
      </c>
      <c r="H1236" s="37" t="str">
        <f>INDEX(_xlfn.TEXTSPLIT(mvtst[[#This Row],[QR Suivis]],"_"),1,1)</f>
        <v>OF249868-11</v>
      </c>
      <c r="I1236" s="35" t="str">
        <f>_xlfn.TEXTBEFORE(mvtst[[#This Row],[Num Suivis]],"-",,,1)</f>
        <v>OF249868</v>
      </c>
      <c r="J1236" s="36">
        <f>SUMIF(mvtst[QR Suivis],mvtst[[#This Row],[QR Suivis]],mvtst[QTE SORTIS])-SUMIF(mvtst[QR Suivis],mvtst[[#This Row],[QR Suivis]],mvtst[QTE RETOUR])</f>
        <v>0</v>
      </c>
      <c r="K1236" s="35" t="str">
        <f t="shared" si="19"/>
        <v>Usine</v>
      </c>
      <c r="L1236" s="35" t="str">
        <f>_xlfn.XLOOKUP(mvtst[[#This Row],[Sous Traitant]],coordonnee_st[Identification],coordonnee_st[SERVICE],"Non Trouvé")</f>
        <v>Frange</v>
      </c>
      <c r="M1236" s="35" t="str">
        <f>INDEX(_xlfn.TEXTSPLIT(mvtst[[#This Row],[QR Suivis]],"_"),1,2)</f>
        <v>CL00884</v>
      </c>
      <c r="N1236" s="35" t="str">
        <f>INDEX(_xlfn.TEXTSPLIT(mvtst[[#This Row],[QR Suivis]],"_"),1,3)</f>
        <v>CM-FT0119</v>
      </c>
      <c r="O1236" s="35" t="str">
        <f>INDEX(_xlfn.TEXTSPLIT(mvtst[[#This Row],[QR Suivis]],"_"),1,4)</f>
        <v>EPMA0919-B24-02</v>
      </c>
      <c r="P1236" s="35" t="str">
        <f>INDEX(_xlfn.TEXTSPLIT(mvtst[[#This Row],[QR Suivis]],"_"),1,5)</f>
        <v>MARINIERE</v>
      </c>
      <c r="Q1236" s="35" t="str">
        <f>_xlfn.TEXTAFTER(mvtst[[#This Row],[QR Suivis]],"_",5)</f>
        <v>0919</v>
      </c>
      <c r="R1236" s="84" t="str">
        <f>IF(
   COUNTIFS($A$2:A1236,A1236,
             $B$2:B1236,B1236,
             $C$2:C1236,C1236,
             $D$2:D1236,D1236,
             $G$2:G1236,G1236)&gt;1,
   "Doublon",
   "Correcte"
)</f>
        <v>Correcte</v>
      </c>
    </row>
    <row r="1237" spans="1:18" x14ac:dyDescent="0.25">
      <c r="A1237" s="104" t="s">
        <v>1922</v>
      </c>
      <c r="B1237" s="35" t="s">
        <v>1090</v>
      </c>
      <c r="C1237" s="36">
        <v>5</v>
      </c>
      <c r="D1237" s="36">
        <v>0</v>
      </c>
      <c r="E1237" s="35" t="s">
        <v>699</v>
      </c>
      <c r="F1237" s="35" t="s">
        <v>634</v>
      </c>
      <c r="G1237" s="37">
        <v>45937.391770833332</v>
      </c>
      <c r="H1237" s="37" t="str">
        <f>INDEX(_xlfn.TEXTSPLIT(mvtst[[#This Row],[QR Suivis]],"_"),1,1)</f>
        <v>OF249868-12</v>
      </c>
      <c r="I1237" s="35" t="str">
        <f>_xlfn.TEXTBEFORE(mvtst[[#This Row],[Num Suivis]],"-",,,1)</f>
        <v>OF249868</v>
      </c>
      <c r="J1237" s="36">
        <f>SUMIF(mvtst[QR Suivis],mvtst[[#This Row],[QR Suivis]],mvtst[QTE SORTIS])-SUMIF(mvtst[QR Suivis],mvtst[[#This Row],[QR Suivis]],mvtst[QTE RETOUR])</f>
        <v>0</v>
      </c>
      <c r="K1237" s="35" t="str">
        <f t="shared" si="19"/>
        <v>Usine</v>
      </c>
      <c r="L1237" s="35" t="str">
        <f>_xlfn.XLOOKUP(mvtst[[#This Row],[Sous Traitant]],coordonnee_st[Identification],coordonnee_st[SERVICE],"Non Trouvé")</f>
        <v>Frange</v>
      </c>
      <c r="M1237" s="35" t="str">
        <f>INDEX(_xlfn.TEXTSPLIT(mvtst[[#This Row],[QR Suivis]],"_"),1,2)</f>
        <v>CL00884</v>
      </c>
      <c r="N1237" s="35" t="str">
        <f>INDEX(_xlfn.TEXTSPLIT(mvtst[[#This Row],[QR Suivis]],"_"),1,3)</f>
        <v>CM-FT0119</v>
      </c>
      <c r="O1237" s="35" t="str">
        <f>INDEX(_xlfn.TEXTSPLIT(mvtst[[#This Row],[QR Suivis]],"_"),1,4)</f>
        <v>EPMA0919-B24-02</v>
      </c>
      <c r="P1237" s="35" t="str">
        <f>INDEX(_xlfn.TEXTSPLIT(mvtst[[#This Row],[QR Suivis]],"_"),1,5)</f>
        <v>MARINIERE</v>
      </c>
      <c r="Q1237" s="35" t="str">
        <f>_xlfn.TEXTAFTER(mvtst[[#This Row],[QR Suivis]],"_",5)</f>
        <v>0919</v>
      </c>
      <c r="R1237" s="84" t="str">
        <f>IF(
   COUNTIFS($A$2:A1237,A1237,
             $B$2:B1237,B1237,
             $C$2:C1237,C1237,
             $D$2:D1237,D1237,
             $G$2:G1237,G1237)&gt;1,
   "Doublon",
   "Correcte"
)</f>
        <v>Correcte</v>
      </c>
    </row>
    <row r="1238" spans="1:18" x14ac:dyDescent="0.25">
      <c r="A1238" s="104" t="s">
        <v>1923</v>
      </c>
      <c r="B1238" s="35" t="s">
        <v>1090</v>
      </c>
      <c r="C1238" s="36">
        <v>5</v>
      </c>
      <c r="D1238" s="36">
        <v>0</v>
      </c>
      <c r="E1238" s="35" t="s">
        <v>699</v>
      </c>
      <c r="F1238" s="35" t="s">
        <v>634</v>
      </c>
      <c r="G1238" s="37">
        <v>45937.392187500001</v>
      </c>
      <c r="H1238" s="37" t="str">
        <f>INDEX(_xlfn.TEXTSPLIT(mvtst[[#This Row],[QR Suivis]],"_"),1,1)</f>
        <v>OF249868-4</v>
      </c>
      <c r="I1238" s="35" t="str">
        <f>_xlfn.TEXTBEFORE(mvtst[[#This Row],[Num Suivis]],"-",,,1)</f>
        <v>OF249868</v>
      </c>
      <c r="J1238" s="36">
        <f>SUMIF(mvtst[QR Suivis],mvtst[[#This Row],[QR Suivis]],mvtst[QTE SORTIS])-SUMIF(mvtst[QR Suivis],mvtst[[#This Row],[QR Suivis]],mvtst[QTE RETOUR])</f>
        <v>0</v>
      </c>
      <c r="K1238" s="35" t="str">
        <f t="shared" si="19"/>
        <v>Usine</v>
      </c>
      <c r="L1238" s="35" t="str">
        <f>_xlfn.XLOOKUP(mvtst[[#This Row],[Sous Traitant]],coordonnee_st[Identification],coordonnee_st[SERVICE],"Non Trouvé")</f>
        <v>Frange</v>
      </c>
      <c r="M1238" s="35" t="str">
        <f>INDEX(_xlfn.TEXTSPLIT(mvtst[[#This Row],[QR Suivis]],"_"),1,2)</f>
        <v>CL00884</v>
      </c>
      <c r="N1238" s="35" t="str">
        <f>INDEX(_xlfn.TEXTSPLIT(mvtst[[#This Row],[QR Suivis]],"_"),1,3)</f>
        <v>CM-FT0119</v>
      </c>
      <c r="O1238" s="35" t="str">
        <f>INDEX(_xlfn.TEXTSPLIT(mvtst[[#This Row],[QR Suivis]],"_"),1,4)</f>
        <v>EPMA0919-B24-02</v>
      </c>
      <c r="P1238" s="35" t="str">
        <f>INDEX(_xlfn.TEXTSPLIT(mvtst[[#This Row],[QR Suivis]],"_"),1,5)</f>
        <v>MARINIERE</v>
      </c>
      <c r="Q1238" s="35" t="str">
        <f>_xlfn.TEXTAFTER(mvtst[[#This Row],[QR Suivis]],"_",5)</f>
        <v>0919</v>
      </c>
      <c r="R1238" s="84" t="str">
        <f>IF(
   COUNTIFS($A$2:A1238,A1238,
             $B$2:B1238,B1238,
             $C$2:C1238,C1238,
             $D$2:D1238,D1238,
             $G$2:G1238,G1238)&gt;1,
   "Doublon",
   "Correcte"
)</f>
        <v>Correcte</v>
      </c>
    </row>
    <row r="1239" spans="1:18" x14ac:dyDescent="0.25">
      <c r="A1239" s="104" t="s">
        <v>1924</v>
      </c>
      <c r="B1239" s="35" t="s">
        <v>1090</v>
      </c>
      <c r="C1239" s="36">
        <v>5</v>
      </c>
      <c r="D1239" s="36">
        <v>0</v>
      </c>
      <c r="E1239" s="35" t="s">
        <v>699</v>
      </c>
      <c r="F1239" s="35" t="s">
        <v>634</v>
      </c>
      <c r="G1239" s="37">
        <v>45937.392581018517</v>
      </c>
      <c r="H1239" s="37" t="str">
        <f>INDEX(_xlfn.TEXTSPLIT(mvtst[[#This Row],[QR Suivis]],"_"),1,1)</f>
        <v>OF249868-21</v>
      </c>
      <c r="I1239" s="35" t="str">
        <f>_xlfn.TEXTBEFORE(mvtst[[#This Row],[Num Suivis]],"-",,,1)</f>
        <v>OF249868</v>
      </c>
      <c r="J1239" s="36">
        <f>SUMIF(mvtst[QR Suivis],mvtst[[#This Row],[QR Suivis]],mvtst[QTE SORTIS])-SUMIF(mvtst[QR Suivis],mvtst[[#This Row],[QR Suivis]],mvtst[QTE RETOUR])</f>
        <v>0</v>
      </c>
      <c r="K1239" s="35" t="str">
        <f t="shared" si="19"/>
        <v>Usine</v>
      </c>
      <c r="L1239" s="35" t="str">
        <f>_xlfn.XLOOKUP(mvtst[[#This Row],[Sous Traitant]],coordonnee_st[Identification],coordonnee_st[SERVICE],"Non Trouvé")</f>
        <v>Frange</v>
      </c>
      <c r="M1239" s="35" t="str">
        <f>INDEX(_xlfn.TEXTSPLIT(mvtst[[#This Row],[QR Suivis]],"_"),1,2)</f>
        <v>CL00884</v>
      </c>
      <c r="N1239" s="35" t="str">
        <f>INDEX(_xlfn.TEXTSPLIT(mvtst[[#This Row],[QR Suivis]],"_"),1,3)</f>
        <v>CM-FT0119</v>
      </c>
      <c r="O1239" s="35" t="str">
        <f>INDEX(_xlfn.TEXTSPLIT(mvtst[[#This Row],[QR Suivis]],"_"),1,4)</f>
        <v>EPMA0919-B24-02</v>
      </c>
      <c r="P1239" s="35" t="str">
        <f>INDEX(_xlfn.TEXTSPLIT(mvtst[[#This Row],[QR Suivis]],"_"),1,5)</f>
        <v>MARINIERE</v>
      </c>
      <c r="Q1239" s="35" t="str">
        <f>_xlfn.TEXTAFTER(mvtst[[#This Row],[QR Suivis]],"_",5)</f>
        <v>0919</v>
      </c>
      <c r="R1239" s="84" t="str">
        <f>IF(
   COUNTIFS($A$2:A1239,A1239,
             $B$2:B1239,B1239,
             $C$2:C1239,C1239,
             $D$2:D1239,D1239,
             $G$2:G1239,G1239)&gt;1,
   "Doublon",
   "Correcte"
)</f>
        <v>Correcte</v>
      </c>
    </row>
    <row r="1240" spans="1:18" x14ac:dyDescent="0.25">
      <c r="A1240" s="104" t="s">
        <v>1925</v>
      </c>
      <c r="B1240" s="35" t="s">
        <v>1090</v>
      </c>
      <c r="C1240" s="36">
        <v>5</v>
      </c>
      <c r="D1240" s="36">
        <v>0</v>
      </c>
      <c r="E1240" s="35" t="s">
        <v>699</v>
      </c>
      <c r="F1240" s="35" t="s">
        <v>634</v>
      </c>
      <c r="G1240" s="37">
        <v>45937.39298611111</v>
      </c>
      <c r="H1240" s="37" t="str">
        <f>INDEX(_xlfn.TEXTSPLIT(mvtst[[#This Row],[QR Suivis]],"_"),1,1)</f>
        <v>OF249868-3</v>
      </c>
      <c r="I1240" s="35" t="str">
        <f>_xlfn.TEXTBEFORE(mvtst[[#This Row],[Num Suivis]],"-",,,1)</f>
        <v>OF249868</v>
      </c>
      <c r="J1240" s="36">
        <f>SUMIF(mvtst[QR Suivis],mvtst[[#This Row],[QR Suivis]],mvtst[QTE SORTIS])-SUMIF(mvtst[QR Suivis],mvtst[[#This Row],[QR Suivis]],mvtst[QTE RETOUR])</f>
        <v>0</v>
      </c>
      <c r="K1240" s="35" t="str">
        <f t="shared" si="19"/>
        <v>Usine</v>
      </c>
      <c r="L1240" s="35" t="str">
        <f>_xlfn.XLOOKUP(mvtst[[#This Row],[Sous Traitant]],coordonnee_st[Identification],coordonnee_st[SERVICE],"Non Trouvé")</f>
        <v>Frange</v>
      </c>
      <c r="M1240" s="35" t="str">
        <f>INDEX(_xlfn.TEXTSPLIT(mvtst[[#This Row],[QR Suivis]],"_"),1,2)</f>
        <v>CL00884</v>
      </c>
      <c r="N1240" s="35" t="str">
        <f>INDEX(_xlfn.TEXTSPLIT(mvtst[[#This Row],[QR Suivis]],"_"),1,3)</f>
        <v>CM-FT0119</v>
      </c>
      <c r="O1240" s="35" t="str">
        <f>INDEX(_xlfn.TEXTSPLIT(mvtst[[#This Row],[QR Suivis]],"_"),1,4)</f>
        <v>EPMA0919-B24-02</v>
      </c>
      <c r="P1240" s="35" t="str">
        <f>INDEX(_xlfn.TEXTSPLIT(mvtst[[#This Row],[QR Suivis]],"_"),1,5)</f>
        <v>MARINIERE</v>
      </c>
      <c r="Q1240" s="35" t="str">
        <f>_xlfn.TEXTAFTER(mvtst[[#This Row],[QR Suivis]],"_",5)</f>
        <v>0919</v>
      </c>
      <c r="R1240" s="84" t="str">
        <f>IF(
   COUNTIFS($A$2:A1240,A1240,
             $B$2:B1240,B1240,
             $C$2:C1240,C1240,
             $D$2:D1240,D1240,
             $G$2:G1240,G1240)&gt;1,
   "Doublon",
   "Correcte"
)</f>
        <v>Correcte</v>
      </c>
    </row>
    <row r="1241" spans="1:18" x14ac:dyDescent="0.25">
      <c r="A1241" s="104" t="s">
        <v>1926</v>
      </c>
      <c r="B1241" s="35" t="s">
        <v>1090</v>
      </c>
      <c r="C1241" s="36">
        <v>5</v>
      </c>
      <c r="D1241" s="36">
        <v>0</v>
      </c>
      <c r="E1241" s="35" t="s">
        <v>699</v>
      </c>
      <c r="F1241" s="35" t="s">
        <v>634</v>
      </c>
      <c r="G1241" s="37">
        <v>45937.39329861111</v>
      </c>
      <c r="H1241" s="37" t="str">
        <f>INDEX(_xlfn.TEXTSPLIT(mvtst[[#This Row],[QR Suivis]],"_"),1,1)</f>
        <v>OF249868-13</v>
      </c>
      <c r="I1241" s="35" t="str">
        <f>_xlfn.TEXTBEFORE(mvtst[[#This Row],[Num Suivis]],"-",,,1)</f>
        <v>OF249868</v>
      </c>
      <c r="J1241" s="36">
        <f>SUMIF(mvtst[QR Suivis],mvtst[[#This Row],[QR Suivis]],mvtst[QTE SORTIS])-SUMIF(mvtst[QR Suivis],mvtst[[#This Row],[QR Suivis]],mvtst[QTE RETOUR])</f>
        <v>0</v>
      </c>
      <c r="K1241" s="35" t="str">
        <f t="shared" si="19"/>
        <v>Usine</v>
      </c>
      <c r="L1241" s="35" t="str">
        <f>_xlfn.XLOOKUP(mvtst[[#This Row],[Sous Traitant]],coordonnee_st[Identification],coordonnee_st[SERVICE],"Non Trouvé")</f>
        <v>Frange</v>
      </c>
      <c r="M1241" s="35" t="str">
        <f>INDEX(_xlfn.TEXTSPLIT(mvtst[[#This Row],[QR Suivis]],"_"),1,2)</f>
        <v>CL00884</v>
      </c>
      <c r="N1241" s="35" t="str">
        <f>INDEX(_xlfn.TEXTSPLIT(mvtst[[#This Row],[QR Suivis]],"_"),1,3)</f>
        <v>CM-FT0119</v>
      </c>
      <c r="O1241" s="35" t="str">
        <f>INDEX(_xlfn.TEXTSPLIT(mvtst[[#This Row],[QR Suivis]],"_"),1,4)</f>
        <v>EPMA0919-B24-02</v>
      </c>
      <c r="P1241" s="35" t="str">
        <f>INDEX(_xlfn.TEXTSPLIT(mvtst[[#This Row],[QR Suivis]],"_"),1,5)</f>
        <v>MARINIERE</v>
      </c>
      <c r="Q1241" s="35" t="str">
        <f>_xlfn.TEXTAFTER(mvtst[[#This Row],[QR Suivis]],"_",5)</f>
        <v>0919</v>
      </c>
      <c r="R1241" s="84" t="str">
        <f>IF(
   COUNTIFS($A$2:A1241,A1241,
             $B$2:B1241,B1241,
             $C$2:C1241,C1241,
             $D$2:D1241,D1241,
             $G$2:G1241,G1241)&gt;1,
   "Doublon",
   "Correcte"
)</f>
        <v>Correcte</v>
      </c>
    </row>
    <row r="1242" spans="1:18" x14ac:dyDescent="0.25">
      <c r="A1242" s="104" t="s">
        <v>1748</v>
      </c>
      <c r="B1242" s="35" t="s">
        <v>646</v>
      </c>
      <c r="C1242" s="36">
        <v>0</v>
      </c>
      <c r="D1242" s="36">
        <v>5</v>
      </c>
      <c r="E1242" s="35" t="s">
        <v>699</v>
      </c>
      <c r="F1242" s="35" t="s">
        <v>634</v>
      </c>
      <c r="G1242" s="37">
        <v>45937.445590277777</v>
      </c>
      <c r="H1242" s="37" t="str">
        <f>INDEX(_xlfn.TEXTSPLIT(mvtst[[#This Row],[QR Suivis]],"_"),1,1)</f>
        <v>OF246539-6</v>
      </c>
      <c r="I1242" s="35" t="str">
        <f>_xlfn.TEXTBEFORE(mvtst[[#This Row],[Num Suivis]],"-",,,1)</f>
        <v>OF246539</v>
      </c>
      <c r="J1242" s="36">
        <f>SUMIF(mvtst[QR Suivis],mvtst[[#This Row],[QR Suivis]],mvtst[QTE SORTIS])-SUMIF(mvtst[QR Suivis],mvtst[[#This Row],[QR Suivis]],mvtst[QTE RETOUR])</f>
        <v>0</v>
      </c>
      <c r="K1242" s="35" t="str">
        <f t="shared" si="19"/>
        <v>Usine</v>
      </c>
      <c r="L1242" s="35" t="str">
        <f>_xlfn.XLOOKUP(mvtst[[#This Row],[Sous Traitant]],coordonnee_st[Identification],coordonnee_st[SERVICE],"Non Trouvé")</f>
        <v>Frange</v>
      </c>
      <c r="M1242" s="35" t="str">
        <f>INDEX(_xlfn.TEXTSPLIT(mvtst[[#This Row],[QR Suivis]],"_"),1,2)</f>
        <v>CL00296</v>
      </c>
      <c r="N1242" s="35" t="str">
        <f>INDEX(_xlfn.TEXTSPLIT(mvtst[[#This Row],[QR Suivis]],"_"),1,3)</f>
        <v>CM-FT0108</v>
      </c>
      <c r="O1242" s="35" t="str">
        <f>INDEX(_xlfn.TEXTSPLIT(mvtst[[#This Row],[QR Suivis]],"_"),1,4)</f>
        <v>EPMA0919-B29-02</v>
      </c>
      <c r="P1242" s="35" t="str">
        <f>INDEX(_xlfn.TEXTSPLIT(mvtst[[#This Row],[QR Suivis]],"_"),1,5)</f>
        <v>MARINIERE</v>
      </c>
      <c r="Q1242" s="35" t="str">
        <f>_xlfn.TEXTAFTER(mvtst[[#This Row],[QR Suivis]],"_",5)</f>
        <v>0919</v>
      </c>
      <c r="R1242" s="84" t="str">
        <f>IF(
   COUNTIFS($A$2:A1242,A1242,
             $B$2:B1242,B1242,
             $C$2:C1242,C1242,
             $D$2:D1242,D1242,
             $G$2:G1242,G1242)&gt;1,
   "Doublon",
   "Correcte"
)</f>
        <v>Correcte</v>
      </c>
    </row>
    <row r="1243" spans="1:18" x14ac:dyDescent="0.25">
      <c r="A1243" s="104" t="s">
        <v>1866</v>
      </c>
      <c r="B1243" s="35" t="s">
        <v>646</v>
      </c>
      <c r="C1243" s="36">
        <v>0</v>
      </c>
      <c r="D1243" s="36">
        <v>5</v>
      </c>
      <c r="E1243" s="35" t="s">
        <v>699</v>
      </c>
      <c r="F1243" s="35" t="s">
        <v>634</v>
      </c>
      <c r="G1243" s="37">
        <v>45937.445833333331</v>
      </c>
      <c r="H1243" s="37" t="str">
        <f>INDEX(_xlfn.TEXTSPLIT(mvtst[[#This Row],[QR Suivis]],"_"),1,1)</f>
        <v>CA250635-3</v>
      </c>
      <c r="I1243" s="35" t="str">
        <f>_xlfn.TEXTBEFORE(mvtst[[#This Row],[Num Suivis]],"-",,,1)</f>
        <v>CA250635</v>
      </c>
      <c r="J1243" s="36">
        <f>SUMIF(mvtst[QR Suivis],mvtst[[#This Row],[QR Suivis]],mvtst[QTE SORTIS])-SUMIF(mvtst[QR Suivis],mvtst[[#This Row],[QR Suivis]],mvtst[QTE RETOUR])</f>
        <v>0</v>
      </c>
      <c r="K1243" s="35" t="str">
        <f t="shared" si="19"/>
        <v>Usine</v>
      </c>
      <c r="L1243" s="35" t="str">
        <f>_xlfn.XLOOKUP(mvtst[[#This Row],[Sous Traitant]],coordonnee_st[Identification],coordonnee_st[SERVICE],"Non Trouvé")</f>
        <v>Frange</v>
      </c>
      <c r="M1243" s="35" t="str">
        <f>INDEX(_xlfn.TEXTSPLIT(mvtst[[#This Row],[QR Suivis]],"_"),1,2)</f>
        <v>All by Fouta</v>
      </c>
      <c r="N1243" s="35" t="str">
        <f>INDEX(_xlfn.TEXTSPLIT(mvtst[[#This Row],[QR Suivis]],"_"),1,3)</f>
        <v>Stock</v>
      </c>
      <c r="O1243" s="35" t="str">
        <f>INDEX(_xlfn.TEXTSPLIT(mvtst[[#This Row],[QR Suivis]],"_"),1,4)</f>
        <v>EPMA0919-B11-02</v>
      </c>
      <c r="P1243" s="35" t="str">
        <f>INDEX(_xlfn.TEXTSPLIT(mvtst[[#This Row],[QR Suivis]],"_"),1,5)</f>
        <v>MARINIERE</v>
      </c>
      <c r="Q1243" s="35" t="str">
        <f>_xlfn.TEXTAFTER(mvtst[[#This Row],[QR Suivis]],"_",5)</f>
        <v>0919</v>
      </c>
      <c r="R1243" s="84" t="str">
        <f>IF(
   COUNTIFS($A$2:A1243,A1243,
             $B$2:B1243,B1243,
             $C$2:C1243,C1243,
             $D$2:D1243,D1243,
             $G$2:G1243,G1243)&gt;1,
   "Doublon",
   "Correcte"
)</f>
        <v>Correcte</v>
      </c>
    </row>
    <row r="1244" spans="1:18" x14ac:dyDescent="0.25">
      <c r="A1244" s="104" t="s">
        <v>1754</v>
      </c>
      <c r="B1244" s="35" t="s">
        <v>646</v>
      </c>
      <c r="C1244" s="36">
        <v>0</v>
      </c>
      <c r="D1244" s="36">
        <v>5</v>
      </c>
      <c r="E1244" s="35" t="s">
        <v>699</v>
      </c>
      <c r="F1244" s="35" t="s">
        <v>634</v>
      </c>
      <c r="G1244" s="37">
        <v>45937.446018518516</v>
      </c>
      <c r="H1244" s="37" t="str">
        <f>INDEX(_xlfn.TEXTSPLIT(mvtst[[#This Row],[QR Suivis]],"_"),1,1)</f>
        <v>OF246539-8</v>
      </c>
      <c r="I1244" s="35" t="str">
        <f>_xlfn.TEXTBEFORE(mvtst[[#This Row],[Num Suivis]],"-",,,1)</f>
        <v>OF246539</v>
      </c>
      <c r="J1244" s="36">
        <f>SUMIF(mvtst[QR Suivis],mvtst[[#This Row],[QR Suivis]],mvtst[QTE SORTIS])-SUMIF(mvtst[QR Suivis],mvtst[[#This Row],[QR Suivis]],mvtst[QTE RETOUR])</f>
        <v>0</v>
      </c>
      <c r="K1244" s="35" t="str">
        <f t="shared" si="19"/>
        <v>Usine</v>
      </c>
      <c r="L1244" s="35" t="str">
        <f>_xlfn.XLOOKUP(mvtst[[#This Row],[Sous Traitant]],coordonnee_st[Identification],coordonnee_st[SERVICE],"Non Trouvé")</f>
        <v>Frange</v>
      </c>
      <c r="M1244" s="35" t="str">
        <f>INDEX(_xlfn.TEXTSPLIT(mvtst[[#This Row],[QR Suivis]],"_"),1,2)</f>
        <v>CL00296</v>
      </c>
      <c r="N1244" s="35" t="str">
        <f>INDEX(_xlfn.TEXTSPLIT(mvtst[[#This Row],[QR Suivis]],"_"),1,3)</f>
        <v>CM-FT0108</v>
      </c>
      <c r="O1244" s="35" t="str">
        <f>INDEX(_xlfn.TEXTSPLIT(mvtst[[#This Row],[QR Suivis]],"_"),1,4)</f>
        <v>EPMA0919-B29-02</v>
      </c>
      <c r="P1244" s="35" t="str">
        <f>INDEX(_xlfn.TEXTSPLIT(mvtst[[#This Row],[QR Suivis]],"_"),1,5)</f>
        <v>MARINIERE</v>
      </c>
      <c r="Q1244" s="35" t="str">
        <f>_xlfn.TEXTAFTER(mvtst[[#This Row],[QR Suivis]],"_",5)</f>
        <v>0919</v>
      </c>
      <c r="R1244" s="84" t="str">
        <f>IF(
   COUNTIFS($A$2:A1244,A1244,
             $B$2:B1244,B1244,
             $C$2:C1244,C1244,
             $D$2:D1244,D1244,
             $G$2:G1244,G1244)&gt;1,
   "Doublon",
   "Correcte"
)</f>
        <v>Correcte</v>
      </c>
    </row>
    <row r="1245" spans="1:18" x14ac:dyDescent="0.25">
      <c r="A1245" s="104" t="s">
        <v>1862</v>
      </c>
      <c r="B1245" s="35" t="s">
        <v>646</v>
      </c>
      <c r="C1245" s="36">
        <v>0</v>
      </c>
      <c r="D1245" s="36">
        <v>5</v>
      </c>
      <c r="E1245" s="35" t="s">
        <v>699</v>
      </c>
      <c r="F1245" s="35" t="s">
        <v>634</v>
      </c>
      <c r="G1245" s="37">
        <v>45937.446585648147</v>
      </c>
      <c r="H1245" s="37" t="str">
        <f>INDEX(_xlfn.TEXTSPLIT(mvtst[[#This Row],[QR Suivis]],"_"),1,1)</f>
        <v>OF246535-9</v>
      </c>
      <c r="I1245" s="35" t="str">
        <f>_xlfn.TEXTBEFORE(mvtst[[#This Row],[Num Suivis]],"-",,,1)</f>
        <v>OF246535</v>
      </c>
      <c r="J1245" s="36">
        <f>SUMIF(mvtst[QR Suivis],mvtst[[#This Row],[QR Suivis]],mvtst[QTE SORTIS])-SUMIF(mvtst[QR Suivis],mvtst[[#This Row],[QR Suivis]],mvtst[QTE RETOUR])</f>
        <v>0</v>
      </c>
      <c r="K1245" s="35" t="str">
        <f t="shared" si="19"/>
        <v>Usine</v>
      </c>
      <c r="L1245" s="35" t="str">
        <f>_xlfn.XLOOKUP(mvtst[[#This Row],[Sous Traitant]],coordonnee_st[Identification],coordonnee_st[SERVICE],"Non Trouvé")</f>
        <v>Frange</v>
      </c>
      <c r="M1245" s="35" t="str">
        <f>INDEX(_xlfn.TEXTSPLIT(mvtst[[#This Row],[QR Suivis]],"_"),1,2)</f>
        <v>CL00296</v>
      </c>
      <c r="N1245" s="35" t="str">
        <f>INDEX(_xlfn.TEXTSPLIT(mvtst[[#This Row],[QR Suivis]],"_"),1,3)</f>
        <v>CM-FT0108</v>
      </c>
      <c r="O1245" s="35" t="str">
        <f>INDEX(_xlfn.TEXTSPLIT(mvtst[[#This Row],[QR Suivis]],"_"),1,4)</f>
        <v>EPMA0919-B03-02</v>
      </c>
      <c r="P1245" s="35" t="str">
        <f>INDEX(_xlfn.TEXTSPLIT(mvtst[[#This Row],[QR Suivis]],"_"),1,5)</f>
        <v>MARINIERE</v>
      </c>
      <c r="Q1245" s="35" t="str">
        <f>_xlfn.TEXTAFTER(mvtst[[#This Row],[QR Suivis]],"_",5)</f>
        <v>0919</v>
      </c>
      <c r="R1245" s="84" t="str">
        <f>IF(
   COUNTIFS($A$2:A1245,A1245,
             $B$2:B1245,B1245,
             $C$2:C1245,C1245,
             $D$2:D1245,D1245,
             $G$2:G1245,G1245)&gt;1,
   "Doublon",
   "Correcte"
)</f>
        <v>Correcte</v>
      </c>
    </row>
    <row r="1246" spans="1:18" x14ac:dyDescent="0.25">
      <c r="A1246" s="104" t="s">
        <v>1858</v>
      </c>
      <c r="B1246" s="35" t="s">
        <v>646</v>
      </c>
      <c r="C1246" s="36">
        <v>0</v>
      </c>
      <c r="D1246" s="36">
        <v>5</v>
      </c>
      <c r="E1246" s="35" t="s">
        <v>699</v>
      </c>
      <c r="F1246" s="35" t="s">
        <v>634</v>
      </c>
      <c r="G1246" s="37">
        <v>45937.44699074074</v>
      </c>
      <c r="H1246" s="37" t="str">
        <f>INDEX(_xlfn.TEXTSPLIT(mvtst[[#This Row],[QR Suivis]],"_"),1,1)</f>
        <v>OF246535-12</v>
      </c>
      <c r="I1246" s="35" t="str">
        <f>_xlfn.TEXTBEFORE(mvtst[[#This Row],[Num Suivis]],"-",,,1)</f>
        <v>OF246535</v>
      </c>
      <c r="J1246" s="36">
        <f>SUMIF(mvtst[QR Suivis],mvtst[[#This Row],[QR Suivis]],mvtst[QTE SORTIS])-SUMIF(mvtst[QR Suivis],mvtst[[#This Row],[QR Suivis]],mvtst[QTE RETOUR])</f>
        <v>0</v>
      </c>
      <c r="K1246" s="35" t="str">
        <f t="shared" si="19"/>
        <v>Usine</v>
      </c>
      <c r="L1246" s="35" t="str">
        <f>_xlfn.XLOOKUP(mvtst[[#This Row],[Sous Traitant]],coordonnee_st[Identification],coordonnee_st[SERVICE],"Non Trouvé")</f>
        <v>Frange</v>
      </c>
      <c r="M1246" s="35" t="str">
        <f>INDEX(_xlfn.TEXTSPLIT(mvtst[[#This Row],[QR Suivis]],"_"),1,2)</f>
        <v>CL00296</v>
      </c>
      <c r="N1246" s="35" t="str">
        <f>INDEX(_xlfn.TEXTSPLIT(mvtst[[#This Row],[QR Suivis]],"_"),1,3)</f>
        <v>CM-FT0108</v>
      </c>
      <c r="O1246" s="35" t="str">
        <f>INDEX(_xlfn.TEXTSPLIT(mvtst[[#This Row],[QR Suivis]],"_"),1,4)</f>
        <v>EPMA0919-B03-02</v>
      </c>
      <c r="P1246" s="35" t="str">
        <f>INDEX(_xlfn.TEXTSPLIT(mvtst[[#This Row],[QR Suivis]],"_"),1,5)</f>
        <v>MARINIERE</v>
      </c>
      <c r="Q1246" s="35" t="str">
        <f>_xlfn.TEXTAFTER(mvtst[[#This Row],[QR Suivis]],"_",5)</f>
        <v>0919</v>
      </c>
      <c r="R1246" s="84" t="str">
        <f>IF(
   COUNTIFS($A$2:A1246,A1246,
             $B$2:B1246,B1246,
             $C$2:C1246,C1246,
             $D$2:D1246,D1246,
             $G$2:G1246,G1246)&gt;1,
   "Doublon",
   "Correcte"
)</f>
        <v>Correcte</v>
      </c>
    </row>
    <row r="1247" spans="1:18" x14ac:dyDescent="0.25">
      <c r="A1247" s="104" t="s">
        <v>1853</v>
      </c>
      <c r="B1247" s="35" t="s">
        <v>646</v>
      </c>
      <c r="C1247" s="36">
        <v>0</v>
      </c>
      <c r="D1247" s="36">
        <v>5</v>
      </c>
      <c r="E1247" s="35" t="s">
        <v>699</v>
      </c>
      <c r="F1247" s="35" t="s">
        <v>634</v>
      </c>
      <c r="G1247" s="37">
        <v>45937.447337962964</v>
      </c>
      <c r="H1247" s="37" t="str">
        <f>INDEX(_xlfn.TEXTSPLIT(mvtst[[#This Row],[QR Suivis]],"_"),1,1)</f>
        <v>OF246535-2</v>
      </c>
      <c r="I1247" s="35" t="str">
        <f>_xlfn.TEXTBEFORE(mvtst[[#This Row],[Num Suivis]],"-",,,1)</f>
        <v>OF246535</v>
      </c>
      <c r="J1247" s="36">
        <f>SUMIF(mvtst[QR Suivis],mvtst[[#This Row],[QR Suivis]],mvtst[QTE SORTIS])-SUMIF(mvtst[QR Suivis],mvtst[[#This Row],[QR Suivis]],mvtst[QTE RETOUR])</f>
        <v>0</v>
      </c>
      <c r="K1247" s="35" t="str">
        <f t="shared" si="19"/>
        <v>Usine</v>
      </c>
      <c r="L1247" s="35" t="str">
        <f>_xlfn.XLOOKUP(mvtst[[#This Row],[Sous Traitant]],coordonnee_st[Identification],coordonnee_st[SERVICE],"Non Trouvé")</f>
        <v>Frange</v>
      </c>
      <c r="M1247" s="35" t="str">
        <f>INDEX(_xlfn.TEXTSPLIT(mvtst[[#This Row],[QR Suivis]],"_"),1,2)</f>
        <v>CL00296</v>
      </c>
      <c r="N1247" s="35" t="str">
        <f>INDEX(_xlfn.TEXTSPLIT(mvtst[[#This Row],[QR Suivis]],"_"),1,3)</f>
        <v>CM-FT0108</v>
      </c>
      <c r="O1247" s="35" t="str">
        <f>INDEX(_xlfn.TEXTSPLIT(mvtst[[#This Row],[QR Suivis]],"_"),1,4)</f>
        <v>EPMA0919-B03-02</v>
      </c>
      <c r="P1247" s="35" t="str">
        <f>INDEX(_xlfn.TEXTSPLIT(mvtst[[#This Row],[QR Suivis]],"_"),1,5)</f>
        <v>MARINIERE</v>
      </c>
      <c r="Q1247" s="35" t="str">
        <f>_xlfn.TEXTAFTER(mvtst[[#This Row],[QR Suivis]],"_",5)</f>
        <v>0919</v>
      </c>
      <c r="R1247" s="84" t="str">
        <f>IF(
   COUNTIFS($A$2:A1247,A1247,
             $B$2:B1247,B1247,
             $C$2:C1247,C1247,
             $D$2:D1247,D1247,
             $G$2:G1247,G1247)&gt;1,
   "Doublon",
   "Correcte"
)</f>
        <v>Correcte</v>
      </c>
    </row>
    <row r="1248" spans="1:18" x14ac:dyDescent="0.25">
      <c r="A1248" s="104" t="s">
        <v>1864</v>
      </c>
      <c r="B1248" s="35" t="s">
        <v>646</v>
      </c>
      <c r="C1248" s="36">
        <v>0</v>
      </c>
      <c r="D1248" s="36">
        <v>5</v>
      </c>
      <c r="E1248" s="35" t="s">
        <v>699</v>
      </c>
      <c r="F1248" s="35" t="s">
        <v>634</v>
      </c>
      <c r="G1248" s="37">
        <v>45937.447789351849</v>
      </c>
      <c r="H1248" s="37" t="str">
        <f>INDEX(_xlfn.TEXTSPLIT(mvtst[[#This Row],[QR Suivis]],"_"),1,1)</f>
        <v>OF246535-11</v>
      </c>
      <c r="I1248" s="35" t="str">
        <f>_xlfn.TEXTBEFORE(mvtst[[#This Row],[Num Suivis]],"-",,,1)</f>
        <v>OF246535</v>
      </c>
      <c r="J1248" s="36">
        <f>SUMIF(mvtst[QR Suivis],mvtst[[#This Row],[QR Suivis]],mvtst[QTE SORTIS])-SUMIF(mvtst[QR Suivis],mvtst[[#This Row],[QR Suivis]],mvtst[QTE RETOUR])</f>
        <v>0</v>
      </c>
      <c r="K1248" s="35" t="str">
        <f t="shared" si="19"/>
        <v>Usine</v>
      </c>
      <c r="L1248" s="35" t="str">
        <f>_xlfn.XLOOKUP(mvtst[[#This Row],[Sous Traitant]],coordonnee_st[Identification],coordonnee_st[SERVICE],"Non Trouvé")</f>
        <v>Frange</v>
      </c>
      <c r="M1248" s="35" t="str">
        <f>INDEX(_xlfn.TEXTSPLIT(mvtst[[#This Row],[QR Suivis]],"_"),1,2)</f>
        <v>CL00296</v>
      </c>
      <c r="N1248" s="35" t="str">
        <f>INDEX(_xlfn.TEXTSPLIT(mvtst[[#This Row],[QR Suivis]],"_"),1,3)</f>
        <v>CM-FT0108</v>
      </c>
      <c r="O1248" s="35" t="str">
        <f>INDEX(_xlfn.TEXTSPLIT(mvtst[[#This Row],[QR Suivis]],"_"),1,4)</f>
        <v>EPMA0919-B03-02</v>
      </c>
      <c r="P1248" s="35" t="str">
        <f>INDEX(_xlfn.TEXTSPLIT(mvtst[[#This Row],[QR Suivis]],"_"),1,5)</f>
        <v>MARINIERE</v>
      </c>
      <c r="Q1248" s="35" t="str">
        <f>_xlfn.TEXTAFTER(mvtst[[#This Row],[QR Suivis]],"_",5)</f>
        <v>0919</v>
      </c>
      <c r="R1248" s="84" t="str">
        <f>IF(
   COUNTIFS($A$2:A1248,A1248,
             $B$2:B1248,B1248,
             $C$2:C1248,C1248,
             $D$2:D1248,D1248,
             $G$2:G1248,G1248)&gt;1,
   "Doublon",
   "Correcte"
)</f>
        <v>Correcte</v>
      </c>
    </row>
    <row r="1249" spans="1:18" x14ac:dyDescent="0.25">
      <c r="A1249" s="104" t="s">
        <v>1857</v>
      </c>
      <c r="B1249" s="35" t="s">
        <v>646</v>
      </c>
      <c r="C1249" s="36">
        <v>0</v>
      </c>
      <c r="D1249" s="36">
        <v>5</v>
      </c>
      <c r="E1249" s="35" t="s">
        <v>699</v>
      </c>
      <c r="F1249" s="35" t="s">
        <v>634</v>
      </c>
      <c r="G1249" s="37">
        <v>45937.447928240741</v>
      </c>
      <c r="H1249" s="37" t="str">
        <f>INDEX(_xlfn.TEXTSPLIT(mvtst[[#This Row],[QR Suivis]],"_"),1,1)</f>
        <v>OF246535-15</v>
      </c>
      <c r="I1249" s="35" t="str">
        <f>_xlfn.TEXTBEFORE(mvtst[[#This Row],[Num Suivis]],"-",,,1)</f>
        <v>OF246535</v>
      </c>
      <c r="J1249" s="36">
        <f>SUMIF(mvtst[QR Suivis],mvtst[[#This Row],[QR Suivis]],mvtst[QTE SORTIS])-SUMIF(mvtst[QR Suivis],mvtst[[#This Row],[QR Suivis]],mvtst[QTE RETOUR])</f>
        <v>0</v>
      </c>
      <c r="K1249" s="35" t="str">
        <f t="shared" si="19"/>
        <v>Usine</v>
      </c>
      <c r="L1249" s="35" t="str">
        <f>_xlfn.XLOOKUP(mvtst[[#This Row],[Sous Traitant]],coordonnee_st[Identification],coordonnee_st[SERVICE],"Non Trouvé")</f>
        <v>Frange</v>
      </c>
      <c r="M1249" s="35" t="str">
        <f>INDEX(_xlfn.TEXTSPLIT(mvtst[[#This Row],[QR Suivis]],"_"),1,2)</f>
        <v>CL00296</v>
      </c>
      <c r="N1249" s="35" t="str">
        <f>INDEX(_xlfn.TEXTSPLIT(mvtst[[#This Row],[QR Suivis]],"_"),1,3)</f>
        <v>CM-FT0108</v>
      </c>
      <c r="O1249" s="35" t="str">
        <f>INDEX(_xlfn.TEXTSPLIT(mvtst[[#This Row],[QR Suivis]],"_"),1,4)</f>
        <v>EPMA0919-B03-02</v>
      </c>
      <c r="P1249" s="35" t="str">
        <f>INDEX(_xlfn.TEXTSPLIT(mvtst[[#This Row],[QR Suivis]],"_"),1,5)</f>
        <v>MARINIERE</v>
      </c>
      <c r="Q1249" s="35" t="str">
        <f>_xlfn.TEXTAFTER(mvtst[[#This Row],[QR Suivis]],"_",5)</f>
        <v>0919</v>
      </c>
      <c r="R1249" s="84" t="str">
        <f>IF(
   COUNTIFS($A$2:A1249,A1249,
             $B$2:B1249,B1249,
             $C$2:C1249,C1249,
             $D$2:D1249,D1249,
             $G$2:G1249,G1249)&gt;1,
   "Doublon",
   "Correcte"
)</f>
        <v>Correcte</v>
      </c>
    </row>
    <row r="1250" spans="1:18" x14ac:dyDescent="0.25">
      <c r="A1250" s="104" t="s">
        <v>1863</v>
      </c>
      <c r="B1250" s="35" t="s">
        <v>646</v>
      </c>
      <c r="C1250" s="36">
        <v>0</v>
      </c>
      <c r="D1250" s="36">
        <v>5</v>
      </c>
      <c r="E1250" s="35" t="s">
        <v>699</v>
      </c>
      <c r="F1250" s="35" t="s">
        <v>634</v>
      </c>
      <c r="G1250" s="37">
        <v>45937.448206018518</v>
      </c>
      <c r="H1250" s="37" t="str">
        <f>INDEX(_xlfn.TEXTSPLIT(mvtst[[#This Row],[QR Suivis]],"_"),1,1)</f>
        <v>OF246535-14</v>
      </c>
      <c r="I1250" s="35" t="str">
        <f>_xlfn.TEXTBEFORE(mvtst[[#This Row],[Num Suivis]],"-",,,1)</f>
        <v>OF246535</v>
      </c>
      <c r="J1250" s="36">
        <f>SUMIF(mvtst[QR Suivis],mvtst[[#This Row],[QR Suivis]],mvtst[QTE SORTIS])-SUMIF(mvtst[QR Suivis],mvtst[[#This Row],[QR Suivis]],mvtst[QTE RETOUR])</f>
        <v>0</v>
      </c>
      <c r="K1250" s="35" t="str">
        <f t="shared" si="19"/>
        <v>Usine</v>
      </c>
      <c r="L1250" s="35" t="str">
        <f>_xlfn.XLOOKUP(mvtst[[#This Row],[Sous Traitant]],coordonnee_st[Identification],coordonnee_st[SERVICE],"Non Trouvé")</f>
        <v>Frange</v>
      </c>
      <c r="M1250" s="35" t="str">
        <f>INDEX(_xlfn.TEXTSPLIT(mvtst[[#This Row],[QR Suivis]],"_"),1,2)</f>
        <v>CL00296</v>
      </c>
      <c r="N1250" s="35" t="str">
        <f>INDEX(_xlfn.TEXTSPLIT(mvtst[[#This Row],[QR Suivis]],"_"),1,3)</f>
        <v>CM-FT0108</v>
      </c>
      <c r="O1250" s="35" t="str">
        <f>INDEX(_xlfn.TEXTSPLIT(mvtst[[#This Row],[QR Suivis]],"_"),1,4)</f>
        <v>EPMA0919-B03-02</v>
      </c>
      <c r="P1250" s="35" t="str">
        <f>INDEX(_xlfn.TEXTSPLIT(mvtst[[#This Row],[QR Suivis]],"_"),1,5)</f>
        <v>MARINIERE</v>
      </c>
      <c r="Q1250" s="35" t="str">
        <f>_xlfn.TEXTAFTER(mvtst[[#This Row],[QR Suivis]],"_",5)</f>
        <v>0919</v>
      </c>
      <c r="R1250" s="84" t="str">
        <f>IF(
   COUNTIFS($A$2:A1250,A1250,
             $B$2:B1250,B1250,
             $C$2:C1250,C1250,
             $D$2:D1250,D1250,
             $G$2:G1250,G1250)&gt;1,
   "Doublon",
   "Correcte"
)</f>
        <v>Correcte</v>
      </c>
    </row>
    <row r="1251" spans="1:18" x14ac:dyDescent="0.25">
      <c r="A1251" s="104" t="s">
        <v>1749</v>
      </c>
      <c r="B1251" s="35" t="s">
        <v>646</v>
      </c>
      <c r="C1251" s="36">
        <v>0</v>
      </c>
      <c r="D1251" s="36">
        <v>5</v>
      </c>
      <c r="E1251" s="35" t="s">
        <v>699</v>
      </c>
      <c r="F1251" s="35" t="s">
        <v>634</v>
      </c>
      <c r="G1251" s="37">
        <v>45937.448437500003</v>
      </c>
      <c r="H1251" s="37" t="str">
        <f>INDEX(_xlfn.TEXTSPLIT(mvtst[[#This Row],[QR Suivis]],"_"),1,1)</f>
        <v>OF246539-13</v>
      </c>
      <c r="I1251" s="35" t="str">
        <f>_xlfn.TEXTBEFORE(mvtst[[#This Row],[Num Suivis]],"-",,,1)</f>
        <v>OF246539</v>
      </c>
      <c r="J1251" s="36">
        <f>SUMIF(mvtst[QR Suivis],mvtst[[#This Row],[QR Suivis]],mvtst[QTE SORTIS])-SUMIF(mvtst[QR Suivis],mvtst[[#This Row],[QR Suivis]],mvtst[QTE RETOUR])</f>
        <v>0</v>
      </c>
      <c r="K1251" s="35" t="str">
        <f t="shared" si="19"/>
        <v>Usine</v>
      </c>
      <c r="L1251" s="35" t="str">
        <f>_xlfn.XLOOKUP(mvtst[[#This Row],[Sous Traitant]],coordonnee_st[Identification],coordonnee_st[SERVICE],"Non Trouvé")</f>
        <v>Frange</v>
      </c>
      <c r="M1251" s="35" t="str">
        <f>INDEX(_xlfn.TEXTSPLIT(mvtst[[#This Row],[QR Suivis]],"_"),1,2)</f>
        <v>CL00296</v>
      </c>
      <c r="N1251" s="35" t="str">
        <f>INDEX(_xlfn.TEXTSPLIT(mvtst[[#This Row],[QR Suivis]],"_"),1,3)</f>
        <v>CM-FT0108</v>
      </c>
      <c r="O1251" s="35" t="str">
        <f>INDEX(_xlfn.TEXTSPLIT(mvtst[[#This Row],[QR Suivis]],"_"),1,4)</f>
        <v>EPMA0919-B29-02</v>
      </c>
      <c r="P1251" s="35" t="str">
        <f>INDEX(_xlfn.TEXTSPLIT(mvtst[[#This Row],[QR Suivis]],"_"),1,5)</f>
        <v>MARINIERE</v>
      </c>
      <c r="Q1251" s="35" t="str">
        <f>_xlfn.TEXTAFTER(mvtst[[#This Row],[QR Suivis]],"_",5)</f>
        <v>0919</v>
      </c>
      <c r="R1251" s="84" t="str">
        <f>IF(
   COUNTIFS($A$2:A1251,A1251,
             $B$2:B1251,B1251,
             $C$2:C1251,C1251,
             $D$2:D1251,D1251,
             $G$2:G1251,G1251)&gt;1,
   "Doublon",
   "Correcte"
)</f>
        <v>Correcte</v>
      </c>
    </row>
    <row r="1252" spans="1:18" x14ac:dyDescent="0.25">
      <c r="A1252" s="104" t="s">
        <v>1861</v>
      </c>
      <c r="B1252" s="35" t="s">
        <v>646</v>
      </c>
      <c r="C1252" s="36">
        <v>0</v>
      </c>
      <c r="D1252" s="36">
        <v>5</v>
      </c>
      <c r="E1252" s="35" t="s">
        <v>699</v>
      </c>
      <c r="F1252" s="35" t="s">
        <v>634</v>
      </c>
      <c r="G1252" s="37">
        <v>45937.44866898148</v>
      </c>
      <c r="H1252" s="37" t="str">
        <f>INDEX(_xlfn.TEXTSPLIT(mvtst[[#This Row],[QR Suivis]],"_"),1,1)</f>
        <v>OF246535-13</v>
      </c>
      <c r="I1252" s="35" t="str">
        <f>_xlfn.TEXTBEFORE(mvtst[[#This Row],[Num Suivis]],"-",,,1)</f>
        <v>OF246535</v>
      </c>
      <c r="J1252" s="36">
        <f>SUMIF(mvtst[QR Suivis],mvtst[[#This Row],[QR Suivis]],mvtst[QTE SORTIS])-SUMIF(mvtst[QR Suivis],mvtst[[#This Row],[QR Suivis]],mvtst[QTE RETOUR])</f>
        <v>0</v>
      </c>
      <c r="K1252" s="35" t="str">
        <f t="shared" si="19"/>
        <v>Usine</v>
      </c>
      <c r="L1252" s="35" t="str">
        <f>_xlfn.XLOOKUP(mvtst[[#This Row],[Sous Traitant]],coordonnee_st[Identification],coordonnee_st[SERVICE],"Non Trouvé")</f>
        <v>Frange</v>
      </c>
      <c r="M1252" s="35" t="str">
        <f>INDEX(_xlfn.TEXTSPLIT(mvtst[[#This Row],[QR Suivis]],"_"),1,2)</f>
        <v>CL00296</v>
      </c>
      <c r="N1252" s="35" t="str">
        <f>INDEX(_xlfn.TEXTSPLIT(mvtst[[#This Row],[QR Suivis]],"_"),1,3)</f>
        <v>CM-FT0108</v>
      </c>
      <c r="O1252" s="35" t="str">
        <f>INDEX(_xlfn.TEXTSPLIT(mvtst[[#This Row],[QR Suivis]],"_"),1,4)</f>
        <v>EPMA0919-B03-02</v>
      </c>
      <c r="P1252" s="35" t="str">
        <f>INDEX(_xlfn.TEXTSPLIT(mvtst[[#This Row],[QR Suivis]],"_"),1,5)</f>
        <v>MARINIERE</v>
      </c>
      <c r="Q1252" s="35" t="str">
        <f>_xlfn.TEXTAFTER(mvtst[[#This Row],[QR Suivis]],"_",5)</f>
        <v>0919</v>
      </c>
      <c r="R1252" s="84" t="str">
        <f>IF(
   COUNTIFS($A$2:A1252,A1252,
             $B$2:B1252,B1252,
             $C$2:C1252,C1252,
             $D$2:D1252,D1252,
             $G$2:G1252,G1252)&gt;1,
   "Doublon",
   "Correcte"
)</f>
        <v>Correcte</v>
      </c>
    </row>
    <row r="1253" spans="1:18" x14ac:dyDescent="0.25">
      <c r="A1253" s="104" t="s">
        <v>1860</v>
      </c>
      <c r="B1253" s="35" t="s">
        <v>646</v>
      </c>
      <c r="C1253" s="36">
        <v>0</v>
      </c>
      <c r="D1253" s="36">
        <v>5</v>
      </c>
      <c r="E1253" s="35" t="s">
        <v>699</v>
      </c>
      <c r="F1253" s="35" t="s">
        <v>634</v>
      </c>
      <c r="G1253" s="37">
        <v>45937.448993055557</v>
      </c>
      <c r="H1253" s="37" t="str">
        <f>INDEX(_xlfn.TEXTSPLIT(mvtst[[#This Row],[QR Suivis]],"_"),1,1)</f>
        <v>OF246535-10</v>
      </c>
      <c r="I1253" s="35" t="str">
        <f>_xlfn.TEXTBEFORE(mvtst[[#This Row],[Num Suivis]],"-",,,1)</f>
        <v>OF246535</v>
      </c>
      <c r="J1253" s="36">
        <f>SUMIF(mvtst[QR Suivis],mvtst[[#This Row],[QR Suivis]],mvtst[QTE SORTIS])-SUMIF(mvtst[QR Suivis],mvtst[[#This Row],[QR Suivis]],mvtst[QTE RETOUR])</f>
        <v>0</v>
      </c>
      <c r="K1253" s="35" t="str">
        <f t="shared" si="19"/>
        <v>Usine</v>
      </c>
      <c r="L1253" s="35" t="str">
        <f>_xlfn.XLOOKUP(mvtst[[#This Row],[Sous Traitant]],coordonnee_st[Identification],coordonnee_st[SERVICE],"Non Trouvé")</f>
        <v>Frange</v>
      </c>
      <c r="M1253" s="35" t="str">
        <f>INDEX(_xlfn.TEXTSPLIT(mvtst[[#This Row],[QR Suivis]],"_"),1,2)</f>
        <v>CL00296</v>
      </c>
      <c r="N1253" s="35" t="str">
        <f>INDEX(_xlfn.TEXTSPLIT(mvtst[[#This Row],[QR Suivis]],"_"),1,3)</f>
        <v>CM-FT0108</v>
      </c>
      <c r="O1253" s="35" t="str">
        <f>INDEX(_xlfn.TEXTSPLIT(mvtst[[#This Row],[QR Suivis]],"_"),1,4)</f>
        <v>EPMA0919-B03-02</v>
      </c>
      <c r="P1253" s="35" t="str">
        <f>INDEX(_xlfn.TEXTSPLIT(mvtst[[#This Row],[QR Suivis]],"_"),1,5)</f>
        <v>MARINIERE</v>
      </c>
      <c r="Q1253" s="35" t="str">
        <f>_xlfn.TEXTAFTER(mvtst[[#This Row],[QR Suivis]],"_",5)</f>
        <v>0919</v>
      </c>
      <c r="R1253" s="84" t="str">
        <f>IF(
   COUNTIFS($A$2:A1253,A1253,
             $B$2:B1253,B1253,
             $C$2:C1253,C1253,
             $D$2:D1253,D1253,
             $G$2:G1253,G1253)&gt;1,
   "Doublon",
   "Correcte"
)</f>
        <v>Correcte</v>
      </c>
    </row>
    <row r="1254" spans="1:18" x14ac:dyDescent="0.25">
      <c r="A1254" s="104" t="s">
        <v>1865</v>
      </c>
      <c r="B1254" s="35" t="s">
        <v>646</v>
      </c>
      <c r="C1254" s="36">
        <v>0</v>
      </c>
      <c r="D1254" s="36">
        <v>5</v>
      </c>
      <c r="E1254" s="35" t="s">
        <v>699</v>
      </c>
      <c r="F1254" s="35" t="s">
        <v>634</v>
      </c>
      <c r="G1254" s="37">
        <v>45937.449513888889</v>
      </c>
      <c r="H1254" s="37" t="str">
        <f>INDEX(_xlfn.TEXTSPLIT(mvtst[[#This Row],[QR Suivis]],"_"),1,1)</f>
        <v>CA250635-12</v>
      </c>
      <c r="I1254" s="35" t="str">
        <f>_xlfn.TEXTBEFORE(mvtst[[#This Row],[Num Suivis]],"-",,,1)</f>
        <v>CA250635</v>
      </c>
      <c r="J1254" s="36">
        <f>SUMIF(mvtst[QR Suivis],mvtst[[#This Row],[QR Suivis]],mvtst[QTE SORTIS])-SUMIF(mvtst[QR Suivis],mvtst[[#This Row],[QR Suivis]],mvtst[QTE RETOUR])</f>
        <v>0</v>
      </c>
      <c r="K1254" s="35" t="str">
        <f t="shared" si="19"/>
        <v>Usine</v>
      </c>
      <c r="L1254" s="35" t="str">
        <f>_xlfn.XLOOKUP(mvtst[[#This Row],[Sous Traitant]],coordonnee_st[Identification],coordonnee_st[SERVICE],"Non Trouvé")</f>
        <v>Frange</v>
      </c>
      <c r="M1254" s="35" t="str">
        <f>INDEX(_xlfn.TEXTSPLIT(mvtst[[#This Row],[QR Suivis]],"_"),1,2)</f>
        <v>All by Fouta</v>
      </c>
      <c r="N1254" s="35" t="str">
        <f>INDEX(_xlfn.TEXTSPLIT(mvtst[[#This Row],[QR Suivis]],"_"),1,3)</f>
        <v>Stock</v>
      </c>
      <c r="O1254" s="35" t="str">
        <f>INDEX(_xlfn.TEXTSPLIT(mvtst[[#This Row],[QR Suivis]],"_"),1,4)</f>
        <v>EPMA0919-B11-02</v>
      </c>
      <c r="P1254" s="35" t="str">
        <f>INDEX(_xlfn.TEXTSPLIT(mvtst[[#This Row],[QR Suivis]],"_"),1,5)</f>
        <v>MARINIERE</v>
      </c>
      <c r="Q1254" s="35" t="str">
        <f>_xlfn.TEXTAFTER(mvtst[[#This Row],[QR Suivis]],"_",5)</f>
        <v>0919</v>
      </c>
      <c r="R1254" s="84" t="str">
        <f>IF(
   COUNTIFS($A$2:A1254,A1254,
             $B$2:B1254,B1254,
             $C$2:C1254,C1254,
             $D$2:D1254,D1254,
             $G$2:G1254,G1254)&gt;1,
   "Doublon",
   "Correcte"
)</f>
        <v>Correcte</v>
      </c>
    </row>
    <row r="1255" spans="1:18" x14ac:dyDescent="0.25">
      <c r="A1255" s="104" t="s">
        <v>1751</v>
      </c>
      <c r="B1255" s="35" t="s">
        <v>646</v>
      </c>
      <c r="C1255" s="36">
        <v>0</v>
      </c>
      <c r="D1255" s="36">
        <v>5</v>
      </c>
      <c r="E1255" s="35" t="s">
        <v>699</v>
      </c>
      <c r="F1255" s="35" t="s">
        <v>634</v>
      </c>
      <c r="G1255" s="37">
        <v>45937.449849537035</v>
      </c>
      <c r="H1255" s="37" t="str">
        <f>INDEX(_xlfn.TEXTSPLIT(mvtst[[#This Row],[QR Suivis]],"_"),1,1)</f>
        <v>OF246539-9</v>
      </c>
      <c r="I1255" s="35" t="str">
        <f>_xlfn.TEXTBEFORE(mvtst[[#This Row],[Num Suivis]],"-",,,1)</f>
        <v>OF246539</v>
      </c>
      <c r="J1255" s="36">
        <f>SUMIF(mvtst[QR Suivis],mvtst[[#This Row],[QR Suivis]],mvtst[QTE SORTIS])-SUMIF(mvtst[QR Suivis],mvtst[[#This Row],[QR Suivis]],mvtst[QTE RETOUR])</f>
        <v>0</v>
      </c>
      <c r="K1255" s="35" t="str">
        <f t="shared" si="19"/>
        <v>Usine</v>
      </c>
      <c r="L1255" s="35" t="str">
        <f>_xlfn.XLOOKUP(mvtst[[#This Row],[Sous Traitant]],coordonnee_st[Identification],coordonnee_st[SERVICE],"Non Trouvé")</f>
        <v>Frange</v>
      </c>
      <c r="M1255" s="35" t="str">
        <f>INDEX(_xlfn.TEXTSPLIT(mvtst[[#This Row],[QR Suivis]],"_"),1,2)</f>
        <v>CL00296</v>
      </c>
      <c r="N1255" s="35" t="str">
        <f>INDEX(_xlfn.TEXTSPLIT(mvtst[[#This Row],[QR Suivis]],"_"),1,3)</f>
        <v>CM-FT0108</v>
      </c>
      <c r="O1255" s="35" t="str">
        <f>INDEX(_xlfn.TEXTSPLIT(mvtst[[#This Row],[QR Suivis]],"_"),1,4)</f>
        <v>EPMA0919-B29-02</v>
      </c>
      <c r="P1255" s="35" t="str">
        <f>INDEX(_xlfn.TEXTSPLIT(mvtst[[#This Row],[QR Suivis]],"_"),1,5)</f>
        <v>MARINIERE</v>
      </c>
      <c r="Q1255" s="35" t="str">
        <f>_xlfn.TEXTAFTER(mvtst[[#This Row],[QR Suivis]],"_",5)</f>
        <v>0919</v>
      </c>
      <c r="R1255" s="84" t="str">
        <f>IF(
   COUNTIFS($A$2:A1255,A1255,
             $B$2:B1255,B1255,
             $C$2:C1255,C1255,
             $D$2:D1255,D1255,
             $G$2:G1255,G1255)&gt;1,
   "Doublon",
   "Correcte"
)</f>
        <v>Correcte</v>
      </c>
    </row>
    <row r="1256" spans="1:18" x14ac:dyDescent="0.25">
      <c r="A1256" s="104" t="s">
        <v>1755</v>
      </c>
      <c r="B1256" s="35" t="s">
        <v>646</v>
      </c>
      <c r="C1256" s="36">
        <v>0</v>
      </c>
      <c r="D1256" s="36">
        <v>5</v>
      </c>
      <c r="E1256" s="35" t="s">
        <v>699</v>
      </c>
      <c r="F1256" s="35" t="s">
        <v>634</v>
      </c>
      <c r="G1256" s="37">
        <v>45937.450057870374</v>
      </c>
      <c r="H1256" s="37" t="str">
        <f>INDEX(_xlfn.TEXTSPLIT(mvtst[[#This Row],[QR Suivis]],"_"),1,1)</f>
        <v>OF246539-3</v>
      </c>
      <c r="I1256" s="35" t="str">
        <f>_xlfn.TEXTBEFORE(mvtst[[#This Row],[Num Suivis]],"-",,,1)</f>
        <v>OF246539</v>
      </c>
      <c r="J1256" s="36">
        <f>SUMIF(mvtst[QR Suivis],mvtst[[#This Row],[QR Suivis]],mvtst[QTE SORTIS])-SUMIF(mvtst[QR Suivis],mvtst[[#This Row],[QR Suivis]],mvtst[QTE RETOUR])</f>
        <v>0</v>
      </c>
      <c r="K1256" s="35" t="str">
        <f t="shared" si="19"/>
        <v>Usine</v>
      </c>
      <c r="L1256" s="35" t="str">
        <f>_xlfn.XLOOKUP(mvtst[[#This Row],[Sous Traitant]],coordonnee_st[Identification],coordonnee_st[SERVICE],"Non Trouvé")</f>
        <v>Frange</v>
      </c>
      <c r="M1256" s="35" t="str">
        <f>INDEX(_xlfn.TEXTSPLIT(mvtst[[#This Row],[QR Suivis]],"_"),1,2)</f>
        <v>CL00296</v>
      </c>
      <c r="N1256" s="35" t="str">
        <f>INDEX(_xlfn.TEXTSPLIT(mvtst[[#This Row],[QR Suivis]],"_"),1,3)</f>
        <v>CM-FT0108</v>
      </c>
      <c r="O1256" s="35" t="str">
        <f>INDEX(_xlfn.TEXTSPLIT(mvtst[[#This Row],[QR Suivis]],"_"),1,4)</f>
        <v>EPMA0919-B29-02</v>
      </c>
      <c r="P1256" s="35" t="str">
        <f>INDEX(_xlfn.TEXTSPLIT(mvtst[[#This Row],[QR Suivis]],"_"),1,5)</f>
        <v>MARINIERE</v>
      </c>
      <c r="Q1256" s="35" t="str">
        <f>_xlfn.TEXTAFTER(mvtst[[#This Row],[QR Suivis]],"_",5)</f>
        <v>0919</v>
      </c>
      <c r="R1256" s="84" t="str">
        <f>IF(
   COUNTIFS($A$2:A1256,A1256,
             $B$2:B1256,B1256,
             $C$2:C1256,C1256,
             $D$2:D1256,D1256,
             $G$2:G1256,G1256)&gt;1,
   "Doublon",
   "Correcte"
)</f>
        <v>Correcte</v>
      </c>
    </row>
    <row r="1257" spans="1:18" x14ac:dyDescent="0.25">
      <c r="A1257" s="104" t="s">
        <v>1856</v>
      </c>
      <c r="B1257" s="35" t="s">
        <v>646</v>
      </c>
      <c r="C1257" s="36">
        <v>0</v>
      </c>
      <c r="D1257" s="36">
        <v>5</v>
      </c>
      <c r="E1257" s="35" t="s">
        <v>699</v>
      </c>
      <c r="F1257" s="35" t="s">
        <v>634</v>
      </c>
      <c r="G1257" s="37">
        <v>45937.450254629628</v>
      </c>
      <c r="H1257" s="37" t="str">
        <f>INDEX(_xlfn.TEXTSPLIT(mvtst[[#This Row],[QR Suivis]],"_"),1,1)</f>
        <v>OF246535-3</v>
      </c>
      <c r="I1257" s="35" t="str">
        <f>_xlfn.TEXTBEFORE(mvtst[[#This Row],[Num Suivis]],"-",,,1)</f>
        <v>OF246535</v>
      </c>
      <c r="J1257" s="36">
        <f>SUMIF(mvtst[QR Suivis],mvtst[[#This Row],[QR Suivis]],mvtst[QTE SORTIS])-SUMIF(mvtst[QR Suivis],mvtst[[#This Row],[QR Suivis]],mvtst[QTE RETOUR])</f>
        <v>0</v>
      </c>
      <c r="K1257" s="35" t="str">
        <f t="shared" si="19"/>
        <v>Usine</v>
      </c>
      <c r="L1257" s="35" t="str">
        <f>_xlfn.XLOOKUP(mvtst[[#This Row],[Sous Traitant]],coordonnee_st[Identification],coordonnee_st[SERVICE],"Non Trouvé")</f>
        <v>Frange</v>
      </c>
      <c r="M1257" s="35" t="str">
        <f>INDEX(_xlfn.TEXTSPLIT(mvtst[[#This Row],[QR Suivis]],"_"),1,2)</f>
        <v>CL00296</v>
      </c>
      <c r="N1257" s="35" t="str">
        <f>INDEX(_xlfn.TEXTSPLIT(mvtst[[#This Row],[QR Suivis]],"_"),1,3)</f>
        <v>CM-FT0108</v>
      </c>
      <c r="O1257" s="35" t="str">
        <f>INDEX(_xlfn.TEXTSPLIT(mvtst[[#This Row],[QR Suivis]],"_"),1,4)</f>
        <v>EPMA0919-B03-02</v>
      </c>
      <c r="P1257" s="35" t="str">
        <f>INDEX(_xlfn.TEXTSPLIT(mvtst[[#This Row],[QR Suivis]],"_"),1,5)</f>
        <v>MARINIERE</v>
      </c>
      <c r="Q1257" s="35" t="str">
        <f>_xlfn.TEXTAFTER(mvtst[[#This Row],[QR Suivis]],"_",5)</f>
        <v>0919</v>
      </c>
      <c r="R1257" s="84" t="str">
        <f>IF(
   COUNTIFS($A$2:A1257,A1257,
             $B$2:B1257,B1257,
             $C$2:C1257,C1257,
             $D$2:D1257,D1257,
             $G$2:G1257,G1257)&gt;1,
   "Doublon",
   "Correcte"
)</f>
        <v>Correcte</v>
      </c>
    </row>
    <row r="1258" spans="1:18" x14ac:dyDescent="0.25">
      <c r="A1258" s="104" t="s">
        <v>1759</v>
      </c>
      <c r="B1258" s="35" t="s">
        <v>651</v>
      </c>
      <c r="C1258" s="36">
        <v>0</v>
      </c>
      <c r="D1258" s="36">
        <v>5</v>
      </c>
      <c r="E1258" s="35"/>
      <c r="F1258" s="35" t="s">
        <v>664</v>
      </c>
      <c r="G1258" s="37">
        <v>45937</v>
      </c>
      <c r="H1258" s="37" t="str">
        <f>INDEX(_xlfn.TEXTSPLIT(mvtst[[#This Row],[QR Suivis]],"_"),1,1)</f>
        <v>OF246539-4</v>
      </c>
      <c r="I1258" s="35" t="str">
        <f>_xlfn.TEXTBEFORE(mvtst[[#This Row],[Num Suivis]],"-",,,1)</f>
        <v>OF246539</v>
      </c>
      <c r="J1258" s="36">
        <f>SUMIF(mvtst[QR Suivis],mvtst[[#This Row],[QR Suivis]],mvtst[QTE SORTIS])-SUMIF(mvtst[QR Suivis],mvtst[[#This Row],[QR Suivis]],mvtst[QTE RETOUR])</f>
        <v>0</v>
      </c>
      <c r="K1258" s="35" t="str">
        <f t="shared" si="19"/>
        <v>Usine</v>
      </c>
      <c r="L1258" s="35" t="str">
        <f>_xlfn.XLOOKUP(mvtst[[#This Row],[Sous Traitant]],coordonnee_st[Identification],coordonnee_st[SERVICE],"Non Trouvé")</f>
        <v>Frange</v>
      </c>
      <c r="M1258" s="35" t="str">
        <f>INDEX(_xlfn.TEXTSPLIT(mvtst[[#This Row],[QR Suivis]],"_"),1,2)</f>
        <v>CL00296</v>
      </c>
      <c r="N1258" s="35" t="str">
        <f>INDEX(_xlfn.TEXTSPLIT(mvtst[[#This Row],[QR Suivis]],"_"),1,3)</f>
        <v>CM-FT0108</v>
      </c>
      <c r="O1258" s="35" t="str">
        <f>INDEX(_xlfn.TEXTSPLIT(mvtst[[#This Row],[QR Suivis]],"_"),1,4)</f>
        <v>EPMA0919-B29-02</v>
      </c>
      <c r="P1258" s="35" t="str">
        <f>INDEX(_xlfn.TEXTSPLIT(mvtst[[#This Row],[QR Suivis]],"_"),1,5)</f>
        <v>MARINIERE</v>
      </c>
      <c r="Q1258" s="35" t="str">
        <f>_xlfn.TEXTAFTER(mvtst[[#This Row],[QR Suivis]],"_",5)</f>
        <v>0919</v>
      </c>
      <c r="R1258" s="84" t="str">
        <f>IF(
   COUNTIFS($A$2:A1258,A1258,
             $B$2:B1258,B1258,
             $C$2:C1258,C1258,
             $D$2:D1258,D1258,
             $G$2:G1258,G1258)&gt;1,
   "Doublon",
   "Correcte"
)</f>
        <v>Correcte</v>
      </c>
    </row>
    <row r="1259" spans="1:18" x14ac:dyDescent="0.25">
      <c r="A1259" s="104" t="s">
        <v>1761</v>
      </c>
      <c r="B1259" s="35" t="s">
        <v>651</v>
      </c>
      <c r="C1259" s="36">
        <v>0</v>
      </c>
      <c r="D1259" s="36">
        <v>5</v>
      </c>
      <c r="E1259" s="35"/>
      <c r="F1259" s="35" t="s">
        <v>664</v>
      </c>
      <c r="G1259" s="37">
        <v>45937</v>
      </c>
      <c r="H1259" s="37" t="str">
        <f>INDEX(_xlfn.TEXTSPLIT(mvtst[[#This Row],[QR Suivis]],"_"),1,1)</f>
        <v>OF246539-7</v>
      </c>
      <c r="I1259" s="35" t="str">
        <f>_xlfn.TEXTBEFORE(mvtst[[#This Row],[Num Suivis]],"-",,,1)</f>
        <v>OF246539</v>
      </c>
      <c r="J1259" s="36">
        <f>SUMIF(mvtst[QR Suivis],mvtst[[#This Row],[QR Suivis]],mvtst[QTE SORTIS])-SUMIF(mvtst[QR Suivis],mvtst[[#This Row],[QR Suivis]],mvtst[QTE RETOUR])</f>
        <v>0</v>
      </c>
      <c r="K1259" s="35" t="str">
        <f t="shared" si="19"/>
        <v>Usine</v>
      </c>
      <c r="L1259" s="35" t="str">
        <f>_xlfn.XLOOKUP(mvtst[[#This Row],[Sous Traitant]],coordonnee_st[Identification],coordonnee_st[SERVICE],"Non Trouvé")</f>
        <v>Frange</v>
      </c>
      <c r="M1259" s="35" t="str">
        <f>INDEX(_xlfn.TEXTSPLIT(mvtst[[#This Row],[QR Suivis]],"_"),1,2)</f>
        <v>CL00296</v>
      </c>
      <c r="N1259" s="35" t="str">
        <f>INDEX(_xlfn.TEXTSPLIT(mvtst[[#This Row],[QR Suivis]],"_"),1,3)</f>
        <v>CM-FT0108</v>
      </c>
      <c r="O1259" s="35" t="str">
        <f>INDEX(_xlfn.TEXTSPLIT(mvtst[[#This Row],[QR Suivis]],"_"),1,4)</f>
        <v>EPMA0919-B29-02</v>
      </c>
      <c r="P1259" s="35" t="str">
        <f>INDEX(_xlfn.TEXTSPLIT(mvtst[[#This Row],[QR Suivis]],"_"),1,5)</f>
        <v>MARINIERE</v>
      </c>
      <c r="Q1259" s="35" t="str">
        <f>_xlfn.TEXTAFTER(mvtst[[#This Row],[QR Suivis]],"_",5)</f>
        <v>0919</v>
      </c>
      <c r="R1259" s="84" t="str">
        <f>IF(
   COUNTIFS($A$2:A1259,A1259,
             $B$2:B1259,B1259,
             $C$2:C1259,C1259,
             $D$2:D1259,D1259,
             $G$2:G1259,G1259)&gt;1,
   "Doublon",
   "Correcte"
)</f>
        <v>Correcte</v>
      </c>
    </row>
    <row r="1260" spans="1:18" x14ac:dyDescent="0.25">
      <c r="A1260" s="104" t="s">
        <v>1756</v>
      </c>
      <c r="B1260" s="35" t="s">
        <v>651</v>
      </c>
      <c r="C1260" s="36">
        <v>0</v>
      </c>
      <c r="D1260" s="36">
        <v>5</v>
      </c>
      <c r="E1260" s="35"/>
      <c r="F1260" s="35" t="s">
        <v>664</v>
      </c>
      <c r="G1260" s="37">
        <v>45937</v>
      </c>
      <c r="H1260" s="37" t="str">
        <f>INDEX(_xlfn.TEXTSPLIT(mvtst[[#This Row],[QR Suivis]],"_"),1,1)</f>
        <v>OF246539-12</v>
      </c>
      <c r="I1260" s="35" t="str">
        <f>_xlfn.TEXTBEFORE(mvtst[[#This Row],[Num Suivis]],"-",,,1)</f>
        <v>OF246539</v>
      </c>
      <c r="J1260" s="36">
        <f>SUMIF(mvtst[QR Suivis],mvtst[[#This Row],[QR Suivis]],mvtst[QTE SORTIS])-SUMIF(mvtst[QR Suivis],mvtst[[#This Row],[QR Suivis]],mvtst[QTE RETOUR])</f>
        <v>0</v>
      </c>
      <c r="K1260" s="35" t="str">
        <f t="shared" si="19"/>
        <v>Usine</v>
      </c>
      <c r="L1260" s="35" t="str">
        <f>_xlfn.XLOOKUP(mvtst[[#This Row],[Sous Traitant]],coordonnee_st[Identification],coordonnee_st[SERVICE],"Non Trouvé")</f>
        <v>Frange</v>
      </c>
      <c r="M1260" s="35" t="str">
        <f>INDEX(_xlfn.TEXTSPLIT(mvtst[[#This Row],[QR Suivis]],"_"),1,2)</f>
        <v>CL00296</v>
      </c>
      <c r="N1260" s="35" t="str">
        <f>INDEX(_xlfn.TEXTSPLIT(mvtst[[#This Row],[QR Suivis]],"_"),1,3)</f>
        <v>CM-FT0108</v>
      </c>
      <c r="O1260" s="35" t="str">
        <f>INDEX(_xlfn.TEXTSPLIT(mvtst[[#This Row],[QR Suivis]],"_"),1,4)</f>
        <v>EPMA0919-B29-02</v>
      </c>
      <c r="P1260" s="35" t="str">
        <f>INDEX(_xlfn.TEXTSPLIT(mvtst[[#This Row],[QR Suivis]],"_"),1,5)</f>
        <v>MARINIERE</v>
      </c>
      <c r="Q1260" s="35" t="str">
        <f>_xlfn.TEXTAFTER(mvtst[[#This Row],[QR Suivis]],"_",5)</f>
        <v>0919</v>
      </c>
      <c r="R1260" s="84" t="str">
        <f>IF(
   COUNTIFS($A$2:A1260,A1260,
             $B$2:B1260,B1260,
             $C$2:C1260,C1260,
             $D$2:D1260,D1260,
             $G$2:G1260,G1260)&gt;1,
   "Doublon",
   "Correcte"
)</f>
        <v>Correcte</v>
      </c>
    </row>
    <row r="1261" spans="1:18" x14ac:dyDescent="0.25">
      <c r="A1261" s="104" t="s">
        <v>1760</v>
      </c>
      <c r="B1261" s="35" t="s">
        <v>651</v>
      </c>
      <c r="C1261" s="36">
        <v>0</v>
      </c>
      <c r="D1261" s="36">
        <v>5</v>
      </c>
      <c r="E1261" s="35"/>
      <c r="F1261" s="35" t="s">
        <v>664</v>
      </c>
      <c r="G1261" s="37">
        <v>45937</v>
      </c>
      <c r="H1261" s="37" t="str">
        <f>INDEX(_xlfn.TEXTSPLIT(mvtst[[#This Row],[QR Suivis]],"_"),1,1)</f>
        <v>OF246539-10</v>
      </c>
      <c r="I1261" s="35" t="str">
        <f>_xlfn.TEXTBEFORE(mvtst[[#This Row],[Num Suivis]],"-",,,1)</f>
        <v>OF246539</v>
      </c>
      <c r="J1261" s="36">
        <f>SUMIF(mvtst[QR Suivis],mvtst[[#This Row],[QR Suivis]],mvtst[QTE SORTIS])-SUMIF(mvtst[QR Suivis],mvtst[[#This Row],[QR Suivis]],mvtst[QTE RETOUR])</f>
        <v>0</v>
      </c>
      <c r="K1261" s="35" t="str">
        <f t="shared" si="19"/>
        <v>Usine</v>
      </c>
      <c r="L1261" s="35" t="str">
        <f>_xlfn.XLOOKUP(mvtst[[#This Row],[Sous Traitant]],coordonnee_st[Identification],coordonnee_st[SERVICE],"Non Trouvé")</f>
        <v>Frange</v>
      </c>
      <c r="M1261" s="35" t="str">
        <f>INDEX(_xlfn.TEXTSPLIT(mvtst[[#This Row],[QR Suivis]],"_"),1,2)</f>
        <v>CL00296</v>
      </c>
      <c r="N1261" s="35" t="str">
        <f>INDEX(_xlfn.TEXTSPLIT(mvtst[[#This Row],[QR Suivis]],"_"),1,3)</f>
        <v>CM-FT0108</v>
      </c>
      <c r="O1261" s="35" t="str">
        <f>INDEX(_xlfn.TEXTSPLIT(mvtst[[#This Row],[QR Suivis]],"_"),1,4)</f>
        <v>EPMA0919-B29-02</v>
      </c>
      <c r="P1261" s="35" t="str">
        <f>INDEX(_xlfn.TEXTSPLIT(mvtst[[#This Row],[QR Suivis]],"_"),1,5)</f>
        <v>MARINIERE</v>
      </c>
      <c r="Q1261" s="35" t="str">
        <f>_xlfn.TEXTAFTER(mvtst[[#This Row],[QR Suivis]],"_",5)</f>
        <v>0919</v>
      </c>
      <c r="R1261" s="84" t="str">
        <f>IF(
   COUNTIFS($A$2:A1261,A1261,
             $B$2:B1261,B1261,
             $C$2:C1261,C1261,
             $D$2:D1261,D1261,
             $G$2:G1261,G1261)&gt;1,
   "Doublon",
   "Correcte"
)</f>
        <v>Correcte</v>
      </c>
    </row>
    <row r="1262" spans="1:18" x14ac:dyDescent="0.25">
      <c r="A1262" s="104" t="s">
        <v>1758</v>
      </c>
      <c r="B1262" s="35" t="s">
        <v>651</v>
      </c>
      <c r="C1262" s="36">
        <v>0</v>
      </c>
      <c r="D1262" s="36">
        <v>5</v>
      </c>
      <c r="E1262" s="35"/>
      <c r="F1262" s="35" t="s">
        <v>664</v>
      </c>
      <c r="G1262" s="37">
        <v>45937</v>
      </c>
      <c r="H1262" s="37" t="str">
        <f>INDEX(_xlfn.TEXTSPLIT(mvtst[[#This Row],[QR Suivis]],"_"),1,1)</f>
        <v>OF246539-5</v>
      </c>
      <c r="I1262" s="35" t="str">
        <f>_xlfn.TEXTBEFORE(mvtst[[#This Row],[Num Suivis]],"-",,,1)</f>
        <v>OF246539</v>
      </c>
      <c r="J1262" s="36">
        <f>SUMIF(mvtst[QR Suivis],mvtst[[#This Row],[QR Suivis]],mvtst[QTE SORTIS])-SUMIF(mvtst[QR Suivis],mvtst[[#This Row],[QR Suivis]],mvtst[QTE RETOUR])</f>
        <v>0</v>
      </c>
      <c r="K1262" s="35" t="str">
        <f t="shared" si="19"/>
        <v>Usine</v>
      </c>
      <c r="L1262" s="35" t="str">
        <f>_xlfn.XLOOKUP(mvtst[[#This Row],[Sous Traitant]],coordonnee_st[Identification],coordonnee_st[SERVICE],"Non Trouvé")</f>
        <v>Frange</v>
      </c>
      <c r="M1262" s="35" t="str">
        <f>INDEX(_xlfn.TEXTSPLIT(mvtst[[#This Row],[QR Suivis]],"_"),1,2)</f>
        <v>CL00296</v>
      </c>
      <c r="N1262" s="35" t="str">
        <f>INDEX(_xlfn.TEXTSPLIT(mvtst[[#This Row],[QR Suivis]],"_"),1,3)</f>
        <v>CM-FT0108</v>
      </c>
      <c r="O1262" s="35" t="str">
        <f>INDEX(_xlfn.TEXTSPLIT(mvtst[[#This Row],[QR Suivis]],"_"),1,4)</f>
        <v>EPMA0919-B29-02</v>
      </c>
      <c r="P1262" s="35" t="str">
        <f>INDEX(_xlfn.TEXTSPLIT(mvtst[[#This Row],[QR Suivis]],"_"),1,5)</f>
        <v>MARINIERE</v>
      </c>
      <c r="Q1262" s="35" t="str">
        <f>_xlfn.TEXTAFTER(mvtst[[#This Row],[QR Suivis]],"_",5)</f>
        <v>0919</v>
      </c>
      <c r="R1262" s="84" t="str">
        <f>IF(
   COUNTIFS($A$2:A1262,A1262,
             $B$2:B1262,B1262,
             $C$2:C1262,C1262,
             $D$2:D1262,D1262,
             $G$2:G1262,G1262)&gt;1,
   "Doublon",
   "Correcte"
)</f>
        <v>Correcte</v>
      </c>
    </row>
    <row r="1263" spans="1:18" x14ac:dyDescent="0.25">
      <c r="A1263" s="104" t="s">
        <v>1757</v>
      </c>
      <c r="B1263" s="35" t="s">
        <v>651</v>
      </c>
      <c r="C1263" s="36">
        <v>0</v>
      </c>
      <c r="D1263" s="36">
        <v>5</v>
      </c>
      <c r="E1263" s="35"/>
      <c r="F1263" s="35" t="s">
        <v>664</v>
      </c>
      <c r="G1263" s="37">
        <v>45937</v>
      </c>
      <c r="H1263" s="37" t="str">
        <f>INDEX(_xlfn.TEXTSPLIT(mvtst[[#This Row],[QR Suivis]],"_"),1,1)</f>
        <v>OF246539-11</v>
      </c>
      <c r="I1263" s="35" t="str">
        <f>_xlfn.TEXTBEFORE(mvtst[[#This Row],[Num Suivis]],"-",,,1)</f>
        <v>OF246539</v>
      </c>
      <c r="J1263" s="36">
        <f>SUMIF(mvtst[QR Suivis],mvtst[[#This Row],[QR Suivis]],mvtst[QTE SORTIS])-SUMIF(mvtst[QR Suivis],mvtst[[#This Row],[QR Suivis]],mvtst[QTE RETOUR])</f>
        <v>0</v>
      </c>
      <c r="K1263" s="35" t="str">
        <f t="shared" si="19"/>
        <v>Usine</v>
      </c>
      <c r="L1263" s="35" t="str">
        <f>_xlfn.XLOOKUP(mvtst[[#This Row],[Sous Traitant]],coordonnee_st[Identification],coordonnee_st[SERVICE],"Non Trouvé")</f>
        <v>Frange</v>
      </c>
      <c r="M1263" s="35" t="str">
        <f>INDEX(_xlfn.TEXTSPLIT(mvtst[[#This Row],[QR Suivis]],"_"),1,2)</f>
        <v>CL00296</v>
      </c>
      <c r="N1263" s="35" t="str">
        <f>INDEX(_xlfn.TEXTSPLIT(mvtst[[#This Row],[QR Suivis]],"_"),1,3)</f>
        <v>CM-FT0108</v>
      </c>
      <c r="O1263" s="35" t="str">
        <f>INDEX(_xlfn.TEXTSPLIT(mvtst[[#This Row],[QR Suivis]],"_"),1,4)</f>
        <v>EPMA0919-B29-02</v>
      </c>
      <c r="P1263" s="35" t="str">
        <f>INDEX(_xlfn.TEXTSPLIT(mvtst[[#This Row],[QR Suivis]],"_"),1,5)</f>
        <v>MARINIERE</v>
      </c>
      <c r="Q1263" s="35" t="str">
        <f>_xlfn.TEXTAFTER(mvtst[[#This Row],[QR Suivis]],"_",5)</f>
        <v>0919</v>
      </c>
      <c r="R1263" s="84" t="str">
        <f>IF(
   COUNTIFS($A$2:A1263,A1263,
             $B$2:B1263,B1263,
             $C$2:C1263,C1263,
             $D$2:D1263,D1263,
             $G$2:G1263,G1263)&gt;1,
   "Doublon",
   "Correcte"
)</f>
        <v>Correcte</v>
      </c>
    </row>
    <row r="1264" spans="1:18" x14ac:dyDescent="0.25">
      <c r="A1264" s="104" t="s">
        <v>1927</v>
      </c>
      <c r="B1264" s="35" t="s">
        <v>595</v>
      </c>
      <c r="C1264" s="36">
        <v>5</v>
      </c>
      <c r="D1264" s="36">
        <v>0</v>
      </c>
      <c r="E1264" s="35" t="s">
        <v>699</v>
      </c>
      <c r="F1264" s="35" t="s">
        <v>634</v>
      </c>
      <c r="G1264" s="37">
        <v>45937.505185185182</v>
      </c>
      <c r="H1264" s="37" t="str">
        <f>INDEX(_xlfn.TEXTSPLIT(mvtst[[#This Row],[QR Suivis]],"_"),1,1)</f>
        <v>OF249868-1</v>
      </c>
      <c r="I1264" s="35" t="str">
        <f>_xlfn.TEXTBEFORE(mvtst[[#This Row],[Num Suivis]],"-",,,1)</f>
        <v>OF249868</v>
      </c>
      <c r="J1264" s="36">
        <f>SUMIF(mvtst[QR Suivis],mvtst[[#This Row],[QR Suivis]],mvtst[QTE SORTIS])-SUMIF(mvtst[QR Suivis],mvtst[[#This Row],[QR Suivis]],mvtst[QTE RETOUR])</f>
        <v>0</v>
      </c>
      <c r="K1264" s="35" t="str">
        <f t="shared" si="19"/>
        <v>Usine</v>
      </c>
      <c r="L1264" s="35" t="str">
        <f>_xlfn.XLOOKUP(mvtst[[#This Row],[Sous Traitant]],coordonnee_st[Identification],coordonnee_st[SERVICE],"Non Trouvé")</f>
        <v>Frange</v>
      </c>
      <c r="M1264" s="35" t="str">
        <f>INDEX(_xlfn.TEXTSPLIT(mvtst[[#This Row],[QR Suivis]],"_"),1,2)</f>
        <v>CL00884</v>
      </c>
      <c r="N1264" s="35" t="str">
        <f>INDEX(_xlfn.TEXTSPLIT(mvtst[[#This Row],[QR Suivis]],"_"),1,3)</f>
        <v>CM-FT0119</v>
      </c>
      <c r="O1264" s="35" t="str">
        <f>INDEX(_xlfn.TEXTSPLIT(mvtst[[#This Row],[QR Suivis]],"_"),1,4)</f>
        <v>EPMA0919-B24-02</v>
      </c>
      <c r="P1264" s="35" t="str">
        <f>INDEX(_xlfn.TEXTSPLIT(mvtst[[#This Row],[QR Suivis]],"_"),1,5)</f>
        <v>MARINIERE</v>
      </c>
      <c r="Q1264" s="35" t="str">
        <f>_xlfn.TEXTAFTER(mvtst[[#This Row],[QR Suivis]],"_",5)</f>
        <v>0919</v>
      </c>
      <c r="R1264" s="84" t="str">
        <f>IF(
   COUNTIFS($A$2:A1264,A1264,
             $B$2:B1264,B1264,
             $C$2:C1264,C1264,
             $D$2:D1264,D1264,
             $G$2:G1264,G1264)&gt;1,
   "Doublon",
   "Correcte"
)</f>
        <v>Correcte</v>
      </c>
    </row>
    <row r="1265" spans="1:18" x14ac:dyDescent="0.25">
      <c r="A1265" s="104" t="s">
        <v>1928</v>
      </c>
      <c r="B1265" s="35" t="s">
        <v>595</v>
      </c>
      <c r="C1265" s="36">
        <v>5</v>
      </c>
      <c r="D1265" s="36">
        <v>0</v>
      </c>
      <c r="E1265" s="35" t="s">
        <v>699</v>
      </c>
      <c r="F1265" s="35" t="s">
        <v>634</v>
      </c>
      <c r="G1265" s="37">
        <v>45937.505439814813</v>
      </c>
      <c r="H1265" s="37" t="str">
        <f>INDEX(_xlfn.TEXTSPLIT(mvtst[[#This Row],[QR Suivis]],"_"),1,1)</f>
        <v>OF249868-7</v>
      </c>
      <c r="I1265" s="35" t="str">
        <f>_xlfn.TEXTBEFORE(mvtst[[#This Row],[Num Suivis]],"-",,,1)</f>
        <v>OF249868</v>
      </c>
      <c r="J1265" s="36">
        <f>SUMIF(mvtst[QR Suivis],mvtst[[#This Row],[QR Suivis]],mvtst[QTE SORTIS])-SUMIF(mvtst[QR Suivis],mvtst[[#This Row],[QR Suivis]],mvtst[QTE RETOUR])</f>
        <v>0</v>
      </c>
      <c r="K1265" s="35" t="str">
        <f t="shared" si="19"/>
        <v>Usine</v>
      </c>
      <c r="L1265" s="35" t="str">
        <f>_xlfn.XLOOKUP(mvtst[[#This Row],[Sous Traitant]],coordonnee_st[Identification],coordonnee_st[SERVICE],"Non Trouvé")</f>
        <v>Frange</v>
      </c>
      <c r="M1265" s="35" t="str">
        <f>INDEX(_xlfn.TEXTSPLIT(mvtst[[#This Row],[QR Suivis]],"_"),1,2)</f>
        <v>CL00884</v>
      </c>
      <c r="N1265" s="35" t="str">
        <f>INDEX(_xlfn.TEXTSPLIT(mvtst[[#This Row],[QR Suivis]],"_"),1,3)</f>
        <v>CM-FT0119</v>
      </c>
      <c r="O1265" s="35" t="str">
        <f>INDEX(_xlfn.TEXTSPLIT(mvtst[[#This Row],[QR Suivis]],"_"),1,4)</f>
        <v>EPMA0919-B24-02</v>
      </c>
      <c r="P1265" s="35" t="str">
        <f>INDEX(_xlfn.TEXTSPLIT(mvtst[[#This Row],[QR Suivis]],"_"),1,5)</f>
        <v>MARINIERE</v>
      </c>
      <c r="Q1265" s="35" t="str">
        <f>_xlfn.TEXTAFTER(mvtst[[#This Row],[QR Suivis]],"_",5)</f>
        <v>0919</v>
      </c>
      <c r="R1265" s="84" t="str">
        <f>IF(
   COUNTIFS($A$2:A1265,A1265,
             $B$2:B1265,B1265,
             $C$2:C1265,C1265,
             $D$2:D1265,D1265,
             $G$2:G1265,G1265)&gt;1,
   "Doublon",
   "Correcte"
)</f>
        <v>Correcte</v>
      </c>
    </row>
    <row r="1266" spans="1:18" x14ac:dyDescent="0.25">
      <c r="A1266" s="104" t="s">
        <v>1929</v>
      </c>
      <c r="B1266" s="35" t="s">
        <v>595</v>
      </c>
      <c r="C1266" s="36">
        <v>5</v>
      </c>
      <c r="D1266" s="36">
        <v>0</v>
      </c>
      <c r="E1266" s="35" t="s">
        <v>699</v>
      </c>
      <c r="F1266" s="35" t="s">
        <v>634</v>
      </c>
      <c r="G1266" s="37">
        <v>45937.505601851852</v>
      </c>
      <c r="H1266" s="37" t="str">
        <f>INDEX(_xlfn.TEXTSPLIT(mvtst[[#This Row],[QR Suivis]],"_"),1,1)</f>
        <v>OF249868-8</v>
      </c>
      <c r="I1266" s="35" t="str">
        <f>_xlfn.TEXTBEFORE(mvtst[[#This Row],[Num Suivis]],"-",,,1)</f>
        <v>OF249868</v>
      </c>
      <c r="J1266" s="36">
        <f>SUMIF(mvtst[QR Suivis],mvtst[[#This Row],[QR Suivis]],mvtst[QTE SORTIS])-SUMIF(mvtst[QR Suivis],mvtst[[#This Row],[QR Suivis]],mvtst[QTE RETOUR])</f>
        <v>0</v>
      </c>
      <c r="K1266" s="35" t="str">
        <f t="shared" si="19"/>
        <v>Usine</v>
      </c>
      <c r="L1266" s="35" t="str">
        <f>_xlfn.XLOOKUP(mvtst[[#This Row],[Sous Traitant]],coordonnee_st[Identification],coordonnee_st[SERVICE],"Non Trouvé")</f>
        <v>Frange</v>
      </c>
      <c r="M1266" s="35" t="str">
        <f>INDEX(_xlfn.TEXTSPLIT(mvtst[[#This Row],[QR Suivis]],"_"),1,2)</f>
        <v>CL00884</v>
      </c>
      <c r="N1266" s="35" t="str">
        <f>INDEX(_xlfn.TEXTSPLIT(mvtst[[#This Row],[QR Suivis]],"_"),1,3)</f>
        <v>CM-FT0119</v>
      </c>
      <c r="O1266" s="35" t="str">
        <f>INDEX(_xlfn.TEXTSPLIT(mvtst[[#This Row],[QR Suivis]],"_"),1,4)</f>
        <v>EPMA0919-B24-02</v>
      </c>
      <c r="P1266" s="35" t="str">
        <f>INDEX(_xlfn.TEXTSPLIT(mvtst[[#This Row],[QR Suivis]],"_"),1,5)</f>
        <v>MARINIERE</v>
      </c>
      <c r="Q1266" s="35" t="str">
        <f>_xlfn.TEXTAFTER(mvtst[[#This Row],[QR Suivis]],"_",5)</f>
        <v>0919</v>
      </c>
      <c r="R1266" s="84" t="str">
        <f>IF(
   COUNTIFS($A$2:A1266,A1266,
             $B$2:B1266,B1266,
             $C$2:C1266,C1266,
             $D$2:D1266,D1266,
             $G$2:G1266,G1266)&gt;1,
   "Doublon",
   "Correcte"
)</f>
        <v>Correcte</v>
      </c>
    </row>
    <row r="1267" spans="1:18" x14ac:dyDescent="0.25">
      <c r="A1267" s="104" t="s">
        <v>1930</v>
      </c>
      <c r="B1267" s="35" t="s">
        <v>595</v>
      </c>
      <c r="C1267" s="36">
        <v>5</v>
      </c>
      <c r="D1267" s="36">
        <v>0</v>
      </c>
      <c r="E1267" s="35" t="s">
        <v>699</v>
      </c>
      <c r="F1267" s="35" t="s">
        <v>634</v>
      </c>
      <c r="G1267" s="37">
        <v>45937.505833333336</v>
      </c>
      <c r="H1267" s="37" t="str">
        <f>INDEX(_xlfn.TEXTSPLIT(mvtst[[#This Row],[QR Suivis]],"_"),1,1)</f>
        <v>OF249868-15</v>
      </c>
      <c r="I1267" s="35" t="str">
        <f>_xlfn.TEXTBEFORE(mvtst[[#This Row],[Num Suivis]],"-",,,1)</f>
        <v>OF249868</v>
      </c>
      <c r="J1267" s="36">
        <f>SUMIF(mvtst[QR Suivis],mvtst[[#This Row],[QR Suivis]],mvtst[QTE SORTIS])-SUMIF(mvtst[QR Suivis],mvtst[[#This Row],[QR Suivis]],mvtst[QTE RETOUR])</f>
        <v>0</v>
      </c>
      <c r="K1267" s="35" t="str">
        <f t="shared" si="19"/>
        <v>Usine</v>
      </c>
      <c r="L1267" s="35" t="str">
        <f>_xlfn.XLOOKUP(mvtst[[#This Row],[Sous Traitant]],coordonnee_st[Identification],coordonnee_st[SERVICE],"Non Trouvé")</f>
        <v>Frange</v>
      </c>
      <c r="M1267" s="35" t="str">
        <f>INDEX(_xlfn.TEXTSPLIT(mvtst[[#This Row],[QR Suivis]],"_"),1,2)</f>
        <v>CL00884</v>
      </c>
      <c r="N1267" s="35" t="str">
        <f>INDEX(_xlfn.TEXTSPLIT(mvtst[[#This Row],[QR Suivis]],"_"),1,3)</f>
        <v>CM-FT0119</v>
      </c>
      <c r="O1267" s="35" t="str">
        <f>INDEX(_xlfn.TEXTSPLIT(mvtst[[#This Row],[QR Suivis]],"_"),1,4)</f>
        <v>EPMA0919-B24-02</v>
      </c>
      <c r="P1267" s="35" t="str">
        <f>INDEX(_xlfn.TEXTSPLIT(mvtst[[#This Row],[QR Suivis]],"_"),1,5)</f>
        <v>MARINIERE</v>
      </c>
      <c r="Q1267" s="35" t="str">
        <f>_xlfn.TEXTAFTER(mvtst[[#This Row],[QR Suivis]],"_",5)</f>
        <v>0919</v>
      </c>
      <c r="R1267" s="84" t="str">
        <f>IF(
   COUNTIFS($A$2:A1267,A1267,
             $B$2:B1267,B1267,
             $C$2:C1267,C1267,
             $D$2:D1267,D1267,
             $G$2:G1267,G1267)&gt;1,
   "Doublon",
   "Correcte"
)</f>
        <v>Correcte</v>
      </c>
    </row>
    <row r="1268" spans="1:18" x14ac:dyDescent="0.25">
      <c r="A1268" s="104" t="s">
        <v>1931</v>
      </c>
      <c r="B1268" s="35" t="s">
        <v>595</v>
      </c>
      <c r="C1268" s="36">
        <v>5</v>
      </c>
      <c r="D1268" s="36">
        <v>0</v>
      </c>
      <c r="E1268" s="35" t="s">
        <v>699</v>
      </c>
      <c r="F1268" s="35" t="s">
        <v>634</v>
      </c>
      <c r="G1268" s="37">
        <v>45937.50608796296</v>
      </c>
      <c r="H1268" s="37" t="str">
        <f>INDEX(_xlfn.TEXTSPLIT(mvtst[[#This Row],[QR Suivis]],"_"),1,1)</f>
        <v>OF249868-6</v>
      </c>
      <c r="I1268" s="35" t="str">
        <f>_xlfn.TEXTBEFORE(mvtst[[#This Row],[Num Suivis]],"-",,,1)</f>
        <v>OF249868</v>
      </c>
      <c r="J1268" s="36">
        <f>SUMIF(mvtst[QR Suivis],mvtst[[#This Row],[QR Suivis]],mvtst[QTE SORTIS])-SUMIF(mvtst[QR Suivis],mvtst[[#This Row],[QR Suivis]],mvtst[QTE RETOUR])</f>
        <v>0</v>
      </c>
      <c r="K1268" s="35" t="str">
        <f t="shared" si="19"/>
        <v>Usine</v>
      </c>
      <c r="L1268" s="35" t="str">
        <f>_xlfn.XLOOKUP(mvtst[[#This Row],[Sous Traitant]],coordonnee_st[Identification],coordonnee_st[SERVICE],"Non Trouvé")</f>
        <v>Frange</v>
      </c>
      <c r="M1268" s="35" t="str">
        <f>INDEX(_xlfn.TEXTSPLIT(mvtst[[#This Row],[QR Suivis]],"_"),1,2)</f>
        <v>CL00884</v>
      </c>
      <c r="N1268" s="35" t="str">
        <f>INDEX(_xlfn.TEXTSPLIT(mvtst[[#This Row],[QR Suivis]],"_"),1,3)</f>
        <v>CM-FT0119</v>
      </c>
      <c r="O1268" s="35" t="str">
        <f>INDEX(_xlfn.TEXTSPLIT(mvtst[[#This Row],[QR Suivis]],"_"),1,4)</f>
        <v>EPMA0919-B24-02</v>
      </c>
      <c r="P1268" s="35" t="str">
        <f>INDEX(_xlfn.TEXTSPLIT(mvtst[[#This Row],[QR Suivis]],"_"),1,5)</f>
        <v>MARINIERE</v>
      </c>
      <c r="Q1268" s="35" t="str">
        <f>_xlfn.TEXTAFTER(mvtst[[#This Row],[QR Suivis]],"_",5)</f>
        <v>0919</v>
      </c>
      <c r="R1268" s="84" t="str">
        <f>IF(
   COUNTIFS($A$2:A1268,A1268,
             $B$2:B1268,B1268,
             $C$2:C1268,C1268,
             $D$2:D1268,D1268,
             $G$2:G1268,G1268)&gt;1,
   "Doublon",
   "Correcte"
)</f>
        <v>Correcte</v>
      </c>
    </row>
    <row r="1269" spans="1:18" x14ac:dyDescent="0.25">
      <c r="A1269" s="104" t="s">
        <v>1932</v>
      </c>
      <c r="B1269" s="35" t="s">
        <v>595</v>
      </c>
      <c r="C1269" s="36">
        <v>5</v>
      </c>
      <c r="D1269" s="36">
        <v>0</v>
      </c>
      <c r="E1269" s="35" t="s">
        <v>699</v>
      </c>
      <c r="F1269" s="35" t="s">
        <v>634</v>
      </c>
      <c r="G1269" s="37">
        <v>45937.506249999999</v>
      </c>
      <c r="H1269" s="37" t="str">
        <f>INDEX(_xlfn.TEXTSPLIT(mvtst[[#This Row],[QR Suivis]],"_"),1,1)</f>
        <v>OF249868-5</v>
      </c>
      <c r="I1269" s="35" t="str">
        <f>_xlfn.TEXTBEFORE(mvtst[[#This Row],[Num Suivis]],"-",,,1)</f>
        <v>OF249868</v>
      </c>
      <c r="J1269" s="36">
        <f>SUMIF(mvtst[QR Suivis],mvtst[[#This Row],[QR Suivis]],mvtst[QTE SORTIS])-SUMIF(mvtst[QR Suivis],mvtst[[#This Row],[QR Suivis]],mvtst[QTE RETOUR])</f>
        <v>0</v>
      </c>
      <c r="K1269" s="35" t="str">
        <f t="shared" si="19"/>
        <v>Usine</v>
      </c>
      <c r="L1269" s="35" t="str">
        <f>_xlfn.XLOOKUP(mvtst[[#This Row],[Sous Traitant]],coordonnee_st[Identification],coordonnee_st[SERVICE],"Non Trouvé")</f>
        <v>Frange</v>
      </c>
      <c r="M1269" s="35" t="str">
        <f>INDEX(_xlfn.TEXTSPLIT(mvtst[[#This Row],[QR Suivis]],"_"),1,2)</f>
        <v>CL00884</v>
      </c>
      <c r="N1269" s="35" t="str">
        <f>INDEX(_xlfn.TEXTSPLIT(mvtst[[#This Row],[QR Suivis]],"_"),1,3)</f>
        <v>CM-FT0119</v>
      </c>
      <c r="O1269" s="35" t="str">
        <f>INDEX(_xlfn.TEXTSPLIT(mvtst[[#This Row],[QR Suivis]],"_"),1,4)</f>
        <v>EPMA0919-B24-02</v>
      </c>
      <c r="P1269" s="35" t="str">
        <f>INDEX(_xlfn.TEXTSPLIT(mvtst[[#This Row],[QR Suivis]],"_"),1,5)</f>
        <v>MARINIERE</v>
      </c>
      <c r="Q1269" s="35" t="str">
        <f>_xlfn.TEXTAFTER(mvtst[[#This Row],[QR Suivis]],"_",5)</f>
        <v>0919</v>
      </c>
      <c r="R1269" s="84" t="str">
        <f>IF(
   COUNTIFS($A$2:A1269,A1269,
             $B$2:B1269,B1269,
             $C$2:C1269,C1269,
             $D$2:D1269,D1269,
             $G$2:G1269,G1269)&gt;1,
   "Doublon",
   "Correcte"
)</f>
        <v>Correcte</v>
      </c>
    </row>
    <row r="1270" spans="1:18" x14ac:dyDescent="0.25">
      <c r="A1270" s="104" t="s">
        <v>1933</v>
      </c>
      <c r="B1270" s="35" t="s">
        <v>595</v>
      </c>
      <c r="C1270" s="36">
        <v>5</v>
      </c>
      <c r="D1270" s="36">
        <v>0</v>
      </c>
      <c r="E1270" s="35" t="s">
        <v>699</v>
      </c>
      <c r="F1270" s="35" t="s">
        <v>634</v>
      </c>
      <c r="G1270" s="37">
        <v>45937.506516203706</v>
      </c>
      <c r="H1270" s="37" t="str">
        <f>INDEX(_xlfn.TEXTSPLIT(mvtst[[#This Row],[QR Suivis]],"_"),1,1)</f>
        <v>OF246544-16</v>
      </c>
      <c r="I1270" s="35" t="str">
        <f>_xlfn.TEXTBEFORE(mvtst[[#This Row],[Num Suivis]],"-",,,1)</f>
        <v>OF246544</v>
      </c>
      <c r="J1270" s="36">
        <f>SUMIF(mvtst[QR Suivis],mvtst[[#This Row],[QR Suivis]],mvtst[QTE SORTIS])-SUMIF(mvtst[QR Suivis],mvtst[[#This Row],[QR Suivis]],mvtst[QTE RETOUR])</f>
        <v>0</v>
      </c>
      <c r="K1270" s="35" t="str">
        <f t="shared" si="19"/>
        <v>Usine</v>
      </c>
      <c r="L1270" s="35" t="str">
        <f>_xlfn.XLOOKUP(mvtst[[#This Row],[Sous Traitant]],coordonnee_st[Identification],coordonnee_st[SERVICE],"Non Trouvé")</f>
        <v>Frange</v>
      </c>
      <c r="M1270" s="35" t="str">
        <f>INDEX(_xlfn.TEXTSPLIT(mvtst[[#This Row],[QR Suivis]],"_"),1,2)</f>
        <v>CL00296</v>
      </c>
      <c r="N1270" s="35" t="str">
        <f>INDEX(_xlfn.TEXTSPLIT(mvtst[[#This Row],[QR Suivis]],"_"),1,3)</f>
        <v>CM-FT0108</v>
      </c>
      <c r="O1270" s="35" t="str">
        <f>INDEX(_xlfn.TEXTSPLIT(mvtst[[#This Row],[QR Suivis]],"_"),1,4)</f>
        <v>EPMA0919-B03-02</v>
      </c>
      <c r="P1270" s="35" t="str">
        <f>INDEX(_xlfn.TEXTSPLIT(mvtst[[#This Row],[QR Suivis]],"_"),1,5)</f>
        <v>MARINIERE</v>
      </c>
      <c r="Q1270" s="35" t="str">
        <f>_xlfn.TEXTAFTER(mvtst[[#This Row],[QR Suivis]],"_",5)</f>
        <v>0919</v>
      </c>
      <c r="R1270" s="84" t="str">
        <f>IF(
   COUNTIFS($A$2:A1270,A1270,
             $B$2:B1270,B1270,
             $C$2:C1270,C1270,
             $D$2:D1270,D1270,
             $G$2:G1270,G1270)&gt;1,
   "Doublon",
   "Correcte"
)</f>
        <v>Correcte</v>
      </c>
    </row>
    <row r="1271" spans="1:18" x14ac:dyDescent="0.25">
      <c r="A1271" s="104" t="s">
        <v>1934</v>
      </c>
      <c r="B1271" s="35" t="s">
        <v>595</v>
      </c>
      <c r="C1271" s="36">
        <v>5</v>
      </c>
      <c r="D1271" s="36">
        <v>0</v>
      </c>
      <c r="E1271" s="35" t="s">
        <v>699</v>
      </c>
      <c r="F1271" s="35" t="s">
        <v>634</v>
      </c>
      <c r="G1271" s="37">
        <v>45937.50675925926</v>
      </c>
      <c r="H1271" s="37" t="str">
        <f>INDEX(_xlfn.TEXTSPLIT(mvtst[[#This Row],[QR Suivis]],"_"),1,1)</f>
        <v>OF246544-13</v>
      </c>
      <c r="I1271" s="35" t="str">
        <f>_xlfn.TEXTBEFORE(mvtst[[#This Row],[Num Suivis]],"-",,,1)</f>
        <v>OF246544</v>
      </c>
      <c r="J1271" s="36">
        <f>SUMIF(mvtst[QR Suivis],mvtst[[#This Row],[QR Suivis]],mvtst[QTE SORTIS])-SUMIF(mvtst[QR Suivis],mvtst[[#This Row],[QR Suivis]],mvtst[QTE RETOUR])</f>
        <v>0</v>
      </c>
      <c r="K1271" s="35" t="str">
        <f t="shared" si="19"/>
        <v>Usine</v>
      </c>
      <c r="L1271" s="35" t="str">
        <f>_xlfn.XLOOKUP(mvtst[[#This Row],[Sous Traitant]],coordonnee_st[Identification],coordonnee_st[SERVICE],"Non Trouvé")</f>
        <v>Frange</v>
      </c>
      <c r="M1271" s="35" t="str">
        <f>INDEX(_xlfn.TEXTSPLIT(mvtst[[#This Row],[QR Suivis]],"_"),1,2)</f>
        <v>CL00296</v>
      </c>
      <c r="N1271" s="35" t="str">
        <f>INDEX(_xlfn.TEXTSPLIT(mvtst[[#This Row],[QR Suivis]],"_"),1,3)</f>
        <v>CM-FT0108</v>
      </c>
      <c r="O1271" s="35" t="str">
        <f>INDEX(_xlfn.TEXTSPLIT(mvtst[[#This Row],[QR Suivis]],"_"),1,4)</f>
        <v>EPMA0919-B03-02</v>
      </c>
      <c r="P1271" s="35" t="str">
        <f>INDEX(_xlfn.TEXTSPLIT(mvtst[[#This Row],[QR Suivis]],"_"),1,5)</f>
        <v>MARINIERE</v>
      </c>
      <c r="Q1271" s="35" t="str">
        <f>_xlfn.TEXTAFTER(mvtst[[#This Row],[QR Suivis]],"_",5)</f>
        <v>0919</v>
      </c>
      <c r="R1271" s="84" t="str">
        <f>IF(
   COUNTIFS($A$2:A1271,A1271,
             $B$2:B1271,B1271,
             $C$2:C1271,C1271,
             $D$2:D1271,D1271,
             $G$2:G1271,G1271)&gt;1,
   "Doublon",
   "Correcte"
)</f>
        <v>Correcte</v>
      </c>
    </row>
    <row r="1272" spans="1:18" x14ac:dyDescent="0.25">
      <c r="A1272" s="104" t="s">
        <v>1935</v>
      </c>
      <c r="B1272" s="35" t="s">
        <v>595</v>
      </c>
      <c r="C1272" s="36">
        <v>5</v>
      </c>
      <c r="D1272" s="36">
        <v>0</v>
      </c>
      <c r="E1272" s="35" t="s">
        <v>699</v>
      </c>
      <c r="F1272" s="35" t="s">
        <v>634</v>
      </c>
      <c r="G1272" s="37">
        <v>45937.506990740738</v>
      </c>
      <c r="H1272" s="37" t="str">
        <f>INDEX(_xlfn.TEXTSPLIT(mvtst[[#This Row],[QR Suivis]],"_"),1,1)</f>
        <v>OF246544-4</v>
      </c>
      <c r="I1272" s="35" t="str">
        <f>_xlfn.TEXTBEFORE(mvtst[[#This Row],[Num Suivis]],"-",,,1)</f>
        <v>OF246544</v>
      </c>
      <c r="J1272" s="36">
        <f>SUMIF(mvtst[QR Suivis],mvtst[[#This Row],[QR Suivis]],mvtst[QTE SORTIS])-SUMIF(mvtst[QR Suivis],mvtst[[#This Row],[QR Suivis]],mvtst[QTE RETOUR])</f>
        <v>0</v>
      </c>
      <c r="K1272" s="35" t="str">
        <f t="shared" si="19"/>
        <v>Usine</v>
      </c>
      <c r="L1272" s="35" t="str">
        <f>_xlfn.XLOOKUP(mvtst[[#This Row],[Sous Traitant]],coordonnee_st[Identification],coordonnee_st[SERVICE],"Non Trouvé")</f>
        <v>Frange</v>
      </c>
      <c r="M1272" s="35" t="str">
        <f>INDEX(_xlfn.TEXTSPLIT(mvtst[[#This Row],[QR Suivis]],"_"),1,2)</f>
        <v>CL00296</v>
      </c>
      <c r="N1272" s="35" t="str">
        <f>INDEX(_xlfn.TEXTSPLIT(mvtst[[#This Row],[QR Suivis]],"_"),1,3)</f>
        <v>CM-FT0108</v>
      </c>
      <c r="O1272" s="35" t="str">
        <f>INDEX(_xlfn.TEXTSPLIT(mvtst[[#This Row],[QR Suivis]],"_"),1,4)</f>
        <v>EPMA0919-B03-02</v>
      </c>
      <c r="P1272" s="35" t="str">
        <f>INDEX(_xlfn.TEXTSPLIT(mvtst[[#This Row],[QR Suivis]],"_"),1,5)</f>
        <v>MARINIERE</v>
      </c>
      <c r="Q1272" s="35" t="str">
        <f>_xlfn.TEXTAFTER(mvtst[[#This Row],[QR Suivis]],"_",5)</f>
        <v>0919</v>
      </c>
      <c r="R1272" s="84" t="str">
        <f>IF(
   COUNTIFS($A$2:A1272,A1272,
             $B$2:B1272,B1272,
             $C$2:C1272,C1272,
             $D$2:D1272,D1272,
             $G$2:G1272,G1272)&gt;1,
   "Doublon",
   "Correcte"
)</f>
        <v>Correcte</v>
      </c>
    </row>
    <row r="1273" spans="1:18" x14ac:dyDescent="0.25">
      <c r="A1273" s="104" t="s">
        <v>1936</v>
      </c>
      <c r="B1273" s="35" t="s">
        <v>595</v>
      </c>
      <c r="C1273" s="36">
        <v>5</v>
      </c>
      <c r="D1273" s="36">
        <v>0</v>
      </c>
      <c r="E1273" s="35" t="s">
        <v>699</v>
      </c>
      <c r="F1273" s="35" t="s">
        <v>634</v>
      </c>
      <c r="G1273" s="37">
        <v>45937.507245370369</v>
      </c>
      <c r="H1273" s="37" t="str">
        <f>INDEX(_xlfn.TEXTSPLIT(mvtst[[#This Row],[QR Suivis]],"_"),1,1)</f>
        <v>OF246544-3</v>
      </c>
      <c r="I1273" s="35" t="str">
        <f>_xlfn.TEXTBEFORE(mvtst[[#This Row],[Num Suivis]],"-",,,1)</f>
        <v>OF246544</v>
      </c>
      <c r="J1273" s="36">
        <f>SUMIF(mvtst[QR Suivis],mvtst[[#This Row],[QR Suivis]],mvtst[QTE SORTIS])-SUMIF(mvtst[QR Suivis],mvtst[[#This Row],[QR Suivis]],mvtst[QTE RETOUR])</f>
        <v>0</v>
      </c>
      <c r="K1273" s="35" t="str">
        <f t="shared" si="19"/>
        <v>Usine</v>
      </c>
      <c r="L1273" s="35" t="str">
        <f>_xlfn.XLOOKUP(mvtst[[#This Row],[Sous Traitant]],coordonnee_st[Identification],coordonnee_st[SERVICE],"Non Trouvé")</f>
        <v>Frange</v>
      </c>
      <c r="M1273" s="35" t="str">
        <f>INDEX(_xlfn.TEXTSPLIT(mvtst[[#This Row],[QR Suivis]],"_"),1,2)</f>
        <v>CL00296</v>
      </c>
      <c r="N1273" s="35" t="str">
        <f>INDEX(_xlfn.TEXTSPLIT(mvtst[[#This Row],[QR Suivis]],"_"),1,3)</f>
        <v>CM-FT0108</v>
      </c>
      <c r="O1273" s="35" t="str">
        <f>INDEX(_xlfn.TEXTSPLIT(mvtst[[#This Row],[QR Suivis]],"_"),1,4)</f>
        <v>EPMA0919-B03-02</v>
      </c>
      <c r="P1273" s="35" t="str">
        <f>INDEX(_xlfn.TEXTSPLIT(mvtst[[#This Row],[QR Suivis]],"_"),1,5)</f>
        <v>MARINIERE</v>
      </c>
      <c r="Q1273" s="35" t="str">
        <f>_xlfn.TEXTAFTER(mvtst[[#This Row],[QR Suivis]],"_",5)</f>
        <v>0919</v>
      </c>
      <c r="R1273" s="84" t="str">
        <f>IF(
   COUNTIFS($A$2:A1273,A1273,
             $B$2:B1273,B1273,
             $C$2:C1273,C1273,
             $D$2:D1273,D1273,
             $G$2:G1273,G1273)&gt;1,
   "Doublon",
   "Correcte"
)</f>
        <v>Correcte</v>
      </c>
    </row>
    <row r="1274" spans="1:18" x14ac:dyDescent="0.25">
      <c r="A1274" s="104" t="s">
        <v>1937</v>
      </c>
      <c r="B1274" s="35" t="s">
        <v>595</v>
      </c>
      <c r="C1274" s="36">
        <v>5</v>
      </c>
      <c r="D1274" s="36">
        <v>0</v>
      </c>
      <c r="E1274" s="35" t="s">
        <v>699</v>
      </c>
      <c r="F1274" s="35" t="s">
        <v>634</v>
      </c>
      <c r="G1274" s="37">
        <v>45937.507395833331</v>
      </c>
      <c r="H1274" s="37" t="str">
        <f>INDEX(_xlfn.TEXTSPLIT(mvtst[[#This Row],[QR Suivis]],"_"),1,1)</f>
        <v>OF246544-14</v>
      </c>
      <c r="I1274" s="35" t="str">
        <f>_xlfn.TEXTBEFORE(mvtst[[#This Row],[Num Suivis]],"-",,,1)</f>
        <v>OF246544</v>
      </c>
      <c r="J1274" s="36">
        <f>SUMIF(mvtst[QR Suivis],mvtst[[#This Row],[QR Suivis]],mvtst[QTE SORTIS])-SUMIF(mvtst[QR Suivis],mvtst[[#This Row],[QR Suivis]],mvtst[QTE RETOUR])</f>
        <v>0</v>
      </c>
      <c r="K1274" s="35" t="str">
        <f t="shared" si="19"/>
        <v>Usine</v>
      </c>
      <c r="L1274" s="35" t="str">
        <f>_xlfn.XLOOKUP(mvtst[[#This Row],[Sous Traitant]],coordonnee_st[Identification],coordonnee_st[SERVICE],"Non Trouvé")</f>
        <v>Frange</v>
      </c>
      <c r="M1274" s="35" t="str">
        <f>INDEX(_xlfn.TEXTSPLIT(mvtst[[#This Row],[QR Suivis]],"_"),1,2)</f>
        <v>CL00296</v>
      </c>
      <c r="N1274" s="35" t="str">
        <f>INDEX(_xlfn.TEXTSPLIT(mvtst[[#This Row],[QR Suivis]],"_"),1,3)</f>
        <v>CM-FT0108</v>
      </c>
      <c r="O1274" s="35" t="str">
        <f>INDEX(_xlfn.TEXTSPLIT(mvtst[[#This Row],[QR Suivis]],"_"),1,4)</f>
        <v>EPMA0919-B03-02</v>
      </c>
      <c r="P1274" s="35" t="str">
        <f>INDEX(_xlfn.TEXTSPLIT(mvtst[[#This Row],[QR Suivis]],"_"),1,5)</f>
        <v>MARINIERE</v>
      </c>
      <c r="Q1274" s="35" t="str">
        <f>_xlfn.TEXTAFTER(mvtst[[#This Row],[QR Suivis]],"_",5)</f>
        <v>0919</v>
      </c>
      <c r="R1274" s="84" t="str">
        <f>IF(
   COUNTIFS($A$2:A1274,A1274,
             $B$2:B1274,B1274,
             $C$2:C1274,C1274,
             $D$2:D1274,D1274,
             $G$2:G1274,G1274)&gt;1,
   "Doublon",
   "Correcte"
)</f>
        <v>Correcte</v>
      </c>
    </row>
    <row r="1275" spans="1:18" x14ac:dyDescent="0.25">
      <c r="A1275" s="104" t="s">
        <v>1938</v>
      </c>
      <c r="B1275" s="35" t="s">
        <v>595</v>
      </c>
      <c r="C1275" s="36">
        <v>5</v>
      </c>
      <c r="D1275" s="36">
        <v>0</v>
      </c>
      <c r="E1275" s="35" t="s">
        <v>699</v>
      </c>
      <c r="F1275" s="35" t="s">
        <v>634</v>
      </c>
      <c r="G1275" s="37">
        <v>45937.507650462961</v>
      </c>
      <c r="H1275" s="37" t="str">
        <f>INDEX(_xlfn.TEXTSPLIT(mvtst[[#This Row],[QR Suivis]],"_"),1,1)</f>
        <v>OF246544-6</v>
      </c>
      <c r="I1275" s="35" t="str">
        <f>_xlfn.TEXTBEFORE(mvtst[[#This Row],[Num Suivis]],"-",,,1)</f>
        <v>OF246544</v>
      </c>
      <c r="J1275" s="36">
        <f>SUMIF(mvtst[QR Suivis],mvtst[[#This Row],[QR Suivis]],mvtst[QTE SORTIS])-SUMIF(mvtst[QR Suivis],mvtst[[#This Row],[QR Suivis]],mvtst[QTE RETOUR])</f>
        <v>0</v>
      </c>
      <c r="K1275" s="35" t="str">
        <f t="shared" si="19"/>
        <v>Usine</v>
      </c>
      <c r="L1275" s="35" t="str">
        <f>_xlfn.XLOOKUP(mvtst[[#This Row],[Sous Traitant]],coordonnee_st[Identification],coordonnee_st[SERVICE],"Non Trouvé")</f>
        <v>Frange</v>
      </c>
      <c r="M1275" s="35" t="str">
        <f>INDEX(_xlfn.TEXTSPLIT(mvtst[[#This Row],[QR Suivis]],"_"),1,2)</f>
        <v>CL00296</v>
      </c>
      <c r="N1275" s="35" t="str">
        <f>INDEX(_xlfn.TEXTSPLIT(mvtst[[#This Row],[QR Suivis]],"_"),1,3)</f>
        <v>CM-FT0108</v>
      </c>
      <c r="O1275" s="35" t="str">
        <f>INDEX(_xlfn.TEXTSPLIT(mvtst[[#This Row],[QR Suivis]],"_"),1,4)</f>
        <v>EPMA0919-B03-02</v>
      </c>
      <c r="P1275" s="35" t="str">
        <f>INDEX(_xlfn.TEXTSPLIT(mvtst[[#This Row],[QR Suivis]],"_"),1,5)</f>
        <v>MARINIERE</v>
      </c>
      <c r="Q1275" s="35" t="str">
        <f>_xlfn.TEXTAFTER(mvtst[[#This Row],[QR Suivis]],"_",5)</f>
        <v>0919</v>
      </c>
      <c r="R1275" s="84" t="str">
        <f>IF(
   COUNTIFS($A$2:A1275,A1275,
             $B$2:B1275,B1275,
             $C$2:C1275,C1275,
             $D$2:D1275,D1275,
             $G$2:G1275,G1275)&gt;1,
   "Doublon",
   "Correcte"
)</f>
        <v>Correcte</v>
      </c>
    </row>
    <row r="1276" spans="1:18" x14ac:dyDescent="0.25">
      <c r="A1276" s="104" t="s">
        <v>1939</v>
      </c>
      <c r="B1276" s="35" t="s">
        <v>595</v>
      </c>
      <c r="C1276" s="36">
        <v>5</v>
      </c>
      <c r="D1276" s="36">
        <v>0</v>
      </c>
      <c r="E1276" s="35" t="s">
        <v>699</v>
      </c>
      <c r="F1276" s="35" t="s">
        <v>634</v>
      </c>
      <c r="G1276" s="37">
        <v>45937.508009259262</v>
      </c>
      <c r="H1276" s="37" t="str">
        <f>INDEX(_xlfn.TEXTSPLIT(mvtst[[#This Row],[QR Suivis]],"_"),1,1)</f>
        <v>OF246544-7</v>
      </c>
      <c r="I1276" s="35" t="str">
        <f>_xlfn.TEXTBEFORE(mvtst[[#This Row],[Num Suivis]],"-",,,1)</f>
        <v>OF246544</v>
      </c>
      <c r="J1276" s="36">
        <f>SUMIF(mvtst[QR Suivis],mvtst[[#This Row],[QR Suivis]],mvtst[QTE SORTIS])-SUMIF(mvtst[QR Suivis],mvtst[[#This Row],[QR Suivis]],mvtst[QTE RETOUR])</f>
        <v>0</v>
      </c>
      <c r="K1276" s="35" t="str">
        <f t="shared" si="19"/>
        <v>Usine</v>
      </c>
      <c r="L1276" s="35" t="str">
        <f>_xlfn.XLOOKUP(mvtst[[#This Row],[Sous Traitant]],coordonnee_st[Identification],coordonnee_st[SERVICE],"Non Trouvé")</f>
        <v>Frange</v>
      </c>
      <c r="M1276" s="35" t="str">
        <f>INDEX(_xlfn.TEXTSPLIT(mvtst[[#This Row],[QR Suivis]],"_"),1,2)</f>
        <v>CL00296</v>
      </c>
      <c r="N1276" s="35" t="str">
        <f>INDEX(_xlfn.TEXTSPLIT(mvtst[[#This Row],[QR Suivis]],"_"),1,3)</f>
        <v>CM-FT0108</v>
      </c>
      <c r="O1276" s="35" t="str">
        <f>INDEX(_xlfn.TEXTSPLIT(mvtst[[#This Row],[QR Suivis]],"_"),1,4)</f>
        <v>EPMA0919-B03-02</v>
      </c>
      <c r="P1276" s="35" t="str">
        <f>INDEX(_xlfn.TEXTSPLIT(mvtst[[#This Row],[QR Suivis]],"_"),1,5)</f>
        <v>MARINIERE</v>
      </c>
      <c r="Q1276" s="35" t="str">
        <f>_xlfn.TEXTAFTER(mvtst[[#This Row],[QR Suivis]],"_",5)</f>
        <v>0919</v>
      </c>
      <c r="R1276" s="84" t="str">
        <f>IF(
   COUNTIFS($A$2:A1276,A1276,
             $B$2:B1276,B1276,
             $C$2:C1276,C1276,
             $D$2:D1276,D1276,
             $G$2:G1276,G1276)&gt;1,
   "Doublon",
   "Correcte"
)</f>
        <v>Correcte</v>
      </c>
    </row>
    <row r="1277" spans="1:18" x14ac:dyDescent="0.25">
      <c r="A1277" s="104" t="s">
        <v>1940</v>
      </c>
      <c r="B1277" s="35" t="s">
        <v>595</v>
      </c>
      <c r="C1277" s="36">
        <v>5</v>
      </c>
      <c r="D1277" s="36">
        <v>0</v>
      </c>
      <c r="E1277" s="35" t="s">
        <v>699</v>
      </c>
      <c r="F1277" s="35" t="s">
        <v>634</v>
      </c>
      <c r="G1277" s="37">
        <v>45937.508379629631</v>
      </c>
      <c r="H1277" s="37" t="str">
        <f>INDEX(_xlfn.TEXTSPLIT(mvtst[[#This Row],[QR Suivis]],"_"),1,1)</f>
        <v>OF246544-9</v>
      </c>
      <c r="I1277" s="35" t="str">
        <f>_xlfn.TEXTBEFORE(mvtst[[#This Row],[Num Suivis]],"-",,,1)</f>
        <v>OF246544</v>
      </c>
      <c r="J1277" s="36">
        <f>SUMIF(mvtst[QR Suivis],mvtst[[#This Row],[QR Suivis]],mvtst[QTE SORTIS])-SUMIF(mvtst[QR Suivis],mvtst[[#This Row],[QR Suivis]],mvtst[QTE RETOUR])</f>
        <v>0</v>
      </c>
      <c r="K1277" s="35" t="str">
        <f t="shared" si="19"/>
        <v>Usine</v>
      </c>
      <c r="L1277" s="35" t="str">
        <f>_xlfn.XLOOKUP(mvtst[[#This Row],[Sous Traitant]],coordonnee_st[Identification],coordonnee_st[SERVICE],"Non Trouvé")</f>
        <v>Frange</v>
      </c>
      <c r="M1277" s="35" t="str">
        <f>INDEX(_xlfn.TEXTSPLIT(mvtst[[#This Row],[QR Suivis]],"_"),1,2)</f>
        <v>CL00296</v>
      </c>
      <c r="N1277" s="35" t="str">
        <f>INDEX(_xlfn.TEXTSPLIT(mvtst[[#This Row],[QR Suivis]],"_"),1,3)</f>
        <v>CM-FT0108</v>
      </c>
      <c r="O1277" s="35" t="str">
        <f>INDEX(_xlfn.TEXTSPLIT(mvtst[[#This Row],[QR Suivis]],"_"),1,4)</f>
        <v>EPMA0919-B03-02</v>
      </c>
      <c r="P1277" s="35" t="str">
        <f>INDEX(_xlfn.TEXTSPLIT(mvtst[[#This Row],[QR Suivis]],"_"),1,5)</f>
        <v>MARINIERE</v>
      </c>
      <c r="Q1277" s="35" t="str">
        <f>_xlfn.TEXTAFTER(mvtst[[#This Row],[QR Suivis]],"_",5)</f>
        <v>0919</v>
      </c>
      <c r="R1277" s="84" t="str">
        <f>IF(
   COUNTIFS($A$2:A1277,A1277,
             $B$2:B1277,B1277,
             $C$2:C1277,C1277,
             $D$2:D1277,D1277,
             $G$2:G1277,G1277)&gt;1,
   "Doublon",
   "Correcte"
)</f>
        <v>Correcte</v>
      </c>
    </row>
    <row r="1278" spans="1:18" x14ac:dyDescent="0.25">
      <c r="A1278" s="104" t="s">
        <v>1941</v>
      </c>
      <c r="B1278" s="35" t="s">
        <v>595</v>
      </c>
      <c r="C1278" s="36">
        <v>5</v>
      </c>
      <c r="D1278" s="36">
        <v>0</v>
      </c>
      <c r="E1278" s="35" t="s">
        <v>699</v>
      </c>
      <c r="F1278" s="35" t="s">
        <v>634</v>
      </c>
      <c r="G1278" s="37">
        <v>45937.508587962962</v>
      </c>
      <c r="H1278" s="37" t="str">
        <f>INDEX(_xlfn.TEXTSPLIT(mvtst[[#This Row],[QR Suivis]],"_"),1,1)</f>
        <v>OF246544-5</v>
      </c>
      <c r="I1278" s="35" t="str">
        <f>_xlfn.TEXTBEFORE(mvtst[[#This Row],[Num Suivis]],"-",,,1)</f>
        <v>OF246544</v>
      </c>
      <c r="J1278" s="36">
        <f>SUMIF(mvtst[QR Suivis],mvtst[[#This Row],[QR Suivis]],mvtst[QTE SORTIS])-SUMIF(mvtst[QR Suivis],mvtst[[#This Row],[QR Suivis]],mvtst[QTE RETOUR])</f>
        <v>0</v>
      </c>
      <c r="K1278" s="35" t="str">
        <f t="shared" si="19"/>
        <v>Usine</v>
      </c>
      <c r="L1278" s="35" t="str">
        <f>_xlfn.XLOOKUP(mvtst[[#This Row],[Sous Traitant]],coordonnee_st[Identification],coordonnee_st[SERVICE],"Non Trouvé")</f>
        <v>Frange</v>
      </c>
      <c r="M1278" s="35" t="str">
        <f>INDEX(_xlfn.TEXTSPLIT(mvtst[[#This Row],[QR Suivis]],"_"),1,2)</f>
        <v>CL00296</v>
      </c>
      <c r="N1278" s="35" t="str">
        <f>INDEX(_xlfn.TEXTSPLIT(mvtst[[#This Row],[QR Suivis]],"_"),1,3)</f>
        <v>CM-FT0108</v>
      </c>
      <c r="O1278" s="35" t="str">
        <f>INDEX(_xlfn.TEXTSPLIT(mvtst[[#This Row],[QR Suivis]],"_"),1,4)</f>
        <v>EPMA0919-B03-02</v>
      </c>
      <c r="P1278" s="35" t="str">
        <f>INDEX(_xlfn.TEXTSPLIT(mvtst[[#This Row],[QR Suivis]],"_"),1,5)</f>
        <v>MARINIERE</v>
      </c>
      <c r="Q1278" s="35" t="str">
        <f>_xlfn.TEXTAFTER(mvtst[[#This Row],[QR Suivis]],"_",5)</f>
        <v>0919</v>
      </c>
      <c r="R1278" s="84" t="str">
        <f>IF(
   COUNTIFS($A$2:A1278,A1278,
             $B$2:B1278,B1278,
             $C$2:C1278,C1278,
             $D$2:D1278,D1278,
             $G$2:G1278,G1278)&gt;1,
   "Doublon",
   "Correcte"
)</f>
        <v>Correcte</v>
      </c>
    </row>
    <row r="1279" spans="1:18" x14ac:dyDescent="0.25">
      <c r="A1279" s="104" t="s">
        <v>1942</v>
      </c>
      <c r="B1279" s="35" t="s">
        <v>595</v>
      </c>
      <c r="C1279" s="36">
        <v>5</v>
      </c>
      <c r="D1279" s="36">
        <v>0</v>
      </c>
      <c r="E1279" s="35" t="s">
        <v>699</v>
      </c>
      <c r="F1279" s="35" t="s">
        <v>634</v>
      </c>
      <c r="G1279" s="37">
        <v>45937.50880787037</v>
      </c>
      <c r="H1279" s="37" t="str">
        <f>INDEX(_xlfn.TEXTSPLIT(mvtst[[#This Row],[QR Suivis]],"_"),1,1)</f>
        <v>OF246544-8</v>
      </c>
      <c r="I1279" s="35" t="str">
        <f>_xlfn.TEXTBEFORE(mvtst[[#This Row],[Num Suivis]],"-",,,1)</f>
        <v>OF246544</v>
      </c>
      <c r="J1279" s="36">
        <f>SUMIF(mvtst[QR Suivis],mvtst[[#This Row],[QR Suivis]],mvtst[QTE SORTIS])-SUMIF(mvtst[QR Suivis],mvtst[[#This Row],[QR Suivis]],mvtst[QTE RETOUR])</f>
        <v>0</v>
      </c>
      <c r="K1279" s="35" t="str">
        <f t="shared" si="19"/>
        <v>Usine</v>
      </c>
      <c r="L1279" s="35" t="str">
        <f>_xlfn.XLOOKUP(mvtst[[#This Row],[Sous Traitant]],coordonnee_st[Identification],coordonnee_st[SERVICE],"Non Trouvé")</f>
        <v>Frange</v>
      </c>
      <c r="M1279" s="35" t="str">
        <f>INDEX(_xlfn.TEXTSPLIT(mvtst[[#This Row],[QR Suivis]],"_"),1,2)</f>
        <v>CL00296</v>
      </c>
      <c r="N1279" s="35" t="str">
        <f>INDEX(_xlfn.TEXTSPLIT(mvtst[[#This Row],[QR Suivis]],"_"),1,3)</f>
        <v>CM-FT0108</v>
      </c>
      <c r="O1279" s="35" t="str">
        <f>INDEX(_xlfn.TEXTSPLIT(mvtst[[#This Row],[QR Suivis]],"_"),1,4)</f>
        <v>EPMA0919-B03-02</v>
      </c>
      <c r="P1279" s="35" t="str">
        <f>INDEX(_xlfn.TEXTSPLIT(mvtst[[#This Row],[QR Suivis]],"_"),1,5)</f>
        <v>MARINIERE</v>
      </c>
      <c r="Q1279" s="35" t="str">
        <f>_xlfn.TEXTAFTER(mvtst[[#This Row],[QR Suivis]],"_",5)</f>
        <v>0919</v>
      </c>
      <c r="R1279" s="84" t="str">
        <f>IF(
   COUNTIFS($A$2:A1279,A1279,
             $B$2:B1279,B1279,
             $C$2:C1279,C1279,
             $D$2:D1279,D1279,
             $G$2:G1279,G1279)&gt;1,
   "Doublon",
   "Correcte"
)</f>
        <v>Correcte</v>
      </c>
    </row>
    <row r="1280" spans="1:18" x14ac:dyDescent="0.25">
      <c r="A1280" s="104" t="s">
        <v>1943</v>
      </c>
      <c r="B1280" s="35" t="s">
        <v>595</v>
      </c>
      <c r="C1280" s="36">
        <v>5</v>
      </c>
      <c r="D1280" s="36">
        <v>0</v>
      </c>
      <c r="E1280" s="35" t="s">
        <v>699</v>
      </c>
      <c r="F1280" s="35" t="s">
        <v>634</v>
      </c>
      <c r="G1280" s="37">
        <v>45937.509120370371</v>
      </c>
      <c r="H1280" s="37" t="str">
        <f>INDEX(_xlfn.TEXTSPLIT(mvtst[[#This Row],[QR Suivis]],"_"),1,1)</f>
        <v>OF246544-10</v>
      </c>
      <c r="I1280" s="35" t="str">
        <f>_xlfn.TEXTBEFORE(mvtst[[#This Row],[Num Suivis]],"-",,,1)</f>
        <v>OF246544</v>
      </c>
      <c r="J1280" s="36">
        <f>SUMIF(mvtst[QR Suivis],mvtst[[#This Row],[QR Suivis]],mvtst[QTE SORTIS])-SUMIF(mvtst[QR Suivis],mvtst[[#This Row],[QR Suivis]],mvtst[QTE RETOUR])</f>
        <v>5</v>
      </c>
      <c r="K1280" s="35" t="str">
        <f t="shared" si="19"/>
        <v>Usine</v>
      </c>
      <c r="L1280" s="35" t="str">
        <f>_xlfn.XLOOKUP(mvtst[[#This Row],[Sous Traitant]],coordonnee_st[Identification],coordonnee_st[SERVICE],"Non Trouvé")</f>
        <v>Frange</v>
      </c>
      <c r="M1280" s="35" t="str">
        <f>INDEX(_xlfn.TEXTSPLIT(mvtst[[#This Row],[QR Suivis]],"_"),1,2)</f>
        <v>CL00296</v>
      </c>
      <c r="N1280" s="35" t="str">
        <f>INDEX(_xlfn.TEXTSPLIT(mvtst[[#This Row],[QR Suivis]],"_"),1,3)</f>
        <v>CM-FT0108</v>
      </c>
      <c r="O1280" s="35" t="str">
        <f>INDEX(_xlfn.TEXTSPLIT(mvtst[[#This Row],[QR Suivis]],"_"),1,4)</f>
        <v>EPMA0919-B03-02</v>
      </c>
      <c r="P1280" s="35" t="str">
        <f>INDEX(_xlfn.TEXTSPLIT(mvtst[[#This Row],[QR Suivis]],"_"),1,5)</f>
        <v>MARINIERE</v>
      </c>
      <c r="Q1280" s="35" t="str">
        <f>_xlfn.TEXTAFTER(mvtst[[#This Row],[QR Suivis]],"_",5)</f>
        <v>0919</v>
      </c>
      <c r="R1280" s="84" t="str">
        <f>IF(
   COUNTIFS($A$2:A1280,A1280,
             $B$2:B1280,B1280,
             $C$2:C1280,C1280,
             $D$2:D1280,D1280,
             $G$2:G1280,G1280)&gt;1,
   "Doublon",
   "Correcte"
)</f>
        <v>Correcte</v>
      </c>
    </row>
    <row r="1281" spans="1:18" x14ac:dyDescent="0.25">
      <c r="A1281" s="104" t="s">
        <v>1944</v>
      </c>
      <c r="B1281" s="35" t="s">
        <v>595</v>
      </c>
      <c r="C1281" s="36">
        <v>5</v>
      </c>
      <c r="D1281" s="36">
        <v>0</v>
      </c>
      <c r="E1281" s="35" t="s">
        <v>699</v>
      </c>
      <c r="F1281" s="35" t="s">
        <v>634</v>
      </c>
      <c r="G1281" s="37">
        <v>45937.509270833332</v>
      </c>
      <c r="H1281" s="37" t="str">
        <f>INDEX(_xlfn.TEXTSPLIT(mvtst[[#This Row],[QR Suivis]],"_"),1,1)</f>
        <v>OF246544-15</v>
      </c>
      <c r="I1281" s="35" t="str">
        <f>_xlfn.TEXTBEFORE(mvtst[[#This Row],[Num Suivis]],"-",,,1)</f>
        <v>OF246544</v>
      </c>
      <c r="J1281" s="36">
        <f>SUMIF(mvtst[QR Suivis],mvtst[[#This Row],[QR Suivis]],mvtst[QTE SORTIS])-SUMIF(mvtst[QR Suivis],mvtst[[#This Row],[QR Suivis]],mvtst[QTE RETOUR])</f>
        <v>0</v>
      </c>
      <c r="K1281" s="35" t="str">
        <f t="shared" si="19"/>
        <v>Usine</v>
      </c>
      <c r="L1281" s="35" t="str">
        <f>_xlfn.XLOOKUP(mvtst[[#This Row],[Sous Traitant]],coordonnee_st[Identification],coordonnee_st[SERVICE],"Non Trouvé")</f>
        <v>Frange</v>
      </c>
      <c r="M1281" s="35" t="str">
        <f>INDEX(_xlfn.TEXTSPLIT(mvtst[[#This Row],[QR Suivis]],"_"),1,2)</f>
        <v>CL00296</v>
      </c>
      <c r="N1281" s="35" t="str">
        <f>INDEX(_xlfn.TEXTSPLIT(mvtst[[#This Row],[QR Suivis]],"_"),1,3)</f>
        <v>CM-FT0108</v>
      </c>
      <c r="O1281" s="35" t="str">
        <f>INDEX(_xlfn.TEXTSPLIT(mvtst[[#This Row],[QR Suivis]],"_"),1,4)</f>
        <v>EPMA0919-B03-02</v>
      </c>
      <c r="P1281" s="35" t="str">
        <f>INDEX(_xlfn.TEXTSPLIT(mvtst[[#This Row],[QR Suivis]],"_"),1,5)</f>
        <v>MARINIERE</v>
      </c>
      <c r="Q1281" s="35" t="str">
        <f>_xlfn.TEXTAFTER(mvtst[[#This Row],[QR Suivis]],"_",5)</f>
        <v>0919</v>
      </c>
      <c r="R1281" s="84" t="str">
        <f>IF(
   COUNTIFS($A$2:A1281,A1281,
             $B$2:B1281,B1281,
             $C$2:C1281,C1281,
             $D$2:D1281,D1281,
             $G$2:G1281,G1281)&gt;1,
   "Doublon",
   "Correcte"
)</f>
        <v>Correcte</v>
      </c>
    </row>
    <row r="1282" spans="1:18" x14ac:dyDescent="0.25">
      <c r="A1282" s="104" t="s">
        <v>1905</v>
      </c>
      <c r="B1282" s="35" t="s">
        <v>595</v>
      </c>
      <c r="C1282" s="36">
        <v>0</v>
      </c>
      <c r="D1282" s="36">
        <v>5</v>
      </c>
      <c r="E1282" s="35" t="s">
        <v>699</v>
      </c>
      <c r="F1282" s="35" t="s">
        <v>634</v>
      </c>
      <c r="G1282" s="37">
        <v>45937.534490740742</v>
      </c>
      <c r="H1282" s="37" t="str">
        <f>INDEX(_xlfn.TEXTSPLIT(mvtst[[#This Row],[QR Suivis]],"_"),1,1)</f>
        <v>OF249869-12</v>
      </c>
      <c r="I1282" s="35" t="str">
        <f>_xlfn.TEXTBEFORE(mvtst[[#This Row],[Num Suivis]],"-",,,1)</f>
        <v>OF249869</v>
      </c>
      <c r="J1282" s="36">
        <f>SUMIF(mvtst[QR Suivis],mvtst[[#This Row],[QR Suivis]],mvtst[QTE SORTIS])-SUMIF(mvtst[QR Suivis],mvtst[[#This Row],[QR Suivis]],mvtst[QTE RETOUR])</f>
        <v>0</v>
      </c>
      <c r="K1282" s="35" t="str">
        <f t="shared" si="19"/>
        <v>Usine</v>
      </c>
      <c r="L1282" s="35" t="str">
        <f>_xlfn.XLOOKUP(mvtst[[#This Row],[Sous Traitant]],coordonnee_st[Identification],coordonnee_st[SERVICE],"Non Trouvé")</f>
        <v>Frange</v>
      </c>
      <c r="M1282" s="35" t="str">
        <f>INDEX(_xlfn.TEXTSPLIT(mvtst[[#This Row],[QR Suivis]],"_"),1,2)</f>
        <v>CL00884</v>
      </c>
      <c r="N1282" s="35" t="str">
        <f>INDEX(_xlfn.TEXTSPLIT(mvtst[[#This Row],[QR Suivis]],"_"),1,3)</f>
        <v>CM-FT0119</v>
      </c>
      <c r="O1282" s="35" t="str">
        <f>INDEX(_xlfn.TEXTSPLIT(mvtst[[#This Row],[QR Suivis]],"_"),1,4)</f>
        <v>EPMA0919-B29-02</v>
      </c>
      <c r="P1282" s="35" t="str">
        <f>INDEX(_xlfn.TEXTSPLIT(mvtst[[#This Row],[QR Suivis]],"_"),1,5)</f>
        <v>MARINIERE</v>
      </c>
      <c r="Q1282" s="35" t="str">
        <f>_xlfn.TEXTAFTER(mvtst[[#This Row],[QR Suivis]],"_",5)</f>
        <v>0919</v>
      </c>
      <c r="R1282" s="84" t="str">
        <f>IF(
   COUNTIFS($A$2:A1282,A1282,
             $B$2:B1282,B1282,
             $C$2:C1282,C1282,
             $D$2:D1282,D1282,
             $G$2:G1282,G1282)&gt;1,
   "Doublon",
   "Correcte"
)</f>
        <v>Correcte</v>
      </c>
    </row>
    <row r="1283" spans="1:18" x14ac:dyDescent="0.25">
      <c r="A1283" s="104" t="s">
        <v>1914</v>
      </c>
      <c r="B1283" s="35" t="s">
        <v>595</v>
      </c>
      <c r="C1283" s="36">
        <v>0</v>
      </c>
      <c r="D1283" s="36">
        <v>5</v>
      </c>
      <c r="E1283" s="35" t="s">
        <v>699</v>
      </c>
      <c r="F1283" s="35" t="s">
        <v>634</v>
      </c>
      <c r="G1283" s="37">
        <v>45937.534780092596</v>
      </c>
      <c r="H1283" s="37" t="str">
        <f>INDEX(_xlfn.TEXTSPLIT(mvtst[[#This Row],[QR Suivis]],"_"),1,1)</f>
        <v>OF249868-18</v>
      </c>
      <c r="I1283" s="35" t="str">
        <f>_xlfn.TEXTBEFORE(mvtst[[#This Row],[Num Suivis]],"-",,,1)</f>
        <v>OF249868</v>
      </c>
      <c r="J1283" s="36">
        <f>SUMIF(mvtst[QR Suivis],mvtst[[#This Row],[QR Suivis]],mvtst[QTE SORTIS])-SUMIF(mvtst[QR Suivis],mvtst[[#This Row],[QR Suivis]],mvtst[QTE RETOUR])</f>
        <v>0</v>
      </c>
      <c r="K1283" s="35" t="str">
        <f t="shared" ref="K1283:K1346" si="20">"Usine"</f>
        <v>Usine</v>
      </c>
      <c r="L1283" s="35" t="str">
        <f>_xlfn.XLOOKUP(mvtst[[#This Row],[Sous Traitant]],coordonnee_st[Identification],coordonnee_st[SERVICE],"Non Trouvé")</f>
        <v>Frange</v>
      </c>
      <c r="M1283" s="35" t="str">
        <f>INDEX(_xlfn.TEXTSPLIT(mvtst[[#This Row],[QR Suivis]],"_"),1,2)</f>
        <v>CL00884</v>
      </c>
      <c r="N1283" s="35" t="str">
        <f>INDEX(_xlfn.TEXTSPLIT(mvtst[[#This Row],[QR Suivis]],"_"),1,3)</f>
        <v>CM-FT0119</v>
      </c>
      <c r="O1283" s="35" t="str">
        <f>INDEX(_xlfn.TEXTSPLIT(mvtst[[#This Row],[QR Suivis]],"_"),1,4)</f>
        <v>EPMA0919-B24-02</v>
      </c>
      <c r="P1283" s="35" t="str">
        <f>INDEX(_xlfn.TEXTSPLIT(mvtst[[#This Row],[QR Suivis]],"_"),1,5)</f>
        <v>MARINIERE</v>
      </c>
      <c r="Q1283" s="35" t="str">
        <f>_xlfn.TEXTAFTER(mvtst[[#This Row],[QR Suivis]],"_",5)</f>
        <v>0919</v>
      </c>
      <c r="R1283" s="84" t="str">
        <f>IF(
   COUNTIFS($A$2:A1283,A1283,
             $B$2:B1283,B1283,
             $C$2:C1283,C1283,
             $D$2:D1283,D1283,
             $G$2:G1283,G1283)&gt;1,
   "Doublon",
   "Correcte"
)</f>
        <v>Correcte</v>
      </c>
    </row>
    <row r="1284" spans="1:18" x14ac:dyDescent="0.25">
      <c r="A1284" s="104" t="s">
        <v>1906</v>
      </c>
      <c r="B1284" s="35" t="s">
        <v>595</v>
      </c>
      <c r="C1284" s="36">
        <v>0</v>
      </c>
      <c r="D1284" s="36">
        <v>5</v>
      </c>
      <c r="E1284" s="35" t="s">
        <v>699</v>
      </c>
      <c r="F1284" s="35" t="s">
        <v>634</v>
      </c>
      <c r="G1284" s="37">
        <v>45937.534930555557</v>
      </c>
      <c r="H1284" s="37" t="str">
        <f>INDEX(_xlfn.TEXTSPLIT(mvtst[[#This Row],[QR Suivis]],"_"),1,1)</f>
        <v>OF249869-8</v>
      </c>
      <c r="I1284" s="35" t="str">
        <f>_xlfn.TEXTBEFORE(mvtst[[#This Row],[Num Suivis]],"-",,,1)</f>
        <v>OF249869</v>
      </c>
      <c r="J1284" s="36">
        <f>SUMIF(mvtst[QR Suivis],mvtst[[#This Row],[QR Suivis]],mvtst[QTE SORTIS])-SUMIF(mvtst[QR Suivis],mvtst[[#This Row],[QR Suivis]],mvtst[QTE RETOUR])</f>
        <v>0</v>
      </c>
      <c r="K1284" s="35" t="str">
        <f t="shared" si="20"/>
        <v>Usine</v>
      </c>
      <c r="L1284" s="35" t="str">
        <f>_xlfn.XLOOKUP(mvtst[[#This Row],[Sous Traitant]],coordonnee_st[Identification],coordonnee_st[SERVICE],"Non Trouvé")</f>
        <v>Frange</v>
      </c>
      <c r="M1284" s="35" t="str">
        <f>INDEX(_xlfn.TEXTSPLIT(mvtst[[#This Row],[QR Suivis]],"_"),1,2)</f>
        <v>CL00884</v>
      </c>
      <c r="N1284" s="35" t="str">
        <f>INDEX(_xlfn.TEXTSPLIT(mvtst[[#This Row],[QR Suivis]],"_"),1,3)</f>
        <v>CM-FT0119</v>
      </c>
      <c r="O1284" s="35" t="str">
        <f>INDEX(_xlfn.TEXTSPLIT(mvtst[[#This Row],[QR Suivis]],"_"),1,4)</f>
        <v>EPMA0919-B29-02</v>
      </c>
      <c r="P1284" s="35" t="str">
        <f>INDEX(_xlfn.TEXTSPLIT(mvtst[[#This Row],[QR Suivis]],"_"),1,5)</f>
        <v>MARINIERE</v>
      </c>
      <c r="Q1284" s="35" t="str">
        <f>_xlfn.TEXTAFTER(mvtst[[#This Row],[QR Suivis]],"_",5)</f>
        <v>0919</v>
      </c>
      <c r="R1284" s="84" t="str">
        <f>IF(
   COUNTIFS($A$2:A1284,A1284,
             $B$2:B1284,B1284,
             $C$2:C1284,C1284,
             $D$2:D1284,D1284,
             $G$2:G1284,G1284)&gt;1,
   "Doublon",
   "Correcte"
)</f>
        <v>Correcte</v>
      </c>
    </row>
    <row r="1285" spans="1:18" x14ac:dyDescent="0.25">
      <c r="A1285" s="104" t="s">
        <v>1910</v>
      </c>
      <c r="B1285" s="35" t="s">
        <v>595</v>
      </c>
      <c r="C1285" s="36">
        <v>0</v>
      </c>
      <c r="D1285" s="36">
        <v>5</v>
      </c>
      <c r="E1285" s="35" t="s">
        <v>699</v>
      </c>
      <c r="F1285" s="35" t="s">
        <v>634</v>
      </c>
      <c r="G1285" s="37">
        <v>45937.535185185188</v>
      </c>
      <c r="H1285" s="37" t="str">
        <f>INDEX(_xlfn.TEXTSPLIT(mvtst[[#This Row],[QR Suivis]],"_"),1,1)</f>
        <v>CA250635-15</v>
      </c>
      <c r="I1285" s="35" t="str">
        <f>_xlfn.TEXTBEFORE(mvtst[[#This Row],[Num Suivis]],"-",,,1)</f>
        <v>CA250635</v>
      </c>
      <c r="J1285" s="36">
        <f>SUMIF(mvtst[QR Suivis],mvtst[[#This Row],[QR Suivis]],mvtst[QTE SORTIS])-SUMIF(mvtst[QR Suivis],mvtst[[#This Row],[QR Suivis]],mvtst[QTE RETOUR])</f>
        <v>0</v>
      </c>
      <c r="K1285" s="35" t="str">
        <f t="shared" si="20"/>
        <v>Usine</v>
      </c>
      <c r="L1285" s="35" t="str">
        <f>_xlfn.XLOOKUP(mvtst[[#This Row],[Sous Traitant]],coordonnee_st[Identification],coordonnee_st[SERVICE],"Non Trouvé")</f>
        <v>Frange</v>
      </c>
      <c r="M1285" s="35" t="str">
        <f>INDEX(_xlfn.TEXTSPLIT(mvtst[[#This Row],[QR Suivis]],"_"),1,2)</f>
        <v>All by Fouta</v>
      </c>
      <c r="N1285" s="35" t="str">
        <f>INDEX(_xlfn.TEXTSPLIT(mvtst[[#This Row],[QR Suivis]],"_"),1,3)</f>
        <v>Stock</v>
      </c>
      <c r="O1285" s="35" t="str">
        <f>INDEX(_xlfn.TEXTSPLIT(mvtst[[#This Row],[QR Suivis]],"_"),1,4)</f>
        <v>EPMA0919-B11-02</v>
      </c>
      <c r="P1285" s="35" t="str">
        <f>INDEX(_xlfn.TEXTSPLIT(mvtst[[#This Row],[QR Suivis]],"_"),1,5)</f>
        <v>MARINIERE</v>
      </c>
      <c r="Q1285" s="35" t="str">
        <f>_xlfn.TEXTAFTER(mvtst[[#This Row],[QR Suivis]],"_",5)</f>
        <v>0919</v>
      </c>
      <c r="R1285" s="84" t="str">
        <f>IF(
   COUNTIFS($A$2:A1285,A1285,
             $B$2:B1285,B1285,
             $C$2:C1285,C1285,
             $D$2:D1285,D1285,
             $G$2:G1285,G1285)&gt;1,
   "Doublon",
   "Correcte"
)</f>
        <v>Correcte</v>
      </c>
    </row>
    <row r="1286" spans="1:18" x14ac:dyDescent="0.25">
      <c r="A1286" s="104" t="s">
        <v>1911</v>
      </c>
      <c r="B1286" s="35" t="s">
        <v>595</v>
      </c>
      <c r="C1286" s="36">
        <v>0</v>
      </c>
      <c r="D1286" s="36">
        <v>5</v>
      </c>
      <c r="E1286" s="35" t="s">
        <v>699</v>
      </c>
      <c r="F1286" s="35" t="s">
        <v>634</v>
      </c>
      <c r="G1286" s="37">
        <v>45937.535462962966</v>
      </c>
      <c r="H1286" s="37" t="str">
        <f>INDEX(_xlfn.TEXTSPLIT(mvtst[[#This Row],[QR Suivis]],"_"),1,1)</f>
        <v>OF249868-20</v>
      </c>
      <c r="I1286" s="35" t="str">
        <f>_xlfn.TEXTBEFORE(mvtst[[#This Row],[Num Suivis]],"-",,,1)</f>
        <v>OF249868</v>
      </c>
      <c r="J1286" s="36">
        <f>SUMIF(mvtst[QR Suivis],mvtst[[#This Row],[QR Suivis]],mvtst[QTE SORTIS])-SUMIF(mvtst[QR Suivis],mvtst[[#This Row],[QR Suivis]],mvtst[QTE RETOUR])</f>
        <v>0</v>
      </c>
      <c r="K1286" s="35" t="str">
        <f t="shared" si="20"/>
        <v>Usine</v>
      </c>
      <c r="L1286" s="35" t="str">
        <f>_xlfn.XLOOKUP(mvtst[[#This Row],[Sous Traitant]],coordonnee_st[Identification],coordonnee_st[SERVICE],"Non Trouvé")</f>
        <v>Frange</v>
      </c>
      <c r="M1286" s="35" t="str">
        <f>INDEX(_xlfn.TEXTSPLIT(mvtst[[#This Row],[QR Suivis]],"_"),1,2)</f>
        <v>CL00884</v>
      </c>
      <c r="N1286" s="35" t="str">
        <f>INDEX(_xlfn.TEXTSPLIT(mvtst[[#This Row],[QR Suivis]],"_"),1,3)</f>
        <v>CM-FT0119</v>
      </c>
      <c r="O1286" s="35" t="str">
        <f>INDEX(_xlfn.TEXTSPLIT(mvtst[[#This Row],[QR Suivis]],"_"),1,4)</f>
        <v>EPMA0919-B24-02</v>
      </c>
      <c r="P1286" s="35" t="str">
        <f>INDEX(_xlfn.TEXTSPLIT(mvtst[[#This Row],[QR Suivis]],"_"),1,5)</f>
        <v>MARINIERE</v>
      </c>
      <c r="Q1286" s="35" t="str">
        <f>_xlfn.TEXTAFTER(mvtst[[#This Row],[QR Suivis]],"_",5)</f>
        <v>0919</v>
      </c>
      <c r="R1286" s="84" t="str">
        <f>IF(
   COUNTIFS($A$2:A1286,A1286,
             $B$2:B1286,B1286,
             $C$2:C1286,C1286,
             $D$2:D1286,D1286,
             $G$2:G1286,G1286)&gt;1,
   "Doublon",
   "Correcte"
)</f>
        <v>Correcte</v>
      </c>
    </row>
    <row r="1287" spans="1:18" x14ac:dyDescent="0.25">
      <c r="A1287" s="104" t="s">
        <v>1907</v>
      </c>
      <c r="B1287" s="35" t="s">
        <v>595</v>
      </c>
      <c r="C1287" s="36">
        <v>0</v>
      </c>
      <c r="D1287" s="36">
        <v>5</v>
      </c>
      <c r="E1287" s="35" t="s">
        <v>699</v>
      </c>
      <c r="F1287" s="35" t="s">
        <v>634</v>
      </c>
      <c r="G1287" s="37">
        <v>45937.535868055558</v>
      </c>
      <c r="H1287" s="37" t="str">
        <f>INDEX(_xlfn.TEXTSPLIT(mvtst[[#This Row],[QR Suivis]],"_"),1,1)</f>
        <v>OF249869-9</v>
      </c>
      <c r="I1287" s="35" t="str">
        <f>_xlfn.TEXTBEFORE(mvtst[[#This Row],[Num Suivis]],"-",,,1)</f>
        <v>OF249869</v>
      </c>
      <c r="J1287" s="36">
        <f>SUMIF(mvtst[QR Suivis],mvtst[[#This Row],[QR Suivis]],mvtst[QTE SORTIS])-SUMIF(mvtst[QR Suivis],mvtst[[#This Row],[QR Suivis]],mvtst[QTE RETOUR])</f>
        <v>0</v>
      </c>
      <c r="K1287" s="35" t="str">
        <f t="shared" si="20"/>
        <v>Usine</v>
      </c>
      <c r="L1287" s="35" t="str">
        <f>_xlfn.XLOOKUP(mvtst[[#This Row],[Sous Traitant]],coordonnee_st[Identification],coordonnee_st[SERVICE],"Non Trouvé")</f>
        <v>Frange</v>
      </c>
      <c r="M1287" s="35" t="str">
        <f>INDEX(_xlfn.TEXTSPLIT(mvtst[[#This Row],[QR Suivis]],"_"),1,2)</f>
        <v>CL00884</v>
      </c>
      <c r="N1287" s="35" t="str">
        <f>INDEX(_xlfn.TEXTSPLIT(mvtst[[#This Row],[QR Suivis]],"_"),1,3)</f>
        <v>CM-FT0119</v>
      </c>
      <c r="O1287" s="35" t="str">
        <f>INDEX(_xlfn.TEXTSPLIT(mvtst[[#This Row],[QR Suivis]],"_"),1,4)</f>
        <v>EPMA0919-B29-02</v>
      </c>
      <c r="P1287" s="35" t="str">
        <f>INDEX(_xlfn.TEXTSPLIT(mvtst[[#This Row],[QR Suivis]],"_"),1,5)</f>
        <v>MARINIERE</v>
      </c>
      <c r="Q1287" s="35" t="str">
        <f>_xlfn.TEXTAFTER(mvtst[[#This Row],[QR Suivis]],"_",5)</f>
        <v>0919</v>
      </c>
      <c r="R1287" s="84" t="str">
        <f>IF(
   COUNTIFS($A$2:A1287,A1287,
             $B$2:B1287,B1287,
             $C$2:C1287,C1287,
             $D$2:D1287,D1287,
             $G$2:G1287,G1287)&gt;1,
   "Doublon",
   "Correcte"
)</f>
        <v>Correcte</v>
      </c>
    </row>
    <row r="1288" spans="1:18" x14ac:dyDescent="0.25">
      <c r="A1288" s="104" t="s">
        <v>1909</v>
      </c>
      <c r="B1288" s="35" t="s">
        <v>595</v>
      </c>
      <c r="C1288" s="36">
        <v>0</v>
      </c>
      <c r="D1288" s="36">
        <v>5</v>
      </c>
      <c r="E1288" s="35" t="s">
        <v>699</v>
      </c>
      <c r="F1288" s="35" t="s">
        <v>634</v>
      </c>
      <c r="G1288" s="37">
        <v>45937.536168981482</v>
      </c>
      <c r="H1288" s="37" t="str">
        <f>INDEX(_xlfn.TEXTSPLIT(mvtst[[#This Row],[QR Suivis]],"_"),1,1)</f>
        <v>OF249869-11</v>
      </c>
      <c r="I1288" s="35" t="str">
        <f>_xlfn.TEXTBEFORE(mvtst[[#This Row],[Num Suivis]],"-",,,1)</f>
        <v>OF249869</v>
      </c>
      <c r="J1288" s="36">
        <f>SUMIF(mvtst[QR Suivis],mvtst[[#This Row],[QR Suivis]],mvtst[QTE SORTIS])-SUMIF(mvtst[QR Suivis],mvtst[[#This Row],[QR Suivis]],mvtst[QTE RETOUR])</f>
        <v>0</v>
      </c>
      <c r="K1288" s="35" t="str">
        <f t="shared" si="20"/>
        <v>Usine</v>
      </c>
      <c r="L1288" s="35" t="str">
        <f>_xlfn.XLOOKUP(mvtst[[#This Row],[Sous Traitant]],coordonnee_st[Identification],coordonnee_st[SERVICE],"Non Trouvé")</f>
        <v>Frange</v>
      </c>
      <c r="M1288" s="35" t="str">
        <f>INDEX(_xlfn.TEXTSPLIT(mvtst[[#This Row],[QR Suivis]],"_"),1,2)</f>
        <v>CL00884</v>
      </c>
      <c r="N1288" s="35" t="str">
        <f>INDEX(_xlfn.TEXTSPLIT(mvtst[[#This Row],[QR Suivis]],"_"),1,3)</f>
        <v>CM-FT0119</v>
      </c>
      <c r="O1288" s="35" t="str">
        <f>INDEX(_xlfn.TEXTSPLIT(mvtst[[#This Row],[QR Suivis]],"_"),1,4)</f>
        <v>EPMA0919-B29-02</v>
      </c>
      <c r="P1288" s="35" t="str">
        <f>INDEX(_xlfn.TEXTSPLIT(mvtst[[#This Row],[QR Suivis]],"_"),1,5)</f>
        <v>MARINIERE</v>
      </c>
      <c r="Q1288" s="35" t="str">
        <f>_xlfn.TEXTAFTER(mvtst[[#This Row],[QR Suivis]],"_",5)</f>
        <v>0919</v>
      </c>
      <c r="R1288" s="84" t="str">
        <f>IF(
   COUNTIFS($A$2:A1288,A1288,
             $B$2:B1288,B1288,
             $C$2:C1288,C1288,
             $D$2:D1288,D1288,
             $G$2:G1288,G1288)&gt;1,
   "Doublon",
   "Correcte"
)</f>
        <v>Correcte</v>
      </c>
    </row>
    <row r="1289" spans="1:18" x14ac:dyDescent="0.25">
      <c r="A1289" s="104" t="s">
        <v>1913</v>
      </c>
      <c r="B1289" s="35" t="s">
        <v>595</v>
      </c>
      <c r="C1289" s="36">
        <v>0</v>
      </c>
      <c r="D1289" s="36">
        <v>5</v>
      </c>
      <c r="E1289" s="35" t="s">
        <v>699</v>
      </c>
      <c r="F1289" s="35" t="s">
        <v>634</v>
      </c>
      <c r="G1289" s="37">
        <v>45937.536516203705</v>
      </c>
      <c r="H1289" s="37" t="str">
        <f>INDEX(_xlfn.TEXTSPLIT(mvtst[[#This Row],[QR Suivis]],"_"),1,1)</f>
        <v>OF249868-19</v>
      </c>
      <c r="I1289" s="35" t="str">
        <f>_xlfn.TEXTBEFORE(mvtst[[#This Row],[Num Suivis]],"-",,,1)</f>
        <v>OF249868</v>
      </c>
      <c r="J1289" s="36">
        <f>SUMIF(mvtst[QR Suivis],mvtst[[#This Row],[QR Suivis]],mvtst[QTE SORTIS])-SUMIF(mvtst[QR Suivis],mvtst[[#This Row],[QR Suivis]],mvtst[QTE RETOUR])</f>
        <v>0</v>
      </c>
      <c r="K1289" s="35" t="str">
        <f t="shared" si="20"/>
        <v>Usine</v>
      </c>
      <c r="L1289" s="35" t="str">
        <f>_xlfn.XLOOKUP(mvtst[[#This Row],[Sous Traitant]],coordonnee_st[Identification],coordonnee_st[SERVICE],"Non Trouvé")</f>
        <v>Frange</v>
      </c>
      <c r="M1289" s="35" t="str">
        <f>INDEX(_xlfn.TEXTSPLIT(mvtst[[#This Row],[QR Suivis]],"_"),1,2)</f>
        <v>CL00884</v>
      </c>
      <c r="N1289" s="35" t="str">
        <f>INDEX(_xlfn.TEXTSPLIT(mvtst[[#This Row],[QR Suivis]],"_"),1,3)</f>
        <v>CM-FT0119</v>
      </c>
      <c r="O1289" s="35" t="str">
        <f>INDEX(_xlfn.TEXTSPLIT(mvtst[[#This Row],[QR Suivis]],"_"),1,4)</f>
        <v>EPMA0919-B24-02</v>
      </c>
      <c r="P1289" s="35" t="str">
        <f>INDEX(_xlfn.TEXTSPLIT(mvtst[[#This Row],[QR Suivis]],"_"),1,5)</f>
        <v>MARINIERE</v>
      </c>
      <c r="Q1289" s="35" t="str">
        <f>_xlfn.TEXTAFTER(mvtst[[#This Row],[QR Suivis]],"_",5)</f>
        <v>0919</v>
      </c>
      <c r="R1289" s="84" t="str">
        <f>IF(
   COUNTIFS($A$2:A1289,A1289,
             $B$2:B1289,B1289,
             $C$2:C1289,C1289,
             $D$2:D1289,D1289,
             $G$2:G1289,G1289)&gt;1,
   "Doublon",
   "Correcte"
)</f>
        <v>Correcte</v>
      </c>
    </row>
    <row r="1290" spans="1:18" x14ac:dyDescent="0.25">
      <c r="A1290" s="104" t="s">
        <v>1912</v>
      </c>
      <c r="B1290" s="35" t="s">
        <v>595</v>
      </c>
      <c r="C1290" s="36">
        <v>0</v>
      </c>
      <c r="D1290" s="36">
        <v>5</v>
      </c>
      <c r="E1290" s="35" t="s">
        <v>699</v>
      </c>
      <c r="F1290" s="35" t="s">
        <v>634</v>
      </c>
      <c r="G1290" s="37">
        <v>45937.536851851852</v>
      </c>
      <c r="H1290" s="37" t="str">
        <f>INDEX(_xlfn.TEXTSPLIT(mvtst[[#This Row],[QR Suivis]],"_"),1,1)</f>
        <v>OF249869-13</v>
      </c>
      <c r="I1290" s="35" t="str">
        <f>_xlfn.TEXTBEFORE(mvtst[[#This Row],[Num Suivis]],"-",,,1)</f>
        <v>OF249869</v>
      </c>
      <c r="J1290" s="36">
        <f>SUMIF(mvtst[QR Suivis],mvtst[[#This Row],[QR Suivis]],mvtst[QTE SORTIS])-SUMIF(mvtst[QR Suivis],mvtst[[#This Row],[QR Suivis]],mvtst[QTE RETOUR])</f>
        <v>0</v>
      </c>
      <c r="K1290" s="35" t="str">
        <f t="shared" si="20"/>
        <v>Usine</v>
      </c>
      <c r="L1290" s="35" t="str">
        <f>_xlfn.XLOOKUP(mvtst[[#This Row],[Sous Traitant]],coordonnee_st[Identification],coordonnee_st[SERVICE],"Non Trouvé")</f>
        <v>Frange</v>
      </c>
      <c r="M1290" s="35" t="str">
        <f>INDEX(_xlfn.TEXTSPLIT(mvtst[[#This Row],[QR Suivis]],"_"),1,2)</f>
        <v>CL00884</v>
      </c>
      <c r="N1290" s="35" t="str">
        <f>INDEX(_xlfn.TEXTSPLIT(mvtst[[#This Row],[QR Suivis]],"_"),1,3)</f>
        <v>CM-FT0119</v>
      </c>
      <c r="O1290" s="35" t="str">
        <f>INDEX(_xlfn.TEXTSPLIT(mvtst[[#This Row],[QR Suivis]],"_"),1,4)</f>
        <v>EPMA0919-B29-02</v>
      </c>
      <c r="P1290" s="35" t="str">
        <f>INDEX(_xlfn.TEXTSPLIT(mvtst[[#This Row],[QR Suivis]],"_"),1,5)</f>
        <v>MARINIERE</v>
      </c>
      <c r="Q1290" s="35" t="str">
        <f>_xlfn.TEXTAFTER(mvtst[[#This Row],[QR Suivis]],"_",5)</f>
        <v>0919</v>
      </c>
      <c r="R1290" s="84" t="str">
        <f>IF(
   COUNTIFS($A$2:A1290,A1290,
             $B$2:B1290,B1290,
             $C$2:C1290,C1290,
             $D$2:D1290,D1290,
             $G$2:G1290,G1290)&gt;1,
   "Doublon",
   "Correcte"
)</f>
        <v>Correcte</v>
      </c>
    </row>
    <row r="1291" spans="1:18" x14ac:dyDescent="0.25">
      <c r="A1291" s="104" t="s">
        <v>1850</v>
      </c>
      <c r="B1291" s="35" t="s">
        <v>595</v>
      </c>
      <c r="C1291" s="36">
        <v>0</v>
      </c>
      <c r="D1291" s="36">
        <v>5</v>
      </c>
      <c r="E1291" s="35" t="s">
        <v>699</v>
      </c>
      <c r="F1291" s="35" t="s">
        <v>634</v>
      </c>
      <c r="G1291" s="37">
        <v>45937.537395833337</v>
      </c>
      <c r="H1291" s="37" t="str">
        <f>INDEX(_xlfn.TEXTSPLIT(mvtst[[#This Row],[QR Suivis]],"_"),1,1)</f>
        <v>OF249869-1</v>
      </c>
      <c r="I1291" s="35" t="str">
        <f>_xlfn.TEXTBEFORE(mvtst[[#This Row],[Num Suivis]],"-",,,1)</f>
        <v>OF249869</v>
      </c>
      <c r="J1291" s="36">
        <f>SUMIF(mvtst[QR Suivis],mvtst[[#This Row],[QR Suivis]],mvtst[QTE SORTIS])-SUMIF(mvtst[QR Suivis],mvtst[[#This Row],[QR Suivis]],mvtst[QTE RETOUR])</f>
        <v>0</v>
      </c>
      <c r="K1291" s="35" t="str">
        <f t="shared" si="20"/>
        <v>Usine</v>
      </c>
      <c r="L1291" s="35" t="str">
        <f>_xlfn.XLOOKUP(mvtst[[#This Row],[Sous Traitant]],coordonnee_st[Identification],coordonnee_st[SERVICE],"Non Trouvé")</f>
        <v>Frange</v>
      </c>
      <c r="M1291" s="35" t="str">
        <f>INDEX(_xlfn.TEXTSPLIT(mvtst[[#This Row],[QR Suivis]],"_"),1,2)</f>
        <v>CL00884</v>
      </c>
      <c r="N1291" s="35" t="str">
        <f>INDEX(_xlfn.TEXTSPLIT(mvtst[[#This Row],[QR Suivis]],"_"),1,3)</f>
        <v>CM-FT0119</v>
      </c>
      <c r="O1291" s="35" t="str">
        <f>INDEX(_xlfn.TEXTSPLIT(mvtst[[#This Row],[QR Suivis]],"_"),1,4)</f>
        <v>EPMA0919-B29-02</v>
      </c>
      <c r="P1291" s="35" t="str">
        <f>INDEX(_xlfn.TEXTSPLIT(mvtst[[#This Row],[QR Suivis]],"_"),1,5)</f>
        <v>MARINIERE</v>
      </c>
      <c r="Q1291" s="35" t="str">
        <f>_xlfn.TEXTAFTER(mvtst[[#This Row],[QR Suivis]],"_",5)</f>
        <v>0919</v>
      </c>
      <c r="R1291" s="84" t="str">
        <f>IF(
   COUNTIFS($A$2:A1291,A1291,
             $B$2:B1291,B1291,
             $C$2:C1291,C1291,
             $D$2:D1291,D1291,
             $G$2:G1291,G1291)&gt;1,
   "Doublon",
   "Correcte"
)</f>
        <v>Correcte</v>
      </c>
    </row>
    <row r="1292" spans="1:18" x14ac:dyDescent="0.25">
      <c r="A1292" s="104" t="s">
        <v>1908</v>
      </c>
      <c r="B1292" s="35" t="s">
        <v>595</v>
      </c>
      <c r="C1292" s="36">
        <v>0</v>
      </c>
      <c r="D1292" s="36">
        <v>5</v>
      </c>
      <c r="E1292" s="35" t="s">
        <v>699</v>
      </c>
      <c r="F1292" s="35" t="s">
        <v>634</v>
      </c>
      <c r="G1292" s="37">
        <v>45937.537569444445</v>
      </c>
      <c r="H1292" s="37" t="str">
        <f>INDEX(_xlfn.TEXTSPLIT(mvtst[[#This Row],[QR Suivis]],"_"),1,1)</f>
        <v>OF249869-10</v>
      </c>
      <c r="I1292" s="35" t="str">
        <f>_xlfn.TEXTBEFORE(mvtst[[#This Row],[Num Suivis]],"-",,,1)</f>
        <v>OF249869</v>
      </c>
      <c r="J1292" s="36">
        <f>SUMIF(mvtst[QR Suivis],mvtst[[#This Row],[QR Suivis]],mvtst[QTE SORTIS])-SUMIF(mvtst[QR Suivis],mvtst[[#This Row],[QR Suivis]],mvtst[QTE RETOUR])</f>
        <v>0</v>
      </c>
      <c r="K1292" s="35" t="str">
        <f t="shared" si="20"/>
        <v>Usine</v>
      </c>
      <c r="L1292" s="35" t="str">
        <f>_xlfn.XLOOKUP(mvtst[[#This Row],[Sous Traitant]],coordonnee_st[Identification],coordonnee_st[SERVICE],"Non Trouvé")</f>
        <v>Frange</v>
      </c>
      <c r="M1292" s="35" t="str">
        <f>INDEX(_xlfn.TEXTSPLIT(mvtst[[#This Row],[QR Suivis]],"_"),1,2)</f>
        <v>CL00884</v>
      </c>
      <c r="N1292" s="35" t="str">
        <f>INDEX(_xlfn.TEXTSPLIT(mvtst[[#This Row],[QR Suivis]],"_"),1,3)</f>
        <v>CM-FT0119</v>
      </c>
      <c r="O1292" s="35" t="str">
        <f>INDEX(_xlfn.TEXTSPLIT(mvtst[[#This Row],[QR Suivis]],"_"),1,4)</f>
        <v>EPMA0919-B29-02</v>
      </c>
      <c r="P1292" s="35" t="str">
        <f>INDEX(_xlfn.TEXTSPLIT(mvtst[[#This Row],[QR Suivis]],"_"),1,5)</f>
        <v>MARINIERE</v>
      </c>
      <c r="Q1292" s="35" t="str">
        <f>_xlfn.TEXTAFTER(mvtst[[#This Row],[QR Suivis]],"_",5)</f>
        <v>0919</v>
      </c>
      <c r="R1292" s="84" t="str">
        <f>IF(
   COUNTIFS($A$2:A1292,A1292,
             $B$2:B1292,B1292,
             $C$2:C1292,C1292,
             $D$2:D1292,D1292,
             $G$2:G1292,G1292)&gt;1,
   "Doublon",
   "Correcte"
)</f>
        <v>Correcte</v>
      </c>
    </row>
    <row r="1293" spans="1:18" x14ac:dyDescent="0.25">
      <c r="A1293" s="104" t="s">
        <v>1945</v>
      </c>
      <c r="B1293" s="35" t="s">
        <v>596</v>
      </c>
      <c r="C1293" s="36">
        <v>5</v>
      </c>
      <c r="D1293" s="36">
        <v>0</v>
      </c>
      <c r="E1293" s="35" t="s">
        <v>699</v>
      </c>
      <c r="F1293" s="35" t="s">
        <v>634</v>
      </c>
      <c r="G1293" s="37">
        <v>45938.539768518516</v>
      </c>
      <c r="H1293" s="37" t="str">
        <f>INDEX(_xlfn.TEXTSPLIT(mvtst[[#This Row],[QR Suivis]],"_"),1,1)</f>
        <v>OF249782-5</v>
      </c>
      <c r="I1293" s="35" t="str">
        <f>_xlfn.TEXTBEFORE(mvtst[[#This Row],[Num Suivis]],"-",,,1)</f>
        <v>OF249782</v>
      </c>
      <c r="J1293" s="36">
        <f>SUMIF(mvtst[QR Suivis],mvtst[[#This Row],[QR Suivis]],mvtst[QTE SORTIS])-SUMIF(mvtst[QR Suivis],mvtst[[#This Row],[QR Suivis]],mvtst[QTE RETOUR])</f>
        <v>0</v>
      </c>
      <c r="K1293" s="35" t="str">
        <f t="shared" si="20"/>
        <v>Usine</v>
      </c>
      <c r="L1293" s="35" t="str">
        <f>_xlfn.XLOOKUP(mvtst[[#This Row],[Sous Traitant]],coordonnee_st[Identification],coordonnee_st[SERVICE],"Non Trouvé")</f>
        <v>Frange</v>
      </c>
      <c r="M1293" s="35" t="str">
        <f>INDEX(_xlfn.TEXTSPLIT(mvtst[[#This Row],[QR Suivis]],"_"),1,2)</f>
        <v>CL00884</v>
      </c>
      <c r="N1293" s="35" t="str">
        <f>INDEX(_xlfn.TEXTSPLIT(mvtst[[#This Row],[QR Suivis]],"_"),1,3)</f>
        <v>CM-FT0119</v>
      </c>
      <c r="O1293" s="35" t="str">
        <f>INDEX(_xlfn.TEXTSPLIT(mvtst[[#This Row],[QR Suivis]],"_"),1,4)</f>
        <v>IB1020-B24-01</v>
      </c>
      <c r="P1293" s="35" t="str">
        <f>INDEX(_xlfn.TEXTSPLIT(mvtst[[#This Row],[QR Suivis]],"_"),1,5)</f>
        <v>IBIZA</v>
      </c>
      <c r="Q1293" s="35" t="str">
        <f>_xlfn.TEXTAFTER(mvtst[[#This Row],[QR Suivis]],"_",5)</f>
        <v>1020</v>
      </c>
      <c r="R1293" s="84" t="str">
        <f>IF(
   COUNTIFS($A$2:A1293,A1293,
             $B$2:B1293,B1293,
             $C$2:C1293,C1293,
             $D$2:D1293,D1293,
             $G$2:G1293,G1293)&gt;1,
   "Doublon",
   "Correcte"
)</f>
        <v>Correcte</v>
      </c>
    </row>
    <row r="1294" spans="1:18" x14ac:dyDescent="0.25">
      <c r="A1294" s="104" t="s">
        <v>1946</v>
      </c>
      <c r="B1294" s="35" t="s">
        <v>596</v>
      </c>
      <c r="C1294" s="36">
        <v>5</v>
      </c>
      <c r="D1294" s="36">
        <v>0</v>
      </c>
      <c r="E1294" s="35" t="s">
        <v>699</v>
      </c>
      <c r="F1294" s="35" t="s">
        <v>634</v>
      </c>
      <c r="G1294" s="37">
        <v>45938.540069444447</v>
      </c>
      <c r="H1294" s="37" t="str">
        <f>INDEX(_xlfn.TEXTSPLIT(mvtst[[#This Row],[QR Suivis]],"_"),1,1)</f>
        <v>OF249782-63</v>
      </c>
      <c r="I1294" s="35" t="str">
        <f>_xlfn.TEXTBEFORE(mvtst[[#This Row],[Num Suivis]],"-",,,1)</f>
        <v>OF249782</v>
      </c>
      <c r="J1294" s="36">
        <f>SUMIF(mvtst[QR Suivis],mvtst[[#This Row],[QR Suivis]],mvtst[QTE SORTIS])-SUMIF(mvtst[QR Suivis],mvtst[[#This Row],[QR Suivis]],mvtst[QTE RETOUR])</f>
        <v>0</v>
      </c>
      <c r="K1294" s="35" t="str">
        <f t="shared" si="20"/>
        <v>Usine</v>
      </c>
      <c r="L1294" s="35" t="str">
        <f>_xlfn.XLOOKUP(mvtst[[#This Row],[Sous Traitant]],coordonnee_st[Identification],coordonnee_st[SERVICE],"Non Trouvé")</f>
        <v>Frange</v>
      </c>
      <c r="M1294" s="35" t="str">
        <f>INDEX(_xlfn.TEXTSPLIT(mvtst[[#This Row],[QR Suivis]],"_"),1,2)</f>
        <v>CL00884</v>
      </c>
      <c r="N1294" s="35" t="str">
        <f>INDEX(_xlfn.TEXTSPLIT(mvtst[[#This Row],[QR Suivis]],"_"),1,3)</f>
        <v>CM-FT0119</v>
      </c>
      <c r="O1294" s="35" t="str">
        <f>INDEX(_xlfn.TEXTSPLIT(mvtst[[#This Row],[QR Suivis]],"_"),1,4)</f>
        <v>IB1020-B24-01</v>
      </c>
      <c r="P1294" s="35" t="str">
        <f>INDEX(_xlfn.TEXTSPLIT(mvtst[[#This Row],[QR Suivis]],"_"),1,5)</f>
        <v>IBIZA</v>
      </c>
      <c r="Q1294" s="35" t="str">
        <f>_xlfn.TEXTAFTER(mvtst[[#This Row],[QR Suivis]],"_",5)</f>
        <v>1020</v>
      </c>
      <c r="R1294" s="84" t="str">
        <f>IF(
   COUNTIFS($A$2:A1294,A1294,
             $B$2:B1294,B1294,
             $C$2:C1294,C1294,
             $D$2:D1294,D1294,
             $G$2:G1294,G1294)&gt;1,
   "Doublon",
   "Correcte"
)</f>
        <v>Correcte</v>
      </c>
    </row>
    <row r="1295" spans="1:18" x14ac:dyDescent="0.25">
      <c r="A1295" s="104" t="s">
        <v>1947</v>
      </c>
      <c r="B1295" s="35" t="s">
        <v>596</v>
      </c>
      <c r="C1295" s="36">
        <v>5</v>
      </c>
      <c r="D1295" s="36">
        <v>0</v>
      </c>
      <c r="E1295" s="35" t="s">
        <v>699</v>
      </c>
      <c r="F1295" s="35" t="s">
        <v>634</v>
      </c>
      <c r="G1295" s="37">
        <v>45938.540289351855</v>
      </c>
      <c r="H1295" s="37" t="str">
        <f>INDEX(_xlfn.TEXTSPLIT(mvtst[[#This Row],[QR Suivis]],"_"),1,1)</f>
        <v>OF249782-4</v>
      </c>
      <c r="I1295" s="35" t="str">
        <f>_xlfn.TEXTBEFORE(mvtst[[#This Row],[Num Suivis]],"-",,,1)</f>
        <v>OF249782</v>
      </c>
      <c r="J1295" s="36">
        <f>SUMIF(mvtst[QR Suivis],mvtst[[#This Row],[QR Suivis]],mvtst[QTE SORTIS])-SUMIF(mvtst[QR Suivis],mvtst[[#This Row],[QR Suivis]],mvtst[QTE RETOUR])</f>
        <v>0</v>
      </c>
      <c r="K1295" s="35" t="str">
        <f t="shared" si="20"/>
        <v>Usine</v>
      </c>
      <c r="L1295" s="35" t="str">
        <f>_xlfn.XLOOKUP(mvtst[[#This Row],[Sous Traitant]],coordonnee_st[Identification],coordonnee_st[SERVICE],"Non Trouvé")</f>
        <v>Frange</v>
      </c>
      <c r="M1295" s="35" t="str">
        <f>INDEX(_xlfn.TEXTSPLIT(mvtst[[#This Row],[QR Suivis]],"_"),1,2)</f>
        <v>CL00884</v>
      </c>
      <c r="N1295" s="35" t="str">
        <f>INDEX(_xlfn.TEXTSPLIT(mvtst[[#This Row],[QR Suivis]],"_"),1,3)</f>
        <v>CM-FT0119</v>
      </c>
      <c r="O1295" s="35" t="str">
        <f>INDEX(_xlfn.TEXTSPLIT(mvtst[[#This Row],[QR Suivis]],"_"),1,4)</f>
        <v>IB1020-B24-01</v>
      </c>
      <c r="P1295" s="35" t="str">
        <f>INDEX(_xlfn.TEXTSPLIT(mvtst[[#This Row],[QR Suivis]],"_"),1,5)</f>
        <v>IBIZA</v>
      </c>
      <c r="Q1295" s="35" t="str">
        <f>_xlfn.TEXTAFTER(mvtst[[#This Row],[QR Suivis]],"_",5)</f>
        <v>1020</v>
      </c>
      <c r="R1295" s="84" t="str">
        <f>IF(
   COUNTIFS($A$2:A1295,A1295,
             $B$2:B1295,B1295,
             $C$2:C1295,C1295,
             $D$2:D1295,D1295,
             $G$2:G1295,G1295)&gt;1,
   "Doublon",
   "Correcte"
)</f>
        <v>Correcte</v>
      </c>
    </row>
    <row r="1296" spans="1:18" x14ac:dyDescent="0.25">
      <c r="A1296" s="104" t="s">
        <v>1948</v>
      </c>
      <c r="B1296" s="35" t="s">
        <v>596</v>
      </c>
      <c r="C1296" s="36">
        <v>5</v>
      </c>
      <c r="D1296" s="36">
        <v>0</v>
      </c>
      <c r="E1296" s="35" t="s">
        <v>699</v>
      </c>
      <c r="F1296" s="35" t="s">
        <v>634</v>
      </c>
      <c r="G1296" s="37">
        <v>45938.54078703704</v>
      </c>
      <c r="H1296" s="37" t="str">
        <f>INDEX(_xlfn.TEXTSPLIT(mvtst[[#This Row],[QR Suivis]],"_"),1,1)</f>
        <v>OF249782-47</v>
      </c>
      <c r="I1296" s="35" t="str">
        <f>_xlfn.TEXTBEFORE(mvtst[[#This Row],[Num Suivis]],"-",,,1)</f>
        <v>OF249782</v>
      </c>
      <c r="J1296" s="36">
        <f>SUMIF(mvtst[QR Suivis],mvtst[[#This Row],[QR Suivis]],mvtst[QTE SORTIS])-SUMIF(mvtst[QR Suivis],mvtst[[#This Row],[QR Suivis]],mvtst[QTE RETOUR])</f>
        <v>5</v>
      </c>
      <c r="K1296" s="35" t="str">
        <f t="shared" si="20"/>
        <v>Usine</v>
      </c>
      <c r="L1296" s="35" t="str">
        <f>_xlfn.XLOOKUP(mvtst[[#This Row],[Sous Traitant]],coordonnee_st[Identification],coordonnee_st[SERVICE],"Non Trouvé")</f>
        <v>Frange</v>
      </c>
      <c r="M1296" s="35" t="str">
        <f>INDEX(_xlfn.TEXTSPLIT(mvtst[[#This Row],[QR Suivis]],"_"),1,2)</f>
        <v>CL00884</v>
      </c>
      <c r="N1296" s="35" t="str">
        <f>INDEX(_xlfn.TEXTSPLIT(mvtst[[#This Row],[QR Suivis]],"_"),1,3)</f>
        <v>CM-FT0119</v>
      </c>
      <c r="O1296" s="35" t="str">
        <f>INDEX(_xlfn.TEXTSPLIT(mvtst[[#This Row],[QR Suivis]],"_"),1,4)</f>
        <v>IB1020-B24-01</v>
      </c>
      <c r="P1296" s="35" t="str">
        <f>INDEX(_xlfn.TEXTSPLIT(mvtst[[#This Row],[QR Suivis]],"_"),1,5)</f>
        <v>IBIZA</v>
      </c>
      <c r="Q1296" s="35" t="str">
        <f>_xlfn.TEXTAFTER(mvtst[[#This Row],[QR Suivis]],"_",5)</f>
        <v>1020</v>
      </c>
      <c r="R1296" s="84" t="str">
        <f>IF(
   COUNTIFS($A$2:A1296,A1296,
             $B$2:B1296,B1296,
             $C$2:C1296,C1296,
             $D$2:D1296,D1296,
             $G$2:G1296,G1296)&gt;1,
   "Doublon",
   "Correcte"
)</f>
        <v>Correcte</v>
      </c>
    </row>
    <row r="1297" spans="1:18" x14ac:dyDescent="0.25">
      <c r="A1297" s="104" t="s">
        <v>1949</v>
      </c>
      <c r="B1297" s="35" t="s">
        <v>596</v>
      </c>
      <c r="C1297" s="36">
        <v>5</v>
      </c>
      <c r="D1297" s="36">
        <v>0</v>
      </c>
      <c r="E1297" s="35" t="s">
        <v>699</v>
      </c>
      <c r="F1297" s="35" t="s">
        <v>634</v>
      </c>
      <c r="G1297" s="37">
        <v>45938.541064814817</v>
      </c>
      <c r="H1297" s="37" t="str">
        <f>INDEX(_xlfn.TEXTSPLIT(mvtst[[#This Row],[QR Suivis]],"_"),1,1)</f>
        <v>OF249782-64</v>
      </c>
      <c r="I1297" s="35" t="str">
        <f>_xlfn.TEXTBEFORE(mvtst[[#This Row],[Num Suivis]],"-",,,1)</f>
        <v>OF249782</v>
      </c>
      <c r="J1297" s="36">
        <f>SUMIF(mvtst[QR Suivis],mvtst[[#This Row],[QR Suivis]],mvtst[QTE SORTIS])-SUMIF(mvtst[QR Suivis],mvtst[[#This Row],[QR Suivis]],mvtst[QTE RETOUR])</f>
        <v>0</v>
      </c>
      <c r="K1297" s="35" t="str">
        <f t="shared" si="20"/>
        <v>Usine</v>
      </c>
      <c r="L1297" s="35" t="str">
        <f>_xlfn.XLOOKUP(mvtst[[#This Row],[Sous Traitant]],coordonnee_st[Identification],coordonnee_st[SERVICE],"Non Trouvé")</f>
        <v>Frange</v>
      </c>
      <c r="M1297" s="35" t="str">
        <f>INDEX(_xlfn.TEXTSPLIT(mvtst[[#This Row],[QR Suivis]],"_"),1,2)</f>
        <v>CL00884</v>
      </c>
      <c r="N1297" s="35" t="str">
        <f>INDEX(_xlfn.TEXTSPLIT(mvtst[[#This Row],[QR Suivis]],"_"),1,3)</f>
        <v>CM-FT0119</v>
      </c>
      <c r="O1297" s="35" t="str">
        <f>INDEX(_xlfn.TEXTSPLIT(mvtst[[#This Row],[QR Suivis]],"_"),1,4)</f>
        <v>IB1020-B24-01</v>
      </c>
      <c r="P1297" s="35" t="str">
        <f>INDEX(_xlfn.TEXTSPLIT(mvtst[[#This Row],[QR Suivis]],"_"),1,5)</f>
        <v>IBIZA</v>
      </c>
      <c r="Q1297" s="35" t="str">
        <f>_xlfn.TEXTAFTER(mvtst[[#This Row],[QR Suivis]],"_",5)</f>
        <v>1020</v>
      </c>
      <c r="R1297" s="84" t="str">
        <f>IF(
   COUNTIFS($A$2:A1297,A1297,
             $B$2:B1297,B1297,
             $C$2:C1297,C1297,
             $D$2:D1297,D1297,
             $G$2:G1297,G1297)&gt;1,
   "Doublon",
   "Correcte"
)</f>
        <v>Correcte</v>
      </c>
    </row>
    <row r="1298" spans="1:18" x14ac:dyDescent="0.25">
      <c r="A1298" s="104" t="s">
        <v>1950</v>
      </c>
      <c r="B1298" s="35" t="s">
        <v>596</v>
      </c>
      <c r="C1298" s="36">
        <v>5</v>
      </c>
      <c r="D1298" s="36">
        <v>0</v>
      </c>
      <c r="E1298" s="35" t="s">
        <v>699</v>
      </c>
      <c r="F1298" s="35" t="s">
        <v>634</v>
      </c>
      <c r="G1298" s="37">
        <v>45938.541712962964</v>
      </c>
      <c r="H1298" s="37" t="str">
        <f>INDEX(_xlfn.TEXTSPLIT(mvtst[[#This Row],[QR Suivis]],"_"),1,1)</f>
        <v>OF249782-43</v>
      </c>
      <c r="I1298" s="35" t="str">
        <f>_xlfn.TEXTBEFORE(mvtst[[#This Row],[Num Suivis]],"-",,,1)</f>
        <v>OF249782</v>
      </c>
      <c r="J1298" s="36">
        <f>SUMIF(mvtst[QR Suivis],mvtst[[#This Row],[QR Suivis]],mvtst[QTE SORTIS])-SUMIF(mvtst[QR Suivis],mvtst[[#This Row],[QR Suivis]],mvtst[QTE RETOUR])</f>
        <v>5</v>
      </c>
      <c r="K1298" s="35" t="str">
        <f t="shared" si="20"/>
        <v>Usine</v>
      </c>
      <c r="L1298" s="35" t="str">
        <f>_xlfn.XLOOKUP(mvtst[[#This Row],[Sous Traitant]],coordonnee_st[Identification],coordonnee_st[SERVICE],"Non Trouvé")</f>
        <v>Frange</v>
      </c>
      <c r="M1298" s="35" t="str">
        <f>INDEX(_xlfn.TEXTSPLIT(mvtst[[#This Row],[QR Suivis]],"_"),1,2)</f>
        <v>CL00884</v>
      </c>
      <c r="N1298" s="35" t="str">
        <f>INDEX(_xlfn.TEXTSPLIT(mvtst[[#This Row],[QR Suivis]],"_"),1,3)</f>
        <v>CM-FT0119</v>
      </c>
      <c r="O1298" s="35" t="str">
        <f>INDEX(_xlfn.TEXTSPLIT(mvtst[[#This Row],[QR Suivis]],"_"),1,4)</f>
        <v>IB1020-B24-01</v>
      </c>
      <c r="P1298" s="35" t="str">
        <f>INDEX(_xlfn.TEXTSPLIT(mvtst[[#This Row],[QR Suivis]],"_"),1,5)</f>
        <v>IBIZA</v>
      </c>
      <c r="Q1298" s="35" t="str">
        <f>_xlfn.TEXTAFTER(mvtst[[#This Row],[QR Suivis]],"_",5)</f>
        <v>1020</v>
      </c>
      <c r="R1298" s="84" t="str">
        <f>IF(
   COUNTIFS($A$2:A1298,A1298,
             $B$2:B1298,B1298,
             $C$2:C1298,C1298,
             $D$2:D1298,D1298,
             $G$2:G1298,G1298)&gt;1,
   "Doublon",
   "Correcte"
)</f>
        <v>Correcte</v>
      </c>
    </row>
    <row r="1299" spans="1:18" x14ac:dyDescent="0.25">
      <c r="A1299" s="104" t="s">
        <v>1951</v>
      </c>
      <c r="B1299" s="35" t="s">
        <v>596</v>
      </c>
      <c r="C1299" s="36">
        <v>5</v>
      </c>
      <c r="D1299" s="36">
        <v>0</v>
      </c>
      <c r="E1299" s="35" t="s">
        <v>699</v>
      </c>
      <c r="F1299" s="35" t="s">
        <v>634</v>
      </c>
      <c r="G1299" s="37">
        <v>45938.542256944442</v>
      </c>
      <c r="H1299" s="37" t="str">
        <f>INDEX(_xlfn.TEXTSPLIT(mvtst[[#This Row],[QR Suivis]],"_"),1,1)</f>
        <v>OF249782-7</v>
      </c>
      <c r="I1299" s="35" t="str">
        <f>_xlfn.TEXTBEFORE(mvtst[[#This Row],[Num Suivis]],"-",,,1)</f>
        <v>OF249782</v>
      </c>
      <c r="J1299" s="36">
        <f>SUMIF(mvtst[QR Suivis],mvtst[[#This Row],[QR Suivis]],mvtst[QTE SORTIS])-SUMIF(mvtst[QR Suivis],mvtst[[#This Row],[QR Suivis]],mvtst[QTE RETOUR])</f>
        <v>0</v>
      </c>
      <c r="K1299" s="35" t="str">
        <f t="shared" si="20"/>
        <v>Usine</v>
      </c>
      <c r="L1299" s="35" t="str">
        <f>_xlfn.XLOOKUP(mvtst[[#This Row],[Sous Traitant]],coordonnee_st[Identification],coordonnee_st[SERVICE],"Non Trouvé")</f>
        <v>Frange</v>
      </c>
      <c r="M1299" s="35" t="str">
        <f>INDEX(_xlfn.TEXTSPLIT(mvtst[[#This Row],[QR Suivis]],"_"),1,2)</f>
        <v>CL00884</v>
      </c>
      <c r="N1299" s="35" t="str">
        <f>INDEX(_xlfn.TEXTSPLIT(mvtst[[#This Row],[QR Suivis]],"_"),1,3)</f>
        <v>CM-FT0119</v>
      </c>
      <c r="O1299" s="35" t="str">
        <f>INDEX(_xlfn.TEXTSPLIT(mvtst[[#This Row],[QR Suivis]],"_"),1,4)</f>
        <v>IB1020-B24-01</v>
      </c>
      <c r="P1299" s="35" t="str">
        <f>INDEX(_xlfn.TEXTSPLIT(mvtst[[#This Row],[QR Suivis]],"_"),1,5)</f>
        <v>IBIZA</v>
      </c>
      <c r="Q1299" s="35" t="str">
        <f>_xlfn.TEXTAFTER(mvtst[[#This Row],[QR Suivis]],"_",5)</f>
        <v>1020</v>
      </c>
      <c r="R1299" s="84" t="str">
        <f>IF(
   COUNTIFS($A$2:A1299,A1299,
             $B$2:B1299,B1299,
             $C$2:C1299,C1299,
             $D$2:D1299,D1299,
             $G$2:G1299,G1299)&gt;1,
   "Doublon",
   "Correcte"
)</f>
        <v>Correcte</v>
      </c>
    </row>
    <row r="1300" spans="1:18" x14ac:dyDescent="0.25">
      <c r="A1300" s="104" t="s">
        <v>1952</v>
      </c>
      <c r="B1300" s="35" t="s">
        <v>596</v>
      </c>
      <c r="C1300" s="36">
        <v>5</v>
      </c>
      <c r="D1300" s="36">
        <v>0</v>
      </c>
      <c r="E1300" s="35" t="s">
        <v>699</v>
      </c>
      <c r="F1300" s="35" t="s">
        <v>634</v>
      </c>
      <c r="G1300" s="37">
        <v>45938.542534722219</v>
      </c>
      <c r="H1300" s="37" t="str">
        <f>INDEX(_xlfn.TEXTSPLIT(mvtst[[#This Row],[QR Suivis]],"_"),1,1)</f>
        <v>OF249782-3</v>
      </c>
      <c r="I1300" s="35" t="str">
        <f>_xlfn.TEXTBEFORE(mvtst[[#This Row],[Num Suivis]],"-",,,1)</f>
        <v>OF249782</v>
      </c>
      <c r="J1300" s="36">
        <f>SUMIF(mvtst[QR Suivis],mvtst[[#This Row],[QR Suivis]],mvtst[QTE SORTIS])-SUMIF(mvtst[QR Suivis],mvtst[[#This Row],[QR Suivis]],mvtst[QTE RETOUR])</f>
        <v>5</v>
      </c>
      <c r="K1300" s="35" t="str">
        <f t="shared" si="20"/>
        <v>Usine</v>
      </c>
      <c r="L1300" s="35" t="str">
        <f>_xlfn.XLOOKUP(mvtst[[#This Row],[Sous Traitant]],coordonnee_st[Identification],coordonnee_st[SERVICE],"Non Trouvé")</f>
        <v>Frange</v>
      </c>
      <c r="M1300" s="35" t="str">
        <f>INDEX(_xlfn.TEXTSPLIT(mvtst[[#This Row],[QR Suivis]],"_"),1,2)</f>
        <v>CL00884</v>
      </c>
      <c r="N1300" s="35" t="str">
        <f>INDEX(_xlfn.TEXTSPLIT(mvtst[[#This Row],[QR Suivis]],"_"),1,3)</f>
        <v>CM-FT0119</v>
      </c>
      <c r="O1300" s="35" t="str">
        <f>INDEX(_xlfn.TEXTSPLIT(mvtst[[#This Row],[QR Suivis]],"_"),1,4)</f>
        <v>IB1020-B24-01</v>
      </c>
      <c r="P1300" s="35" t="str">
        <f>INDEX(_xlfn.TEXTSPLIT(mvtst[[#This Row],[QR Suivis]],"_"),1,5)</f>
        <v>IBIZA</v>
      </c>
      <c r="Q1300" s="35" t="str">
        <f>_xlfn.TEXTAFTER(mvtst[[#This Row],[QR Suivis]],"_",5)</f>
        <v>1020</v>
      </c>
      <c r="R1300" s="84" t="str">
        <f>IF(
   COUNTIFS($A$2:A1300,A1300,
             $B$2:B1300,B1300,
             $C$2:C1300,C1300,
             $D$2:D1300,D1300,
             $G$2:G1300,G1300)&gt;1,
   "Doublon",
   "Correcte"
)</f>
        <v>Correcte</v>
      </c>
    </row>
    <row r="1301" spans="1:18" x14ac:dyDescent="0.25">
      <c r="A1301" s="104" t="s">
        <v>1953</v>
      </c>
      <c r="B1301" s="35" t="s">
        <v>596</v>
      </c>
      <c r="C1301" s="36">
        <v>5</v>
      </c>
      <c r="D1301" s="36">
        <v>0</v>
      </c>
      <c r="E1301" s="35" t="s">
        <v>699</v>
      </c>
      <c r="F1301" s="35" t="s">
        <v>634</v>
      </c>
      <c r="G1301" s="37">
        <v>45938.563923611109</v>
      </c>
      <c r="H1301" s="37" t="str">
        <f>INDEX(_xlfn.TEXTSPLIT(mvtst[[#This Row],[QR Suivis]],"_"),1,1)</f>
        <v>OF249782-2</v>
      </c>
      <c r="I1301" s="35" t="str">
        <f>_xlfn.TEXTBEFORE(mvtst[[#This Row],[Num Suivis]],"-",,,1)</f>
        <v>OF249782</v>
      </c>
      <c r="J1301" s="36">
        <f>SUMIF(mvtst[QR Suivis],mvtst[[#This Row],[QR Suivis]],mvtst[QTE SORTIS])-SUMIF(mvtst[QR Suivis],mvtst[[#This Row],[QR Suivis]],mvtst[QTE RETOUR])</f>
        <v>0</v>
      </c>
      <c r="K1301" s="35" t="str">
        <f t="shared" si="20"/>
        <v>Usine</v>
      </c>
      <c r="L1301" s="35" t="str">
        <f>_xlfn.XLOOKUP(mvtst[[#This Row],[Sous Traitant]],coordonnee_st[Identification],coordonnee_st[SERVICE],"Non Trouvé")</f>
        <v>Frange</v>
      </c>
      <c r="M1301" s="35" t="str">
        <f>INDEX(_xlfn.TEXTSPLIT(mvtst[[#This Row],[QR Suivis]],"_"),1,2)</f>
        <v>CL00884</v>
      </c>
      <c r="N1301" s="35" t="str">
        <f>INDEX(_xlfn.TEXTSPLIT(mvtst[[#This Row],[QR Suivis]],"_"),1,3)</f>
        <v>CM-FT0119</v>
      </c>
      <c r="O1301" s="35" t="str">
        <f>INDEX(_xlfn.TEXTSPLIT(mvtst[[#This Row],[QR Suivis]],"_"),1,4)</f>
        <v>IB1020-B24-01</v>
      </c>
      <c r="P1301" s="35" t="str">
        <f>INDEX(_xlfn.TEXTSPLIT(mvtst[[#This Row],[QR Suivis]],"_"),1,5)</f>
        <v>IBIZA</v>
      </c>
      <c r="Q1301" s="35" t="str">
        <f>_xlfn.TEXTAFTER(mvtst[[#This Row],[QR Suivis]],"_",5)</f>
        <v>1020</v>
      </c>
      <c r="R1301" s="84" t="str">
        <f>IF(
   COUNTIFS($A$2:A1301,A1301,
             $B$2:B1301,B1301,
             $C$2:C1301,C1301,
             $D$2:D1301,D1301,
             $G$2:G1301,G1301)&gt;1,
   "Doublon",
   "Correcte"
)</f>
        <v>Correcte</v>
      </c>
    </row>
    <row r="1302" spans="1:18" x14ac:dyDescent="0.25">
      <c r="A1302" s="104" t="s">
        <v>1954</v>
      </c>
      <c r="B1302" s="35" t="s">
        <v>596</v>
      </c>
      <c r="C1302" s="36">
        <v>5</v>
      </c>
      <c r="D1302" s="36">
        <v>0</v>
      </c>
      <c r="E1302" s="35" t="s">
        <v>699</v>
      </c>
      <c r="F1302" s="35" t="s">
        <v>634</v>
      </c>
      <c r="G1302" s="37">
        <v>45938.564444444448</v>
      </c>
      <c r="H1302" s="37" t="str">
        <f>INDEX(_xlfn.TEXTSPLIT(mvtst[[#This Row],[QR Suivis]],"_"),1,1)</f>
        <v>OF249782-6</v>
      </c>
      <c r="I1302" s="35" t="str">
        <f>_xlfn.TEXTBEFORE(mvtst[[#This Row],[Num Suivis]],"-",,,1)</f>
        <v>OF249782</v>
      </c>
      <c r="J1302" s="36">
        <f>SUMIF(mvtst[QR Suivis],mvtst[[#This Row],[QR Suivis]],mvtst[QTE SORTIS])-SUMIF(mvtst[QR Suivis],mvtst[[#This Row],[QR Suivis]],mvtst[QTE RETOUR])</f>
        <v>0</v>
      </c>
      <c r="K1302" s="35" t="str">
        <f t="shared" si="20"/>
        <v>Usine</v>
      </c>
      <c r="L1302" s="35" t="str">
        <f>_xlfn.XLOOKUP(mvtst[[#This Row],[Sous Traitant]],coordonnee_st[Identification],coordonnee_st[SERVICE],"Non Trouvé")</f>
        <v>Frange</v>
      </c>
      <c r="M1302" s="35" t="str">
        <f>INDEX(_xlfn.TEXTSPLIT(mvtst[[#This Row],[QR Suivis]],"_"),1,2)</f>
        <v>CL00884</v>
      </c>
      <c r="N1302" s="35" t="str">
        <f>INDEX(_xlfn.TEXTSPLIT(mvtst[[#This Row],[QR Suivis]],"_"),1,3)</f>
        <v>CM-FT0119</v>
      </c>
      <c r="O1302" s="35" t="str">
        <f>INDEX(_xlfn.TEXTSPLIT(mvtst[[#This Row],[QR Suivis]],"_"),1,4)</f>
        <v>IB1020-B24-01</v>
      </c>
      <c r="P1302" s="35" t="str">
        <f>INDEX(_xlfn.TEXTSPLIT(mvtst[[#This Row],[QR Suivis]],"_"),1,5)</f>
        <v>IBIZA</v>
      </c>
      <c r="Q1302" s="35" t="str">
        <f>_xlfn.TEXTAFTER(mvtst[[#This Row],[QR Suivis]],"_",5)</f>
        <v>1020</v>
      </c>
      <c r="R1302" s="84" t="str">
        <f>IF(
   COUNTIFS($A$2:A1302,A1302,
             $B$2:B1302,B1302,
             $C$2:C1302,C1302,
             $D$2:D1302,D1302,
             $G$2:G1302,G1302)&gt;1,
   "Doublon",
   "Correcte"
)</f>
        <v>Correcte</v>
      </c>
    </row>
    <row r="1303" spans="1:18" x14ac:dyDescent="0.25">
      <c r="A1303" s="104" t="s">
        <v>1955</v>
      </c>
      <c r="B1303" s="35" t="s">
        <v>596</v>
      </c>
      <c r="C1303" s="36">
        <v>5</v>
      </c>
      <c r="D1303" s="36">
        <v>0</v>
      </c>
      <c r="E1303" s="35" t="s">
        <v>699</v>
      </c>
      <c r="F1303" s="35" t="s">
        <v>634</v>
      </c>
      <c r="G1303" s="37">
        <v>45938.564675925925</v>
      </c>
      <c r="H1303" s="37" t="str">
        <f>INDEX(_xlfn.TEXTSPLIT(mvtst[[#This Row],[QR Suivis]],"_"),1,1)</f>
        <v>OF249782-8</v>
      </c>
      <c r="I1303" s="35" t="str">
        <f>_xlfn.TEXTBEFORE(mvtst[[#This Row],[Num Suivis]],"-",,,1)</f>
        <v>OF249782</v>
      </c>
      <c r="J1303" s="36">
        <f>SUMIF(mvtst[QR Suivis],mvtst[[#This Row],[QR Suivis]],mvtst[QTE SORTIS])-SUMIF(mvtst[QR Suivis],mvtst[[#This Row],[QR Suivis]],mvtst[QTE RETOUR])</f>
        <v>5</v>
      </c>
      <c r="K1303" s="35" t="str">
        <f t="shared" si="20"/>
        <v>Usine</v>
      </c>
      <c r="L1303" s="35" t="str">
        <f>_xlfn.XLOOKUP(mvtst[[#This Row],[Sous Traitant]],coordonnee_st[Identification],coordonnee_st[SERVICE],"Non Trouvé")</f>
        <v>Frange</v>
      </c>
      <c r="M1303" s="35" t="str">
        <f>INDEX(_xlfn.TEXTSPLIT(mvtst[[#This Row],[QR Suivis]],"_"),1,2)</f>
        <v>CL00884</v>
      </c>
      <c r="N1303" s="35" t="str">
        <f>INDEX(_xlfn.TEXTSPLIT(mvtst[[#This Row],[QR Suivis]],"_"),1,3)</f>
        <v>CM-FT0119</v>
      </c>
      <c r="O1303" s="35" t="str">
        <f>INDEX(_xlfn.TEXTSPLIT(mvtst[[#This Row],[QR Suivis]],"_"),1,4)</f>
        <v>IB1020-B24-01</v>
      </c>
      <c r="P1303" s="35" t="str">
        <f>INDEX(_xlfn.TEXTSPLIT(mvtst[[#This Row],[QR Suivis]],"_"),1,5)</f>
        <v>IBIZA</v>
      </c>
      <c r="Q1303" s="35" t="str">
        <f>_xlfn.TEXTAFTER(mvtst[[#This Row],[QR Suivis]],"_",5)</f>
        <v>1020</v>
      </c>
      <c r="R1303" s="84" t="str">
        <f>IF(
   COUNTIFS($A$2:A1303,A1303,
             $B$2:B1303,B1303,
             $C$2:C1303,C1303,
             $D$2:D1303,D1303,
             $G$2:G1303,G1303)&gt;1,
   "Doublon",
   "Correcte"
)</f>
        <v>Correcte</v>
      </c>
    </row>
    <row r="1304" spans="1:18" x14ac:dyDescent="0.25">
      <c r="A1304" s="104" t="s">
        <v>1956</v>
      </c>
      <c r="B1304" s="35" t="s">
        <v>596</v>
      </c>
      <c r="C1304" s="36">
        <v>5</v>
      </c>
      <c r="D1304" s="36">
        <v>0</v>
      </c>
      <c r="E1304" s="35" t="s">
        <v>699</v>
      </c>
      <c r="F1304" s="35" t="s">
        <v>634</v>
      </c>
      <c r="G1304" s="37">
        <v>45938.564953703702</v>
      </c>
      <c r="H1304" s="37" t="str">
        <f>INDEX(_xlfn.TEXTSPLIT(mvtst[[#This Row],[QR Suivis]],"_"),1,1)</f>
        <v>OF249782-45</v>
      </c>
      <c r="I1304" s="35" t="str">
        <f>_xlfn.TEXTBEFORE(mvtst[[#This Row],[Num Suivis]],"-",,,1)</f>
        <v>OF249782</v>
      </c>
      <c r="J1304" s="36">
        <f>SUMIF(mvtst[QR Suivis],mvtst[[#This Row],[QR Suivis]],mvtst[QTE SORTIS])-SUMIF(mvtst[QR Suivis],mvtst[[#This Row],[QR Suivis]],mvtst[QTE RETOUR])</f>
        <v>0</v>
      </c>
      <c r="K1304" s="35" t="str">
        <f t="shared" si="20"/>
        <v>Usine</v>
      </c>
      <c r="L1304" s="35" t="str">
        <f>_xlfn.XLOOKUP(mvtst[[#This Row],[Sous Traitant]],coordonnee_st[Identification],coordonnee_st[SERVICE],"Non Trouvé")</f>
        <v>Frange</v>
      </c>
      <c r="M1304" s="35" t="str">
        <f>INDEX(_xlfn.TEXTSPLIT(mvtst[[#This Row],[QR Suivis]],"_"),1,2)</f>
        <v>CL00884</v>
      </c>
      <c r="N1304" s="35" t="str">
        <f>INDEX(_xlfn.TEXTSPLIT(mvtst[[#This Row],[QR Suivis]],"_"),1,3)</f>
        <v>CM-FT0119</v>
      </c>
      <c r="O1304" s="35" t="str">
        <f>INDEX(_xlfn.TEXTSPLIT(mvtst[[#This Row],[QR Suivis]],"_"),1,4)</f>
        <v>IB1020-B24-01</v>
      </c>
      <c r="P1304" s="35" t="str">
        <f>INDEX(_xlfn.TEXTSPLIT(mvtst[[#This Row],[QR Suivis]],"_"),1,5)</f>
        <v>IBIZA</v>
      </c>
      <c r="Q1304" s="35" t="str">
        <f>_xlfn.TEXTAFTER(mvtst[[#This Row],[QR Suivis]],"_",5)</f>
        <v>1020</v>
      </c>
      <c r="R1304" s="84" t="str">
        <f>IF(
   COUNTIFS($A$2:A1304,A1304,
             $B$2:B1304,B1304,
             $C$2:C1304,C1304,
             $D$2:D1304,D1304,
             $G$2:G1304,G1304)&gt;1,
   "Doublon",
   "Correcte"
)</f>
        <v>Correcte</v>
      </c>
    </row>
    <row r="1305" spans="1:18" x14ac:dyDescent="0.25">
      <c r="A1305" s="104" t="s">
        <v>1957</v>
      </c>
      <c r="B1305" s="35" t="s">
        <v>596</v>
      </c>
      <c r="C1305" s="36">
        <v>5</v>
      </c>
      <c r="D1305" s="36">
        <v>0</v>
      </c>
      <c r="E1305" s="35" t="s">
        <v>699</v>
      </c>
      <c r="F1305" s="35" t="s">
        <v>634</v>
      </c>
      <c r="G1305" s="37">
        <v>45938.56554398148</v>
      </c>
      <c r="H1305" s="37" t="str">
        <f>INDEX(_xlfn.TEXTSPLIT(mvtst[[#This Row],[QR Suivis]],"_"),1,1)</f>
        <v>OF249782-46</v>
      </c>
      <c r="I1305" s="35" t="str">
        <f>_xlfn.TEXTBEFORE(mvtst[[#This Row],[Num Suivis]],"-",,,1)</f>
        <v>OF249782</v>
      </c>
      <c r="J1305" s="36">
        <f>SUMIF(mvtst[QR Suivis],mvtst[[#This Row],[QR Suivis]],mvtst[QTE SORTIS])-SUMIF(mvtst[QR Suivis],mvtst[[#This Row],[QR Suivis]],mvtst[QTE RETOUR])</f>
        <v>0</v>
      </c>
      <c r="K1305" s="35" t="str">
        <f t="shared" si="20"/>
        <v>Usine</v>
      </c>
      <c r="L1305" s="35" t="str">
        <f>_xlfn.XLOOKUP(mvtst[[#This Row],[Sous Traitant]],coordonnee_st[Identification],coordonnee_st[SERVICE],"Non Trouvé")</f>
        <v>Frange</v>
      </c>
      <c r="M1305" s="35" t="str">
        <f>INDEX(_xlfn.TEXTSPLIT(mvtst[[#This Row],[QR Suivis]],"_"),1,2)</f>
        <v>CL00884</v>
      </c>
      <c r="N1305" s="35" t="str">
        <f>INDEX(_xlfn.TEXTSPLIT(mvtst[[#This Row],[QR Suivis]],"_"),1,3)</f>
        <v>CM-FT0119</v>
      </c>
      <c r="O1305" s="35" t="str">
        <f>INDEX(_xlfn.TEXTSPLIT(mvtst[[#This Row],[QR Suivis]],"_"),1,4)</f>
        <v>IB1020-B24-01</v>
      </c>
      <c r="P1305" s="35" t="str">
        <f>INDEX(_xlfn.TEXTSPLIT(mvtst[[#This Row],[QR Suivis]],"_"),1,5)</f>
        <v>IBIZA</v>
      </c>
      <c r="Q1305" s="35" t="str">
        <f>_xlfn.TEXTAFTER(mvtst[[#This Row],[QR Suivis]],"_",5)</f>
        <v>1020</v>
      </c>
      <c r="R1305" s="84" t="str">
        <f>IF(
   COUNTIFS($A$2:A1305,A1305,
             $B$2:B1305,B1305,
             $C$2:C1305,C1305,
             $D$2:D1305,D1305,
             $G$2:G1305,G1305)&gt;1,
   "Doublon",
   "Correcte"
)</f>
        <v>Correcte</v>
      </c>
    </row>
    <row r="1306" spans="1:18" x14ac:dyDescent="0.25">
      <c r="A1306" s="104" t="s">
        <v>1958</v>
      </c>
      <c r="B1306" s="35" t="s">
        <v>596</v>
      </c>
      <c r="C1306" s="36">
        <v>5</v>
      </c>
      <c r="D1306" s="36">
        <v>0</v>
      </c>
      <c r="E1306" s="35" t="s">
        <v>699</v>
      </c>
      <c r="F1306" s="35" t="s">
        <v>634</v>
      </c>
      <c r="G1306" s="37">
        <v>45938.565717592595</v>
      </c>
      <c r="H1306" s="37" t="str">
        <f>INDEX(_xlfn.TEXTSPLIT(mvtst[[#This Row],[QR Suivis]],"_"),1,1)</f>
        <v>OF249782-61</v>
      </c>
      <c r="I1306" s="35" t="str">
        <f>_xlfn.TEXTBEFORE(mvtst[[#This Row],[Num Suivis]],"-",,,1)</f>
        <v>OF249782</v>
      </c>
      <c r="J1306" s="36">
        <f>SUMIF(mvtst[QR Suivis],mvtst[[#This Row],[QR Suivis]],mvtst[QTE SORTIS])-SUMIF(mvtst[QR Suivis],mvtst[[#This Row],[QR Suivis]],mvtst[QTE RETOUR])</f>
        <v>0</v>
      </c>
      <c r="K1306" s="35" t="str">
        <f t="shared" si="20"/>
        <v>Usine</v>
      </c>
      <c r="L1306" s="35" t="str">
        <f>_xlfn.XLOOKUP(mvtst[[#This Row],[Sous Traitant]],coordonnee_st[Identification],coordonnee_st[SERVICE],"Non Trouvé")</f>
        <v>Frange</v>
      </c>
      <c r="M1306" s="35" t="str">
        <f>INDEX(_xlfn.TEXTSPLIT(mvtst[[#This Row],[QR Suivis]],"_"),1,2)</f>
        <v>CL00884</v>
      </c>
      <c r="N1306" s="35" t="str">
        <f>INDEX(_xlfn.TEXTSPLIT(mvtst[[#This Row],[QR Suivis]],"_"),1,3)</f>
        <v>CM-FT0119</v>
      </c>
      <c r="O1306" s="35" t="str">
        <f>INDEX(_xlfn.TEXTSPLIT(mvtst[[#This Row],[QR Suivis]],"_"),1,4)</f>
        <v>IB1020-B24-01</v>
      </c>
      <c r="P1306" s="35" t="str">
        <f>INDEX(_xlfn.TEXTSPLIT(mvtst[[#This Row],[QR Suivis]],"_"),1,5)</f>
        <v>IBIZA</v>
      </c>
      <c r="Q1306" s="35" t="str">
        <f>_xlfn.TEXTAFTER(mvtst[[#This Row],[QR Suivis]],"_",5)</f>
        <v>1020</v>
      </c>
      <c r="R1306" s="84" t="str">
        <f>IF(
   COUNTIFS($A$2:A1306,A1306,
             $B$2:B1306,B1306,
             $C$2:C1306,C1306,
             $D$2:D1306,D1306,
             $G$2:G1306,G1306)&gt;1,
   "Doublon",
   "Correcte"
)</f>
        <v>Correcte</v>
      </c>
    </row>
    <row r="1307" spans="1:18" x14ac:dyDescent="0.25">
      <c r="A1307" s="104" t="s">
        <v>1959</v>
      </c>
      <c r="B1307" s="35" t="s">
        <v>596</v>
      </c>
      <c r="C1307" s="36">
        <v>5</v>
      </c>
      <c r="D1307" s="36">
        <v>0</v>
      </c>
      <c r="E1307" s="35" t="s">
        <v>699</v>
      </c>
      <c r="F1307" s="35" t="s">
        <v>634</v>
      </c>
      <c r="G1307" s="37">
        <v>45938.565937500003</v>
      </c>
      <c r="H1307" s="37" t="str">
        <f>INDEX(_xlfn.TEXTSPLIT(mvtst[[#This Row],[QR Suivis]],"_"),1,1)</f>
        <v>OF249782-42</v>
      </c>
      <c r="I1307" s="35" t="str">
        <f>_xlfn.TEXTBEFORE(mvtst[[#This Row],[Num Suivis]],"-",,,1)</f>
        <v>OF249782</v>
      </c>
      <c r="J1307" s="36">
        <f>SUMIF(mvtst[QR Suivis],mvtst[[#This Row],[QR Suivis]],mvtst[QTE SORTIS])-SUMIF(mvtst[QR Suivis],mvtst[[#This Row],[QR Suivis]],mvtst[QTE RETOUR])</f>
        <v>0</v>
      </c>
      <c r="K1307" s="35" t="str">
        <f t="shared" si="20"/>
        <v>Usine</v>
      </c>
      <c r="L1307" s="35" t="str">
        <f>_xlfn.XLOOKUP(mvtst[[#This Row],[Sous Traitant]],coordonnee_st[Identification],coordonnee_st[SERVICE],"Non Trouvé")</f>
        <v>Frange</v>
      </c>
      <c r="M1307" s="35" t="str">
        <f>INDEX(_xlfn.TEXTSPLIT(mvtst[[#This Row],[QR Suivis]],"_"),1,2)</f>
        <v>CL00884</v>
      </c>
      <c r="N1307" s="35" t="str">
        <f>INDEX(_xlfn.TEXTSPLIT(mvtst[[#This Row],[QR Suivis]],"_"),1,3)</f>
        <v>CM-FT0119</v>
      </c>
      <c r="O1307" s="35" t="str">
        <f>INDEX(_xlfn.TEXTSPLIT(mvtst[[#This Row],[QR Suivis]],"_"),1,4)</f>
        <v>IB1020-B24-01</v>
      </c>
      <c r="P1307" s="35" t="str">
        <f>INDEX(_xlfn.TEXTSPLIT(mvtst[[#This Row],[QR Suivis]],"_"),1,5)</f>
        <v>IBIZA</v>
      </c>
      <c r="Q1307" s="35" t="str">
        <f>_xlfn.TEXTAFTER(mvtst[[#This Row],[QR Suivis]],"_",5)</f>
        <v>1020</v>
      </c>
      <c r="R1307" s="84" t="str">
        <f>IF(
   COUNTIFS($A$2:A1307,A1307,
             $B$2:B1307,B1307,
             $C$2:C1307,C1307,
             $D$2:D1307,D1307,
             $G$2:G1307,G1307)&gt;1,
   "Doublon",
   "Correcte"
)</f>
        <v>Correcte</v>
      </c>
    </row>
    <row r="1308" spans="1:18" x14ac:dyDescent="0.25">
      <c r="A1308" s="104" t="s">
        <v>1960</v>
      </c>
      <c r="B1308" s="35" t="s">
        <v>596</v>
      </c>
      <c r="C1308" s="36">
        <v>5</v>
      </c>
      <c r="D1308" s="36">
        <v>0</v>
      </c>
      <c r="E1308" s="35" t="s">
        <v>699</v>
      </c>
      <c r="F1308" s="35" t="s">
        <v>634</v>
      </c>
      <c r="G1308" s="37">
        <v>45938.566203703704</v>
      </c>
      <c r="H1308" s="37" t="str">
        <f>INDEX(_xlfn.TEXTSPLIT(mvtst[[#This Row],[QR Suivis]],"_"),1,1)</f>
        <v>OF249782-62</v>
      </c>
      <c r="I1308" s="35" t="str">
        <f>_xlfn.TEXTBEFORE(mvtst[[#This Row],[Num Suivis]],"-",,,1)</f>
        <v>OF249782</v>
      </c>
      <c r="J1308" s="36">
        <f>SUMIF(mvtst[QR Suivis],mvtst[[#This Row],[QR Suivis]],mvtst[QTE SORTIS])-SUMIF(mvtst[QR Suivis],mvtst[[#This Row],[QR Suivis]],mvtst[QTE RETOUR])</f>
        <v>0</v>
      </c>
      <c r="K1308" s="35" t="str">
        <f t="shared" si="20"/>
        <v>Usine</v>
      </c>
      <c r="L1308" s="35" t="str">
        <f>_xlfn.XLOOKUP(mvtst[[#This Row],[Sous Traitant]],coordonnee_st[Identification],coordonnee_st[SERVICE],"Non Trouvé")</f>
        <v>Frange</v>
      </c>
      <c r="M1308" s="35" t="str">
        <f>INDEX(_xlfn.TEXTSPLIT(mvtst[[#This Row],[QR Suivis]],"_"),1,2)</f>
        <v>CL00884</v>
      </c>
      <c r="N1308" s="35" t="str">
        <f>INDEX(_xlfn.TEXTSPLIT(mvtst[[#This Row],[QR Suivis]],"_"),1,3)</f>
        <v>CM-FT0119</v>
      </c>
      <c r="O1308" s="35" t="str">
        <f>INDEX(_xlfn.TEXTSPLIT(mvtst[[#This Row],[QR Suivis]],"_"),1,4)</f>
        <v>IB1020-B24-01</v>
      </c>
      <c r="P1308" s="35" t="str">
        <f>INDEX(_xlfn.TEXTSPLIT(mvtst[[#This Row],[QR Suivis]],"_"),1,5)</f>
        <v>IBIZA</v>
      </c>
      <c r="Q1308" s="35" t="str">
        <f>_xlfn.TEXTAFTER(mvtst[[#This Row],[QR Suivis]],"_",5)</f>
        <v>1020</v>
      </c>
      <c r="R1308" s="84" t="str">
        <f>IF(
   COUNTIFS($A$2:A1308,A1308,
             $B$2:B1308,B1308,
             $C$2:C1308,C1308,
             $D$2:D1308,D1308,
             $G$2:G1308,G1308)&gt;1,
   "Doublon",
   "Correcte"
)</f>
        <v>Correcte</v>
      </c>
    </row>
    <row r="1309" spans="1:18" x14ac:dyDescent="0.25">
      <c r="A1309" s="104" t="s">
        <v>1961</v>
      </c>
      <c r="B1309" s="35" t="s">
        <v>596</v>
      </c>
      <c r="C1309" s="36">
        <v>5</v>
      </c>
      <c r="D1309" s="36">
        <v>0</v>
      </c>
      <c r="E1309" s="35" t="s">
        <v>699</v>
      </c>
      <c r="F1309" s="35" t="s">
        <v>634</v>
      </c>
      <c r="G1309" s="37">
        <v>45938.566458333335</v>
      </c>
      <c r="H1309" s="37" t="str">
        <f>INDEX(_xlfn.TEXTSPLIT(mvtst[[#This Row],[QR Suivis]],"_"),1,1)</f>
        <v>OF249782-41</v>
      </c>
      <c r="I1309" s="35" t="str">
        <f>_xlfn.TEXTBEFORE(mvtst[[#This Row],[Num Suivis]],"-",,,1)</f>
        <v>OF249782</v>
      </c>
      <c r="J1309" s="36">
        <f>SUMIF(mvtst[QR Suivis],mvtst[[#This Row],[QR Suivis]],mvtst[QTE SORTIS])-SUMIF(mvtst[QR Suivis],mvtst[[#This Row],[QR Suivis]],mvtst[QTE RETOUR])</f>
        <v>0</v>
      </c>
      <c r="K1309" s="35" t="str">
        <f t="shared" si="20"/>
        <v>Usine</v>
      </c>
      <c r="L1309" s="35" t="str">
        <f>_xlfn.XLOOKUP(mvtst[[#This Row],[Sous Traitant]],coordonnee_st[Identification],coordonnee_st[SERVICE],"Non Trouvé")</f>
        <v>Frange</v>
      </c>
      <c r="M1309" s="35" t="str">
        <f>INDEX(_xlfn.TEXTSPLIT(mvtst[[#This Row],[QR Suivis]],"_"),1,2)</f>
        <v>CL00884</v>
      </c>
      <c r="N1309" s="35" t="str">
        <f>INDEX(_xlfn.TEXTSPLIT(mvtst[[#This Row],[QR Suivis]],"_"),1,3)</f>
        <v>CM-FT0119</v>
      </c>
      <c r="O1309" s="35" t="str">
        <f>INDEX(_xlfn.TEXTSPLIT(mvtst[[#This Row],[QR Suivis]],"_"),1,4)</f>
        <v>IB1020-B24-01</v>
      </c>
      <c r="P1309" s="35" t="str">
        <f>INDEX(_xlfn.TEXTSPLIT(mvtst[[#This Row],[QR Suivis]],"_"),1,5)</f>
        <v>IBIZA</v>
      </c>
      <c r="Q1309" s="35" t="str">
        <f>_xlfn.TEXTAFTER(mvtst[[#This Row],[QR Suivis]],"_",5)</f>
        <v>1020</v>
      </c>
      <c r="R1309" s="84" t="str">
        <f>IF(
   COUNTIFS($A$2:A1309,A1309,
             $B$2:B1309,B1309,
             $C$2:C1309,C1309,
             $D$2:D1309,D1309,
             $G$2:G1309,G1309)&gt;1,
   "Doublon",
   "Correcte"
)</f>
        <v>Correcte</v>
      </c>
    </row>
    <row r="1310" spans="1:18" x14ac:dyDescent="0.25">
      <c r="A1310" s="104" t="s">
        <v>1962</v>
      </c>
      <c r="B1310" s="35" t="s">
        <v>596</v>
      </c>
      <c r="C1310" s="36">
        <v>5</v>
      </c>
      <c r="D1310" s="36">
        <v>0</v>
      </c>
      <c r="E1310" s="35" t="s">
        <v>699</v>
      </c>
      <c r="F1310" s="35" t="s">
        <v>634</v>
      </c>
      <c r="G1310" s="37">
        <v>45938.567175925928</v>
      </c>
      <c r="H1310" s="37" t="str">
        <f>INDEX(_xlfn.TEXTSPLIT(mvtst[[#This Row],[QR Suivis]],"_"),1,1)</f>
        <v>OF249782-44</v>
      </c>
      <c r="I1310" s="35" t="str">
        <f>_xlfn.TEXTBEFORE(mvtst[[#This Row],[Num Suivis]],"-",,,1)</f>
        <v>OF249782</v>
      </c>
      <c r="J1310" s="36">
        <f>SUMIF(mvtst[QR Suivis],mvtst[[#This Row],[QR Suivis]],mvtst[QTE SORTIS])-SUMIF(mvtst[QR Suivis],mvtst[[#This Row],[QR Suivis]],mvtst[QTE RETOUR])</f>
        <v>5</v>
      </c>
      <c r="K1310" s="35" t="str">
        <f t="shared" si="20"/>
        <v>Usine</v>
      </c>
      <c r="L1310" s="35" t="str">
        <f>_xlfn.XLOOKUP(mvtst[[#This Row],[Sous Traitant]],coordonnee_st[Identification],coordonnee_st[SERVICE],"Non Trouvé")</f>
        <v>Frange</v>
      </c>
      <c r="M1310" s="35" t="str">
        <f>INDEX(_xlfn.TEXTSPLIT(mvtst[[#This Row],[QR Suivis]],"_"),1,2)</f>
        <v>CL00884</v>
      </c>
      <c r="N1310" s="35" t="str">
        <f>INDEX(_xlfn.TEXTSPLIT(mvtst[[#This Row],[QR Suivis]],"_"),1,3)</f>
        <v>CM-FT0119</v>
      </c>
      <c r="O1310" s="35" t="str">
        <f>INDEX(_xlfn.TEXTSPLIT(mvtst[[#This Row],[QR Suivis]],"_"),1,4)</f>
        <v>IB1020-B24-01</v>
      </c>
      <c r="P1310" s="35" t="str">
        <f>INDEX(_xlfn.TEXTSPLIT(mvtst[[#This Row],[QR Suivis]],"_"),1,5)</f>
        <v>IBIZA</v>
      </c>
      <c r="Q1310" s="35" t="str">
        <f>_xlfn.TEXTAFTER(mvtst[[#This Row],[QR Suivis]],"_",5)</f>
        <v>1020</v>
      </c>
      <c r="R1310" s="84" t="str">
        <f>IF(
   COUNTIFS($A$2:A1310,A1310,
             $B$2:B1310,B1310,
             $C$2:C1310,C1310,
             $D$2:D1310,D1310,
             $G$2:G1310,G1310)&gt;1,
   "Doublon",
   "Correcte"
)</f>
        <v>Correcte</v>
      </c>
    </row>
    <row r="1311" spans="1:18" x14ac:dyDescent="0.25">
      <c r="A1311" s="104" t="s">
        <v>1963</v>
      </c>
      <c r="B1311" s="35" t="s">
        <v>596</v>
      </c>
      <c r="C1311" s="36">
        <v>5</v>
      </c>
      <c r="D1311" s="36">
        <v>0</v>
      </c>
      <c r="E1311" s="35" t="s">
        <v>699</v>
      </c>
      <c r="F1311" s="35" t="s">
        <v>634</v>
      </c>
      <c r="G1311" s="37">
        <v>45938.567337962966</v>
      </c>
      <c r="H1311" s="37" t="str">
        <f>INDEX(_xlfn.TEXTSPLIT(mvtst[[#This Row],[QR Suivis]],"_"),1,1)</f>
        <v>OF249782-48</v>
      </c>
      <c r="I1311" s="35" t="str">
        <f>_xlfn.TEXTBEFORE(mvtst[[#This Row],[Num Suivis]],"-",,,1)</f>
        <v>OF249782</v>
      </c>
      <c r="J1311" s="36">
        <f>SUMIF(mvtst[QR Suivis],mvtst[[#This Row],[QR Suivis]],mvtst[QTE SORTIS])-SUMIF(mvtst[QR Suivis],mvtst[[#This Row],[QR Suivis]],mvtst[QTE RETOUR])</f>
        <v>0</v>
      </c>
      <c r="K1311" s="35" t="str">
        <f t="shared" si="20"/>
        <v>Usine</v>
      </c>
      <c r="L1311" s="35" t="str">
        <f>_xlfn.XLOOKUP(mvtst[[#This Row],[Sous Traitant]],coordonnee_st[Identification],coordonnee_st[SERVICE],"Non Trouvé")</f>
        <v>Frange</v>
      </c>
      <c r="M1311" s="35" t="str">
        <f>INDEX(_xlfn.TEXTSPLIT(mvtst[[#This Row],[QR Suivis]],"_"),1,2)</f>
        <v>CL00884</v>
      </c>
      <c r="N1311" s="35" t="str">
        <f>INDEX(_xlfn.TEXTSPLIT(mvtst[[#This Row],[QR Suivis]],"_"),1,3)</f>
        <v>CM-FT0119</v>
      </c>
      <c r="O1311" s="35" t="str">
        <f>INDEX(_xlfn.TEXTSPLIT(mvtst[[#This Row],[QR Suivis]],"_"),1,4)</f>
        <v>IB1020-B24-01</v>
      </c>
      <c r="P1311" s="35" t="str">
        <f>INDEX(_xlfn.TEXTSPLIT(mvtst[[#This Row],[QR Suivis]],"_"),1,5)</f>
        <v>IBIZA</v>
      </c>
      <c r="Q1311" s="35" t="str">
        <f>_xlfn.TEXTAFTER(mvtst[[#This Row],[QR Suivis]],"_",5)</f>
        <v>1020</v>
      </c>
      <c r="R1311" s="84" t="str">
        <f>IF(
   COUNTIFS($A$2:A1311,A1311,
             $B$2:B1311,B1311,
             $C$2:C1311,C1311,
             $D$2:D1311,D1311,
             $G$2:G1311,G1311)&gt;1,
   "Doublon",
   "Correcte"
)</f>
        <v>Correcte</v>
      </c>
    </row>
    <row r="1312" spans="1:18" x14ac:dyDescent="0.25">
      <c r="A1312" s="104" t="s">
        <v>1964</v>
      </c>
      <c r="B1312" s="35" t="s">
        <v>596</v>
      </c>
      <c r="C1312" s="36">
        <v>5</v>
      </c>
      <c r="D1312" s="36">
        <v>0</v>
      </c>
      <c r="E1312" s="35" t="s">
        <v>699</v>
      </c>
      <c r="F1312" s="35" t="s">
        <v>634</v>
      </c>
      <c r="G1312" s="37">
        <v>45938.567627314813</v>
      </c>
      <c r="H1312" s="37" t="str">
        <f>INDEX(_xlfn.TEXTSPLIT(mvtst[[#This Row],[QR Suivis]],"_"),1,1)</f>
        <v>OF249782-1</v>
      </c>
      <c r="I1312" s="35" t="str">
        <f>_xlfn.TEXTBEFORE(mvtst[[#This Row],[Num Suivis]],"-",,,1)</f>
        <v>OF249782</v>
      </c>
      <c r="J1312" s="36">
        <f>SUMIF(mvtst[QR Suivis],mvtst[[#This Row],[QR Suivis]],mvtst[QTE SORTIS])-SUMIF(mvtst[QR Suivis],mvtst[[#This Row],[QR Suivis]],mvtst[QTE RETOUR])</f>
        <v>0</v>
      </c>
      <c r="K1312" s="35" t="str">
        <f t="shared" si="20"/>
        <v>Usine</v>
      </c>
      <c r="L1312" s="35" t="str">
        <f>_xlfn.XLOOKUP(mvtst[[#This Row],[Sous Traitant]],coordonnee_st[Identification],coordonnee_st[SERVICE],"Non Trouvé")</f>
        <v>Frange</v>
      </c>
      <c r="M1312" s="35" t="str">
        <f>INDEX(_xlfn.TEXTSPLIT(mvtst[[#This Row],[QR Suivis]],"_"),1,2)</f>
        <v>CL00884</v>
      </c>
      <c r="N1312" s="35" t="str">
        <f>INDEX(_xlfn.TEXTSPLIT(mvtst[[#This Row],[QR Suivis]],"_"),1,3)</f>
        <v>CM-FT0119</v>
      </c>
      <c r="O1312" s="35" t="str">
        <f>INDEX(_xlfn.TEXTSPLIT(mvtst[[#This Row],[QR Suivis]],"_"),1,4)</f>
        <v>IB1020-B24-01</v>
      </c>
      <c r="P1312" s="35" t="str">
        <f>INDEX(_xlfn.TEXTSPLIT(mvtst[[#This Row],[QR Suivis]],"_"),1,5)</f>
        <v>IBIZA</v>
      </c>
      <c r="Q1312" s="35" t="str">
        <f>_xlfn.TEXTAFTER(mvtst[[#This Row],[QR Suivis]],"_",5)</f>
        <v>1020</v>
      </c>
      <c r="R1312" s="84" t="str">
        <f>IF(
   COUNTIFS($A$2:A1312,A1312,
             $B$2:B1312,B1312,
             $C$2:C1312,C1312,
             $D$2:D1312,D1312,
             $G$2:G1312,G1312)&gt;1,
   "Doublon",
   "Correcte"
)</f>
        <v>Correcte</v>
      </c>
    </row>
    <row r="1313" spans="1:18" x14ac:dyDescent="0.25">
      <c r="A1313" s="104" t="s">
        <v>1965</v>
      </c>
      <c r="B1313" s="35" t="s">
        <v>596</v>
      </c>
      <c r="C1313" s="36">
        <v>5</v>
      </c>
      <c r="D1313" s="36">
        <v>0</v>
      </c>
      <c r="E1313" s="35" t="s">
        <v>699</v>
      </c>
      <c r="F1313" s="35" t="s">
        <v>634</v>
      </c>
      <c r="G1313" s="37">
        <v>45938.567893518521</v>
      </c>
      <c r="H1313" s="37" t="str">
        <f>INDEX(_xlfn.TEXTSPLIT(mvtst[[#This Row],[QR Suivis]],"_"),1,1)</f>
        <v>OF249809-23</v>
      </c>
      <c r="I1313" s="35" t="str">
        <f>_xlfn.TEXTBEFORE(mvtst[[#This Row],[Num Suivis]],"-",,,1)</f>
        <v>OF249809</v>
      </c>
      <c r="J1313" s="36">
        <f>SUMIF(mvtst[QR Suivis],mvtst[[#This Row],[QR Suivis]],mvtst[QTE SORTIS])-SUMIF(mvtst[QR Suivis],mvtst[[#This Row],[QR Suivis]],mvtst[QTE RETOUR])</f>
        <v>0</v>
      </c>
      <c r="K1313" s="35" t="str">
        <f t="shared" si="20"/>
        <v>Usine</v>
      </c>
      <c r="L1313" s="35" t="str">
        <f>_xlfn.XLOOKUP(mvtst[[#This Row],[Sous Traitant]],coordonnee_st[Identification],coordonnee_st[SERVICE],"Non Trouvé")</f>
        <v>Frange</v>
      </c>
      <c r="M1313" s="35" t="str">
        <f>INDEX(_xlfn.TEXTSPLIT(mvtst[[#This Row],[QR Suivis]],"_"),1,2)</f>
        <v>CL00884</v>
      </c>
      <c r="N1313" s="35" t="str">
        <f>INDEX(_xlfn.TEXTSPLIT(mvtst[[#This Row],[QR Suivis]],"_"),1,3)</f>
        <v>CM-FT0119</v>
      </c>
      <c r="O1313" s="35" t="str">
        <f>INDEX(_xlfn.TEXTSPLIT(mvtst[[#This Row],[QR Suivis]],"_"),1,4)</f>
        <v>IS1020-B14-01</v>
      </c>
      <c r="P1313" s="35" t="str">
        <f>INDEX(_xlfn.TEXTSPLIT(mvtst[[#This Row],[QR Suivis]],"_"),1,5)</f>
        <v>ISTANBUL</v>
      </c>
      <c r="Q1313" s="35" t="str">
        <f>_xlfn.TEXTAFTER(mvtst[[#This Row],[QR Suivis]],"_",5)</f>
        <v>1020</v>
      </c>
      <c r="R1313" s="84" t="str">
        <f>IF(
   COUNTIFS($A$2:A1313,A1313,
             $B$2:B1313,B1313,
             $C$2:C1313,C1313,
             $D$2:D1313,D1313,
             $G$2:G1313,G1313)&gt;1,
   "Doublon",
   "Correcte"
)</f>
        <v>Correcte</v>
      </c>
    </row>
    <row r="1314" spans="1:18" x14ac:dyDescent="0.25">
      <c r="A1314" s="104" t="s">
        <v>1966</v>
      </c>
      <c r="B1314" s="35" t="s">
        <v>596</v>
      </c>
      <c r="C1314" s="36">
        <v>5</v>
      </c>
      <c r="D1314" s="36">
        <v>0</v>
      </c>
      <c r="E1314" s="35" t="s">
        <v>699</v>
      </c>
      <c r="F1314" s="35" t="s">
        <v>634</v>
      </c>
      <c r="G1314" s="37">
        <v>45938.568148148152</v>
      </c>
      <c r="H1314" s="37" t="str">
        <f>INDEX(_xlfn.TEXTSPLIT(mvtst[[#This Row],[QR Suivis]],"_"),1,1)</f>
        <v>OF249809-12</v>
      </c>
      <c r="I1314" s="35" t="str">
        <f>_xlfn.TEXTBEFORE(mvtst[[#This Row],[Num Suivis]],"-",,,1)</f>
        <v>OF249809</v>
      </c>
      <c r="J1314" s="36">
        <f>SUMIF(mvtst[QR Suivis],mvtst[[#This Row],[QR Suivis]],mvtst[QTE SORTIS])-SUMIF(mvtst[QR Suivis],mvtst[[#This Row],[QR Suivis]],mvtst[QTE RETOUR])</f>
        <v>0</v>
      </c>
      <c r="K1314" s="35" t="str">
        <f t="shared" si="20"/>
        <v>Usine</v>
      </c>
      <c r="L1314" s="35" t="str">
        <f>_xlfn.XLOOKUP(mvtst[[#This Row],[Sous Traitant]],coordonnee_st[Identification],coordonnee_st[SERVICE],"Non Trouvé")</f>
        <v>Frange</v>
      </c>
      <c r="M1314" s="35" t="str">
        <f>INDEX(_xlfn.TEXTSPLIT(mvtst[[#This Row],[QR Suivis]],"_"),1,2)</f>
        <v>CL00884</v>
      </c>
      <c r="N1314" s="35" t="str">
        <f>INDEX(_xlfn.TEXTSPLIT(mvtst[[#This Row],[QR Suivis]],"_"),1,3)</f>
        <v>CM-FT0119</v>
      </c>
      <c r="O1314" s="35" t="str">
        <f>INDEX(_xlfn.TEXTSPLIT(mvtst[[#This Row],[QR Suivis]],"_"),1,4)</f>
        <v>IS1020-B14-01</v>
      </c>
      <c r="P1314" s="35" t="str">
        <f>INDEX(_xlfn.TEXTSPLIT(mvtst[[#This Row],[QR Suivis]],"_"),1,5)</f>
        <v>ISTANBUL</v>
      </c>
      <c r="Q1314" s="35" t="str">
        <f>_xlfn.TEXTAFTER(mvtst[[#This Row],[QR Suivis]],"_",5)</f>
        <v>1020</v>
      </c>
      <c r="R1314" s="84" t="str">
        <f>IF(
   COUNTIFS($A$2:A1314,A1314,
             $B$2:B1314,B1314,
             $C$2:C1314,C1314,
             $D$2:D1314,D1314,
             $G$2:G1314,G1314)&gt;1,
   "Doublon",
   "Correcte"
)</f>
        <v>Correcte</v>
      </c>
    </row>
    <row r="1315" spans="1:18" x14ac:dyDescent="0.25">
      <c r="A1315" s="104" t="s">
        <v>1967</v>
      </c>
      <c r="B1315" s="35" t="s">
        <v>596</v>
      </c>
      <c r="C1315" s="36">
        <v>5</v>
      </c>
      <c r="D1315" s="36">
        <v>0</v>
      </c>
      <c r="E1315" s="35" t="s">
        <v>699</v>
      </c>
      <c r="F1315" s="35" t="s">
        <v>634</v>
      </c>
      <c r="G1315" s="37">
        <v>45938.568449074075</v>
      </c>
      <c r="H1315" s="37" t="str">
        <f>INDEX(_xlfn.TEXTSPLIT(mvtst[[#This Row],[QR Suivis]],"_"),1,1)</f>
        <v>OF249809-19</v>
      </c>
      <c r="I1315" s="35" t="str">
        <f>_xlfn.TEXTBEFORE(mvtst[[#This Row],[Num Suivis]],"-",,,1)</f>
        <v>OF249809</v>
      </c>
      <c r="J1315" s="36">
        <f>SUMIF(mvtst[QR Suivis],mvtst[[#This Row],[QR Suivis]],mvtst[QTE SORTIS])-SUMIF(mvtst[QR Suivis],mvtst[[#This Row],[QR Suivis]],mvtst[QTE RETOUR])</f>
        <v>0</v>
      </c>
      <c r="K1315" s="35" t="str">
        <f t="shared" si="20"/>
        <v>Usine</v>
      </c>
      <c r="L1315" s="35" t="str">
        <f>_xlfn.XLOOKUP(mvtst[[#This Row],[Sous Traitant]],coordonnee_st[Identification],coordonnee_st[SERVICE],"Non Trouvé")</f>
        <v>Frange</v>
      </c>
      <c r="M1315" s="35" t="str">
        <f>INDEX(_xlfn.TEXTSPLIT(mvtst[[#This Row],[QR Suivis]],"_"),1,2)</f>
        <v>CL00884</v>
      </c>
      <c r="N1315" s="35" t="str">
        <f>INDEX(_xlfn.TEXTSPLIT(mvtst[[#This Row],[QR Suivis]],"_"),1,3)</f>
        <v>CM-FT0119</v>
      </c>
      <c r="O1315" s="35" t="str">
        <f>INDEX(_xlfn.TEXTSPLIT(mvtst[[#This Row],[QR Suivis]],"_"),1,4)</f>
        <v>IS1020-B14-01</v>
      </c>
      <c r="P1315" s="35" t="str">
        <f>INDEX(_xlfn.TEXTSPLIT(mvtst[[#This Row],[QR Suivis]],"_"),1,5)</f>
        <v>ISTANBUL</v>
      </c>
      <c r="Q1315" s="35" t="str">
        <f>_xlfn.TEXTAFTER(mvtst[[#This Row],[QR Suivis]],"_",5)</f>
        <v>1020</v>
      </c>
      <c r="R1315" s="84" t="str">
        <f>IF(
   COUNTIFS($A$2:A1315,A1315,
             $B$2:B1315,B1315,
             $C$2:C1315,C1315,
             $D$2:D1315,D1315,
             $G$2:G1315,G1315)&gt;1,
   "Doublon",
   "Correcte"
)</f>
        <v>Correcte</v>
      </c>
    </row>
    <row r="1316" spans="1:18" x14ac:dyDescent="0.25">
      <c r="A1316" s="104" t="s">
        <v>1968</v>
      </c>
      <c r="B1316" s="35" t="s">
        <v>596</v>
      </c>
      <c r="C1316" s="36">
        <v>5</v>
      </c>
      <c r="D1316" s="36">
        <v>0</v>
      </c>
      <c r="E1316" s="35" t="s">
        <v>699</v>
      </c>
      <c r="F1316" s="35" t="s">
        <v>634</v>
      </c>
      <c r="G1316" s="37">
        <v>45938.568969907406</v>
      </c>
      <c r="H1316" s="37" t="str">
        <f>INDEX(_xlfn.TEXTSPLIT(mvtst[[#This Row],[QR Suivis]],"_"),1,1)</f>
        <v>OF249809-9</v>
      </c>
      <c r="I1316" s="35" t="str">
        <f>_xlfn.TEXTBEFORE(mvtst[[#This Row],[Num Suivis]],"-",,,1)</f>
        <v>OF249809</v>
      </c>
      <c r="J1316" s="36">
        <f>SUMIF(mvtst[QR Suivis],mvtst[[#This Row],[QR Suivis]],mvtst[QTE SORTIS])-SUMIF(mvtst[QR Suivis],mvtst[[#This Row],[QR Suivis]],mvtst[QTE RETOUR])</f>
        <v>0</v>
      </c>
      <c r="K1316" s="35" t="str">
        <f t="shared" si="20"/>
        <v>Usine</v>
      </c>
      <c r="L1316" s="35" t="str">
        <f>_xlfn.XLOOKUP(mvtst[[#This Row],[Sous Traitant]],coordonnee_st[Identification],coordonnee_st[SERVICE],"Non Trouvé")</f>
        <v>Frange</v>
      </c>
      <c r="M1316" s="35" t="str">
        <f>INDEX(_xlfn.TEXTSPLIT(mvtst[[#This Row],[QR Suivis]],"_"),1,2)</f>
        <v>CL00884</v>
      </c>
      <c r="N1316" s="35" t="str">
        <f>INDEX(_xlfn.TEXTSPLIT(mvtst[[#This Row],[QR Suivis]],"_"),1,3)</f>
        <v>CM-FT0119</v>
      </c>
      <c r="O1316" s="35" t="str">
        <f>INDEX(_xlfn.TEXTSPLIT(mvtst[[#This Row],[QR Suivis]],"_"),1,4)</f>
        <v>IS1020-B14-01</v>
      </c>
      <c r="P1316" s="35" t="str">
        <f>INDEX(_xlfn.TEXTSPLIT(mvtst[[#This Row],[QR Suivis]],"_"),1,5)</f>
        <v>ISTANBUL</v>
      </c>
      <c r="Q1316" s="35" t="str">
        <f>_xlfn.TEXTAFTER(mvtst[[#This Row],[QR Suivis]],"_",5)</f>
        <v>1020</v>
      </c>
      <c r="R1316" s="84" t="str">
        <f>IF(
   COUNTIFS($A$2:A1316,A1316,
             $B$2:B1316,B1316,
             $C$2:C1316,C1316,
             $D$2:D1316,D1316,
             $G$2:G1316,G1316)&gt;1,
   "Doublon",
   "Correcte"
)</f>
        <v>Correcte</v>
      </c>
    </row>
    <row r="1317" spans="1:18" x14ac:dyDescent="0.25">
      <c r="A1317" s="104" t="s">
        <v>1969</v>
      </c>
      <c r="B1317" s="35" t="s">
        <v>596</v>
      </c>
      <c r="C1317" s="36">
        <v>5</v>
      </c>
      <c r="D1317" s="36">
        <v>0</v>
      </c>
      <c r="E1317" s="35" t="s">
        <v>699</v>
      </c>
      <c r="F1317" s="35" t="s">
        <v>634</v>
      </c>
      <c r="G1317" s="37">
        <v>45938.56927083333</v>
      </c>
      <c r="H1317" s="37" t="str">
        <f>INDEX(_xlfn.TEXTSPLIT(mvtst[[#This Row],[QR Suivis]],"_"),1,1)</f>
        <v>OF249809-25</v>
      </c>
      <c r="I1317" s="35" t="str">
        <f>_xlfn.TEXTBEFORE(mvtst[[#This Row],[Num Suivis]],"-",,,1)</f>
        <v>OF249809</v>
      </c>
      <c r="J1317" s="36">
        <f>SUMIF(mvtst[QR Suivis],mvtst[[#This Row],[QR Suivis]],mvtst[QTE SORTIS])-SUMIF(mvtst[QR Suivis],mvtst[[#This Row],[QR Suivis]],mvtst[QTE RETOUR])</f>
        <v>5</v>
      </c>
      <c r="K1317" s="35" t="str">
        <f t="shared" si="20"/>
        <v>Usine</v>
      </c>
      <c r="L1317" s="35" t="str">
        <f>_xlfn.XLOOKUP(mvtst[[#This Row],[Sous Traitant]],coordonnee_st[Identification],coordonnee_st[SERVICE],"Non Trouvé")</f>
        <v>Frange</v>
      </c>
      <c r="M1317" s="35" t="str">
        <f>INDEX(_xlfn.TEXTSPLIT(mvtst[[#This Row],[QR Suivis]],"_"),1,2)</f>
        <v>CL00884</v>
      </c>
      <c r="N1317" s="35" t="str">
        <f>INDEX(_xlfn.TEXTSPLIT(mvtst[[#This Row],[QR Suivis]],"_"),1,3)</f>
        <v>CM-FT0119</v>
      </c>
      <c r="O1317" s="35" t="str">
        <f>INDEX(_xlfn.TEXTSPLIT(mvtst[[#This Row],[QR Suivis]],"_"),1,4)</f>
        <v>IS1020-B14-01</v>
      </c>
      <c r="P1317" s="35" t="str">
        <f>INDEX(_xlfn.TEXTSPLIT(mvtst[[#This Row],[QR Suivis]],"_"),1,5)</f>
        <v>ISTANBUL</v>
      </c>
      <c r="Q1317" s="35" t="str">
        <f>_xlfn.TEXTAFTER(mvtst[[#This Row],[QR Suivis]],"_",5)</f>
        <v>1020</v>
      </c>
      <c r="R1317" s="84" t="str">
        <f>IF(
   COUNTIFS($A$2:A1317,A1317,
             $B$2:B1317,B1317,
             $C$2:C1317,C1317,
             $D$2:D1317,D1317,
             $G$2:G1317,G1317)&gt;1,
   "Doublon",
   "Correcte"
)</f>
        <v>Correcte</v>
      </c>
    </row>
    <row r="1318" spans="1:18" x14ac:dyDescent="0.25">
      <c r="A1318" s="104" t="s">
        <v>1970</v>
      </c>
      <c r="B1318" s="35" t="s">
        <v>596</v>
      </c>
      <c r="C1318" s="36">
        <v>5</v>
      </c>
      <c r="D1318" s="36">
        <v>0</v>
      </c>
      <c r="E1318" s="35" t="s">
        <v>699</v>
      </c>
      <c r="F1318" s="35" t="s">
        <v>634</v>
      </c>
      <c r="G1318" s="37">
        <v>45938.569525462961</v>
      </c>
      <c r="H1318" s="37" t="str">
        <f>INDEX(_xlfn.TEXTSPLIT(mvtst[[#This Row],[QR Suivis]],"_"),1,1)</f>
        <v>OF249809-24</v>
      </c>
      <c r="I1318" s="35" t="str">
        <f>_xlfn.TEXTBEFORE(mvtst[[#This Row],[Num Suivis]],"-",,,1)</f>
        <v>OF249809</v>
      </c>
      <c r="J1318" s="36">
        <f>SUMIF(mvtst[QR Suivis],mvtst[[#This Row],[QR Suivis]],mvtst[QTE SORTIS])-SUMIF(mvtst[QR Suivis],mvtst[[#This Row],[QR Suivis]],mvtst[QTE RETOUR])</f>
        <v>0</v>
      </c>
      <c r="K1318" s="35" t="str">
        <f t="shared" si="20"/>
        <v>Usine</v>
      </c>
      <c r="L1318" s="35" t="str">
        <f>_xlfn.XLOOKUP(mvtst[[#This Row],[Sous Traitant]],coordonnee_st[Identification],coordonnee_st[SERVICE],"Non Trouvé")</f>
        <v>Frange</v>
      </c>
      <c r="M1318" s="35" t="str">
        <f>INDEX(_xlfn.TEXTSPLIT(mvtst[[#This Row],[QR Suivis]],"_"),1,2)</f>
        <v>CL00884</v>
      </c>
      <c r="N1318" s="35" t="str">
        <f>INDEX(_xlfn.TEXTSPLIT(mvtst[[#This Row],[QR Suivis]],"_"),1,3)</f>
        <v>CM-FT0119</v>
      </c>
      <c r="O1318" s="35" t="str">
        <f>INDEX(_xlfn.TEXTSPLIT(mvtst[[#This Row],[QR Suivis]],"_"),1,4)</f>
        <v>IS1020-B14-01</v>
      </c>
      <c r="P1318" s="35" t="str">
        <f>INDEX(_xlfn.TEXTSPLIT(mvtst[[#This Row],[QR Suivis]],"_"),1,5)</f>
        <v>ISTANBUL</v>
      </c>
      <c r="Q1318" s="35" t="str">
        <f>_xlfn.TEXTAFTER(mvtst[[#This Row],[QR Suivis]],"_",5)</f>
        <v>1020</v>
      </c>
      <c r="R1318" s="84" t="str">
        <f>IF(
   COUNTIFS($A$2:A1318,A1318,
             $B$2:B1318,B1318,
             $C$2:C1318,C1318,
             $D$2:D1318,D1318,
             $G$2:G1318,G1318)&gt;1,
   "Doublon",
   "Correcte"
)</f>
        <v>Correcte</v>
      </c>
    </row>
    <row r="1319" spans="1:18" x14ac:dyDescent="0.25">
      <c r="A1319" s="104" t="s">
        <v>1971</v>
      </c>
      <c r="B1319" s="35" t="s">
        <v>596</v>
      </c>
      <c r="C1319" s="36">
        <v>5</v>
      </c>
      <c r="D1319" s="36">
        <v>0</v>
      </c>
      <c r="E1319" s="35" t="s">
        <v>699</v>
      </c>
      <c r="F1319" s="35" t="s">
        <v>634</v>
      </c>
      <c r="G1319" s="37">
        <v>45938.569918981484</v>
      </c>
      <c r="H1319" s="37" t="str">
        <f>INDEX(_xlfn.TEXTSPLIT(mvtst[[#This Row],[QR Suivis]],"_"),1,1)</f>
        <v>OF249809-11</v>
      </c>
      <c r="I1319" s="35" t="str">
        <f>_xlfn.TEXTBEFORE(mvtst[[#This Row],[Num Suivis]],"-",,,1)</f>
        <v>OF249809</v>
      </c>
      <c r="J1319" s="36">
        <f>SUMIF(mvtst[QR Suivis],mvtst[[#This Row],[QR Suivis]],mvtst[QTE SORTIS])-SUMIF(mvtst[QR Suivis],mvtst[[#This Row],[QR Suivis]],mvtst[QTE RETOUR])</f>
        <v>0</v>
      </c>
      <c r="K1319" s="35" t="str">
        <f t="shared" si="20"/>
        <v>Usine</v>
      </c>
      <c r="L1319" s="35" t="str">
        <f>_xlfn.XLOOKUP(mvtst[[#This Row],[Sous Traitant]],coordonnee_st[Identification],coordonnee_st[SERVICE],"Non Trouvé")</f>
        <v>Frange</v>
      </c>
      <c r="M1319" s="35" t="str">
        <f>INDEX(_xlfn.TEXTSPLIT(mvtst[[#This Row],[QR Suivis]],"_"),1,2)</f>
        <v>CL00884</v>
      </c>
      <c r="N1319" s="35" t="str">
        <f>INDEX(_xlfn.TEXTSPLIT(mvtst[[#This Row],[QR Suivis]],"_"),1,3)</f>
        <v>CM-FT0119</v>
      </c>
      <c r="O1319" s="35" t="str">
        <f>INDEX(_xlfn.TEXTSPLIT(mvtst[[#This Row],[QR Suivis]],"_"),1,4)</f>
        <v>IS1020-B14-01</v>
      </c>
      <c r="P1319" s="35" t="str">
        <f>INDEX(_xlfn.TEXTSPLIT(mvtst[[#This Row],[QR Suivis]],"_"),1,5)</f>
        <v>ISTANBUL</v>
      </c>
      <c r="Q1319" s="35" t="str">
        <f>_xlfn.TEXTAFTER(mvtst[[#This Row],[QR Suivis]],"_",5)</f>
        <v>1020</v>
      </c>
      <c r="R1319" s="84" t="str">
        <f>IF(
   COUNTIFS($A$2:A1319,A1319,
             $B$2:B1319,B1319,
             $C$2:C1319,C1319,
             $D$2:D1319,D1319,
             $G$2:G1319,G1319)&gt;1,
   "Doublon",
   "Correcte"
)</f>
        <v>Correcte</v>
      </c>
    </row>
    <row r="1320" spans="1:18" x14ac:dyDescent="0.25">
      <c r="A1320" s="104" t="s">
        <v>1972</v>
      </c>
      <c r="B1320" s="35" t="s">
        <v>596</v>
      </c>
      <c r="C1320" s="36">
        <v>5</v>
      </c>
      <c r="D1320" s="36">
        <v>0</v>
      </c>
      <c r="E1320" s="35" t="s">
        <v>699</v>
      </c>
      <c r="F1320" s="35" t="s">
        <v>634</v>
      </c>
      <c r="G1320" s="37">
        <v>45938.570150462961</v>
      </c>
      <c r="H1320" s="37" t="str">
        <f>INDEX(_xlfn.TEXTSPLIT(mvtst[[#This Row],[QR Suivis]],"_"),1,1)</f>
        <v>OF249809-17</v>
      </c>
      <c r="I1320" s="35" t="str">
        <f>_xlfn.TEXTBEFORE(mvtst[[#This Row],[Num Suivis]],"-",,,1)</f>
        <v>OF249809</v>
      </c>
      <c r="J1320" s="36">
        <f>SUMIF(mvtst[QR Suivis],mvtst[[#This Row],[QR Suivis]],mvtst[QTE SORTIS])-SUMIF(mvtst[QR Suivis],mvtst[[#This Row],[QR Suivis]],mvtst[QTE RETOUR])</f>
        <v>0</v>
      </c>
      <c r="K1320" s="35" t="str">
        <f t="shared" si="20"/>
        <v>Usine</v>
      </c>
      <c r="L1320" s="35" t="str">
        <f>_xlfn.XLOOKUP(mvtst[[#This Row],[Sous Traitant]],coordonnee_st[Identification],coordonnee_st[SERVICE],"Non Trouvé")</f>
        <v>Frange</v>
      </c>
      <c r="M1320" s="35" t="str">
        <f>INDEX(_xlfn.TEXTSPLIT(mvtst[[#This Row],[QR Suivis]],"_"),1,2)</f>
        <v>CL00884</v>
      </c>
      <c r="N1320" s="35" t="str">
        <f>INDEX(_xlfn.TEXTSPLIT(mvtst[[#This Row],[QR Suivis]],"_"),1,3)</f>
        <v>CM-FT0119</v>
      </c>
      <c r="O1320" s="35" t="str">
        <f>INDEX(_xlfn.TEXTSPLIT(mvtst[[#This Row],[QR Suivis]],"_"),1,4)</f>
        <v>IS1020-B14-01</v>
      </c>
      <c r="P1320" s="35" t="str">
        <f>INDEX(_xlfn.TEXTSPLIT(mvtst[[#This Row],[QR Suivis]],"_"),1,5)</f>
        <v>ISTANBUL</v>
      </c>
      <c r="Q1320" s="35" t="str">
        <f>_xlfn.TEXTAFTER(mvtst[[#This Row],[QR Suivis]],"_",5)</f>
        <v>1020</v>
      </c>
      <c r="R1320" s="84" t="str">
        <f>IF(
   COUNTIFS($A$2:A1320,A1320,
             $B$2:B1320,B1320,
             $C$2:C1320,C1320,
             $D$2:D1320,D1320,
             $G$2:G1320,G1320)&gt;1,
   "Doublon",
   "Correcte"
)</f>
        <v>Correcte</v>
      </c>
    </row>
    <row r="1321" spans="1:18" x14ac:dyDescent="0.25">
      <c r="A1321" s="104" t="s">
        <v>1973</v>
      </c>
      <c r="B1321" s="35" t="s">
        <v>596</v>
      </c>
      <c r="C1321" s="36">
        <v>5</v>
      </c>
      <c r="D1321" s="36">
        <v>0</v>
      </c>
      <c r="E1321" s="35" t="s">
        <v>699</v>
      </c>
      <c r="F1321" s="35" t="s">
        <v>634</v>
      </c>
      <c r="G1321" s="37">
        <v>45938.570671296293</v>
      </c>
      <c r="H1321" s="37" t="str">
        <f>INDEX(_xlfn.TEXTSPLIT(mvtst[[#This Row],[QR Suivis]],"_"),1,1)</f>
        <v>OF249809-18</v>
      </c>
      <c r="I1321" s="35" t="str">
        <f>_xlfn.TEXTBEFORE(mvtst[[#This Row],[Num Suivis]],"-",,,1)</f>
        <v>OF249809</v>
      </c>
      <c r="J1321" s="36">
        <f>SUMIF(mvtst[QR Suivis],mvtst[[#This Row],[QR Suivis]],mvtst[QTE SORTIS])-SUMIF(mvtst[QR Suivis],mvtst[[#This Row],[QR Suivis]],mvtst[QTE RETOUR])</f>
        <v>0</v>
      </c>
      <c r="K1321" s="35" t="str">
        <f t="shared" si="20"/>
        <v>Usine</v>
      </c>
      <c r="L1321" s="35" t="str">
        <f>_xlfn.XLOOKUP(mvtst[[#This Row],[Sous Traitant]],coordonnee_st[Identification],coordonnee_st[SERVICE],"Non Trouvé")</f>
        <v>Frange</v>
      </c>
      <c r="M1321" s="35" t="str">
        <f>INDEX(_xlfn.TEXTSPLIT(mvtst[[#This Row],[QR Suivis]],"_"),1,2)</f>
        <v>CL00884</v>
      </c>
      <c r="N1321" s="35" t="str">
        <f>INDEX(_xlfn.TEXTSPLIT(mvtst[[#This Row],[QR Suivis]],"_"),1,3)</f>
        <v>CM-FT0119</v>
      </c>
      <c r="O1321" s="35" t="str">
        <f>INDEX(_xlfn.TEXTSPLIT(mvtst[[#This Row],[QR Suivis]],"_"),1,4)</f>
        <v>IS1020-B14-01</v>
      </c>
      <c r="P1321" s="35" t="str">
        <f>INDEX(_xlfn.TEXTSPLIT(mvtst[[#This Row],[QR Suivis]],"_"),1,5)</f>
        <v>ISTANBUL</v>
      </c>
      <c r="Q1321" s="35" t="str">
        <f>_xlfn.TEXTAFTER(mvtst[[#This Row],[QR Suivis]],"_",5)</f>
        <v>1020</v>
      </c>
      <c r="R1321" s="84" t="str">
        <f>IF(
   COUNTIFS($A$2:A1321,A1321,
             $B$2:B1321,B1321,
             $C$2:C1321,C1321,
             $D$2:D1321,D1321,
             $G$2:G1321,G1321)&gt;1,
   "Doublon",
   "Correcte"
)</f>
        <v>Correcte</v>
      </c>
    </row>
    <row r="1322" spans="1:18" x14ac:dyDescent="0.25">
      <c r="A1322" s="104" t="s">
        <v>1974</v>
      </c>
      <c r="B1322" s="35" t="s">
        <v>596</v>
      </c>
      <c r="C1322" s="36">
        <v>5</v>
      </c>
      <c r="D1322" s="36">
        <v>0</v>
      </c>
      <c r="E1322" s="35" t="s">
        <v>699</v>
      </c>
      <c r="F1322" s="35" t="s">
        <v>634</v>
      </c>
      <c r="G1322" s="37">
        <v>45938.570925925924</v>
      </c>
      <c r="H1322" s="37" t="str">
        <f>INDEX(_xlfn.TEXTSPLIT(mvtst[[#This Row],[QR Suivis]],"_"),1,1)</f>
        <v>OF249809-20</v>
      </c>
      <c r="I1322" s="35" t="str">
        <f>_xlfn.TEXTBEFORE(mvtst[[#This Row],[Num Suivis]],"-",,,1)</f>
        <v>OF249809</v>
      </c>
      <c r="J1322" s="36">
        <f>SUMIF(mvtst[QR Suivis],mvtst[[#This Row],[QR Suivis]],mvtst[QTE SORTIS])-SUMIF(mvtst[QR Suivis],mvtst[[#This Row],[QR Suivis]],mvtst[QTE RETOUR])</f>
        <v>0</v>
      </c>
      <c r="K1322" s="35" t="str">
        <f t="shared" si="20"/>
        <v>Usine</v>
      </c>
      <c r="L1322" s="35" t="str">
        <f>_xlfn.XLOOKUP(mvtst[[#This Row],[Sous Traitant]],coordonnee_st[Identification],coordonnee_st[SERVICE],"Non Trouvé")</f>
        <v>Frange</v>
      </c>
      <c r="M1322" s="35" t="str">
        <f>INDEX(_xlfn.TEXTSPLIT(mvtst[[#This Row],[QR Suivis]],"_"),1,2)</f>
        <v>CL00884</v>
      </c>
      <c r="N1322" s="35" t="str">
        <f>INDEX(_xlfn.TEXTSPLIT(mvtst[[#This Row],[QR Suivis]],"_"),1,3)</f>
        <v>CM-FT0119</v>
      </c>
      <c r="O1322" s="35" t="str">
        <f>INDEX(_xlfn.TEXTSPLIT(mvtst[[#This Row],[QR Suivis]],"_"),1,4)</f>
        <v>IS1020-B14-01</v>
      </c>
      <c r="P1322" s="35" t="str">
        <f>INDEX(_xlfn.TEXTSPLIT(mvtst[[#This Row],[QR Suivis]],"_"),1,5)</f>
        <v>ISTANBUL</v>
      </c>
      <c r="Q1322" s="35" t="str">
        <f>_xlfn.TEXTAFTER(mvtst[[#This Row],[QR Suivis]],"_",5)</f>
        <v>1020</v>
      </c>
      <c r="R1322" s="84" t="str">
        <f>IF(
   COUNTIFS($A$2:A1322,A1322,
             $B$2:B1322,B1322,
             $C$2:C1322,C1322,
             $D$2:D1322,D1322,
             $G$2:G1322,G1322)&gt;1,
   "Doublon",
   "Correcte"
)</f>
        <v>Correcte</v>
      </c>
    </row>
    <row r="1323" spans="1:18" x14ac:dyDescent="0.25">
      <c r="A1323" s="104" t="s">
        <v>1975</v>
      </c>
      <c r="B1323" s="35" t="s">
        <v>596</v>
      </c>
      <c r="C1323" s="36">
        <v>5</v>
      </c>
      <c r="D1323" s="36">
        <v>0</v>
      </c>
      <c r="E1323" s="35" t="s">
        <v>699</v>
      </c>
      <c r="F1323" s="35" t="s">
        <v>634</v>
      </c>
      <c r="G1323" s="37">
        <v>45938.571203703701</v>
      </c>
      <c r="H1323" s="37" t="str">
        <f>INDEX(_xlfn.TEXTSPLIT(mvtst[[#This Row],[QR Suivis]],"_"),1,1)</f>
        <v>OF249809-29</v>
      </c>
      <c r="I1323" s="35" t="str">
        <f>_xlfn.TEXTBEFORE(mvtst[[#This Row],[Num Suivis]],"-",,,1)</f>
        <v>OF249809</v>
      </c>
      <c r="J1323" s="36">
        <f>SUMIF(mvtst[QR Suivis],mvtst[[#This Row],[QR Suivis]],mvtst[QTE SORTIS])-SUMIF(mvtst[QR Suivis],mvtst[[#This Row],[QR Suivis]],mvtst[QTE RETOUR])</f>
        <v>5</v>
      </c>
      <c r="K1323" s="35" t="str">
        <f t="shared" si="20"/>
        <v>Usine</v>
      </c>
      <c r="L1323" s="35" t="str">
        <f>_xlfn.XLOOKUP(mvtst[[#This Row],[Sous Traitant]],coordonnee_st[Identification],coordonnee_st[SERVICE],"Non Trouvé")</f>
        <v>Frange</v>
      </c>
      <c r="M1323" s="35" t="str">
        <f>INDEX(_xlfn.TEXTSPLIT(mvtst[[#This Row],[QR Suivis]],"_"),1,2)</f>
        <v>CL00884</v>
      </c>
      <c r="N1323" s="35" t="str">
        <f>INDEX(_xlfn.TEXTSPLIT(mvtst[[#This Row],[QR Suivis]],"_"),1,3)</f>
        <v>CM-FT0119</v>
      </c>
      <c r="O1323" s="35" t="str">
        <f>INDEX(_xlfn.TEXTSPLIT(mvtst[[#This Row],[QR Suivis]],"_"),1,4)</f>
        <v>IS1020-B14-01</v>
      </c>
      <c r="P1323" s="35" t="str">
        <f>INDEX(_xlfn.TEXTSPLIT(mvtst[[#This Row],[QR Suivis]],"_"),1,5)</f>
        <v>ISTANBUL</v>
      </c>
      <c r="Q1323" s="35" t="str">
        <f>_xlfn.TEXTAFTER(mvtst[[#This Row],[QR Suivis]],"_",5)</f>
        <v>1020</v>
      </c>
      <c r="R1323" s="84" t="str">
        <f>IF(
   COUNTIFS($A$2:A1323,A1323,
             $B$2:B1323,B1323,
             $C$2:C1323,C1323,
             $D$2:D1323,D1323,
             $G$2:G1323,G1323)&gt;1,
   "Doublon",
   "Correcte"
)</f>
        <v>Correcte</v>
      </c>
    </row>
    <row r="1324" spans="1:18" x14ac:dyDescent="0.25">
      <c r="A1324" s="104" t="s">
        <v>1976</v>
      </c>
      <c r="B1324" s="35" t="s">
        <v>596</v>
      </c>
      <c r="C1324" s="36">
        <v>5</v>
      </c>
      <c r="D1324" s="36">
        <v>0</v>
      </c>
      <c r="E1324" s="35" t="s">
        <v>699</v>
      </c>
      <c r="F1324" s="35" t="s">
        <v>634</v>
      </c>
      <c r="G1324" s="37">
        <v>45938.571423611109</v>
      </c>
      <c r="H1324" s="37" t="str">
        <f>INDEX(_xlfn.TEXTSPLIT(mvtst[[#This Row],[QR Suivis]],"_"),1,1)</f>
        <v>OF249809-22</v>
      </c>
      <c r="I1324" s="35" t="str">
        <f>_xlfn.TEXTBEFORE(mvtst[[#This Row],[Num Suivis]],"-",,,1)</f>
        <v>OF249809</v>
      </c>
      <c r="J1324" s="36">
        <f>SUMIF(mvtst[QR Suivis],mvtst[[#This Row],[QR Suivis]],mvtst[QTE SORTIS])-SUMIF(mvtst[QR Suivis],mvtst[[#This Row],[QR Suivis]],mvtst[QTE RETOUR])</f>
        <v>5</v>
      </c>
      <c r="K1324" s="35" t="str">
        <f t="shared" si="20"/>
        <v>Usine</v>
      </c>
      <c r="L1324" s="35" t="str">
        <f>_xlfn.XLOOKUP(mvtst[[#This Row],[Sous Traitant]],coordonnee_st[Identification],coordonnee_st[SERVICE],"Non Trouvé")</f>
        <v>Frange</v>
      </c>
      <c r="M1324" s="35" t="str">
        <f>INDEX(_xlfn.TEXTSPLIT(mvtst[[#This Row],[QR Suivis]],"_"),1,2)</f>
        <v>CL00884</v>
      </c>
      <c r="N1324" s="35" t="str">
        <f>INDEX(_xlfn.TEXTSPLIT(mvtst[[#This Row],[QR Suivis]],"_"),1,3)</f>
        <v>CM-FT0119</v>
      </c>
      <c r="O1324" s="35" t="str">
        <f>INDEX(_xlfn.TEXTSPLIT(mvtst[[#This Row],[QR Suivis]],"_"),1,4)</f>
        <v>IS1020-B14-01</v>
      </c>
      <c r="P1324" s="35" t="str">
        <f>INDEX(_xlfn.TEXTSPLIT(mvtst[[#This Row],[QR Suivis]],"_"),1,5)</f>
        <v>ISTANBUL</v>
      </c>
      <c r="Q1324" s="35" t="str">
        <f>_xlfn.TEXTAFTER(mvtst[[#This Row],[QR Suivis]],"_",5)</f>
        <v>1020</v>
      </c>
      <c r="R1324" s="84" t="str">
        <f>IF(
   COUNTIFS($A$2:A1324,A1324,
             $B$2:B1324,B1324,
             $C$2:C1324,C1324,
             $D$2:D1324,D1324,
             $G$2:G1324,G1324)&gt;1,
   "Doublon",
   "Correcte"
)</f>
        <v>Correcte</v>
      </c>
    </row>
    <row r="1325" spans="1:18" x14ac:dyDescent="0.25">
      <c r="A1325" s="104" t="s">
        <v>1977</v>
      </c>
      <c r="B1325" s="35" t="s">
        <v>596</v>
      </c>
      <c r="C1325" s="36">
        <v>5</v>
      </c>
      <c r="D1325" s="36">
        <v>0</v>
      </c>
      <c r="E1325" s="35" t="s">
        <v>699</v>
      </c>
      <c r="F1325" s="35" t="s">
        <v>634</v>
      </c>
      <c r="G1325" s="37">
        <v>45938.571701388886</v>
      </c>
      <c r="H1325" s="37" t="str">
        <f>INDEX(_xlfn.TEXTSPLIT(mvtst[[#This Row],[QR Suivis]],"_"),1,1)</f>
        <v>OF249809-30</v>
      </c>
      <c r="I1325" s="35" t="str">
        <f>_xlfn.TEXTBEFORE(mvtst[[#This Row],[Num Suivis]],"-",,,1)</f>
        <v>OF249809</v>
      </c>
      <c r="J1325" s="36">
        <f>SUMIF(mvtst[QR Suivis],mvtst[[#This Row],[QR Suivis]],mvtst[QTE SORTIS])-SUMIF(mvtst[QR Suivis],mvtst[[#This Row],[QR Suivis]],mvtst[QTE RETOUR])</f>
        <v>5</v>
      </c>
      <c r="K1325" s="35" t="str">
        <f t="shared" si="20"/>
        <v>Usine</v>
      </c>
      <c r="L1325" s="35" t="str">
        <f>_xlfn.XLOOKUP(mvtst[[#This Row],[Sous Traitant]],coordonnee_st[Identification],coordonnee_st[SERVICE],"Non Trouvé")</f>
        <v>Frange</v>
      </c>
      <c r="M1325" s="35" t="str">
        <f>INDEX(_xlfn.TEXTSPLIT(mvtst[[#This Row],[QR Suivis]],"_"),1,2)</f>
        <v>CL00884</v>
      </c>
      <c r="N1325" s="35" t="str">
        <f>INDEX(_xlfn.TEXTSPLIT(mvtst[[#This Row],[QR Suivis]],"_"),1,3)</f>
        <v>CM-FT0119</v>
      </c>
      <c r="O1325" s="35" t="str">
        <f>INDEX(_xlfn.TEXTSPLIT(mvtst[[#This Row],[QR Suivis]],"_"),1,4)</f>
        <v>IS1020-B14-01</v>
      </c>
      <c r="P1325" s="35" t="str">
        <f>INDEX(_xlfn.TEXTSPLIT(mvtst[[#This Row],[QR Suivis]],"_"),1,5)</f>
        <v>ISTANBUL</v>
      </c>
      <c r="Q1325" s="35" t="str">
        <f>_xlfn.TEXTAFTER(mvtst[[#This Row],[QR Suivis]],"_",5)</f>
        <v>1020</v>
      </c>
      <c r="R1325" s="84" t="str">
        <f>IF(
   COUNTIFS($A$2:A1325,A1325,
             $B$2:B1325,B1325,
             $C$2:C1325,C1325,
             $D$2:D1325,D1325,
             $G$2:G1325,G1325)&gt;1,
   "Doublon",
   "Correcte"
)</f>
        <v>Correcte</v>
      </c>
    </row>
    <row r="1326" spans="1:18" x14ac:dyDescent="0.25">
      <c r="A1326" s="104" t="s">
        <v>1978</v>
      </c>
      <c r="B1326" s="35" t="s">
        <v>596</v>
      </c>
      <c r="C1326" s="36">
        <v>5</v>
      </c>
      <c r="D1326" s="36">
        <v>0</v>
      </c>
      <c r="E1326" s="35" t="s">
        <v>699</v>
      </c>
      <c r="F1326" s="35" t="s">
        <v>634</v>
      </c>
      <c r="G1326" s="37">
        <v>45938.571909722225</v>
      </c>
      <c r="H1326" s="37" t="str">
        <f>INDEX(_xlfn.TEXTSPLIT(mvtst[[#This Row],[QR Suivis]],"_"),1,1)</f>
        <v>OF249809-10</v>
      </c>
      <c r="I1326" s="35" t="str">
        <f>_xlfn.TEXTBEFORE(mvtst[[#This Row],[Num Suivis]],"-",,,1)</f>
        <v>OF249809</v>
      </c>
      <c r="J1326" s="36">
        <f>SUMIF(mvtst[QR Suivis],mvtst[[#This Row],[QR Suivis]],mvtst[QTE SORTIS])-SUMIF(mvtst[QR Suivis],mvtst[[#This Row],[QR Suivis]],mvtst[QTE RETOUR])</f>
        <v>5</v>
      </c>
      <c r="K1326" s="35" t="str">
        <f t="shared" si="20"/>
        <v>Usine</v>
      </c>
      <c r="L1326" s="35" t="str">
        <f>_xlfn.XLOOKUP(mvtst[[#This Row],[Sous Traitant]],coordonnee_st[Identification],coordonnee_st[SERVICE],"Non Trouvé")</f>
        <v>Frange</v>
      </c>
      <c r="M1326" s="35" t="str">
        <f>INDEX(_xlfn.TEXTSPLIT(mvtst[[#This Row],[QR Suivis]],"_"),1,2)</f>
        <v>CL00884</v>
      </c>
      <c r="N1326" s="35" t="str">
        <f>INDEX(_xlfn.TEXTSPLIT(mvtst[[#This Row],[QR Suivis]],"_"),1,3)</f>
        <v>CM-FT0119</v>
      </c>
      <c r="O1326" s="35" t="str">
        <f>INDEX(_xlfn.TEXTSPLIT(mvtst[[#This Row],[QR Suivis]],"_"),1,4)</f>
        <v>IS1020-B14-01</v>
      </c>
      <c r="P1326" s="35" t="str">
        <f>INDEX(_xlfn.TEXTSPLIT(mvtst[[#This Row],[QR Suivis]],"_"),1,5)</f>
        <v>ISTANBUL</v>
      </c>
      <c r="Q1326" s="35" t="str">
        <f>_xlfn.TEXTAFTER(mvtst[[#This Row],[QR Suivis]],"_",5)</f>
        <v>1020</v>
      </c>
      <c r="R1326" s="84" t="str">
        <f>IF(
   COUNTIFS($A$2:A1326,A1326,
             $B$2:B1326,B1326,
             $C$2:C1326,C1326,
             $D$2:D1326,D1326,
             $G$2:G1326,G1326)&gt;1,
   "Doublon",
   "Correcte"
)</f>
        <v>Correcte</v>
      </c>
    </row>
    <row r="1327" spans="1:18" x14ac:dyDescent="0.25">
      <c r="A1327" s="104" t="s">
        <v>1979</v>
      </c>
      <c r="B1327" s="35" t="s">
        <v>596</v>
      </c>
      <c r="C1327" s="36">
        <v>5</v>
      </c>
      <c r="D1327" s="36">
        <v>0</v>
      </c>
      <c r="E1327" s="35" t="s">
        <v>699</v>
      </c>
      <c r="F1327" s="35" t="s">
        <v>634</v>
      </c>
      <c r="G1327" s="37">
        <v>45938.572060185186</v>
      </c>
      <c r="H1327" s="37" t="str">
        <f>INDEX(_xlfn.TEXTSPLIT(mvtst[[#This Row],[QR Suivis]],"_"),1,1)</f>
        <v>OF249809-26</v>
      </c>
      <c r="I1327" s="35" t="str">
        <f>_xlfn.TEXTBEFORE(mvtst[[#This Row],[Num Suivis]],"-",,,1)</f>
        <v>OF249809</v>
      </c>
      <c r="J1327" s="36">
        <f>SUMIF(mvtst[QR Suivis],mvtst[[#This Row],[QR Suivis]],mvtst[QTE SORTIS])-SUMIF(mvtst[QR Suivis],mvtst[[#This Row],[QR Suivis]],mvtst[QTE RETOUR])</f>
        <v>0</v>
      </c>
      <c r="K1327" s="35" t="str">
        <f t="shared" si="20"/>
        <v>Usine</v>
      </c>
      <c r="L1327" s="35" t="str">
        <f>_xlfn.XLOOKUP(mvtst[[#This Row],[Sous Traitant]],coordonnee_st[Identification],coordonnee_st[SERVICE],"Non Trouvé")</f>
        <v>Frange</v>
      </c>
      <c r="M1327" s="35" t="str">
        <f>INDEX(_xlfn.TEXTSPLIT(mvtst[[#This Row],[QR Suivis]],"_"),1,2)</f>
        <v>CL00884</v>
      </c>
      <c r="N1327" s="35" t="str">
        <f>INDEX(_xlfn.TEXTSPLIT(mvtst[[#This Row],[QR Suivis]],"_"),1,3)</f>
        <v>CM-FT0119</v>
      </c>
      <c r="O1327" s="35" t="str">
        <f>INDEX(_xlfn.TEXTSPLIT(mvtst[[#This Row],[QR Suivis]],"_"),1,4)</f>
        <v>IS1020-B14-01</v>
      </c>
      <c r="P1327" s="35" t="str">
        <f>INDEX(_xlfn.TEXTSPLIT(mvtst[[#This Row],[QR Suivis]],"_"),1,5)</f>
        <v>ISTANBUL</v>
      </c>
      <c r="Q1327" s="35" t="str">
        <f>_xlfn.TEXTAFTER(mvtst[[#This Row],[QR Suivis]],"_",5)</f>
        <v>1020</v>
      </c>
      <c r="R1327" s="84" t="str">
        <f>IF(
   COUNTIFS($A$2:A1327,A1327,
             $B$2:B1327,B1327,
             $C$2:C1327,C1327,
             $D$2:D1327,D1327,
             $G$2:G1327,G1327)&gt;1,
   "Doublon",
   "Correcte"
)</f>
        <v>Correcte</v>
      </c>
    </row>
    <row r="1328" spans="1:18" x14ac:dyDescent="0.25">
      <c r="A1328" s="104" t="s">
        <v>1980</v>
      </c>
      <c r="B1328" s="35" t="s">
        <v>596</v>
      </c>
      <c r="C1328" s="36">
        <v>5</v>
      </c>
      <c r="D1328" s="36">
        <v>0</v>
      </c>
      <c r="E1328" s="35" t="s">
        <v>699</v>
      </c>
      <c r="F1328" s="35" t="s">
        <v>634</v>
      </c>
      <c r="G1328" s="37">
        <v>45938.572326388887</v>
      </c>
      <c r="H1328" s="37" t="str">
        <f>INDEX(_xlfn.TEXTSPLIT(mvtst[[#This Row],[QR Suivis]],"_"),1,1)</f>
        <v>OF249809-21</v>
      </c>
      <c r="I1328" s="35" t="str">
        <f>_xlfn.TEXTBEFORE(mvtst[[#This Row],[Num Suivis]],"-",,,1)</f>
        <v>OF249809</v>
      </c>
      <c r="J1328" s="36">
        <f>SUMIF(mvtst[QR Suivis],mvtst[[#This Row],[QR Suivis]],mvtst[QTE SORTIS])-SUMIF(mvtst[QR Suivis],mvtst[[#This Row],[QR Suivis]],mvtst[QTE RETOUR])</f>
        <v>0</v>
      </c>
      <c r="K1328" s="35" t="str">
        <f t="shared" si="20"/>
        <v>Usine</v>
      </c>
      <c r="L1328" s="35" t="str">
        <f>_xlfn.XLOOKUP(mvtst[[#This Row],[Sous Traitant]],coordonnee_st[Identification],coordonnee_st[SERVICE],"Non Trouvé")</f>
        <v>Frange</v>
      </c>
      <c r="M1328" s="35" t="str">
        <f>INDEX(_xlfn.TEXTSPLIT(mvtst[[#This Row],[QR Suivis]],"_"),1,2)</f>
        <v>CL00884</v>
      </c>
      <c r="N1328" s="35" t="str">
        <f>INDEX(_xlfn.TEXTSPLIT(mvtst[[#This Row],[QR Suivis]],"_"),1,3)</f>
        <v>CM-FT0119</v>
      </c>
      <c r="O1328" s="35" t="str">
        <f>INDEX(_xlfn.TEXTSPLIT(mvtst[[#This Row],[QR Suivis]],"_"),1,4)</f>
        <v>IS1020-B14-01</v>
      </c>
      <c r="P1328" s="35" t="str">
        <f>INDEX(_xlfn.TEXTSPLIT(mvtst[[#This Row],[QR Suivis]],"_"),1,5)</f>
        <v>ISTANBUL</v>
      </c>
      <c r="Q1328" s="35" t="str">
        <f>_xlfn.TEXTAFTER(mvtst[[#This Row],[QR Suivis]],"_",5)</f>
        <v>1020</v>
      </c>
      <c r="R1328" s="84" t="str">
        <f>IF(
   COUNTIFS($A$2:A1328,A1328,
             $B$2:B1328,B1328,
             $C$2:C1328,C1328,
             $D$2:D1328,D1328,
             $G$2:G1328,G1328)&gt;1,
   "Doublon",
   "Correcte"
)</f>
        <v>Correcte</v>
      </c>
    </row>
    <row r="1329" spans="1:18" x14ac:dyDescent="0.25">
      <c r="A1329" s="104" t="s">
        <v>1981</v>
      </c>
      <c r="B1329" s="35" t="s">
        <v>596</v>
      </c>
      <c r="C1329" s="36">
        <v>5</v>
      </c>
      <c r="D1329" s="36">
        <v>0</v>
      </c>
      <c r="E1329" s="35" t="s">
        <v>699</v>
      </c>
      <c r="F1329" s="35" t="s">
        <v>634</v>
      </c>
      <c r="G1329" s="37">
        <v>45938.572766203702</v>
      </c>
      <c r="H1329" s="37" t="str">
        <f>INDEX(_xlfn.TEXTSPLIT(mvtst[[#This Row],[QR Suivis]],"_"),1,1)</f>
        <v>OF249809-28</v>
      </c>
      <c r="I1329" s="35" t="str">
        <f>_xlfn.TEXTBEFORE(mvtst[[#This Row],[Num Suivis]],"-",,,1)</f>
        <v>OF249809</v>
      </c>
      <c r="J1329" s="36">
        <f>SUMIF(mvtst[QR Suivis],mvtst[[#This Row],[QR Suivis]],mvtst[QTE SORTIS])-SUMIF(mvtst[QR Suivis],mvtst[[#This Row],[QR Suivis]],mvtst[QTE RETOUR])</f>
        <v>0</v>
      </c>
      <c r="K1329" s="35" t="str">
        <f t="shared" si="20"/>
        <v>Usine</v>
      </c>
      <c r="L1329" s="35" t="str">
        <f>_xlfn.XLOOKUP(mvtst[[#This Row],[Sous Traitant]],coordonnee_st[Identification],coordonnee_st[SERVICE],"Non Trouvé")</f>
        <v>Frange</v>
      </c>
      <c r="M1329" s="35" t="str">
        <f>INDEX(_xlfn.TEXTSPLIT(mvtst[[#This Row],[QR Suivis]],"_"),1,2)</f>
        <v>CL00884</v>
      </c>
      <c r="N1329" s="35" t="str">
        <f>INDEX(_xlfn.TEXTSPLIT(mvtst[[#This Row],[QR Suivis]],"_"),1,3)</f>
        <v>CM-FT0119</v>
      </c>
      <c r="O1329" s="35" t="str">
        <f>INDEX(_xlfn.TEXTSPLIT(mvtst[[#This Row],[QR Suivis]],"_"),1,4)</f>
        <v>IS1020-B14-01</v>
      </c>
      <c r="P1329" s="35" t="str">
        <f>INDEX(_xlfn.TEXTSPLIT(mvtst[[#This Row],[QR Suivis]],"_"),1,5)</f>
        <v>ISTANBUL</v>
      </c>
      <c r="Q1329" s="35" t="str">
        <f>_xlfn.TEXTAFTER(mvtst[[#This Row],[QR Suivis]],"_",5)</f>
        <v>1020</v>
      </c>
      <c r="R1329" s="84" t="str">
        <f>IF(
   COUNTIFS($A$2:A1329,A1329,
             $B$2:B1329,B1329,
             $C$2:C1329,C1329,
             $D$2:D1329,D1329,
             $G$2:G1329,G1329)&gt;1,
   "Doublon",
   "Correcte"
)</f>
        <v>Correcte</v>
      </c>
    </row>
    <row r="1330" spans="1:18" x14ac:dyDescent="0.25">
      <c r="A1330" s="104" t="s">
        <v>1982</v>
      </c>
      <c r="B1330" s="35" t="s">
        <v>596</v>
      </c>
      <c r="C1330" s="36">
        <v>5</v>
      </c>
      <c r="D1330" s="36">
        <v>0</v>
      </c>
      <c r="E1330" s="35" t="s">
        <v>699</v>
      </c>
      <c r="F1330" s="35" t="s">
        <v>634</v>
      </c>
      <c r="G1330" s="37">
        <v>45938.572916666664</v>
      </c>
      <c r="H1330" s="37" t="str">
        <f>INDEX(_xlfn.TEXTSPLIT(mvtst[[#This Row],[QR Suivis]],"_"),1,1)</f>
        <v>OF249809-32</v>
      </c>
      <c r="I1330" s="35" t="str">
        <f>_xlfn.TEXTBEFORE(mvtst[[#This Row],[Num Suivis]],"-",,,1)</f>
        <v>OF249809</v>
      </c>
      <c r="J1330" s="36">
        <f>SUMIF(mvtst[QR Suivis],mvtst[[#This Row],[QR Suivis]],mvtst[QTE SORTIS])-SUMIF(mvtst[QR Suivis],mvtst[[#This Row],[QR Suivis]],mvtst[QTE RETOUR])</f>
        <v>5</v>
      </c>
      <c r="K1330" s="35" t="str">
        <f t="shared" si="20"/>
        <v>Usine</v>
      </c>
      <c r="L1330" s="35" t="str">
        <f>_xlfn.XLOOKUP(mvtst[[#This Row],[Sous Traitant]],coordonnee_st[Identification],coordonnee_st[SERVICE],"Non Trouvé")</f>
        <v>Frange</v>
      </c>
      <c r="M1330" s="35" t="str">
        <f>INDEX(_xlfn.TEXTSPLIT(mvtst[[#This Row],[QR Suivis]],"_"),1,2)</f>
        <v>CL00884</v>
      </c>
      <c r="N1330" s="35" t="str">
        <f>INDEX(_xlfn.TEXTSPLIT(mvtst[[#This Row],[QR Suivis]],"_"),1,3)</f>
        <v>CM-FT0119</v>
      </c>
      <c r="O1330" s="35" t="str">
        <f>INDEX(_xlfn.TEXTSPLIT(mvtst[[#This Row],[QR Suivis]],"_"),1,4)</f>
        <v>IS1020-B14-01</v>
      </c>
      <c r="P1330" s="35" t="str">
        <f>INDEX(_xlfn.TEXTSPLIT(mvtst[[#This Row],[QR Suivis]],"_"),1,5)</f>
        <v>ISTANBUL</v>
      </c>
      <c r="Q1330" s="35" t="str">
        <f>_xlfn.TEXTAFTER(mvtst[[#This Row],[QR Suivis]],"_",5)</f>
        <v>1020</v>
      </c>
      <c r="R1330" s="84" t="str">
        <f>IF(
   COUNTIFS($A$2:A1330,A1330,
             $B$2:B1330,B1330,
             $C$2:C1330,C1330,
             $D$2:D1330,D1330,
             $G$2:G1330,G1330)&gt;1,
   "Doublon",
   "Correcte"
)</f>
        <v>Correcte</v>
      </c>
    </row>
    <row r="1331" spans="1:18" x14ac:dyDescent="0.25">
      <c r="A1331" s="104" t="s">
        <v>1983</v>
      </c>
      <c r="B1331" s="35" t="s">
        <v>596</v>
      </c>
      <c r="C1331" s="36">
        <v>5</v>
      </c>
      <c r="D1331" s="36">
        <v>0</v>
      </c>
      <c r="E1331" s="35" t="s">
        <v>699</v>
      </c>
      <c r="F1331" s="35" t="s">
        <v>634</v>
      </c>
      <c r="G1331" s="37">
        <v>45938.573125000003</v>
      </c>
      <c r="H1331" s="37" t="str">
        <f>INDEX(_xlfn.TEXTSPLIT(mvtst[[#This Row],[QR Suivis]],"_"),1,1)</f>
        <v>OF249809-31</v>
      </c>
      <c r="I1331" s="35" t="str">
        <f>_xlfn.TEXTBEFORE(mvtst[[#This Row],[Num Suivis]],"-",,,1)</f>
        <v>OF249809</v>
      </c>
      <c r="J1331" s="36">
        <f>SUMIF(mvtst[QR Suivis],mvtst[[#This Row],[QR Suivis]],mvtst[QTE SORTIS])-SUMIF(mvtst[QR Suivis],mvtst[[#This Row],[QR Suivis]],mvtst[QTE RETOUR])</f>
        <v>5</v>
      </c>
      <c r="K1331" s="35" t="str">
        <f t="shared" si="20"/>
        <v>Usine</v>
      </c>
      <c r="L1331" s="35" t="str">
        <f>_xlfn.XLOOKUP(mvtst[[#This Row],[Sous Traitant]],coordonnee_st[Identification],coordonnee_st[SERVICE],"Non Trouvé")</f>
        <v>Frange</v>
      </c>
      <c r="M1331" s="35" t="str">
        <f>INDEX(_xlfn.TEXTSPLIT(mvtst[[#This Row],[QR Suivis]],"_"),1,2)</f>
        <v>CL00884</v>
      </c>
      <c r="N1331" s="35" t="str">
        <f>INDEX(_xlfn.TEXTSPLIT(mvtst[[#This Row],[QR Suivis]],"_"),1,3)</f>
        <v>CM-FT0119</v>
      </c>
      <c r="O1331" s="35" t="str">
        <f>INDEX(_xlfn.TEXTSPLIT(mvtst[[#This Row],[QR Suivis]],"_"),1,4)</f>
        <v>IS1020-B14-01</v>
      </c>
      <c r="P1331" s="35" t="str">
        <f>INDEX(_xlfn.TEXTSPLIT(mvtst[[#This Row],[QR Suivis]],"_"),1,5)</f>
        <v>ISTANBUL</v>
      </c>
      <c r="Q1331" s="35" t="str">
        <f>_xlfn.TEXTAFTER(mvtst[[#This Row],[QR Suivis]],"_",5)</f>
        <v>1020</v>
      </c>
      <c r="R1331" s="84" t="str">
        <f>IF(
   COUNTIFS($A$2:A1331,A1331,
             $B$2:B1331,B1331,
             $C$2:C1331,C1331,
             $D$2:D1331,D1331,
             $G$2:G1331,G1331)&gt;1,
   "Doublon",
   "Correcte"
)</f>
        <v>Correcte</v>
      </c>
    </row>
    <row r="1332" spans="1:18" x14ac:dyDescent="0.25">
      <c r="A1332" s="104" t="s">
        <v>1984</v>
      </c>
      <c r="B1332" s="35" t="s">
        <v>596</v>
      </c>
      <c r="C1332" s="36">
        <v>5</v>
      </c>
      <c r="D1332" s="36">
        <v>0</v>
      </c>
      <c r="E1332" s="35" t="s">
        <v>699</v>
      </c>
      <c r="F1332" s="35" t="s">
        <v>634</v>
      </c>
      <c r="G1332" s="37">
        <v>45938.573460648149</v>
      </c>
      <c r="H1332" s="37" t="str">
        <f>INDEX(_xlfn.TEXTSPLIT(mvtst[[#This Row],[QR Suivis]],"_"),1,1)</f>
        <v>OF249809-27</v>
      </c>
      <c r="I1332" s="35" t="str">
        <f>_xlfn.TEXTBEFORE(mvtst[[#This Row],[Num Suivis]],"-",,,1)</f>
        <v>OF249809</v>
      </c>
      <c r="J1332" s="36">
        <f>SUMIF(mvtst[QR Suivis],mvtst[[#This Row],[QR Suivis]],mvtst[QTE SORTIS])-SUMIF(mvtst[QR Suivis],mvtst[[#This Row],[QR Suivis]],mvtst[QTE RETOUR])</f>
        <v>5</v>
      </c>
      <c r="K1332" s="35" t="str">
        <f t="shared" si="20"/>
        <v>Usine</v>
      </c>
      <c r="L1332" s="35" t="str">
        <f>_xlfn.XLOOKUP(mvtst[[#This Row],[Sous Traitant]],coordonnee_st[Identification],coordonnee_st[SERVICE],"Non Trouvé")</f>
        <v>Frange</v>
      </c>
      <c r="M1332" s="35" t="str">
        <f>INDEX(_xlfn.TEXTSPLIT(mvtst[[#This Row],[QR Suivis]],"_"),1,2)</f>
        <v>CL00884</v>
      </c>
      <c r="N1332" s="35" t="str">
        <f>INDEX(_xlfn.TEXTSPLIT(mvtst[[#This Row],[QR Suivis]],"_"),1,3)</f>
        <v>CM-FT0119</v>
      </c>
      <c r="O1332" s="35" t="str">
        <f>INDEX(_xlfn.TEXTSPLIT(mvtst[[#This Row],[QR Suivis]],"_"),1,4)</f>
        <v>IS1020-B14-01</v>
      </c>
      <c r="P1332" s="35" t="str">
        <f>INDEX(_xlfn.TEXTSPLIT(mvtst[[#This Row],[QR Suivis]],"_"),1,5)</f>
        <v>ISTANBUL</v>
      </c>
      <c r="Q1332" s="35" t="str">
        <f>_xlfn.TEXTAFTER(mvtst[[#This Row],[QR Suivis]],"_",5)</f>
        <v>1020</v>
      </c>
      <c r="R1332" s="84" t="str">
        <f>IF(
   COUNTIFS($A$2:A1332,A1332,
             $B$2:B1332,B1332,
             $C$2:C1332,C1332,
             $D$2:D1332,D1332,
             $G$2:G1332,G1332)&gt;1,
   "Doublon",
   "Correcte"
)</f>
        <v>Correcte</v>
      </c>
    </row>
    <row r="1333" spans="1:18" x14ac:dyDescent="0.25">
      <c r="A1333" s="104" t="s">
        <v>1985</v>
      </c>
      <c r="B1333" s="35" t="s">
        <v>596</v>
      </c>
      <c r="C1333" s="36">
        <v>5</v>
      </c>
      <c r="D1333" s="36">
        <v>0</v>
      </c>
      <c r="E1333" s="35" t="s">
        <v>699</v>
      </c>
      <c r="F1333" s="35" t="s">
        <v>634</v>
      </c>
      <c r="G1333" s="37">
        <v>45938.573692129627</v>
      </c>
      <c r="H1333" s="37" t="str">
        <f>INDEX(_xlfn.TEXTSPLIT(mvtst[[#This Row],[QR Suivis]],"_"),1,1)</f>
        <v>OF249782-56</v>
      </c>
      <c r="I1333" s="35" t="str">
        <f>_xlfn.TEXTBEFORE(mvtst[[#This Row],[Num Suivis]],"-",,,1)</f>
        <v>OF249782</v>
      </c>
      <c r="J1333" s="36">
        <f>SUMIF(mvtst[QR Suivis],mvtst[[#This Row],[QR Suivis]],mvtst[QTE SORTIS])-SUMIF(mvtst[QR Suivis],mvtst[[#This Row],[QR Suivis]],mvtst[QTE RETOUR])</f>
        <v>5</v>
      </c>
      <c r="K1333" s="35" t="str">
        <f t="shared" si="20"/>
        <v>Usine</v>
      </c>
      <c r="L1333" s="35" t="str">
        <f>_xlfn.XLOOKUP(mvtst[[#This Row],[Sous Traitant]],coordonnee_st[Identification],coordonnee_st[SERVICE],"Non Trouvé")</f>
        <v>Frange</v>
      </c>
      <c r="M1333" s="35" t="str">
        <f>INDEX(_xlfn.TEXTSPLIT(mvtst[[#This Row],[QR Suivis]],"_"),1,2)</f>
        <v>CL00884</v>
      </c>
      <c r="N1333" s="35" t="str">
        <f>INDEX(_xlfn.TEXTSPLIT(mvtst[[#This Row],[QR Suivis]],"_"),1,3)</f>
        <v>CM-FT0119</v>
      </c>
      <c r="O1333" s="35" t="str">
        <f>INDEX(_xlfn.TEXTSPLIT(mvtst[[#This Row],[QR Suivis]],"_"),1,4)</f>
        <v>IB1020-B24-01</v>
      </c>
      <c r="P1333" s="35" t="str">
        <f>INDEX(_xlfn.TEXTSPLIT(mvtst[[#This Row],[QR Suivis]],"_"),1,5)</f>
        <v>IBIZA</v>
      </c>
      <c r="Q1333" s="35" t="str">
        <f>_xlfn.TEXTAFTER(mvtst[[#This Row],[QR Suivis]],"_",5)</f>
        <v>1020</v>
      </c>
      <c r="R1333" s="84" t="str">
        <f>IF(
   COUNTIFS($A$2:A1333,A1333,
             $B$2:B1333,B1333,
             $C$2:C1333,C1333,
             $D$2:D1333,D1333,
             $G$2:G1333,G1333)&gt;1,
   "Doublon",
   "Correcte"
)</f>
        <v>Correcte</v>
      </c>
    </row>
    <row r="1334" spans="1:18" x14ac:dyDescent="0.25">
      <c r="A1334" s="104" t="s">
        <v>1986</v>
      </c>
      <c r="B1334" s="35" t="s">
        <v>596</v>
      </c>
      <c r="C1334" s="36">
        <v>5</v>
      </c>
      <c r="D1334" s="36">
        <v>0</v>
      </c>
      <c r="E1334" s="35" t="s">
        <v>699</v>
      </c>
      <c r="F1334" s="35" t="s">
        <v>634</v>
      </c>
      <c r="G1334" s="37">
        <v>45938.573900462965</v>
      </c>
      <c r="H1334" s="37" t="str">
        <f>INDEX(_xlfn.TEXTSPLIT(mvtst[[#This Row],[QR Suivis]],"_"),1,1)</f>
        <v>OF249782-53</v>
      </c>
      <c r="I1334" s="35" t="str">
        <f>_xlfn.TEXTBEFORE(mvtst[[#This Row],[Num Suivis]],"-",,,1)</f>
        <v>OF249782</v>
      </c>
      <c r="J1334" s="36">
        <f>SUMIF(mvtst[QR Suivis],mvtst[[#This Row],[QR Suivis]],mvtst[QTE SORTIS])-SUMIF(mvtst[QR Suivis],mvtst[[#This Row],[QR Suivis]],mvtst[QTE RETOUR])</f>
        <v>0</v>
      </c>
      <c r="K1334" s="35" t="str">
        <f t="shared" si="20"/>
        <v>Usine</v>
      </c>
      <c r="L1334" s="35" t="str">
        <f>_xlfn.XLOOKUP(mvtst[[#This Row],[Sous Traitant]],coordonnee_st[Identification],coordonnee_st[SERVICE],"Non Trouvé")</f>
        <v>Frange</v>
      </c>
      <c r="M1334" s="35" t="str">
        <f>INDEX(_xlfn.TEXTSPLIT(mvtst[[#This Row],[QR Suivis]],"_"),1,2)</f>
        <v>CL00884</v>
      </c>
      <c r="N1334" s="35" t="str">
        <f>INDEX(_xlfn.TEXTSPLIT(mvtst[[#This Row],[QR Suivis]],"_"),1,3)</f>
        <v>CM-FT0119</v>
      </c>
      <c r="O1334" s="35" t="str">
        <f>INDEX(_xlfn.TEXTSPLIT(mvtst[[#This Row],[QR Suivis]],"_"),1,4)</f>
        <v>IB1020-B24-01</v>
      </c>
      <c r="P1334" s="35" t="str">
        <f>INDEX(_xlfn.TEXTSPLIT(mvtst[[#This Row],[QR Suivis]],"_"),1,5)</f>
        <v>IBIZA</v>
      </c>
      <c r="Q1334" s="35" t="str">
        <f>_xlfn.TEXTAFTER(mvtst[[#This Row],[QR Suivis]],"_",5)</f>
        <v>1020</v>
      </c>
      <c r="R1334" s="84" t="str">
        <f>IF(
   COUNTIFS($A$2:A1334,A1334,
             $B$2:B1334,B1334,
             $C$2:C1334,C1334,
             $D$2:D1334,D1334,
             $G$2:G1334,G1334)&gt;1,
   "Doublon",
   "Correcte"
)</f>
        <v>Correcte</v>
      </c>
    </row>
    <row r="1335" spans="1:18" x14ac:dyDescent="0.25">
      <c r="A1335" s="104" t="s">
        <v>1987</v>
      </c>
      <c r="B1335" s="35" t="s">
        <v>596</v>
      </c>
      <c r="C1335" s="36">
        <v>5</v>
      </c>
      <c r="D1335" s="36">
        <v>0</v>
      </c>
      <c r="E1335" s="35" t="s">
        <v>699</v>
      </c>
      <c r="F1335" s="35" t="s">
        <v>634</v>
      </c>
      <c r="G1335" s="37">
        <v>45938.574143518519</v>
      </c>
      <c r="H1335" s="37" t="str">
        <f>INDEX(_xlfn.TEXTSPLIT(mvtst[[#This Row],[QR Suivis]],"_"),1,1)</f>
        <v>OF249782-49</v>
      </c>
      <c r="I1335" s="35" t="str">
        <f>_xlfn.TEXTBEFORE(mvtst[[#This Row],[Num Suivis]],"-",,,1)</f>
        <v>OF249782</v>
      </c>
      <c r="J1335" s="36">
        <f>SUMIF(mvtst[QR Suivis],mvtst[[#This Row],[QR Suivis]],mvtst[QTE SORTIS])-SUMIF(mvtst[QR Suivis],mvtst[[#This Row],[QR Suivis]],mvtst[QTE RETOUR])</f>
        <v>5</v>
      </c>
      <c r="K1335" s="35" t="str">
        <f t="shared" si="20"/>
        <v>Usine</v>
      </c>
      <c r="L1335" s="35" t="str">
        <f>_xlfn.XLOOKUP(mvtst[[#This Row],[Sous Traitant]],coordonnee_st[Identification],coordonnee_st[SERVICE],"Non Trouvé")</f>
        <v>Frange</v>
      </c>
      <c r="M1335" s="35" t="str">
        <f>INDEX(_xlfn.TEXTSPLIT(mvtst[[#This Row],[QR Suivis]],"_"),1,2)</f>
        <v>CL00884</v>
      </c>
      <c r="N1335" s="35" t="str">
        <f>INDEX(_xlfn.TEXTSPLIT(mvtst[[#This Row],[QR Suivis]],"_"),1,3)</f>
        <v>CM-FT0119</v>
      </c>
      <c r="O1335" s="35" t="str">
        <f>INDEX(_xlfn.TEXTSPLIT(mvtst[[#This Row],[QR Suivis]],"_"),1,4)</f>
        <v>IB1020-B24-01</v>
      </c>
      <c r="P1335" s="35" t="str">
        <f>INDEX(_xlfn.TEXTSPLIT(mvtst[[#This Row],[QR Suivis]],"_"),1,5)</f>
        <v>IBIZA</v>
      </c>
      <c r="Q1335" s="35" t="str">
        <f>_xlfn.TEXTAFTER(mvtst[[#This Row],[QR Suivis]],"_",5)</f>
        <v>1020</v>
      </c>
      <c r="R1335" s="84" t="str">
        <f>IF(
   COUNTIFS($A$2:A1335,A1335,
             $B$2:B1335,B1335,
             $C$2:C1335,C1335,
             $D$2:D1335,D1335,
             $G$2:G1335,G1335)&gt;1,
   "Doublon",
   "Correcte"
)</f>
        <v>Correcte</v>
      </c>
    </row>
    <row r="1336" spans="1:18" x14ac:dyDescent="0.25">
      <c r="A1336" s="104" t="s">
        <v>1988</v>
      </c>
      <c r="B1336" s="35" t="s">
        <v>596</v>
      </c>
      <c r="C1336" s="36">
        <v>5</v>
      </c>
      <c r="D1336" s="36">
        <v>0</v>
      </c>
      <c r="E1336" s="35" t="s">
        <v>699</v>
      </c>
      <c r="F1336" s="35" t="s">
        <v>634</v>
      </c>
      <c r="G1336" s="37">
        <v>45938.57435185185</v>
      </c>
      <c r="H1336" s="37" t="str">
        <f>INDEX(_xlfn.TEXTSPLIT(mvtst[[#This Row],[QR Suivis]],"_"),1,1)</f>
        <v>OF249782-40</v>
      </c>
      <c r="I1336" s="35" t="str">
        <f>_xlfn.TEXTBEFORE(mvtst[[#This Row],[Num Suivis]],"-",,,1)</f>
        <v>OF249782</v>
      </c>
      <c r="J1336" s="36">
        <f>SUMIF(mvtst[QR Suivis],mvtst[[#This Row],[QR Suivis]],mvtst[QTE SORTIS])-SUMIF(mvtst[QR Suivis],mvtst[[#This Row],[QR Suivis]],mvtst[QTE RETOUR])</f>
        <v>0</v>
      </c>
      <c r="K1336" s="35" t="str">
        <f t="shared" si="20"/>
        <v>Usine</v>
      </c>
      <c r="L1336" s="35" t="str">
        <f>_xlfn.XLOOKUP(mvtst[[#This Row],[Sous Traitant]],coordonnee_st[Identification],coordonnee_st[SERVICE],"Non Trouvé")</f>
        <v>Frange</v>
      </c>
      <c r="M1336" s="35" t="str">
        <f>INDEX(_xlfn.TEXTSPLIT(mvtst[[#This Row],[QR Suivis]],"_"),1,2)</f>
        <v>CL00884</v>
      </c>
      <c r="N1336" s="35" t="str">
        <f>INDEX(_xlfn.TEXTSPLIT(mvtst[[#This Row],[QR Suivis]],"_"),1,3)</f>
        <v>CM-FT0119</v>
      </c>
      <c r="O1336" s="35" t="str">
        <f>INDEX(_xlfn.TEXTSPLIT(mvtst[[#This Row],[QR Suivis]],"_"),1,4)</f>
        <v>IB1020-B24-01</v>
      </c>
      <c r="P1336" s="35" t="str">
        <f>INDEX(_xlfn.TEXTSPLIT(mvtst[[#This Row],[QR Suivis]],"_"),1,5)</f>
        <v>IBIZA</v>
      </c>
      <c r="Q1336" s="35" t="str">
        <f>_xlfn.TEXTAFTER(mvtst[[#This Row],[QR Suivis]],"_",5)</f>
        <v>1020</v>
      </c>
      <c r="R1336" s="84" t="str">
        <f>IF(
   COUNTIFS($A$2:A1336,A1336,
             $B$2:B1336,B1336,
             $C$2:C1336,C1336,
             $D$2:D1336,D1336,
             $G$2:G1336,G1336)&gt;1,
   "Doublon",
   "Correcte"
)</f>
        <v>Correcte</v>
      </c>
    </row>
    <row r="1337" spans="1:18" x14ac:dyDescent="0.25">
      <c r="A1337" s="104" t="s">
        <v>1989</v>
      </c>
      <c r="B1337" s="35" t="s">
        <v>596</v>
      </c>
      <c r="C1337" s="36">
        <v>5</v>
      </c>
      <c r="D1337" s="36">
        <v>0</v>
      </c>
      <c r="E1337" s="35" t="s">
        <v>699</v>
      </c>
      <c r="F1337" s="35" t="s">
        <v>634</v>
      </c>
      <c r="G1337" s="37">
        <v>45938.574571759258</v>
      </c>
      <c r="H1337" s="37" t="str">
        <f>INDEX(_xlfn.TEXTSPLIT(mvtst[[#This Row],[QR Suivis]],"_"),1,1)</f>
        <v>OF249782-57</v>
      </c>
      <c r="I1337" s="35" t="str">
        <f>_xlfn.TEXTBEFORE(mvtst[[#This Row],[Num Suivis]],"-",,,1)</f>
        <v>OF249782</v>
      </c>
      <c r="J1337" s="36">
        <f>SUMIF(mvtst[QR Suivis],mvtst[[#This Row],[QR Suivis]],mvtst[QTE SORTIS])-SUMIF(mvtst[QR Suivis],mvtst[[#This Row],[QR Suivis]],mvtst[QTE RETOUR])</f>
        <v>0</v>
      </c>
      <c r="K1337" s="35" t="str">
        <f t="shared" si="20"/>
        <v>Usine</v>
      </c>
      <c r="L1337" s="35" t="str">
        <f>_xlfn.XLOOKUP(mvtst[[#This Row],[Sous Traitant]],coordonnee_st[Identification],coordonnee_st[SERVICE],"Non Trouvé")</f>
        <v>Frange</v>
      </c>
      <c r="M1337" s="35" t="str">
        <f>INDEX(_xlfn.TEXTSPLIT(mvtst[[#This Row],[QR Suivis]],"_"),1,2)</f>
        <v>CL00884</v>
      </c>
      <c r="N1337" s="35" t="str">
        <f>INDEX(_xlfn.TEXTSPLIT(mvtst[[#This Row],[QR Suivis]],"_"),1,3)</f>
        <v>CM-FT0119</v>
      </c>
      <c r="O1337" s="35" t="str">
        <f>INDEX(_xlfn.TEXTSPLIT(mvtst[[#This Row],[QR Suivis]],"_"),1,4)</f>
        <v>IB1020-B24-01</v>
      </c>
      <c r="P1337" s="35" t="str">
        <f>INDEX(_xlfn.TEXTSPLIT(mvtst[[#This Row],[QR Suivis]],"_"),1,5)</f>
        <v>IBIZA</v>
      </c>
      <c r="Q1337" s="35" t="str">
        <f>_xlfn.TEXTAFTER(mvtst[[#This Row],[QR Suivis]],"_",5)</f>
        <v>1020</v>
      </c>
      <c r="R1337" s="84" t="str">
        <f>IF(
   COUNTIFS($A$2:A1337,A1337,
             $B$2:B1337,B1337,
             $C$2:C1337,C1337,
             $D$2:D1337,D1337,
             $G$2:G1337,G1337)&gt;1,
   "Doublon",
   "Correcte"
)</f>
        <v>Correcte</v>
      </c>
    </row>
    <row r="1338" spans="1:18" x14ac:dyDescent="0.25">
      <c r="A1338" s="104" t="s">
        <v>1990</v>
      </c>
      <c r="B1338" s="35" t="s">
        <v>596</v>
      </c>
      <c r="C1338" s="36">
        <v>5</v>
      </c>
      <c r="D1338" s="36">
        <v>0</v>
      </c>
      <c r="E1338" s="35" t="s">
        <v>699</v>
      </c>
      <c r="F1338" s="35" t="s">
        <v>634</v>
      </c>
      <c r="G1338" s="37">
        <v>45938.574803240743</v>
      </c>
      <c r="H1338" s="37" t="str">
        <f>INDEX(_xlfn.TEXTSPLIT(mvtst[[#This Row],[QR Suivis]],"_"),1,1)</f>
        <v>OF249782-55</v>
      </c>
      <c r="I1338" s="35" t="str">
        <f>_xlfn.TEXTBEFORE(mvtst[[#This Row],[Num Suivis]],"-",,,1)</f>
        <v>OF249782</v>
      </c>
      <c r="J1338" s="36">
        <f>SUMIF(mvtst[QR Suivis],mvtst[[#This Row],[QR Suivis]],mvtst[QTE SORTIS])-SUMIF(mvtst[QR Suivis],mvtst[[#This Row],[QR Suivis]],mvtst[QTE RETOUR])</f>
        <v>5</v>
      </c>
      <c r="K1338" s="35" t="str">
        <f t="shared" si="20"/>
        <v>Usine</v>
      </c>
      <c r="L1338" s="35" t="str">
        <f>_xlfn.XLOOKUP(mvtst[[#This Row],[Sous Traitant]],coordonnee_st[Identification],coordonnee_st[SERVICE],"Non Trouvé")</f>
        <v>Frange</v>
      </c>
      <c r="M1338" s="35" t="str">
        <f>INDEX(_xlfn.TEXTSPLIT(mvtst[[#This Row],[QR Suivis]],"_"),1,2)</f>
        <v>CL00884</v>
      </c>
      <c r="N1338" s="35" t="str">
        <f>INDEX(_xlfn.TEXTSPLIT(mvtst[[#This Row],[QR Suivis]],"_"),1,3)</f>
        <v>CM-FT0119</v>
      </c>
      <c r="O1338" s="35" t="str">
        <f>INDEX(_xlfn.TEXTSPLIT(mvtst[[#This Row],[QR Suivis]],"_"),1,4)</f>
        <v>IB1020-B24-01</v>
      </c>
      <c r="P1338" s="35" t="str">
        <f>INDEX(_xlfn.TEXTSPLIT(mvtst[[#This Row],[QR Suivis]],"_"),1,5)</f>
        <v>IBIZA</v>
      </c>
      <c r="Q1338" s="35" t="str">
        <f>_xlfn.TEXTAFTER(mvtst[[#This Row],[QR Suivis]],"_",5)</f>
        <v>1020</v>
      </c>
      <c r="R1338" s="84" t="str">
        <f>IF(
   COUNTIFS($A$2:A1338,A1338,
             $B$2:B1338,B1338,
             $C$2:C1338,C1338,
             $D$2:D1338,D1338,
             $G$2:G1338,G1338)&gt;1,
   "Doublon",
   "Correcte"
)</f>
        <v>Correcte</v>
      </c>
    </row>
    <row r="1339" spans="1:18" x14ac:dyDescent="0.25">
      <c r="A1339" s="104" t="s">
        <v>1991</v>
      </c>
      <c r="B1339" s="35" t="s">
        <v>596</v>
      </c>
      <c r="C1339" s="36">
        <v>5</v>
      </c>
      <c r="D1339" s="36">
        <v>0</v>
      </c>
      <c r="E1339" s="35" t="s">
        <v>699</v>
      </c>
      <c r="F1339" s="35" t="s">
        <v>634</v>
      </c>
      <c r="G1339" s="37">
        <v>45938.57540509259</v>
      </c>
      <c r="H1339" s="37" t="str">
        <f>INDEX(_xlfn.TEXTSPLIT(mvtst[[#This Row],[QR Suivis]],"_"),1,1)</f>
        <v>OF249782-59</v>
      </c>
      <c r="I1339" s="35" t="str">
        <f>_xlfn.TEXTBEFORE(mvtst[[#This Row],[Num Suivis]],"-",,,1)</f>
        <v>OF249782</v>
      </c>
      <c r="J1339" s="36">
        <f>SUMIF(mvtst[QR Suivis],mvtst[[#This Row],[QR Suivis]],mvtst[QTE SORTIS])-SUMIF(mvtst[QR Suivis],mvtst[[#This Row],[QR Suivis]],mvtst[QTE RETOUR])</f>
        <v>5</v>
      </c>
      <c r="K1339" s="35" t="str">
        <f t="shared" si="20"/>
        <v>Usine</v>
      </c>
      <c r="L1339" s="35" t="str">
        <f>_xlfn.XLOOKUP(mvtst[[#This Row],[Sous Traitant]],coordonnee_st[Identification],coordonnee_st[SERVICE],"Non Trouvé")</f>
        <v>Frange</v>
      </c>
      <c r="M1339" s="35" t="str">
        <f>INDEX(_xlfn.TEXTSPLIT(mvtst[[#This Row],[QR Suivis]],"_"),1,2)</f>
        <v>CL00884</v>
      </c>
      <c r="N1339" s="35" t="str">
        <f>INDEX(_xlfn.TEXTSPLIT(mvtst[[#This Row],[QR Suivis]],"_"),1,3)</f>
        <v>CM-FT0119</v>
      </c>
      <c r="O1339" s="35" t="str">
        <f>INDEX(_xlfn.TEXTSPLIT(mvtst[[#This Row],[QR Suivis]],"_"),1,4)</f>
        <v>IB1020-B24-01</v>
      </c>
      <c r="P1339" s="35" t="str">
        <f>INDEX(_xlfn.TEXTSPLIT(mvtst[[#This Row],[QR Suivis]],"_"),1,5)</f>
        <v>IBIZA</v>
      </c>
      <c r="Q1339" s="35" t="str">
        <f>_xlfn.TEXTAFTER(mvtst[[#This Row],[QR Suivis]],"_",5)</f>
        <v>1020</v>
      </c>
      <c r="R1339" s="84" t="str">
        <f>IF(
   COUNTIFS($A$2:A1339,A1339,
             $B$2:B1339,B1339,
             $C$2:C1339,C1339,
             $D$2:D1339,D1339,
             $G$2:G1339,G1339)&gt;1,
   "Doublon",
   "Correcte"
)</f>
        <v>Correcte</v>
      </c>
    </row>
    <row r="1340" spans="1:18" x14ac:dyDescent="0.25">
      <c r="A1340" s="104" t="s">
        <v>1992</v>
      </c>
      <c r="B1340" s="35" t="s">
        <v>596</v>
      </c>
      <c r="C1340" s="36">
        <v>5</v>
      </c>
      <c r="D1340" s="36">
        <v>0</v>
      </c>
      <c r="E1340" s="35" t="s">
        <v>699</v>
      </c>
      <c r="F1340" s="35" t="s">
        <v>634</v>
      </c>
      <c r="G1340" s="37">
        <v>45938.575844907406</v>
      </c>
      <c r="H1340" s="37" t="str">
        <f>INDEX(_xlfn.TEXTSPLIT(mvtst[[#This Row],[QR Suivis]],"_"),1,1)</f>
        <v>OF249782-51</v>
      </c>
      <c r="I1340" s="35" t="str">
        <f>_xlfn.TEXTBEFORE(mvtst[[#This Row],[Num Suivis]],"-",,,1)</f>
        <v>OF249782</v>
      </c>
      <c r="J1340" s="36">
        <f>SUMIF(mvtst[QR Suivis],mvtst[[#This Row],[QR Suivis]],mvtst[QTE SORTIS])-SUMIF(mvtst[QR Suivis],mvtst[[#This Row],[QR Suivis]],mvtst[QTE RETOUR])</f>
        <v>0</v>
      </c>
      <c r="K1340" s="35" t="str">
        <f t="shared" si="20"/>
        <v>Usine</v>
      </c>
      <c r="L1340" s="35" t="str">
        <f>_xlfn.XLOOKUP(mvtst[[#This Row],[Sous Traitant]],coordonnee_st[Identification],coordonnee_st[SERVICE],"Non Trouvé")</f>
        <v>Frange</v>
      </c>
      <c r="M1340" s="35" t="str">
        <f>INDEX(_xlfn.TEXTSPLIT(mvtst[[#This Row],[QR Suivis]],"_"),1,2)</f>
        <v>CL00884</v>
      </c>
      <c r="N1340" s="35" t="str">
        <f>INDEX(_xlfn.TEXTSPLIT(mvtst[[#This Row],[QR Suivis]],"_"),1,3)</f>
        <v>CM-FT0119</v>
      </c>
      <c r="O1340" s="35" t="str">
        <f>INDEX(_xlfn.TEXTSPLIT(mvtst[[#This Row],[QR Suivis]],"_"),1,4)</f>
        <v>IB1020-B24-01</v>
      </c>
      <c r="P1340" s="35" t="str">
        <f>INDEX(_xlfn.TEXTSPLIT(mvtst[[#This Row],[QR Suivis]],"_"),1,5)</f>
        <v>IBIZA</v>
      </c>
      <c r="Q1340" s="35" t="str">
        <f>_xlfn.TEXTAFTER(mvtst[[#This Row],[QR Suivis]],"_",5)</f>
        <v>1020</v>
      </c>
      <c r="R1340" s="84" t="str">
        <f>IF(
   COUNTIFS($A$2:A1340,A1340,
             $B$2:B1340,B1340,
             $C$2:C1340,C1340,
             $D$2:D1340,D1340,
             $G$2:G1340,G1340)&gt;1,
   "Doublon",
   "Correcte"
)</f>
        <v>Correcte</v>
      </c>
    </row>
    <row r="1341" spans="1:18" x14ac:dyDescent="0.25">
      <c r="A1341" s="104" t="s">
        <v>1993</v>
      </c>
      <c r="B1341" s="35" t="s">
        <v>596</v>
      </c>
      <c r="C1341" s="36">
        <v>5</v>
      </c>
      <c r="D1341" s="36">
        <v>0</v>
      </c>
      <c r="E1341" s="35" t="s">
        <v>699</v>
      </c>
      <c r="F1341" s="35" t="s">
        <v>634</v>
      </c>
      <c r="G1341" s="37">
        <v>45938.576215277775</v>
      </c>
      <c r="H1341" s="37" t="str">
        <f>INDEX(_xlfn.TEXTSPLIT(mvtst[[#This Row],[QR Suivis]],"_"),1,1)</f>
        <v>OF249782-54</v>
      </c>
      <c r="I1341" s="35" t="str">
        <f>_xlfn.TEXTBEFORE(mvtst[[#This Row],[Num Suivis]],"-",,,1)</f>
        <v>OF249782</v>
      </c>
      <c r="J1341" s="36">
        <f>SUMIF(mvtst[QR Suivis],mvtst[[#This Row],[QR Suivis]],mvtst[QTE SORTIS])-SUMIF(mvtst[QR Suivis],mvtst[[#This Row],[QR Suivis]],mvtst[QTE RETOUR])</f>
        <v>5</v>
      </c>
      <c r="K1341" s="35" t="str">
        <f t="shared" si="20"/>
        <v>Usine</v>
      </c>
      <c r="L1341" s="35" t="str">
        <f>_xlfn.XLOOKUP(mvtst[[#This Row],[Sous Traitant]],coordonnee_st[Identification],coordonnee_st[SERVICE],"Non Trouvé")</f>
        <v>Frange</v>
      </c>
      <c r="M1341" s="35" t="str">
        <f>INDEX(_xlfn.TEXTSPLIT(mvtst[[#This Row],[QR Suivis]],"_"),1,2)</f>
        <v>CL00884</v>
      </c>
      <c r="N1341" s="35" t="str">
        <f>INDEX(_xlfn.TEXTSPLIT(mvtst[[#This Row],[QR Suivis]],"_"),1,3)</f>
        <v>CM-FT0119</v>
      </c>
      <c r="O1341" s="35" t="str">
        <f>INDEX(_xlfn.TEXTSPLIT(mvtst[[#This Row],[QR Suivis]],"_"),1,4)</f>
        <v>IB1020-B24-01</v>
      </c>
      <c r="P1341" s="35" t="str">
        <f>INDEX(_xlfn.TEXTSPLIT(mvtst[[#This Row],[QR Suivis]],"_"),1,5)</f>
        <v>IBIZA</v>
      </c>
      <c r="Q1341" s="35" t="str">
        <f>_xlfn.TEXTAFTER(mvtst[[#This Row],[QR Suivis]],"_",5)</f>
        <v>1020</v>
      </c>
      <c r="R1341" s="84" t="str">
        <f>IF(
   COUNTIFS($A$2:A1341,A1341,
             $B$2:B1341,B1341,
             $C$2:C1341,C1341,
             $D$2:D1341,D1341,
             $G$2:G1341,G1341)&gt;1,
   "Doublon",
   "Correcte"
)</f>
        <v>Correcte</v>
      </c>
    </row>
    <row r="1342" spans="1:18" x14ac:dyDescent="0.25">
      <c r="A1342" s="104" t="s">
        <v>1994</v>
      </c>
      <c r="B1342" s="35" t="s">
        <v>596</v>
      </c>
      <c r="C1342" s="36">
        <v>5</v>
      </c>
      <c r="D1342" s="36">
        <v>0</v>
      </c>
      <c r="E1342" s="35" t="s">
        <v>699</v>
      </c>
      <c r="F1342" s="35" t="s">
        <v>634</v>
      </c>
      <c r="G1342" s="37">
        <v>45938.576469907406</v>
      </c>
      <c r="H1342" s="37" t="str">
        <f>INDEX(_xlfn.TEXTSPLIT(mvtst[[#This Row],[QR Suivis]],"_"),1,1)</f>
        <v>OF249782-58</v>
      </c>
      <c r="I1342" s="35" t="str">
        <f>_xlfn.TEXTBEFORE(mvtst[[#This Row],[Num Suivis]],"-",,,1)</f>
        <v>OF249782</v>
      </c>
      <c r="J1342" s="36">
        <f>SUMIF(mvtst[QR Suivis],mvtst[[#This Row],[QR Suivis]],mvtst[QTE SORTIS])-SUMIF(mvtst[QR Suivis],mvtst[[#This Row],[QR Suivis]],mvtst[QTE RETOUR])</f>
        <v>5</v>
      </c>
      <c r="K1342" s="35" t="str">
        <f t="shared" si="20"/>
        <v>Usine</v>
      </c>
      <c r="L1342" s="35" t="str">
        <f>_xlfn.XLOOKUP(mvtst[[#This Row],[Sous Traitant]],coordonnee_st[Identification],coordonnee_st[SERVICE],"Non Trouvé")</f>
        <v>Frange</v>
      </c>
      <c r="M1342" s="35" t="str">
        <f>INDEX(_xlfn.TEXTSPLIT(mvtst[[#This Row],[QR Suivis]],"_"),1,2)</f>
        <v>CL00884</v>
      </c>
      <c r="N1342" s="35" t="str">
        <f>INDEX(_xlfn.TEXTSPLIT(mvtst[[#This Row],[QR Suivis]],"_"),1,3)</f>
        <v>CM-FT0119</v>
      </c>
      <c r="O1342" s="35" t="str">
        <f>INDEX(_xlfn.TEXTSPLIT(mvtst[[#This Row],[QR Suivis]],"_"),1,4)</f>
        <v>IB1020-B24-01</v>
      </c>
      <c r="P1342" s="35" t="str">
        <f>INDEX(_xlfn.TEXTSPLIT(mvtst[[#This Row],[QR Suivis]],"_"),1,5)</f>
        <v>IBIZA</v>
      </c>
      <c r="Q1342" s="35" t="str">
        <f>_xlfn.TEXTAFTER(mvtst[[#This Row],[QR Suivis]],"_",5)</f>
        <v>1020</v>
      </c>
      <c r="R1342" s="84" t="str">
        <f>IF(
   COUNTIFS($A$2:A1342,A1342,
             $B$2:B1342,B1342,
             $C$2:C1342,C1342,
             $D$2:D1342,D1342,
             $G$2:G1342,G1342)&gt;1,
   "Doublon",
   "Correcte"
)</f>
        <v>Correcte</v>
      </c>
    </row>
    <row r="1343" spans="1:18" x14ac:dyDescent="0.25">
      <c r="A1343" s="104" t="s">
        <v>1995</v>
      </c>
      <c r="B1343" s="35" t="s">
        <v>596</v>
      </c>
      <c r="C1343" s="36">
        <v>5</v>
      </c>
      <c r="D1343" s="36">
        <v>0</v>
      </c>
      <c r="E1343" s="35" t="s">
        <v>699</v>
      </c>
      <c r="F1343" s="35" t="s">
        <v>634</v>
      </c>
      <c r="G1343" s="37">
        <v>45938.576631944445</v>
      </c>
      <c r="H1343" s="37" t="str">
        <f>INDEX(_xlfn.TEXTSPLIT(mvtst[[#This Row],[QR Suivis]],"_"),1,1)</f>
        <v>OF249782-39</v>
      </c>
      <c r="I1343" s="35" t="str">
        <f>_xlfn.TEXTBEFORE(mvtst[[#This Row],[Num Suivis]],"-",,,1)</f>
        <v>OF249782</v>
      </c>
      <c r="J1343" s="36">
        <f>SUMIF(mvtst[QR Suivis],mvtst[[#This Row],[QR Suivis]],mvtst[QTE SORTIS])-SUMIF(mvtst[QR Suivis],mvtst[[#This Row],[QR Suivis]],mvtst[QTE RETOUR])</f>
        <v>5</v>
      </c>
      <c r="K1343" s="35" t="str">
        <f t="shared" si="20"/>
        <v>Usine</v>
      </c>
      <c r="L1343" s="35" t="str">
        <f>_xlfn.XLOOKUP(mvtst[[#This Row],[Sous Traitant]],coordonnee_st[Identification],coordonnee_st[SERVICE],"Non Trouvé")</f>
        <v>Frange</v>
      </c>
      <c r="M1343" s="35" t="str">
        <f>INDEX(_xlfn.TEXTSPLIT(mvtst[[#This Row],[QR Suivis]],"_"),1,2)</f>
        <v>CL00884</v>
      </c>
      <c r="N1343" s="35" t="str">
        <f>INDEX(_xlfn.TEXTSPLIT(mvtst[[#This Row],[QR Suivis]],"_"),1,3)</f>
        <v>CM-FT0119</v>
      </c>
      <c r="O1343" s="35" t="str">
        <f>INDEX(_xlfn.TEXTSPLIT(mvtst[[#This Row],[QR Suivis]],"_"),1,4)</f>
        <v>IB1020-B24-01</v>
      </c>
      <c r="P1343" s="35" t="str">
        <f>INDEX(_xlfn.TEXTSPLIT(mvtst[[#This Row],[QR Suivis]],"_"),1,5)</f>
        <v>IBIZA</v>
      </c>
      <c r="Q1343" s="35" t="str">
        <f>_xlfn.TEXTAFTER(mvtst[[#This Row],[QR Suivis]],"_",5)</f>
        <v>1020</v>
      </c>
      <c r="R1343" s="84" t="str">
        <f>IF(
   COUNTIFS($A$2:A1343,A1343,
             $B$2:B1343,B1343,
             $C$2:C1343,C1343,
             $D$2:D1343,D1343,
             $G$2:G1343,G1343)&gt;1,
   "Doublon",
   "Correcte"
)</f>
        <v>Correcte</v>
      </c>
    </row>
    <row r="1344" spans="1:18" x14ac:dyDescent="0.25">
      <c r="A1344" s="104" t="s">
        <v>1996</v>
      </c>
      <c r="B1344" s="35" t="s">
        <v>596</v>
      </c>
      <c r="C1344" s="36">
        <v>5</v>
      </c>
      <c r="D1344" s="36">
        <v>0</v>
      </c>
      <c r="E1344" s="35" t="s">
        <v>699</v>
      </c>
      <c r="F1344" s="35" t="s">
        <v>634</v>
      </c>
      <c r="G1344" s="37">
        <v>45938.577037037037</v>
      </c>
      <c r="H1344" s="37" t="str">
        <f>INDEX(_xlfn.TEXTSPLIT(mvtst[[#This Row],[QR Suivis]],"_"),1,1)</f>
        <v>OF249782-52</v>
      </c>
      <c r="I1344" s="35" t="str">
        <f>_xlfn.TEXTBEFORE(mvtst[[#This Row],[Num Suivis]],"-",,,1)</f>
        <v>OF249782</v>
      </c>
      <c r="J1344" s="36">
        <f>SUMIF(mvtst[QR Suivis],mvtst[[#This Row],[QR Suivis]],mvtst[QTE SORTIS])-SUMIF(mvtst[QR Suivis],mvtst[[#This Row],[QR Suivis]],mvtst[QTE RETOUR])</f>
        <v>5</v>
      </c>
      <c r="K1344" s="35" t="str">
        <f t="shared" si="20"/>
        <v>Usine</v>
      </c>
      <c r="L1344" s="35" t="str">
        <f>_xlfn.XLOOKUP(mvtst[[#This Row],[Sous Traitant]],coordonnee_st[Identification],coordonnee_st[SERVICE],"Non Trouvé")</f>
        <v>Frange</v>
      </c>
      <c r="M1344" s="35" t="str">
        <f>INDEX(_xlfn.TEXTSPLIT(mvtst[[#This Row],[QR Suivis]],"_"),1,2)</f>
        <v>CL00884</v>
      </c>
      <c r="N1344" s="35" t="str">
        <f>INDEX(_xlfn.TEXTSPLIT(mvtst[[#This Row],[QR Suivis]],"_"),1,3)</f>
        <v>CM-FT0119</v>
      </c>
      <c r="O1344" s="35" t="str">
        <f>INDEX(_xlfn.TEXTSPLIT(mvtst[[#This Row],[QR Suivis]],"_"),1,4)</f>
        <v>IB1020-B24-01</v>
      </c>
      <c r="P1344" s="35" t="str">
        <f>INDEX(_xlfn.TEXTSPLIT(mvtst[[#This Row],[QR Suivis]],"_"),1,5)</f>
        <v>IBIZA</v>
      </c>
      <c r="Q1344" s="35" t="str">
        <f>_xlfn.TEXTAFTER(mvtst[[#This Row],[QR Suivis]],"_",5)</f>
        <v>1020</v>
      </c>
      <c r="R1344" s="84" t="str">
        <f>IF(
   COUNTIFS($A$2:A1344,A1344,
             $B$2:B1344,B1344,
             $C$2:C1344,C1344,
             $D$2:D1344,D1344,
             $G$2:G1344,G1344)&gt;1,
   "Doublon",
   "Correcte"
)</f>
        <v>Correcte</v>
      </c>
    </row>
    <row r="1345" spans="1:18" x14ac:dyDescent="0.25">
      <c r="A1345" s="104" t="s">
        <v>1997</v>
      </c>
      <c r="B1345" s="35" t="s">
        <v>596</v>
      </c>
      <c r="C1345" s="36">
        <v>5</v>
      </c>
      <c r="D1345" s="36">
        <v>0</v>
      </c>
      <c r="E1345" s="35" t="s">
        <v>699</v>
      </c>
      <c r="F1345" s="35" t="s">
        <v>634</v>
      </c>
      <c r="G1345" s="37">
        <v>45938.578333333331</v>
      </c>
      <c r="H1345" s="37" t="str">
        <f>INDEX(_xlfn.TEXTSPLIT(mvtst[[#This Row],[QR Suivis]],"_"),1,1)</f>
        <v>OF249782-60</v>
      </c>
      <c r="I1345" s="35" t="str">
        <f>_xlfn.TEXTBEFORE(mvtst[[#This Row],[Num Suivis]],"-",,,1)</f>
        <v>OF249782</v>
      </c>
      <c r="J1345" s="36">
        <f>SUMIF(mvtst[QR Suivis],mvtst[[#This Row],[QR Suivis]],mvtst[QTE SORTIS])-SUMIF(mvtst[QR Suivis],mvtst[[#This Row],[QR Suivis]],mvtst[QTE RETOUR])</f>
        <v>0</v>
      </c>
      <c r="K1345" s="35" t="str">
        <f t="shared" si="20"/>
        <v>Usine</v>
      </c>
      <c r="L1345" s="35" t="str">
        <f>_xlfn.XLOOKUP(mvtst[[#This Row],[Sous Traitant]],coordonnee_st[Identification],coordonnee_st[SERVICE],"Non Trouvé")</f>
        <v>Frange</v>
      </c>
      <c r="M1345" s="35" t="str">
        <f>INDEX(_xlfn.TEXTSPLIT(mvtst[[#This Row],[QR Suivis]],"_"),1,2)</f>
        <v>CL00884</v>
      </c>
      <c r="N1345" s="35" t="str">
        <f>INDEX(_xlfn.TEXTSPLIT(mvtst[[#This Row],[QR Suivis]],"_"),1,3)</f>
        <v>CM-FT0119</v>
      </c>
      <c r="O1345" s="35" t="str">
        <f>INDEX(_xlfn.TEXTSPLIT(mvtst[[#This Row],[QR Suivis]],"_"),1,4)</f>
        <v>IB1020-B24-01</v>
      </c>
      <c r="P1345" s="35" t="str">
        <f>INDEX(_xlfn.TEXTSPLIT(mvtst[[#This Row],[QR Suivis]],"_"),1,5)</f>
        <v>IBIZA</v>
      </c>
      <c r="Q1345" s="35" t="str">
        <f>_xlfn.TEXTAFTER(mvtst[[#This Row],[QR Suivis]],"_",5)</f>
        <v>1020</v>
      </c>
      <c r="R1345" s="84" t="str">
        <f>IF(
   COUNTIFS($A$2:A1345,A1345,
             $B$2:B1345,B1345,
             $C$2:C1345,C1345,
             $D$2:D1345,D1345,
             $G$2:G1345,G1345)&gt;1,
   "Doublon",
   "Correcte"
)</f>
        <v>Correcte</v>
      </c>
    </row>
    <row r="1346" spans="1:18" x14ac:dyDescent="0.25">
      <c r="A1346" s="104" t="s">
        <v>1998</v>
      </c>
      <c r="B1346" s="35" t="s">
        <v>596</v>
      </c>
      <c r="C1346" s="36">
        <v>5</v>
      </c>
      <c r="D1346" s="36">
        <v>0</v>
      </c>
      <c r="E1346" s="35" t="s">
        <v>699</v>
      </c>
      <c r="F1346" s="35" t="s">
        <v>634</v>
      </c>
      <c r="G1346" s="37">
        <v>45938.5783912037</v>
      </c>
      <c r="H1346" s="37" t="str">
        <f>INDEX(_xlfn.TEXTSPLIT(mvtst[[#This Row],[QR Suivis]],"_"),1,1)</f>
        <v>OF249782-50</v>
      </c>
      <c r="I1346" s="35" t="str">
        <f>_xlfn.TEXTBEFORE(mvtst[[#This Row],[Num Suivis]],"-",,,1)</f>
        <v>OF249782</v>
      </c>
      <c r="J1346" s="36">
        <f>SUMIF(mvtst[QR Suivis],mvtst[[#This Row],[QR Suivis]],mvtst[QTE SORTIS])-SUMIF(mvtst[QR Suivis],mvtst[[#This Row],[QR Suivis]],mvtst[QTE RETOUR])</f>
        <v>5</v>
      </c>
      <c r="K1346" s="35" t="str">
        <f t="shared" si="20"/>
        <v>Usine</v>
      </c>
      <c r="L1346" s="35" t="str">
        <f>_xlfn.XLOOKUP(mvtst[[#This Row],[Sous Traitant]],coordonnee_st[Identification],coordonnee_st[SERVICE],"Non Trouvé")</f>
        <v>Frange</v>
      </c>
      <c r="M1346" s="35" t="str">
        <f>INDEX(_xlfn.TEXTSPLIT(mvtst[[#This Row],[QR Suivis]],"_"),1,2)</f>
        <v>CL00884</v>
      </c>
      <c r="N1346" s="35" t="str">
        <f>INDEX(_xlfn.TEXTSPLIT(mvtst[[#This Row],[QR Suivis]],"_"),1,3)</f>
        <v>CM-FT0119</v>
      </c>
      <c r="O1346" s="35" t="str">
        <f>INDEX(_xlfn.TEXTSPLIT(mvtst[[#This Row],[QR Suivis]],"_"),1,4)</f>
        <v>IB1020-B24-01</v>
      </c>
      <c r="P1346" s="35" t="str">
        <f>INDEX(_xlfn.TEXTSPLIT(mvtst[[#This Row],[QR Suivis]],"_"),1,5)</f>
        <v>IBIZA</v>
      </c>
      <c r="Q1346" s="35" t="str">
        <f>_xlfn.TEXTAFTER(mvtst[[#This Row],[QR Suivis]],"_",5)</f>
        <v>1020</v>
      </c>
      <c r="R1346" s="84" t="str">
        <f>IF(
   COUNTIFS($A$2:A1346,A1346,
             $B$2:B1346,B1346,
             $C$2:C1346,C1346,
             $D$2:D1346,D1346,
             $G$2:G1346,G1346)&gt;1,
   "Doublon",
   "Correcte"
)</f>
        <v>Correcte</v>
      </c>
    </row>
    <row r="1347" spans="1:18" x14ac:dyDescent="0.25">
      <c r="A1347" s="104" t="s">
        <v>1999</v>
      </c>
      <c r="B1347" s="35" t="s">
        <v>596</v>
      </c>
      <c r="C1347" s="36">
        <v>5</v>
      </c>
      <c r="D1347" s="36">
        <v>0</v>
      </c>
      <c r="E1347" s="35" t="s">
        <v>699</v>
      </c>
      <c r="F1347" s="35" t="s">
        <v>634</v>
      </c>
      <c r="G1347" s="37">
        <v>45938.578414351854</v>
      </c>
      <c r="H1347" s="37" t="str">
        <f>INDEX(_xlfn.TEXTSPLIT(mvtst[[#This Row],[QR Suivis]],"_"),1,1)</f>
        <v>OF249782-26</v>
      </c>
      <c r="I1347" s="35" t="str">
        <f>_xlfn.TEXTBEFORE(mvtst[[#This Row],[Num Suivis]],"-",,,1)</f>
        <v>OF249782</v>
      </c>
      <c r="J1347" s="36">
        <f>SUMIF(mvtst[QR Suivis],mvtst[[#This Row],[QR Suivis]],mvtst[QTE SORTIS])-SUMIF(mvtst[QR Suivis],mvtst[[#This Row],[QR Suivis]],mvtst[QTE RETOUR])</f>
        <v>5</v>
      </c>
      <c r="K1347" s="35" t="str">
        <f t="shared" ref="K1347:K1410" si="21">"Usine"</f>
        <v>Usine</v>
      </c>
      <c r="L1347" s="35" t="str">
        <f>_xlfn.XLOOKUP(mvtst[[#This Row],[Sous Traitant]],coordonnee_st[Identification],coordonnee_st[SERVICE],"Non Trouvé")</f>
        <v>Frange</v>
      </c>
      <c r="M1347" s="35" t="str">
        <f>INDEX(_xlfn.TEXTSPLIT(mvtst[[#This Row],[QR Suivis]],"_"),1,2)</f>
        <v>CL00884</v>
      </c>
      <c r="N1347" s="35" t="str">
        <f>INDEX(_xlfn.TEXTSPLIT(mvtst[[#This Row],[QR Suivis]],"_"),1,3)</f>
        <v>CM-FT0119</v>
      </c>
      <c r="O1347" s="35" t="str">
        <f>INDEX(_xlfn.TEXTSPLIT(mvtst[[#This Row],[QR Suivis]],"_"),1,4)</f>
        <v>IB1020-B24-01</v>
      </c>
      <c r="P1347" s="35" t="str">
        <f>INDEX(_xlfn.TEXTSPLIT(mvtst[[#This Row],[QR Suivis]],"_"),1,5)</f>
        <v>IBIZA</v>
      </c>
      <c r="Q1347" s="35" t="str">
        <f>_xlfn.TEXTAFTER(mvtst[[#This Row],[QR Suivis]],"_",5)</f>
        <v>1020</v>
      </c>
      <c r="R1347" s="84" t="str">
        <f>IF(
   COUNTIFS($A$2:A1347,A1347,
             $B$2:B1347,B1347,
             $C$2:C1347,C1347,
             $D$2:D1347,D1347,
             $G$2:G1347,G1347)&gt;1,
   "Doublon",
   "Correcte"
)</f>
        <v>Correcte</v>
      </c>
    </row>
    <row r="1348" spans="1:18" x14ac:dyDescent="0.25">
      <c r="A1348" s="104" t="s">
        <v>2000</v>
      </c>
      <c r="B1348" s="35" t="s">
        <v>596</v>
      </c>
      <c r="C1348" s="36">
        <v>5</v>
      </c>
      <c r="D1348" s="36">
        <v>0</v>
      </c>
      <c r="E1348" s="35" t="s">
        <v>699</v>
      </c>
      <c r="F1348" s="35" t="s">
        <v>634</v>
      </c>
      <c r="G1348" s="37">
        <v>45938.578472222223</v>
      </c>
      <c r="H1348" s="37" t="str">
        <f>INDEX(_xlfn.TEXTSPLIT(mvtst[[#This Row],[QR Suivis]],"_"),1,1)</f>
        <v>OF249782-34</v>
      </c>
      <c r="I1348" s="35" t="str">
        <f>_xlfn.TEXTBEFORE(mvtst[[#This Row],[Num Suivis]],"-",,,1)</f>
        <v>OF249782</v>
      </c>
      <c r="J1348" s="36">
        <f>SUMIF(mvtst[QR Suivis],mvtst[[#This Row],[QR Suivis]],mvtst[QTE SORTIS])-SUMIF(mvtst[QR Suivis],mvtst[[#This Row],[QR Suivis]],mvtst[QTE RETOUR])</f>
        <v>0</v>
      </c>
      <c r="K1348" s="35" t="str">
        <f t="shared" si="21"/>
        <v>Usine</v>
      </c>
      <c r="L1348" s="35" t="str">
        <f>_xlfn.XLOOKUP(mvtst[[#This Row],[Sous Traitant]],coordonnee_st[Identification],coordonnee_st[SERVICE],"Non Trouvé")</f>
        <v>Frange</v>
      </c>
      <c r="M1348" s="35" t="str">
        <f>INDEX(_xlfn.TEXTSPLIT(mvtst[[#This Row],[QR Suivis]],"_"),1,2)</f>
        <v>CL00884</v>
      </c>
      <c r="N1348" s="35" t="str">
        <f>INDEX(_xlfn.TEXTSPLIT(mvtst[[#This Row],[QR Suivis]],"_"),1,3)</f>
        <v>CM-FT0119</v>
      </c>
      <c r="O1348" s="35" t="str">
        <f>INDEX(_xlfn.TEXTSPLIT(mvtst[[#This Row],[QR Suivis]],"_"),1,4)</f>
        <v>IB1020-B24-01</v>
      </c>
      <c r="P1348" s="35" t="str">
        <f>INDEX(_xlfn.TEXTSPLIT(mvtst[[#This Row],[QR Suivis]],"_"),1,5)</f>
        <v>IBIZA</v>
      </c>
      <c r="Q1348" s="35" t="str">
        <f>_xlfn.TEXTAFTER(mvtst[[#This Row],[QR Suivis]],"_",5)</f>
        <v>1020</v>
      </c>
      <c r="R1348" s="84" t="str">
        <f>IF(
   COUNTIFS($A$2:A1348,A1348,
             $B$2:B1348,B1348,
             $C$2:C1348,C1348,
             $D$2:D1348,D1348,
             $G$2:G1348,G1348)&gt;1,
   "Doublon",
   "Correcte"
)</f>
        <v>Correcte</v>
      </c>
    </row>
    <row r="1349" spans="1:18" x14ac:dyDescent="0.25">
      <c r="A1349" s="104" t="s">
        <v>2001</v>
      </c>
      <c r="B1349" s="35" t="s">
        <v>596</v>
      </c>
      <c r="C1349" s="36">
        <v>5</v>
      </c>
      <c r="D1349" s="36">
        <v>0</v>
      </c>
      <c r="E1349" s="35" t="s">
        <v>699</v>
      </c>
      <c r="F1349" s="35" t="s">
        <v>634</v>
      </c>
      <c r="G1349" s="37">
        <v>45938.578692129631</v>
      </c>
      <c r="H1349" s="37" t="str">
        <f>INDEX(_xlfn.TEXTSPLIT(mvtst[[#This Row],[QR Suivis]],"_"),1,1)</f>
        <v>OF249782-31</v>
      </c>
      <c r="I1349" s="35" t="str">
        <f>_xlfn.TEXTBEFORE(mvtst[[#This Row],[Num Suivis]],"-",,,1)</f>
        <v>OF249782</v>
      </c>
      <c r="J1349" s="36">
        <f>SUMIF(mvtst[QR Suivis],mvtst[[#This Row],[QR Suivis]],mvtst[QTE SORTIS])-SUMIF(mvtst[QR Suivis],mvtst[[#This Row],[QR Suivis]],mvtst[QTE RETOUR])</f>
        <v>5</v>
      </c>
      <c r="K1349" s="35" t="str">
        <f t="shared" si="21"/>
        <v>Usine</v>
      </c>
      <c r="L1349" s="35" t="str">
        <f>_xlfn.XLOOKUP(mvtst[[#This Row],[Sous Traitant]],coordonnee_st[Identification],coordonnee_st[SERVICE],"Non Trouvé")</f>
        <v>Frange</v>
      </c>
      <c r="M1349" s="35" t="str">
        <f>INDEX(_xlfn.TEXTSPLIT(mvtst[[#This Row],[QR Suivis]],"_"),1,2)</f>
        <v>CL00884</v>
      </c>
      <c r="N1349" s="35" t="str">
        <f>INDEX(_xlfn.TEXTSPLIT(mvtst[[#This Row],[QR Suivis]],"_"),1,3)</f>
        <v>CM-FT0119</v>
      </c>
      <c r="O1349" s="35" t="str">
        <f>INDEX(_xlfn.TEXTSPLIT(mvtst[[#This Row],[QR Suivis]],"_"),1,4)</f>
        <v>IB1020-B24-01</v>
      </c>
      <c r="P1349" s="35" t="str">
        <f>INDEX(_xlfn.TEXTSPLIT(mvtst[[#This Row],[QR Suivis]],"_"),1,5)</f>
        <v>IBIZA</v>
      </c>
      <c r="Q1349" s="35" t="str">
        <f>_xlfn.TEXTAFTER(mvtst[[#This Row],[QR Suivis]],"_",5)</f>
        <v>1020</v>
      </c>
      <c r="R1349" s="84" t="str">
        <f>IF(
   COUNTIFS($A$2:A1349,A1349,
             $B$2:B1349,B1349,
             $C$2:C1349,C1349,
             $D$2:D1349,D1349,
             $G$2:G1349,G1349)&gt;1,
   "Doublon",
   "Correcte"
)</f>
        <v>Correcte</v>
      </c>
    </row>
    <row r="1350" spans="1:18" x14ac:dyDescent="0.25">
      <c r="A1350" s="104" t="s">
        <v>2002</v>
      </c>
      <c r="B1350" s="35" t="s">
        <v>596</v>
      </c>
      <c r="C1350" s="36">
        <v>5</v>
      </c>
      <c r="D1350" s="36">
        <v>0</v>
      </c>
      <c r="E1350" s="35" t="s">
        <v>699</v>
      </c>
      <c r="F1350" s="35" t="s">
        <v>634</v>
      </c>
      <c r="G1350" s="37">
        <v>45938.578935185185</v>
      </c>
      <c r="H1350" s="37" t="str">
        <f>INDEX(_xlfn.TEXTSPLIT(mvtst[[#This Row],[QR Suivis]],"_"),1,1)</f>
        <v>OF249782-35</v>
      </c>
      <c r="I1350" s="35" t="str">
        <f>_xlfn.TEXTBEFORE(mvtst[[#This Row],[Num Suivis]],"-",,,1)</f>
        <v>OF249782</v>
      </c>
      <c r="J1350" s="36">
        <f>SUMIF(mvtst[QR Suivis],mvtst[[#This Row],[QR Suivis]],mvtst[QTE SORTIS])-SUMIF(mvtst[QR Suivis],mvtst[[#This Row],[QR Suivis]],mvtst[QTE RETOUR])</f>
        <v>5</v>
      </c>
      <c r="K1350" s="35" t="str">
        <f t="shared" si="21"/>
        <v>Usine</v>
      </c>
      <c r="L1350" s="35" t="str">
        <f>_xlfn.XLOOKUP(mvtst[[#This Row],[Sous Traitant]],coordonnee_st[Identification],coordonnee_st[SERVICE],"Non Trouvé")</f>
        <v>Frange</v>
      </c>
      <c r="M1350" s="35" t="str">
        <f>INDEX(_xlfn.TEXTSPLIT(mvtst[[#This Row],[QR Suivis]],"_"),1,2)</f>
        <v>CL00884</v>
      </c>
      <c r="N1350" s="35" t="str">
        <f>INDEX(_xlfn.TEXTSPLIT(mvtst[[#This Row],[QR Suivis]],"_"),1,3)</f>
        <v>CM-FT0119</v>
      </c>
      <c r="O1350" s="35" t="str">
        <f>INDEX(_xlfn.TEXTSPLIT(mvtst[[#This Row],[QR Suivis]],"_"),1,4)</f>
        <v>IB1020-B24-01</v>
      </c>
      <c r="P1350" s="35" t="str">
        <f>INDEX(_xlfn.TEXTSPLIT(mvtst[[#This Row],[QR Suivis]],"_"),1,5)</f>
        <v>IBIZA</v>
      </c>
      <c r="Q1350" s="35" t="str">
        <f>_xlfn.TEXTAFTER(mvtst[[#This Row],[QR Suivis]],"_",5)</f>
        <v>1020</v>
      </c>
      <c r="R1350" s="84" t="str">
        <f>IF(
   COUNTIFS($A$2:A1350,A1350,
             $B$2:B1350,B1350,
             $C$2:C1350,C1350,
             $D$2:D1350,D1350,
             $G$2:G1350,G1350)&gt;1,
   "Doublon",
   "Correcte"
)</f>
        <v>Correcte</v>
      </c>
    </row>
    <row r="1351" spans="1:18" x14ac:dyDescent="0.25">
      <c r="A1351" s="104" t="s">
        <v>2003</v>
      </c>
      <c r="B1351" s="35" t="s">
        <v>596</v>
      </c>
      <c r="C1351" s="36">
        <v>5</v>
      </c>
      <c r="D1351" s="36">
        <v>0</v>
      </c>
      <c r="E1351" s="35" t="s">
        <v>699</v>
      </c>
      <c r="F1351" s="35" t="s">
        <v>634</v>
      </c>
      <c r="G1351" s="37">
        <v>45938.579131944447</v>
      </c>
      <c r="H1351" s="37" t="str">
        <f>INDEX(_xlfn.TEXTSPLIT(mvtst[[#This Row],[QR Suivis]],"_"),1,1)</f>
        <v>OF249782-24</v>
      </c>
      <c r="I1351" s="35" t="str">
        <f>_xlfn.TEXTBEFORE(mvtst[[#This Row],[Num Suivis]],"-",,,1)</f>
        <v>OF249782</v>
      </c>
      <c r="J1351" s="36">
        <f>SUMIF(mvtst[QR Suivis],mvtst[[#This Row],[QR Suivis]],mvtst[QTE SORTIS])-SUMIF(mvtst[QR Suivis],mvtst[[#This Row],[QR Suivis]],mvtst[QTE RETOUR])</f>
        <v>5</v>
      </c>
      <c r="K1351" s="35" t="str">
        <f t="shared" si="21"/>
        <v>Usine</v>
      </c>
      <c r="L1351" s="35" t="str">
        <f>_xlfn.XLOOKUP(mvtst[[#This Row],[Sous Traitant]],coordonnee_st[Identification],coordonnee_st[SERVICE],"Non Trouvé")</f>
        <v>Frange</v>
      </c>
      <c r="M1351" s="35" t="str">
        <f>INDEX(_xlfn.TEXTSPLIT(mvtst[[#This Row],[QR Suivis]],"_"),1,2)</f>
        <v>CL00884</v>
      </c>
      <c r="N1351" s="35" t="str">
        <f>INDEX(_xlfn.TEXTSPLIT(mvtst[[#This Row],[QR Suivis]],"_"),1,3)</f>
        <v>CM-FT0119</v>
      </c>
      <c r="O1351" s="35" t="str">
        <f>INDEX(_xlfn.TEXTSPLIT(mvtst[[#This Row],[QR Suivis]],"_"),1,4)</f>
        <v>IB1020-B24-01</v>
      </c>
      <c r="P1351" s="35" t="str">
        <f>INDEX(_xlfn.TEXTSPLIT(mvtst[[#This Row],[QR Suivis]],"_"),1,5)</f>
        <v>IBIZA</v>
      </c>
      <c r="Q1351" s="35" t="str">
        <f>_xlfn.TEXTAFTER(mvtst[[#This Row],[QR Suivis]],"_",5)</f>
        <v>1020</v>
      </c>
      <c r="R1351" s="84" t="str">
        <f>IF(
   COUNTIFS($A$2:A1351,A1351,
             $B$2:B1351,B1351,
             $C$2:C1351,C1351,
             $D$2:D1351,D1351,
             $G$2:G1351,G1351)&gt;1,
   "Doublon",
   "Correcte"
)</f>
        <v>Correcte</v>
      </c>
    </row>
    <row r="1352" spans="1:18" x14ac:dyDescent="0.25">
      <c r="A1352" s="104" t="s">
        <v>2004</v>
      </c>
      <c r="B1352" s="35" t="s">
        <v>596</v>
      </c>
      <c r="C1352" s="36">
        <v>5</v>
      </c>
      <c r="D1352" s="36">
        <v>0</v>
      </c>
      <c r="E1352" s="35" t="s">
        <v>699</v>
      </c>
      <c r="F1352" s="35" t="s">
        <v>634</v>
      </c>
      <c r="G1352" s="37">
        <v>45938.579340277778</v>
      </c>
      <c r="H1352" s="37" t="str">
        <f>INDEX(_xlfn.TEXTSPLIT(mvtst[[#This Row],[QR Suivis]],"_"),1,1)</f>
        <v>OF249782-29</v>
      </c>
      <c r="I1352" s="35" t="str">
        <f>_xlfn.TEXTBEFORE(mvtst[[#This Row],[Num Suivis]],"-",,,1)</f>
        <v>OF249782</v>
      </c>
      <c r="J1352" s="36">
        <f>SUMIF(mvtst[QR Suivis],mvtst[[#This Row],[QR Suivis]],mvtst[QTE SORTIS])-SUMIF(mvtst[QR Suivis],mvtst[[#This Row],[QR Suivis]],mvtst[QTE RETOUR])</f>
        <v>5</v>
      </c>
      <c r="K1352" s="35" t="str">
        <f t="shared" si="21"/>
        <v>Usine</v>
      </c>
      <c r="L1352" s="35" t="str">
        <f>_xlfn.XLOOKUP(mvtst[[#This Row],[Sous Traitant]],coordonnee_st[Identification],coordonnee_st[SERVICE],"Non Trouvé")</f>
        <v>Frange</v>
      </c>
      <c r="M1352" s="35" t="str">
        <f>INDEX(_xlfn.TEXTSPLIT(mvtst[[#This Row],[QR Suivis]],"_"),1,2)</f>
        <v>CL00884</v>
      </c>
      <c r="N1352" s="35" t="str">
        <f>INDEX(_xlfn.TEXTSPLIT(mvtst[[#This Row],[QR Suivis]],"_"),1,3)</f>
        <v>CM-FT0119</v>
      </c>
      <c r="O1352" s="35" t="str">
        <f>INDEX(_xlfn.TEXTSPLIT(mvtst[[#This Row],[QR Suivis]],"_"),1,4)</f>
        <v>IB1020-B24-01</v>
      </c>
      <c r="P1352" s="35" t="str">
        <f>INDEX(_xlfn.TEXTSPLIT(mvtst[[#This Row],[QR Suivis]],"_"),1,5)</f>
        <v>IBIZA</v>
      </c>
      <c r="Q1352" s="35" t="str">
        <f>_xlfn.TEXTAFTER(mvtst[[#This Row],[QR Suivis]],"_",5)</f>
        <v>1020</v>
      </c>
      <c r="R1352" s="84" t="str">
        <f>IF(
   COUNTIFS($A$2:A1352,A1352,
             $B$2:B1352,B1352,
             $C$2:C1352,C1352,
             $D$2:D1352,D1352,
             $G$2:G1352,G1352)&gt;1,
   "Doublon",
   "Correcte"
)</f>
        <v>Correcte</v>
      </c>
    </row>
    <row r="1353" spans="1:18" x14ac:dyDescent="0.25">
      <c r="A1353" s="104" t="s">
        <v>2005</v>
      </c>
      <c r="B1353" s="35" t="s">
        <v>596</v>
      </c>
      <c r="C1353" s="36">
        <v>5</v>
      </c>
      <c r="D1353" s="36">
        <v>0</v>
      </c>
      <c r="E1353" s="35" t="s">
        <v>699</v>
      </c>
      <c r="F1353" s="35" t="s">
        <v>634</v>
      </c>
      <c r="G1353" s="37">
        <v>45938.579826388886</v>
      </c>
      <c r="H1353" s="37" t="str">
        <f>INDEX(_xlfn.TEXTSPLIT(mvtst[[#This Row],[QR Suivis]],"_"),1,1)</f>
        <v>OF249782-17</v>
      </c>
      <c r="I1353" s="35" t="str">
        <f>_xlfn.TEXTBEFORE(mvtst[[#This Row],[Num Suivis]],"-",,,1)</f>
        <v>OF249782</v>
      </c>
      <c r="J1353" s="36">
        <f>SUMIF(mvtst[QR Suivis],mvtst[[#This Row],[QR Suivis]],mvtst[QTE SORTIS])-SUMIF(mvtst[QR Suivis],mvtst[[#This Row],[QR Suivis]],mvtst[QTE RETOUR])</f>
        <v>0</v>
      </c>
      <c r="K1353" s="35" t="str">
        <f t="shared" si="21"/>
        <v>Usine</v>
      </c>
      <c r="L1353" s="35" t="str">
        <f>_xlfn.XLOOKUP(mvtst[[#This Row],[Sous Traitant]],coordonnee_st[Identification],coordonnee_st[SERVICE],"Non Trouvé")</f>
        <v>Frange</v>
      </c>
      <c r="M1353" s="35" t="str">
        <f>INDEX(_xlfn.TEXTSPLIT(mvtst[[#This Row],[QR Suivis]],"_"),1,2)</f>
        <v>CL00884</v>
      </c>
      <c r="N1353" s="35" t="str">
        <f>INDEX(_xlfn.TEXTSPLIT(mvtst[[#This Row],[QR Suivis]],"_"),1,3)</f>
        <v>CM-FT0119</v>
      </c>
      <c r="O1353" s="35" t="str">
        <f>INDEX(_xlfn.TEXTSPLIT(mvtst[[#This Row],[QR Suivis]],"_"),1,4)</f>
        <v>IB1020-B24-01</v>
      </c>
      <c r="P1353" s="35" t="str">
        <f>INDEX(_xlfn.TEXTSPLIT(mvtst[[#This Row],[QR Suivis]],"_"),1,5)</f>
        <v>IBIZA</v>
      </c>
      <c r="Q1353" s="35" t="str">
        <f>_xlfn.TEXTAFTER(mvtst[[#This Row],[QR Suivis]],"_",5)</f>
        <v>1020</v>
      </c>
      <c r="R1353" s="84" t="str">
        <f>IF(
   COUNTIFS($A$2:A1353,A1353,
             $B$2:B1353,B1353,
             $C$2:C1353,C1353,
             $D$2:D1353,D1353,
             $G$2:G1353,G1353)&gt;1,
   "Doublon",
   "Correcte"
)</f>
        <v>Correcte</v>
      </c>
    </row>
    <row r="1354" spans="1:18" x14ac:dyDescent="0.25">
      <c r="A1354" s="104" t="s">
        <v>2006</v>
      </c>
      <c r="B1354" s="35" t="s">
        <v>596</v>
      </c>
      <c r="C1354" s="36">
        <v>5</v>
      </c>
      <c r="D1354" s="36">
        <v>0</v>
      </c>
      <c r="E1354" s="35" t="s">
        <v>699</v>
      </c>
      <c r="F1354" s="35" t="s">
        <v>634</v>
      </c>
      <c r="G1354" s="37">
        <v>45938.580023148148</v>
      </c>
      <c r="H1354" s="37" t="str">
        <f>INDEX(_xlfn.TEXTSPLIT(mvtst[[#This Row],[QR Suivis]],"_"),1,1)</f>
        <v>OF249782-33</v>
      </c>
      <c r="I1354" s="35" t="str">
        <f>_xlfn.TEXTBEFORE(mvtst[[#This Row],[Num Suivis]],"-",,,1)</f>
        <v>OF249782</v>
      </c>
      <c r="J1354" s="36">
        <f>SUMIF(mvtst[QR Suivis],mvtst[[#This Row],[QR Suivis]],mvtst[QTE SORTIS])-SUMIF(mvtst[QR Suivis],mvtst[[#This Row],[QR Suivis]],mvtst[QTE RETOUR])</f>
        <v>0</v>
      </c>
      <c r="K1354" s="35" t="str">
        <f t="shared" si="21"/>
        <v>Usine</v>
      </c>
      <c r="L1354" s="35" t="str">
        <f>_xlfn.XLOOKUP(mvtst[[#This Row],[Sous Traitant]],coordonnee_st[Identification],coordonnee_st[SERVICE],"Non Trouvé")</f>
        <v>Frange</v>
      </c>
      <c r="M1354" s="35" t="str">
        <f>INDEX(_xlfn.TEXTSPLIT(mvtst[[#This Row],[QR Suivis]],"_"),1,2)</f>
        <v>CL00884</v>
      </c>
      <c r="N1354" s="35" t="str">
        <f>INDEX(_xlfn.TEXTSPLIT(mvtst[[#This Row],[QR Suivis]],"_"),1,3)</f>
        <v>CM-FT0119</v>
      </c>
      <c r="O1354" s="35" t="str">
        <f>INDEX(_xlfn.TEXTSPLIT(mvtst[[#This Row],[QR Suivis]],"_"),1,4)</f>
        <v>IB1020-B24-01</v>
      </c>
      <c r="P1354" s="35" t="str">
        <f>INDEX(_xlfn.TEXTSPLIT(mvtst[[#This Row],[QR Suivis]],"_"),1,5)</f>
        <v>IBIZA</v>
      </c>
      <c r="Q1354" s="35" t="str">
        <f>_xlfn.TEXTAFTER(mvtst[[#This Row],[QR Suivis]],"_",5)</f>
        <v>1020</v>
      </c>
      <c r="R1354" s="84" t="str">
        <f>IF(
   COUNTIFS($A$2:A1354,A1354,
             $B$2:B1354,B1354,
             $C$2:C1354,C1354,
             $D$2:D1354,D1354,
             $G$2:G1354,G1354)&gt;1,
   "Doublon",
   "Correcte"
)</f>
        <v>Correcte</v>
      </c>
    </row>
    <row r="1355" spans="1:18" x14ac:dyDescent="0.25">
      <c r="A1355" s="104" t="s">
        <v>2007</v>
      </c>
      <c r="B1355" s="35" t="s">
        <v>596</v>
      </c>
      <c r="C1355" s="36">
        <v>5</v>
      </c>
      <c r="D1355" s="36">
        <v>0</v>
      </c>
      <c r="E1355" s="35" t="s">
        <v>699</v>
      </c>
      <c r="F1355" s="35" t="s">
        <v>634</v>
      </c>
      <c r="G1355" s="37">
        <v>45938.580254629633</v>
      </c>
      <c r="H1355" s="37" t="str">
        <f>INDEX(_xlfn.TEXTSPLIT(mvtst[[#This Row],[QR Suivis]],"_"),1,1)</f>
        <v>OF249782-30</v>
      </c>
      <c r="I1355" s="35" t="str">
        <f>_xlfn.TEXTBEFORE(mvtst[[#This Row],[Num Suivis]],"-",,,1)</f>
        <v>OF249782</v>
      </c>
      <c r="J1355" s="36">
        <f>SUMIF(mvtst[QR Suivis],mvtst[[#This Row],[QR Suivis]],mvtst[QTE SORTIS])-SUMIF(mvtst[QR Suivis],mvtst[[#This Row],[QR Suivis]],mvtst[QTE RETOUR])</f>
        <v>5</v>
      </c>
      <c r="K1355" s="35" t="str">
        <f t="shared" si="21"/>
        <v>Usine</v>
      </c>
      <c r="L1355" s="35" t="str">
        <f>_xlfn.XLOOKUP(mvtst[[#This Row],[Sous Traitant]],coordonnee_st[Identification],coordonnee_st[SERVICE],"Non Trouvé")</f>
        <v>Frange</v>
      </c>
      <c r="M1355" s="35" t="str">
        <f>INDEX(_xlfn.TEXTSPLIT(mvtst[[#This Row],[QR Suivis]],"_"),1,2)</f>
        <v>CL00884</v>
      </c>
      <c r="N1355" s="35" t="str">
        <f>INDEX(_xlfn.TEXTSPLIT(mvtst[[#This Row],[QR Suivis]],"_"),1,3)</f>
        <v>CM-FT0119</v>
      </c>
      <c r="O1355" s="35" t="str">
        <f>INDEX(_xlfn.TEXTSPLIT(mvtst[[#This Row],[QR Suivis]],"_"),1,4)</f>
        <v>IB1020-B24-01</v>
      </c>
      <c r="P1355" s="35" t="str">
        <f>INDEX(_xlfn.TEXTSPLIT(mvtst[[#This Row],[QR Suivis]],"_"),1,5)</f>
        <v>IBIZA</v>
      </c>
      <c r="Q1355" s="35" t="str">
        <f>_xlfn.TEXTAFTER(mvtst[[#This Row],[QR Suivis]],"_",5)</f>
        <v>1020</v>
      </c>
      <c r="R1355" s="84" t="str">
        <f>IF(
   COUNTIFS($A$2:A1355,A1355,
             $B$2:B1355,B1355,
             $C$2:C1355,C1355,
             $D$2:D1355,D1355,
             $G$2:G1355,G1355)&gt;1,
   "Doublon",
   "Correcte"
)</f>
        <v>Correcte</v>
      </c>
    </row>
    <row r="1356" spans="1:18" x14ac:dyDescent="0.25">
      <c r="A1356" s="104" t="s">
        <v>2008</v>
      </c>
      <c r="B1356" s="35" t="s">
        <v>596</v>
      </c>
      <c r="C1356" s="36">
        <v>5</v>
      </c>
      <c r="D1356" s="36">
        <v>0</v>
      </c>
      <c r="E1356" s="35" t="s">
        <v>699</v>
      </c>
      <c r="F1356" s="35" t="s">
        <v>634</v>
      </c>
      <c r="G1356" s="37">
        <v>45938.580393518518</v>
      </c>
      <c r="H1356" s="37" t="str">
        <f>INDEX(_xlfn.TEXTSPLIT(mvtst[[#This Row],[QR Suivis]],"_"),1,1)</f>
        <v>OF249782-28</v>
      </c>
      <c r="I1356" s="35" t="str">
        <f>_xlfn.TEXTBEFORE(mvtst[[#This Row],[Num Suivis]],"-",,,1)</f>
        <v>OF249782</v>
      </c>
      <c r="J1356" s="36">
        <f>SUMIF(mvtst[QR Suivis],mvtst[[#This Row],[QR Suivis]],mvtst[QTE SORTIS])-SUMIF(mvtst[QR Suivis],mvtst[[#This Row],[QR Suivis]],mvtst[QTE RETOUR])</f>
        <v>5</v>
      </c>
      <c r="K1356" s="35" t="str">
        <f t="shared" si="21"/>
        <v>Usine</v>
      </c>
      <c r="L1356" s="35" t="str">
        <f>_xlfn.XLOOKUP(mvtst[[#This Row],[Sous Traitant]],coordonnee_st[Identification],coordonnee_st[SERVICE],"Non Trouvé")</f>
        <v>Frange</v>
      </c>
      <c r="M1356" s="35" t="str">
        <f>INDEX(_xlfn.TEXTSPLIT(mvtst[[#This Row],[QR Suivis]],"_"),1,2)</f>
        <v>CL00884</v>
      </c>
      <c r="N1356" s="35" t="str">
        <f>INDEX(_xlfn.TEXTSPLIT(mvtst[[#This Row],[QR Suivis]],"_"),1,3)</f>
        <v>CM-FT0119</v>
      </c>
      <c r="O1356" s="35" t="str">
        <f>INDEX(_xlfn.TEXTSPLIT(mvtst[[#This Row],[QR Suivis]],"_"),1,4)</f>
        <v>IB1020-B24-01</v>
      </c>
      <c r="P1356" s="35" t="str">
        <f>INDEX(_xlfn.TEXTSPLIT(mvtst[[#This Row],[QR Suivis]],"_"),1,5)</f>
        <v>IBIZA</v>
      </c>
      <c r="Q1356" s="35" t="str">
        <f>_xlfn.TEXTAFTER(mvtst[[#This Row],[QR Suivis]],"_",5)</f>
        <v>1020</v>
      </c>
      <c r="R1356" s="84" t="str">
        <f>IF(
   COUNTIFS($A$2:A1356,A1356,
             $B$2:B1356,B1356,
             $C$2:C1356,C1356,
             $D$2:D1356,D1356,
             $G$2:G1356,G1356)&gt;1,
   "Doublon",
   "Correcte"
)</f>
        <v>Correcte</v>
      </c>
    </row>
    <row r="1357" spans="1:18" x14ac:dyDescent="0.25">
      <c r="A1357" s="104" t="s">
        <v>2009</v>
      </c>
      <c r="B1357" s="35" t="s">
        <v>596</v>
      </c>
      <c r="C1357" s="36">
        <v>5</v>
      </c>
      <c r="D1357" s="36">
        <v>0</v>
      </c>
      <c r="E1357" s="35" t="s">
        <v>699</v>
      </c>
      <c r="F1357" s="35" t="s">
        <v>634</v>
      </c>
      <c r="G1357" s="37">
        <v>45938.580567129633</v>
      </c>
      <c r="H1357" s="37" t="str">
        <f>INDEX(_xlfn.TEXTSPLIT(mvtst[[#This Row],[QR Suivis]],"_"),1,1)</f>
        <v>OF249782-22</v>
      </c>
      <c r="I1357" s="35" t="str">
        <f>_xlfn.TEXTBEFORE(mvtst[[#This Row],[Num Suivis]],"-",,,1)</f>
        <v>OF249782</v>
      </c>
      <c r="J1357" s="36">
        <f>SUMIF(mvtst[QR Suivis],mvtst[[#This Row],[QR Suivis]],mvtst[QTE SORTIS])-SUMIF(mvtst[QR Suivis],mvtst[[#This Row],[QR Suivis]],mvtst[QTE RETOUR])</f>
        <v>0</v>
      </c>
      <c r="K1357" s="35" t="str">
        <f t="shared" si="21"/>
        <v>Usine</v>
      </c>
      <c r="L1357" s="35" t="str">
        <f>_xlfn.XLOOKUP(mvtst[[#This Row],[Sous Traitant]],coordonnee_st[Identification],coordonnee_st[SERVICE],"Non Trouvé")</f>
        <v>Frange</v>
      </c>
      <c r="M1357" s="35" t="str">
        <f>INDEX(_xlfn.TEXTSPLIT(mvtst[[#This Row],[QR Suivis]],"_"),1,2)</f>
        <v>CL00884</v>
      </c>
      <c r="N1357" s="35" t="str">
        <f>INDEX(_xlfn.TEXTSPLIT(mvtst[[#This Row],[QR Suivis]],"_"),1,3)</f>
        <v>CM-FT0119</v>
      </c>
      <c r="O1357" s="35" t="str">
        <f>INDEX(_xlfn.TEXTSPLIT(mvtst[[#This Row],[QR Suivis]],"_"),1,4)</f>
        <v>IB1020-B24-01</v>
      </c>
      <c r="P1357" s="35" t="str">
        <f>INDEX(_xlfn.TEXTSPLIT(mvtst[[#This Row],[QR Suivis]],"_"),1,5)</f>
        <v>IBIZA</v>
      </c>
      <c r="Q1357" s="35" t="str">
        <f>_xlfn.TEXTAFTER(mvtst[[#This Row],[QR Suivis]],"_",5)</f>
        <v>1020</v>
      </c>
      <c r="R1357" s="84" t="str">
        <f>IF(
   COUNTIFS($A$2:A1357,A1357,
             $B$2:B1357,B1357,
             $C$2:C1357,C1357,
             $D$2:D1357,D1357,
             $G$2:G1357,G1357)&gt;1,
   "Doublon",
   "Correcte"
)</f>
        <v>Correcte</v>
      </c>
    </row>
    <row r="1358" spans="1:18" x14ac:dyDescent="0.25">
      <c r="A1358" s="104" t="s">
        <v>2010</v>
      </c>
      <c r="B1358" s="35" t="s">
        <v>596</v>
      </c>
      <c r="C1358" s="36">
        <v>5</v>
      </c>
      <c r="D1358" s="36">
        <v>0</v>
      </c>
      <c r="E1358" s="35" t="s">
        <v>699</v>
      </c>
      <c r="F1358" s="35" t="s">
        <v>634</v>
      </c>
      <c r="G1358" s="37">
        <v>45938.580995370372</v>
      </c>
      <c r="H1358" s="37" t="str">
        <f>INDEX(_xlfn.TEXTSPLIT(mvtst[[#This Row],[QR Suivis]],"_"),1,1)</f>
        <v>OF249782-25</v>
      </c>
      <c r="I1358" s="35" t="str">
        <f>_xlfn.TEXTBEFORE(mvtst[[#This Row],[Num Suivis]],"-",,,1)</f>
        <v>OF249782</v>
      </c>
      <c r="J1358" s="36">
        <f>SUMIF(mvtst[QR Suivis],mvtst[[#This Row],[QR Suivis]],mvtst[QTE SORTIS])-SUMIF(mvtst[QR Suivis],mvtst[[#This Row],[QR Suivis]],mvtst[QTE RETOUR])</f>
        <v>5</v>
      </c>
      <c r="K1358" s="35" t="str">
        <f t="shared" si="21"/>
        <v>Usine</v>
      </c>
      <c r="L1358" s="35" t="str">
        <f>_xlfn.XLOOKUP(mvtst[[#This Row],[Sous Traitant]],coordonnee_st[Identification],coordonnee_st[SERVICE],"Non Trouvé")</f>
        <v>Frange</v>
      </c>
      <c r="M1358" s="35" t="str">
        <f>INDEX(_xlfn.TEXTSPLIT(mvtst[[#This Row],[QR Suivis]],"_"),1,2)</f>
        <v>CL00884</v>
      </c>
      <c r="N1358" s="35" t="str">
        <f>INDEX(_xlfn.TEXTSPLIT(mvtst[[#This Row],[QR Suivis]],"_"),1,3)</f>
        <v>CM-FT0119</v>
      </c>
      <c r="O1358" s="35" t="str">
        <f>INDEX(_xlfn.TEXTSPLIT(mvtst[[#This Row],[QR Suivis]],"_"),1,4)</f>
        <v>IB1020-B24-01</v>
      </c>
      <c r="P1358" s="35" t="str">
        <f>INDEX(_xlfn.TEXTSPLIT(mvtst[[#This Row],[QR Suivis]],"_"),1,5)</f>
        <v>IBIZA</v>
      </c>
      <c r="Q1358" s="35" t="str">
        <f>_xlfn.TEXTAFTER(mvtst[[#This Row],[QR Suivis]],"_",5)</f>
        <v>1020</v>
      </c>
      <c r="R1358" s="84" t="str">
        <f>IF(
   COUNTIFS($A$2:A1358,A1358,
             $B$2:B1358,B1358,
             $C$2:C1358,C1358,
             $D$2:D1358,D1358,
             $G$2:G1358,G1358)&gt;1,
   "Doublon",
   "Correcte"
)</f>
        <v>Correcte</v>
      </c>
    </row>
    <row r="1359" spans="1:18" x14ac:dyDescent="0.25">
      <c r="A1359" s="104" t="s">
        <v>2011</v>
      </c>
      <c r="B1359" s="35" t="s">
        <v>596</v>
      </c>
      <c r="C1359" s="36">
        <v>5</v>
      </c>
      <c r="D1359" s="36">
        <v>0</v>
      </c>
      <c r="E1359" s="35" t="s">
        <v>699</v>
      </c>
      <c r="F1359" s="35" t="s">
        <v>634</v>
      </c>
      <c r="G1359" s="37">
        <v>45938.581250000003</v>
      </c>
      <c r="H1359" s="37" t="str">
        <f>INDEX(_xlfn.TEXTSPLIT(mvtst[[#This Row],[QR Suivis]],"_"),1,1)</f>
        <v>OF249782-37</v>
      </c>
      <c r="I1359" s="35" t="str">
        <f>_xlfn.TEXTBEFORE(mvtst[[#This Row],[Num Suivis]],"-",,,1)</f>
        <v>OF249782</v>
      </c>
      <c r="J1359" s="36">
        <f>SUMIF(mvtst[QR Suivis],mvtst[[#This Row],[QR Suivis]],mvtst[QTE SORTIS])-SUMIF(mvtst[QR Suivis],mvtst[[#This Row],[QR Suivis]],mvtst[QTE RETOUR])</f>
        <v>5</v>
      </c>
      <c r="K1359" s="35" t="str">
        <f t="shared" si="21"/>
        <v>Usine</v>
      </c>
      <c r="L1359" s="35" t="str">
        <f>_xlfn.XLOOKUP(mvtst[[#This Row],[Sous Traitant]],coordonnee_st[Identification],coordonnee_st[SERVICE],"Non Trouvé")</f>
        <v>Frange</v>
      </c>
      <c r="M1359" s="35" t="str">
        <f>INDEX(_xlfn.TEXTSPLIT(mvtst[[#This Row],[QR Suivis]],"_"),1,2)</f>
        <v>CL00884</v>
      </c>
      <c r="N1359" s="35" t="str">
        <f>INDEX(_xlfn.TEXTSPLIT(mvtst[[#This Row],[QR Suivis]],"_"),1,3)</f>
        <v>CM-FT0119</v>
      </c>
      <c r="O1359" s="35" t="str">
        <f>INDEX(_xlfn.TEXTSPLIT(mvtst[[#This Row],[QR Suivis]],"_"),1,4)</f>
        <v>IB1020-B24-01</v>
      </c>
      <c r="P1359" s="35" t="str">
        <f>INDEX(_xlfn.TEXTSPLIT(mvtst[[#This Row],[QR Suivis]],"_"),1,5)</f>
        <v>IBIZA</v>
      </c>
      <c r="Q1359" s="35" t="str">
        <f>_xlfn.TEXTAFTER(mvtst[[#This Row],[QR Suivis]],"_",5)</f>
        <v>1020</v>
      </c>
      <c r="R1359" s="84" t="str">
        <f>IF(
   COUNTIFS($A$2:A1359,A1359,
             $B$2:B1359,B1359,
             $C$2:C1359,C1359,
             $D$2:D1359,D1359,
             $G$2:G1359,G1359)&gt;1,
   "Doublon",
   "Correcte"
)</f>
        <v>Correcte</v>
      </c>
    </row>
    <row r="1360" spans="1:18" x14ac:dyDescent="0.25">
      <c r="A1360" s="104" t="s">
        <v>2012</v>
      </c>
      <c r="B1360" s="35" t="s">
        <v>596</v>
      </c>
      <c r="C1360" s="36">
        <v>5</v>
      </c>
      <c r="D1360" s="36">
        <v>0</v>
      </c>
      <c r="E1360" s="35" t="s">
        <v>699</v>
      </c>
      <c r="F1360" s="35" t="s">
        <v>634</v>
      </c>
      <c r="G1360" s="37">
        <v>45938.581493055557</v>
      </c>
      <c r="H1360" s="37" t="str">
        <f>INDEX(_xlfn.TEXTSPLIT(mvtst[[#This Row],[QR Suivis]],"_"),1,1)</f>
        <v>OF249782-16</v>
      </c>
      <c r="I1360" s="35" t="str">
        <f>_xlfn.TEXTBEFORE(mvtst[[#This Row],[Num Suivis]],"-",,,1)</f>
        <v>OF249782</v>
      </c>
      <c r="J1360" s="36">
        <f>SUMIF(mvtst[QR Suivis],mvtst[[#This Row],[QR Suivis]],mvtst[QTE SORTIS])-SUMIF(mvtst[QR Suivis],mvtst[[#This Row],[QR Suivis]],mvtst[QTE RETOUR])</f>
        <v>0</v>
      </c>
      <c r="K1360" s="35" t="str">
        <f t="shared" si="21"/>
        <v>Usine</v>
      </c>
      <c r="L1360" s="35" t="str">
        <f>_xlfn.XLOOKUP(mvtst[[#This Row],[Sous Traitant]],coordonnee_st[Identification],coordonnee_st[SERVICE],"Non Trouvé")</f>
        <v>Frange</v>
      </c>
      <c r="M1360" s="35" t="str">
        <f>INDEX(_xlfn.TEXTSPLIT(mvtst[[#This Row],[QR Suivis]],"_"),1,2)</f>
        <v>CL00884</v>
      </c>
      <c r="N1360" s="35" t="str">
        <f>INDEX(_xlfn.TEXTSPLIT(mvtst[[#This Row],[QR Suivis]],"_"),1,3)</f>
        <v>CM-FT0119</v>
      </c>
      <c r="O1360" s="35" t="str">
        <f>INDEX(_xlfn.TEXTSPLIT(mvtst[[#This Row],[QR Suivis]],"_"),1,4)</f>
        <v>IB1020-B24-01</v>
      </c>
      <c r="P1360" s="35" t="str">
        <f>INDEX(_xlfn.TEXTSPLIT(mvtst[[#This Row],[QR Suivis]],"_"),1,5)</f>
        <v>IBIZA</v>
      </c>
      <c r="Q1360" s="35" t="str">
        <f>_xlfn.TEXTAFTER(mvtst[[#This Row],[QR Suivis]],"_",5)</f>
        <v>1020</v>
      </c>
      <c r="R1360" s="84" t="str">
        <f>IF(
   COUNTIFS($A$2:A1360,A1360,
             $B$2:B1360,B1360,
             $C$2:C1360,C1360,
             $D$2:D1360,D1360,
             $G$2:G1360,G1360)&gt;1,
   "Doublon",
   "Correcte"
)</f>
        <v>Correcte</v>
      </c>
    </row>
    <row r="1361" spans="1:18" x14ac:dyDescent="0.25">
      <c r="A1361" s="104" t="s">
        <v>2013</v>
      </c>
      <c r="B1361" s="35" t="s">
        <v>596</v>
      </c>
      <c r="C1361" s="36">
        <v>5</v>
      </c>
      <c r="D1361" s="36">
        <v>0</v>
      </c>
      <c r="E1361" s="35" t="s">
        <v>699</v>
      </c>
      <c r="F1361" s="35" t="s">
        <v>634</v>
      </c>
      <c r="G1361" s="37">
        <v>45938.581736111111</v>
      </c>
      <c r="H1361" s="37" t="str">
        <f>INDEX(_xlfn.TEXTSPLIT(mvtst[[#This Row],[QR Suivis]],"_"),1,1)</f>
        <v>OF249782-36</v>
      </c>
      <c r="I1361" s="35" t="str">
        <f>_xlfn.TEXTBEFORE(mvtst[[#This Row],[Num Suivis]],"-",,,1)</f>
        <v>OF249782</v>
      </c>
      <c r="J1361" s="36">
        <f>SUMIF(mvtst[QR Suivis],mvtst[[#This Row],[QR Suivis]],mvtst[QTE SORTIS])-SUMIF(mvtst[QR Suivis],mvtst[[#This Row],[QR Suivis]],mvtst[QTE RETOUR])</f>
        <v>0</v>
      </c>
      <c r="K1361" s="35" t="str">
        <f t="shared" si="21"/>
        <v>Usine</v>
      </c>
      <c r="L1361" s="35" t="str">
        <f>_xlfn.XLOOKUP(mvtst[[#This Row],[Sous Traitant]],coordonnee_st[Identification],coordonnee_st[SERVICE],"Non Trouvé")</f>
        <v>Frange</v>
      </c>
      <c r="M1361" s="35" t="str">
        <f>INDEX(_xlfn.TEXTSPLIT(mvtst[[#This Row],[QR Suivis]],"_"),1,2)</f>
        <v>CL00884</v>
      </c>
      <c r="N1361" s="35" t="str">
        <f>INDEX(_xlfn.TEXTSPLIT(mvtst[[#This Row],[QR Suivis]],"_"),1,3)</f>
        <v>CM-FT0119</v>
      </c>
      <c r="O1361" s="35" t="str">
        <f>INDEX(_xlfn.TEXTSPLIT(mvtst[[#This Row],[QR Suivis]],"_"),1,4)</f>
        <v>IB1020-B24-01</v>
      </c>
      <c r="P1361" s="35" t="str">
        <f>INDEX(_xlfn.TEXTSPLIT(mvtst[[#This Row],[QR Suivis]],"_"),1,5)</f>
        <v>IBIZA</v>
      </c>
      <c r="Q1361" s="35" t="str">
        <f>_xlfn.TEXTAFTER(mvtst[[#This Row],[QR Suivis]],"_",5)</f>
        <v>1020</v>
      </c>
      <c r="R1361" s="84" t="str">
        <f>IF(
   COUNTIFS($A$2:A1361,A1361,
             $B$2:B1361,B1361,
             $C$2:C1361,C1361,
             $D$2:D1361,D1361,
             $G$2:G1361,G1361)&gt;1,
   "Doublon",
   "Correcte"
)</f>
        <v>Correcte</v>
      </c>
    </row>
    <row r="1362" spans="1:18" x14ac:dyDescent="0.25">
      <c r="A1362" s="104" t="s">
        <v>2014</v>
      </c>
      <c r="B1362" s="35" t="s">
        <v>596</v>
      </c>
      <c r="C1362" s="36">
        <v>5</v>
      </c>
      <c r="D1362" s="36">
        <v>0</v>
      </c>
      <c r="E1362" s="35" t="s">
        <v>699</v>
      </c>
      <c r="F1362" s="35" t="s">
        <v>634</v>
      </c>
      <c r="G1362" s="37">
        <v>45938.581979166665</v>
      </c>
      <c r="H1362" s="37" t="str">
        <f>INDEX(_xlfn.TEXTSPLIT(mvtst[[#This Row],[QR Suivis]],"_"),1,1)</f>
        <v>OF249782-27</v>
      </c>
      <c r="I1362" s="35" t="str">
        <f>_xlfn.TEXTBEFORE(mvtst[[#This Row],[Num Suivis]],"-",,,1)</f>
        <v>OF249782</v>
      </c>
      <c r="J1362" s="36">
        <f>SUMIF(mvtst[QR Suivis],mvtst[[#This Row],[QR Suivis]],mvtst[QTE SORTIS])-SUMIF(mvtst[QR Suivis],mvtst[[#This Row],[QR Suivis]],mvtst[QTE RETOUR])</f>
        <v>5</v>
      </c>
      <c r="K1362" s="35" t="str">
        <f t="shared" si="21"/>
        <v>Usine</v>
      </c>
      <c r="L1362" s="35" t="str">
        <f>_xlfn.XLOOKUP(mvtst[[#This Row],[Sous Traitant]],coordonnee_st[Identification],coordonnee_st[SERVICE],"Non Trouvé")</f>
        <v>Frange</v>
      </c>
      <c r="M1362" s="35" t="str">
        <f>INDEX(_xlfn.TEXTSPLIT(mvtst[[#This Row],[QR Suivis]],"_"),1,2)</f>
        <v>CL00884</v>
      </c>
      <c r="N1362" s="35" t="str">
        <f>INDEX(_xlfn.TEXTSPLIT(mvtst[[#This Row],[QR Suivis]],"_"),1,3)</f>
        <v>CM-FT0119</v>
      </c>
      <c r="O1362" s="35" t="str">
        <f>INDEX(_xlfn.TEXTSPLIT(mvtst[[#This Row],[QR Suivis]],"_"),1,4)</f>
        <v>IB1020-B24-01</v>
      </c>
      <c r="P1362" s="35" t="str">
        <f>INDEX(_xlfn.TEXTSPLIT(mvtst[[#This Row],[QR Suivis]],"_"),1,5)</f>
        <v>IBIZA</v>
      </c>
      <c r="Q1362" s="35" t="str">
        <f>_xlfn.TEXTAFTER(mvtst[[#This Row],[QR Suivis]],"_",5)</f>
        <v>1020</v>
      </c>
      <c r="R1362" s="84" t="str">
        <f>IF(
   COUNTIFS($A$2:A1362,A1362,
             $B$2:B1362,B1362,
             $C$2:C1362,C1362,
             $D$2:D1362,D1362,
             $G$2:G1362,G1362)&gt;1,
   "Doublon",
   "Correcte"
)</f>
        <v>Correcte</v>
      </c>
    </row>
    <row r="1363" spans="1:18" x14ac:dyDescent="0.25">
      <c r="A1363" s="104" t="s">
        <v>2015</v>
      </c>
      <c r="B1363" s="35" t="s">
        <v>596</v>
      </c>
      <c r="C1363" s="36">
        <v>5</v>
      </c>
      <c r="D1363" s="36">
        <v>0</v>
      </c>
      <c r="E1363" s="35" t="s">
        <v>699</v>
      </c>
      <c r="F1363" s="35" t="s">
        <v>634</v>
      </c>
      <c r="G1363" s="37">
        <v>45938.582152777781</v>
      </c>
      <c r="H1363" s="37" t="str">
        <f>INDEX(_xlfn.TEXTSPLIT(mvtst[[#This Row],[QR Suivis]],"_"),1,1)</f>
        <v>OF249782-32</v>
      </c>
      <c r="I1363" s="35" t="str">
        <f>_xlfn.TEXTBEFORE(mvtst[[#This Row],[Num Suivis]],"-",,,1)</f>
        <v>OF249782</v>
      </c>
      <c r="J1363" s="36">
        <f>SUMIF(mvtst[QR Suivis],mvtst[[#This Row],[QR Suivis]],mvtst[QTE SORTIS])-SUMIF(mvtst[QR Suivis],mvtst[[#This Row],[QR Suivis]],mvtst[QTE RETOUR])</f>
        <v>0</v>
      </c>
      <c r="K1363" s="35" t="str">
        <f t="shared" si="21"/>
        <v>Usine</v>
      </c>
      <c r="L1363" s="35" t="str">
        <f>_xlfn.XLOOKUP(mvtst[[#This Row],[Sous Traitant]],coordonnee_st[Identification],coordonnee_st[SERVICE],"Non Trouvé")</f>
        <v>Frange</v>
      </c>
      <c r="M1363" s="35" t="str">
        <f>INDEX(_xlfn.TEXTSPLIT(mvtst[[#This Row],[QR Suivis]],"_"),1,2)</f>
        <v>CL00884</v>
      </c>
      <c r="N1363" s="35" t="str">
        <f>INDEX(_xlfn.TEXTSPLIT(mvtst[[#This Row],[QR Suivis]],"_"),1,3)</f>
        <v>CM-FT0119</v>
      </c>
      <c r="O1363" s="35" t="str">
        <f>INDEX(_xlfn.TEXTSPLIT(mvtst[[#This Row],[QR Suivis]],"_"),1,4)</f>
        <v>IB1020-B24-01</v>
      </c>
      <c r="P1363" s="35" t="str">
        <f>INDEX(_xlfn.TEXTSPLIT(mvtst[[#This Row],[QR Suivis]],"_"),1,5)</f>
        <v>IBIZA</v>
      </c>
      <c r="Q1363" s="35" t="str">
        <f>_xlfn.TEXTAFTER(mvtst[[#This Row],[QR Suivis]],"_",5)</f>
        <v>1020</v>
      </c>
      <c r="R1363" s="84" t="str">
        <f>IF(
   COUNTIFS($A$2:A1363,A1363,
             $B$2:B1363,B1363,
             $C$2:C1363,C1363,
             $D$2:D1363,D1363,
             $G$2:G1363,G1363)&gt;1,
   "Doublon",
   "Correcte"
)</f>
        <v>Correcte</v>
      </c>
    </row>
    <row r="1364" spans="1:18" x14ac:dyDescent="0.25">
      <c r="A1364" s="104" t="s">
        <v>2016</v>
      </c>
      <c r="B1364" s="35" t="s">
        <v>596</v>
      </c>
      <c r="C1364" s="36">
        <v>5</v>
      </c>
      <c r="D1364" s="36">
        <v>0</v>
      </c>
      <c r="E1364" s="35" t="s">
        <v>699</v>
      </c>
      <c r="F1364" s="35" t="s">
        <v>634</v>
      </c>
      <c r="G1364" s="37">
        <v>45938.582337962966</v>
      </c>
      <c r="H1364" s="37" t="str">
        <f>INDEX(_xlfn.TEXTSPLIT(mvtst[[#This Row],[QR Suivis]],"_"),1,1)</f>
        <v>OF249782-21</v>
      </c>
      <c r="I1364" s="35" t="str">
        <f>_xlfn.TEXTBEFORE(mvtst[[#This Row],[Num Suivis]],"-",,,1)</f>
        <v>OF249782</v>
      </c>
      <c r="J1364" s="36">
        <f>SUMIF(mvtst[QR Suivis],mvtst[[#This Row],[QR Suivis]],mvtst[QTE SORTIS])-SUMIF(mvtst[QR Suivis],mvtst[[#This Row],[QR Suivis]],mvtst[QTE RETOUR])</f>
        <v>5</v>
      </c>
      <c r="K1364" s="35" t="str">
        <f t="shared" si="21"/>
        <v>Usine</v>
      </c>
      <c r="L1364" s="35" t="str">
        <f>_xlfn.XLOOKUP(mvtst[[#This Row],[Sous Traitant]],coordonnee_st[Identification],coordonnee_st[SERVICE],"Non Trouvé")</f>
        <v>Frange</v>
      </c>
      <c r="M1364" s="35" t="str">
        <f>INDEX(_xlfn.TEXTSPLIT(mvtst[[#This Row],[QR Suivis]],"_"),1,2)</f>
        <v>CL00884</v>
      </c>
      <c r="N1364" s="35" t="str">
        <f>INDEX(_xlfn.TEXTSPLIT(mvtst[[#This Row],[QR Suivis]],"_"),1,3)</f>
        <v>CM-FT0119</v>
      </c>
      <c r="O1364" s="35" t="str">
        <f>INDEX(_xlfn.TEXTSPLIT(mvtst[[#This Row],[QR Suivis]],"_"),1,4)</f>
        <v>IB1020-B24-01</v>
      </c>
      <c r="P1364" s="35" t="str">
        <f>INDEX(_xlfn.TEXTSPLIT(mvtst[[#This Row],[QR Suivis]],"_"),1,5)</f>
        <v>IBIZA</v>
      </c>
      <c r="Q1364" s="35" t="str">
        <f>_xlfn.TEXTAFTER(mvtst[[#This Row],[QR Suivis]],"_",5)</f>
        <v>1020</v>
      </c>
      <c r="R1364" s="84" t="str">
        <f>IF(
   COUNTIFS($A$2:A1364,A1364,
             $B$2:B1364,B1364,
             $C$2:C1364,C1364,
             $D$2:D1364,D1364,
             $G$2:G1364,G1364)&gt;1,
   "Doublon",
   "Correcte"
)</f>
        <v>Correcte</v>
      </c>
    </row>
    <row r="1365" spans="1:18" x14ac:dyDescent="0.25">
      <c r="A1365" s="104" t="s">
        <v>2017</v>
      </c>
      <c r="B1365" s="35" t="s">
        <v>596</v>
      </c>
      <c r="C1365" s="36">
        <v>5</v>
      </c>
      <c r="D1365" s="36">
        <v>0</v>
      </c>
      <c r="E1365" s="35" t="s">
        <v>699</v>
      </c>
      <c r="F1365" s="35" t="s">
        <v>634</v>
      </c>
      <c r="G1365" s="37">
        <v>45938.582592592589</v>
      </c>
      <c r="H1365" s="37" t="str">
        <f>INDEX(_xlfn.TEXTSPLIT(mvtst[[#This Row],[QR Suivis]],"_"),1,1)</f>
        <v>OF249782-9</v>
      </c>
      <c r="I1365" s="35" t="str">
        <f>_xlfn.TEXTBEFORE(mvtst[[#This Row],[Num Suivis]],"-",,,1)</f>
        <v>OF249782</v>
      </c>
      <c r="J1365" s="36">
        <f>SUMIF(mvtst[QR Suivis],mvtst[[#This Row],[QR Suivis]],mvtst[QTE SORTIS])-SUMIF(mvtst[QR Suivis],mvtst[[#This Row],[QR Suivis]],mvtst[QTE RETOUR])</f>
        <v>0</v>
      </c>
      <c r="K1365" s="35" t="str">
        <f t="shared" si="21"/>
        <v>Usine</v>
      </c>
      <c r="L1365" s="35" t="str">
        <f>_xlfn.XLOOKUP(mvtst[[#This Row],[Sous Traitant]],coordonnee_st[Identification],coordonnee_st[SERVICE],"Non Trouvé")</f>
        <v>Frange</v>
      </c>
      <c r="M1365" s="35" t="str">
        <f>INDEX(_xlfn.TEXTSPLIT(mvtst[[#This Row],[QR Suivis]],"_"),1,2)</f>
        <v>CL00884</v>
      </c>
      <c r="N1365" s="35" t="str">
        <f>INDEX(_xlfn.TEXTSPLIT(mvtst[[#This Row],[QR Suivis]],"_"),1,3)</f>
        <v>CM-FT0119</v>
      </c>
      <c r="O1365" s="35" t="str">
        <f>INDEX(_xlfn.TEXTSPLIT(mvtst[[#This Row],[QR Suivis]],"_"),1,4)</f>
        <v>IB1020-B24-01</v>
      </c>
      <c r="P1365" s="35" t="str">
        <f>INDEX(_xlfn.TEXTSPLIT(mvtst[[#This Row],[QR Suivis]],"_"),1,5)</f>
        <v>IBIZA</v>
      </c>
      <c r="Q1365" s="35" t="str">
        <f>_xlfn.TEXTAFTER(mvtst[[#This Row],[QR Suivis]],"_",5)</f>
        <v>1020</v>
      </c>
      <c r="R1365" s="84" t="str">
        <f>IF(
   COUNTIFS($A$2:A1365,A1365,
             $B$2:B1365,B1365,
             $C$2:C1365,C1365,
             $D$2:D1365,D1365,
             $G$2:G1365,G1365)&gt;1,
   "Doublon",
   "Correcte"
)</f>
        <v>Correcte</v>
      </c>
    </row>
    <row r="1366" spans="1:18" x14ac:dyDescent="0.25">
      <c r="A1366" s="104" t="s">
        <v>2018</v>
      </c>
      <c r="B1366" s="35" t="s">
        <v>596</v>
      </c>
      <c r="C1366" s="36">
        <v>5</v>
      </c>
      <c r="D1366" s="36">
        <v>0</v>
      </c>
      <c r="E1366" s="35" t="s">
        <v>699</v>
      </c>
      <c r="F1366" s="35" t="s">
        <v>634</v>
      </c>
      <c r="G1366" s="37">
        <v>45938.58284722222</v>
      </c>
      <c r="H1366" s="37" t="str">
        <f>INDEX(_xlfn.TEXTSPLIT(mvtst[[#This Row],[QR Suivis]],"_"),1,1)</f>
        <v>OF249782-19</v>
      </c>
      <c r="I1366" s="35" t="str">
        <f>_xlfn.TEXTBEFORE(mvtst[[#This Row],[Num Suivis]],"-",,,1)</f>
        <v>OF249782</v>
      </c>
      <c r="J1366" s="36">
        <f>SUMIF(mvtst[QR Suivis],mvtst[[#This Row],[QR Suivis]],mvtst[QTE SORTIS])-SUMIF(mvtst[QR Suivis],mvtst[[#This Row],[QR Suivis]],mvtst[QTE RETOUR])</f>
        <v>0</v>
      </c>
      <c r="K1366" s="35" t="str">
        <f t="shared" si="21"/>
        <v>Usine</v>
      </c>
      <c r="L1366" s="35" t="str">
        <f>_xlfn.XLOOKUP(mvtst[[#This Row],[Sous Traitant]],coordonnee_st[Identification],coordonnee_st[SERVICE],"Non Trouvé")</f>
        <v>Frange</v>
      </c>
      <c r="M1366" s="35" t="str">
        <f>INDEX(_xlfn.TEXTSPLIT(mvtst[[#This Row],[QR Suivis]],"_"),1,2)</f>
        <v>CL00884</v>
      </c>
      <c r="N1366" s="35" t="str">
        <f>INDEX(_xlfn.TEXTSPLIT(mvtst[[#This Row],[QR Suivis]],"_"),1,3)</f>
        <v>CM-FT0119</v>
      </c>
      <c r="O1366" s="35" t="str">
        <f>INDEX(_xlfn.TEXTSPLIT(mvtst[[#This Row],[QR Suivis]],"_"),1,4)</f>
        <v>IB1020-B24-01</v>
      </c>
      <c r="P1366" s="35" t="str">
        <f>INDEX(_xlfn.TEXTSPLIT(mvtst[[#This Row],[QR Suivis]],"_"),1,5)</f>
        <v>IBIZA</v>
      </c>
      <c r="Q1366" s="35" t="str">
        <f>_xlfn.TEXTAFTER(mvtst[[#This Row],[QR Suivis]],"_",5)</f>
        <v>1020</v>
      </c>
      <c r="R1366" s="84" t="str">
        <f>IF(
   COUNTIFS($A$2:A1366,A1366,
             $B$2:B1366,B1366,
             $C$2:C1366,C1366,
             $D$2:D1366,D1366,
             $G$2:G1366,G1366)&gt;1,
   "Doublon",
   "Correcte"
)</f>
        <v>Correcte</v>
      </c>
    </row>
    <row r="1367" spans="1:18" x14ac:dyDescent="0.25">
      <c r="A1367" s="104" t="s">
        <v>2019</v>
      </c>
      <c r="B1367" s="35" t="s">
        <v>596</v>
      </c>
      <c r="C1367" s="36">
        <v>5</v>
      </c>
      <c r="D1367" s="36">
        <v>0</v>
      </c>
      <c r="E1367" s="35" t="s">
        <v>699</v>
      </c>
      <c r="F1367" s="35" t="s">
        <v>634</v>
      </c>
      <c r="G1367" s="37">
        <v>45938.583067129628</v>
      </c>
      <c r="H1367" s="37" t="str">
        <f>INDEX(_xlfn.TEXTSPLIT(mvtst[[#This Row],[QR Suivis]],"_"),1,1)</f>
        <v>OF249782-23</v>
      </c>
      <c r="I1367" s="35" t="str">
        <f>_xlfn.TEXTBEFORE(mvtst[[#This Row],[Num Suivis]],"-",,,1)</f>
        <v>OF249782</v>
      </c>
      <c r="J1367" s="36">
        <f>SUMIF(mvtst[QR Suivis],mvtst[[#This Row],[QR Suivis]],mvtst[QTE SORTIS])-SUMIF(mvtst[QR Suivis],mvtst[[#This Row],[QR Suivis]],mvtst[QTE RETOUR])</f>
        <v>5</v>
      </c>
      <c r="K1367" s="35" t="str">
        <f t="shared" si="21"/>
        <v>Usine</v>
      </c>
      <c r="L1367" s="35" t="str">
        <f>_xlfn.XLOOKUP(mvtst[[#This Row],[Sous Traitant]],coordonnee_st[Identification],coordonnee_st[SERVICE],"Non Trouvé")</f>
        <v>Frange</v>
      </c>
      <c r="M1367" s="35" t="str">
        <f>INDEX(_xlfn.TEXTSPLIT(mvtst[[#This Row],[QR Suivis]],"_"),1,2)</f>
        <v>CL00884</v>
      </c>
      <c r="N1367" s="35" t="str">
        <f>INDEX(_xlfn.TEXTSPLIT(mvtst[[#This Row],[QR Suivis]],"_"),1,3)</f>
        <v>CM-FT0119</v>
      </c>
      <c r="O1367" s="35" t="str">
        <f>INDEX(_xlfn.TEXTSPLIT(mvtst[[#This Row],[QR Suivis]],"_"),1,4)</f>
        <v>IB1020-B24-01</v>
      </c>
      <c r="P1367" s="35" t="str">
        <f>INDEX(_xlfn.TEXTSPLIT(mvtst[[#This Row],[QR Suivis]],"_"),1,5)</f>
        <v>IBIZA</v>
      </c>
      <c r="Q1367" s="35" t="str">
        <f>_xlfn.TEXTAFTER(mvtst[[#This Row],[QR Suivis]],"_",5)</f>
        <v>1020</v>
      </c>
      <c r="R1367" s="84" t="str">
        <f>IF(
   COUNTIFS($A$2:A1367,A1367,
             $B$2:B1367,B1367,
             $C$2:C1367,C1367,
             $D$2:D1367,D1367,
             $G$2:G1367,G1367)&gt;1,
   "Doublon",
   "Correcte"
)</f>
        <v>Correcte</v>
      </c>
    </row>
    <row r="1368" spans="1:18" x14ac:dyDescent="0.25">
      <c r="A1368" s="104" t="s">
        <v>2020</v>
      </c>
      <c r="B1368" s="35" t="s">
        <v>596</v>
      </c>
      <c r="C1368" s="36">
        <v>5</v>
      </c>
      <c r="D1368" s="36">
        <v>0</v>
      </c>
      <c r="E1368" s="35" t="s">
        <v>699</v>
      </c>
      <c r="F1368" s="35" t="s">
        <v>634</v>
      </c>
      <c r="G1368" s="37">
        <v>45938.583252314813</v>
      </c>
      <c r="H1368" s="37" t="str">
        <f>INDEX(_xlfn.TEXTSPLIT(mvtst[[#This Row],[QR Suivis]],"_"),1,1)</f>
        <v>OF249782-38</v>
      </c>
      <c r="I1368" s="35" t="str">
        <f>_xlfn.TEXTBEFORE(mvtst[[#This Row],[Num Suivis]],"-",,,1)</f>
        <v>OF249782</v>
      </c>
      <c r="J1368" s="36">
        <f>SUMIF(mvtst[QR Suivis],mvtst[[#This Row],[QR Suivis]],mvtst[QTE SORTIS])-SUMIF(mvtst[QR Suivis],mvtst[[#This Row],[QR Suivis]],mvtst[QTE RETOUR])</f>
        <v>0</v>
      </c>
      <c r="K1368" s="35" t="str">
        <f t="shared" si="21"/>
        <v>Usine</v>
      </c>
      <c r="L1368" s="35" t="str">
        <f>_xlfn.XLOOKUP(mvtst[[#This Row],[Sous Traitant]],coordonnee_st[Identification],coordonnee_st[SERVICE],"Non Trouvé")</f>
        <v>Frange</v>
      </c>
      <c r="M1368" s="35" t="str">
        <f>INDEX(_xlfn.TEXTSPLIT(mvtst[[#This Row],[QR Suivis]],"_"),1,2)</f>
        <v>CL00884</v>
      </c>
      <c r="N1368" s="35" t="str">
        <f>INDEX(_xlfn.TEXTSPLIT(mvtst[[#This Row],[QR Suivis]],"_"),1,3)</f>
        <v>CM-FT0119</v>
      </c>
      <c r="O1368" s="35" t="str">
        <f>INDEX(_xlfn.TEXTSPLIT(mvtst[[#This Row],[QR Suivis]],"_"),1,4)</f>
        <v>IB1020-B24-01</v>
      </c>
      <c r="P1368" s="35" t="str">
        <f>INDEX(_xlfn.TEXTSPLIT(mvtst[[#This Row],[QR Suivis]],"_"),1,5)</f>
        <v>IBIZA</v>
      </c>
      <c r="Q1368" s="35" t="str">
        <f>_xlfn.TEXTAFTER(mvtst[[#This Row],[QR Suivis]],"_",5)</f>
        <v>1020</v>
      </c>
      <c r="R1368" s="84" t="str">
        <f>IF(
   COUNTIFS($A$2:A1368,A1368,
             $B$2:B1368,B1368,
             $C$2:C1368,C1368,
             $D$2:D1368,D1368,
             $G$2:G1368,G1368)&gt;1,
   "Doublon",
   "Correcte"
)</f>
        <v>Correcte</v>
      </c>
    </row>
    <row r="1369" spans="1:18" x14ac:dyDescent="0.25">
      <c r="A1369" s="104" t="s">
        <v>2021</v>
      </c>
      <c r="B1369" s="35" t="s">
        <v>596</v>
      </c>
      <c r="C1369" s="36">
        <v>5</v>
      </c>
      <c r="D1369" s="36">
        <v>0</v>
      </c>
      <c r="E1369" s="35" t="s">
        <v>699</v>
      </c>
      <c r="F1369" s="35" t="s">
        <v>634</v>
      </c>
      <c r="G1369" s="37">
        <v>45938.58353009259</v>
      </c>
      <c r="H1369" s="37" t="str">
        <f>INDEX(_xlfn.TEXTSPLIT(mvtst[[#This Row],[QR Suivis]],"_"),1,1)</f>
        <v>OF249782-12</v>
      </c>
      <c r="I1369" s="35" t="str">
        <f>_xlfn.TEXTBEFORE(mvtst[[#This Row],[Num Suivis]],"-",,,1)</f>
        <v>OF249782</v>
      </c>
      <c r="J1369" s="36">
        <f>SUMIF(mvtst[QR Suivis],mvtst[[#This Row],[QR Suivis]],mvtst[QTE SORTIS])-SUMIF(mvtst[QR Suivis],mvtst[[#This Row],[QR Suivis]],mvtst[QTE RETOUR])</f>
        <v>5</v>
      </c>
      <c r="K1369" s="35" t="str">
        <f t="shared" si="21"/>
        <v>Usine</v>
      </c>
      <c r="L1369" s="35" t="str">
        <f>_xlfn.XLOOKUP(mvtst[[#This Row],[Sous Traitant]],coordonnee_st[Identification],coordonnee_st[SERVICE],"Non Trouvé")</f>
        <v>Frange</v>
      </c>
      <c r="M1369" s="35" t="str">
        <f>INDEX(_xlfn.TEXTSPLIT(mvtst[[#This Row],[QR Suivis]],"_"),1,2)</f>
        <v>CL00884</v>
      </c>
      <c r="N1369" s="35" t="str">
        <f>INDEX(_xlfn.TEXTSPLIT(mvtst[[#This Row],[QR Suivis]],"_"),1,3)</f>
        <v>CM-FT0119</v>
      </c>
      <c r="O1369" s="35" t="str">
        <f>INDEX(_xlfn.TEXTSPLIT(mvtst[[#This Row],[QR Suivis]],"_"),1,4)</f>
        <v>IB1020-B24-01</v>
      </c>
      <c r="P1369" s="35" t="str">
        <f>INDEX(_xlfn.TEXTSPLIT(mvtst[[#This Row],[QR Suivis]],"_"),1,5)</f>
        <v>IBIZA</v>
      </c>
      <c r="Q1369" s="35" t="str">
        <f>_xlfn.TEXTAFTER(mvtst[[#This Row],[QR Suivis]],"_",5)</f>
        <v>1020</v>
      </c>
      <c r="R1369" s="84" t="str">
        <f>IF(
   COUNTIFS($A$2:A1369,A1369,
             $B$2:B1369,B1369,
             $C$2:C1369,C1369,
             $D$2:D1369,D1369,
             $G$2:G1369,G1369)&gt;1,
   "Doublon",
   "Correcte"
)</f>
        <v>Correcte</v>
      </c>
    </row>
    <row r="1370" spans="1:18" x14ac:dyDescent="0.25">
      <c r="A1370" s="104" t="s">
        <v>2022</v>
      </c>
      <c r="B1370" s="35" t="s">
        <v>596</v>
      </c>
      <c r="C1370" s="36">
        <v>5</v>
      </c>
      <c r="D1370" s="36">
        <v>0</v>
      </c>
      <c r="E1370" s="35" t="s">
        <v>699</v>
      </c>
      <c r="F1370" s="35" t="s">
        <v>634</v>
      </c>
      <c r="G1370" s="37">
        <v>45938.583726851852</v>
      </c>
      <c r="H1370" s="37" t="str">
        <f>INDEX(_xlfn.TEXTSPLIT(mvtst[[#This Row],[QR Suivis]],"_"),1,1)</f>
        <v>OF249782-13</v>
      </c>
      <c r="I1370" s="35" t="str">
        <f>_xlfn.TEXTBEFORE(mvtst[[#This Row],[Num Suivis]],"-",,,1)</f>
        <v>OF249782</v>
      </c>
      <c r="J1370" s="36">
        <f>SUMIF(mvtst[QR Suivis],mvtst[[#This Row],[QR Suivis]],mvtst[QTE SORTIS])-SUMIF(mvtst[QR Suivis],mvtst[[#This Row],[QR Suivis]],mvtst[QTE RETOUR])</f>
        <v>0</v>
      </c>
      <c r="K1370" s="35" t="str">
        <f t="shared" si="21"/>
        <v>Usine</v>
      </c>
      <c r="L1370" s="35" t="str">
        <f>_xlfn.XLOOKUP(mvtst[[#This Row],[Sous Traitant]],coordonnee_st[Identification],coordonnee_st[SERVICE],"Non Trouvé")</f>
        <v>Frange</v>
      </c>
      <c r="M1370" s="35" t="str">
        <f>INDEX(_xlfn.TEXTSPLIT(mvtst[[#This Row],[QR Suivis]],"_"),1,2)</f>
        <v>CL00884</v>
      </c>
      <c r="N1370" s="35" t="str">
        <f>INDEX(_xlfn.TEXTSPLIT(mvtst[[#This Row],[QR Suivis]],"_"),1,3)</f>
        <v>CM-FT0119</v>
      </c>
      <c r="O1370" s="35" t="str">
        <f>INDEX(_xlfn.TEXTSPLIT(mvtst[[#This Row],[QR Suivis]],"_"),1,4)</f>
        <v>IB1020-B24-01</v>
      </c>
      <c r="P1370" s="35" t="str">
        <f>INDEX(_xlfn.TEXTSPLIT(mvtst[[#This Row],[QR Suivis]],"_"),1,5)</f>
        <v>IBIZA</v>
      </c>
      <c r="Q1370" s="35" t="str">
        <f>_xlfn.TEXTAFTER(mvtst[[#This Row],[QR Suivis]],"_",5)</f>
        <v>1020</v>
      </c>
      <c r="R1370" s="84" t="str">
        <f>IF(
   COUNTIFS($A$2:A1370,A1370,
             $B$2:B1370,B1370,
             $C$2:C1370,C1370,
             $D$2:D1370,D1370,
             $G$2:G1370,G1370)&gt;1,
   "Doublon",
   "Correcte"
)</f>
        <v>Correcte</v>
      </c>
    </row>
    <row r="1371" spans="1:18" x14ac:dyDescent="0.25">
      <c r="A1371" s="104" t="s">
        <v>2023</v>
      </c>
      <c r="B1371" s="35" t="s">
        <v>596</v>
      </c>
      <c r="C1371" s="36">
        <v>5</v>
      </c>
      <c r="D1371" s="36">
        <v>0</v>
      </c>
      <c r="E1371" s="35" t="s">
        <v>699</v>
      </c>
      <c r="F1371" s="35" t="s">
        <v>634</v>
      </c>
      <c r="G1371" s="37">
        <v>45938.584016203706</v>
      </c>
      <c r="H1371" s="37" t="str">
        <f>INDEX(_xlfn.TEXTSPLIT(mvtst[[#This Row],[QR Suivis]],"_"),1,1)</f>
        <v>OF249782-10</v>
      </c>
      <c r="I1371" s="35" t="str">
        <f>_xlfn.TEXTBEFORE(mvtst[[#This Row],[Num Suivis]],"-",,,1)</f>
        <v>OF249782</v>
      </c>
      <c r="J1371" s="36">
        <f>SUMIF(mvtst[QR Suivis],mvtst[[#This Row],[QR Suivis]],mvtst[QTE SORTIS])-SUMIF(mvtst[QR Suivis],mvtst[[#This Row],[QR Suivis]],mvtst[QTE RETOUR])</f>
        <v>0</v>
      </c>
      <c r="K1371" s="35" t="str">
        <f t="shared" si="21"/>
        <v>Usine</v>
      </c>
      <c r="L1371" s="35" t="str">
        <f>_xlfn.XLOOKUP(mvtst[[#This Row],[Sous Traitant]],coordonnee_st[Identification],coordonnee_st[SERVICE],"Non Trouvé")</f>
        <v>Frange</v>
      </c>
      <c r="M1371" s="35" t="str">
        <f>INDEX(_xlfn.TEXTSPLIT(mvtst[[#This Row],[QR Suivis]],"_"),1,2)</f>
        <v>CL00884</v>
      </c>
      <c r="N1371" s="35" t="str">
        <f>INDEX(_xlfn.TEXTSPLIT(mvtst[[#This Row],[QR Suivis]],"_"),1,3)</f>
        <v>CM-FT0119</v>
      </c>
      <c r="O1371" s="35" t="str">
        <f>INDEX(_xlfn.TEXTSPLIT(mvtst[[#This Row],[QR Suivis]],"_"),1,4)</f>
        <v>IB1020-B24-01</v>
      </c>
      <c r="P1371" s="35" t="str">
        <f>INDEX(_xlfn.TEXTSPLIT(mvtst[[#This Row],[QR Suivis]],"_"),1,5)</f>
        <v>IBIZA</v>
      </c>
      <c r="Q1371" s="35" t="str">
        <f>_xlfn.TEXTAFTER(mvtst[[#This Row],[QR Suivis]],"_",5)</f>
        <v>1020</v>
      </c>
      <c r="R1371" s="84" t="str">
        <f>IF(
   COUNTIFS($A$2:A1371,A1371,
             $B$2:B1371,B1371,
             $C$2:C1371,C1371,
             $D$2:D1371,D1371,
             $G$2:G1371,G1371)&gt;1,
   "Doublon",
   "Correcte"
)</f>
        <v>Correcte</v>
      </c>
    </row>
    <row r="1372" spans="1:18" x14ac:dyDescent="0.25">
      <c r="A1372" s="104" t="s">
        <v>2024</v>
      </c>
      <c r="B1372" s="35" t="s">
        <v>596</v>
      </c>
      <c r="C1372" s="36">
        <v>5</v>
      </c>
      <c r="D1372" s="36">
        <v>0</v>
      </c>
      <c r="E1372" s="35" t="s">
        <v>699</v>
      </c>
      <c r="F1372" s="35" t="s">
        <v>634</v>
      </c>
      <c r="G1372" s="37">
        <v>45938.58457175926</v>
      </c>
      <c r="H1372" s="37" t="str">
        <f>INDEX(_xlfn.TEXTSPLIT(mvtst[[#This Row],[QR Suivis]],"_"),1,1)</f>
        <v>OF249782-11</v>
      </c>
      <c r="I1372" s="35" t="str">
        <f>_xlfn.TEXTBEFORE(mvtst[[#This Row],[Num Suivis]],"-",,,1)</f>
        <v>OF249782</v>
      </c>
      <c r="J1372" s="36">
        <f>SUMIF(mvtst[QR Suivis],mvtst[[#This Row],[QR Suivis]],mvtst[QTE SORTIS])-SUMIF(mvtst[QR Suivis],mvtst[[#This Row],[QR Suivis]],mvtst[QTE RETOUR])</f>
        <v>0</v>
      </c>
      <c r="K1372" s="35" t="str">
        <f t="shared" si="21"/>
        <v>Usine</v>
      </c>
      <c r="L1372" s="35" t="str">
        <f>_xlfn.XLOOKUP(mvtst[[#This Row],[Sous Traitant]],coordonnee_st[Identification],coordonnee_st[SERVICE],"Non Trouvé")</f>
        <v>Frange</v>
      </c>
      <c r="M1372" s="35" t="str">
        <f>INDEX(_xlfn.TEXTSPLIT(mvtst[[#This Row],[QR Suivis]],"_"),1,2)</f>
        <v>CL00884</v>
      </c>
      <c r="N1372" s="35" t="str">
        <f>INDEX(_xlfn.TEXTSPLIT(mvtst[[#This Row],[QR Suivis]],"_"),1,3)</f>
        <v>CM-FT0119</v>
      </c>
      <c r="O1372" s="35" t="str">
        <f>INDEX(_xlfn.TEXTSPLIT(mvtst[[#This Row],[QR Suivis]],"_"),1,4)</f>
        <v>IB1020-B24-01</v>
      </c>
      <c r="P1372" s="35" t="str">
        <f>INDEX(_xlfn.TEXTSPLIT(mvtst[[#This Row],[QR Suivis]],"_"),1,5)</f>
        <v>IBIZA</v>
      </c>
      <c r="Q1372" s="35" t="str">
        <f>_xlfn.TEXTAFTER(mvtst[[#This Row],[QR Suivis]],"_",5)</f>
        <v>1020</v>
      </c>
      <c r="R1372" s="84" t="str">
        <f>IF(
   COUNTIFS($A$2:A1372,A1372,
             $B$2:B1372,B1372,
             $C$2:C1372,C1372,
             $D$2:D1372,D1372,
             $G$2:G1372,G1372)&gt;1,
   "Doublon",
   "Correcte"
)</f>
        <v>Correcte</v>
      </c>
    </row>
    <row r="1373" spans="1:18" x14ac:dyDescent="0.25">
      <c r="A1373" s="104" t="s">
        <v>2025</v>
      </c>
      <c r="B1373" s="35" t="s">
        <v>596</v>
      </c>
      <c r="C1373" s="36">
        <v>5</v>
      </c>
      <c r="D1373" s="36">
        <v>0</v>
      </c>
      <c r="E1373" s="35" t="s">
        <v>699</v>
      </c>
      <c r="F1373" s="35" t="s">
        <v>634</v>
      </c>
      <c r="G1373" s="37">
        <v>45938.584756944445</v>
      </c>
      <c r="H1373" s="37" t="str">
        <f>INDEX(_xlfn.TEXTSPLIT(mvtst[[#This Row],[QR Suivis]],"_"),1,1)</f>
        <v>OF249782-15</v>
      </c>
      <c r="I1373" s="35" t="str">
        <f>_xlfn.TEXTBEFORE(mvtst[[#This Row],[Num Suivis]],"-",,,1)</f>
        <v>OF249782</v>
      </c>
      <c r="J1373" s="36">
        <f>SUMIF(mvtst[QR Suivis],mvtst[[#This Row],[QR Suivis]],mvtst[QTE SORTIS])-SUMIF(mvtst[QR Suivis],mvtst[[#This Row],[QR Suivis]],mvtst[QTE RETOUR])</f>
        <v>5</v>
      </c>
      <c r="K1373" s="35" t="str">
        <f t="shared" si="21"/>
        <v>Usine</v>
      </c>
      <c r="L1373" s="35" t="str">
        <f>_xlfn.XLOOKUP(mvtst[[#This Row],[Sous Traitant]],coordonnee_st[Identification],coordonnee_st[SERVICE],"Non Trouvé")</f>
        <v>Frange</v>
      </c>
      <c r="M1373" s="35" t="str">
        <f>INDEX(_xlfn.TEXTSPLIT(mvtst[[#This Row],[QR Suivis]],"_"),1,2)</f>
        <v>CL00884</v>
      </c>
      <c r="N1373" s="35" t="str">
        <f>INDEX(_xlfn.TEXTSPLIT(mvtst[[#This Row],[QR Suivis]],"_"),1,3)</f>
        <v>CM-FT0119</v>
      </c>
      <c r="O1373" s="35" t="str">
        <f>INDEX(_xlfn.TEXTSPLIT(mvtst[[#This Row],[QR Suivis]],"_"),1,4)</f>
        <v>IB1020-B24-01</v>
      </c>
      <c r="P1373" s="35" t="str">
        <f>INDEX(_xlfn.TEXTSPLIT(mvtst[[#This Row],[QR Suivis]],"_"),1,5)</f>
        <v>IBIZA</v>
      </c>
      <c r="Q1373" s="35" t="str">
        <f>_xlfn.TEXTAFTER(mvtst[[#This Row],[QR Suivis]],"_",5)</f>
        <v>1020</v>
      </c>
      <c r="R1373" s="84" t="str">
        <f>IF(
   COUNTIFS($A$2:A1373,A1373,
             $B$2:B1373,B1373,
             $C$2:C1373,C1373,
             $D$2:D1373,D1373,
             $G$2:G1373,G1373)&gt;1,
   "Doublon",
   "Correcte"
)</f>
        <v>Correcte</v>
      </c>
    </row>
    <row r="1374" spans="1:18" x14ac:dyDescent="0.25">
      <c r="A1374" s="104" t="s">
        <v>2026</v>
      </c>
      <c r="B1374" s="35" t="s">
        <v>596</v>
      </c>
      <c r="C1374" s="36">
        <v>5</v>
      </c>
      <c r="D1374" s="36">
        <v>0</v>
      </c>
      <c r="E1374" s="35" t="s">
        <v>699</v>
      </c>
      <c r="F1374" s="35" t="s">
        <v>634</v>
      </c>
      <c r="G1374" s="37">
        <v>45938.58494212963</v>
      </c>
      <c r="H1374" s="37" t="str">
        <f>INDEX(_xlfn.TEXTSPLIT(mvtst[[#This Row],[QR Suivis]],"_"),1,1)</f>
        <v>OF249782-18</v>
      </c>
      <c r="I1374" s="35" t="str">
        <f>_xlfn.TEXTBEFORE(mvtst[[#This Row],[Num Suivis]],"-",,,1)</f>
        <v>OF249782</v>
      </c>
      <c r="J1374" s="36">
        <f>SUMIF(mvtst[QR Suivis],mvtst[[#This Row],[QR Suivis]],mvtst[QTE SORTIS])-SUMIF(mvtst[QR Suivis],mvtst[[#This Row],[QR Suivis]],mvtst[QTE RETOUR])</f>
        <v>0</v>
      </c>
      <c r="K1374" s="35" t="str">
        <f t="shared" si="21"/>
        <v>Usine</v>
      </c>
      <c r="L1374" s="35" t="str">
        <f>_xlfn.XLOOKUP(mvtst[[#This Row],[Sous Traitant]],coordonnee_st[Identification],coordonnee_st[SERVICE],"Non Trouvé")</f>
        <v>Frange</v>
      </c>
      <c r="M1374" s="35" t="str">
        <f>INDEX(_xlfn.TEXTSPLIT(mvtst[[#This Row],[QR Suivis]],"_"),1,2)</f>
        <v>CL00884</v>
      </c>
      <c r="N1374" s="35" t="str">
        <f>INDEX(_xlfn.TEXTSPLIT(mvtst[[#This Row],[QR Suivis]],"_"),1,3)</f>
        <v>CM-FT0119</v>
      </c>
      <c r="O1374" s="35" t="str">
        <f>INDEX(_xlfn.TEXTSPLIT(mvtst[[#This Row],[QR Suivis]],"_"),1,4)</f>
        <v>IB1020-B24-01</v>
      </c>
      <c r="P1374" s="35" t="str">
        <f>INDEX(_xlfn.TEXTSPLIT(mvtst[[#This Row],[QR Suivis]],"_"),1,5)</f>
        <v>IBIZA</v>
      </c>
      <c r="Q1374" s="35" t="str">
        <f>_xlfn.TEXTAFTER(mvtst[[#This Row],[QR Suivis]],"_",5)</f>
        <v>1020</v>
      </c>
      <c r="R1374" s="84" t="str">
        <f>IF(
   COUNTIFS($A$2:A1374,A1374,
             $B$2:B1374,B1374,
             $C$2:C1374,C1374,
             $D$2:D1374,D1374,
             $G$2:G1374,G1374)&gt;1,
   "Doublon",
   "Correcte"
)</f>
        <v>Correcte</v>
      </c>
    </row>
    <row r="1375" spans="1:18" x14ac:dyDescent="0.25">
      <c r="A1375" s="104" t="s">
        <v>2027</v>
      </c>
      <c r="B1375" s="35" t="s">
        <v>596</v>
      </c>
      <c r="C1375" s="36">
        <v>5</v>
      </c>
      <c r="D1375" s="36">
        <v>0</v>
      </c>
      <c r="E1375" s="35" t="s">
        <v>699</v>
      </c>
      <c r="F1375" s="35" t="s">
        <v>634</v>
      </c>
      <c r="G1375" s="37">
        <v>45938.585150462961</v>
      </c>
      <c r="H1375" s="37" t="str">
        <f>INDEX(_xlfn.TEXTSPLIT(mvtst[[#This Row],[QR Suivis]],"_"),1,1)</f>
        <v>OF249782-20</v>
      </c>
      <c r="I1375" s="35" t="str">
        <f>_xlfn.TEXTBEFORE(mvtst[[#This Row],[Num Suivis]],"-",,,1)</f>
        <v>OF249782</v>
      </c>
      <c r="J1375" s="36">
        <f>SUMIF(mvtst[QR Suivis],mvtst[[#This Row],[QR Suivis]],mvtst[QTE SORTIS])-SUMIF(mvtst[QR Suivis],mvtst[[#This Row],[QR Suivis]],mvtst[QTE RETOUR])</f>
        <v>0</v>
      </c>
      <c r="K1375" s="35" t="str">
        <f t="shared" si="21"/>
        <v>Usine</v>
      </c>
      <c r="L1375" s="35" t="str">
        <f>_xlfn.XLOOKUP(mvtst[[#This Row],[Sous Traitant]],coordonnee_st[Identification],coordonnee_st[SERVICE],"Non Trouvé")</f>
        <v>Frange</v>
      </c>
      <c r="M1375" s="35" t="str">
        <f>INDEX(_xlfn.TEXTSPLIT(mvtst[[#This Row],[QR Suivis]],"_"),1,2)</f>
        <v>CL00884</v>
      </c>
      <c r="N1375" s="35" t="str">
        <f>INDEX(_xlfn.TEXTSPLIT(mvtst[[#This Row],[QR Suivis]],"_"),1,3)</f>
        <v>CM-FT0119</v>
      </c>
      <c r="O1375" s="35" t="str">
        <f>INDEX(_xlfn.TEXTSPLIT(mvtst[[#This Row],[QR Suivis]],"_"),1,4)</f>
        <v>IB1020-B24-01</v>
      </c>
      <c r="P1375" s="35" t="str">
        <f>INDEX(_xlfn.TEXTSPLIT(mvtst[[#This Row],[QR Suivis]],"_"),1,5)</f>
        <v>IBIZA</v>
      </c>
      <c r="Q1375" s="35" t="str">
        <f>_xlfn.TEXTAFTER(mvtst[[#This Row],[QR Suivis]],"_",5)</f>
        <v>1020</v>
      </c>
      <c r="R1375" s="84" t="str">
        <f>IF(
   COUNTIFS($A$2:A1375,A1375,
             $B$2:B1375,B1375,
             $C$2:C1375,C1375,
             $D$2:D1375,D1375,
             $G$2:G1375,G1375)&gt;1,
   "Doublon",
   "Correcte"
)</f>
        <v>Correcte</v>
      </c>
    </row>
    <row r="1376" spans="1:18" x14ac:dyDescent="0.25">
      <c r="A1376" s="104" t="s">
        <v>2028</v>
      </c>
      <c r="B1376" s="35" t="s">
        <v>596</v>
      </c>
      <c r="C1376" s="36">
        <v>5</v>
      </c>
      <c r="D1376" s="36">
        <v>0</v>
      </c>
      <c r="E1376" s="35" t="s">
        <v>699</v>
      </c>
      <c r="F1376" s="35" t="s">
        <v>634</v>
      </c>
      <c r="G1376" s="37">
        <v>45938.585335648146</v>
      </c>
      <c r="H1376" s="37" t="str">
        <f>INDEX(_xlfn.TEXTSPLIT(mvtst[[#This Row],[QR Suivis]],"_"),1,1)</f>
        <v>OF249782-14</v>
      </c>
      <c r="I1376" s="35" t="str">
        <f>_xlfn.TEXTBEFORE(mvtst[[#This Row],[Num Suivis]],"-",,,1)</f>
        <v>OF249782</v>
      </c>
      <c r="J1376" s="36">
        <f>SUMIF(mvtst[QR Suivis],mvtst[[#This Row],[QR Suivis]],mvtst[QTE SORTIS])-SUMIF(mvtst[QR Suivis],mvtst[[#This Row],[QR Suivis]],mvtst[QTE RETOUR])</f>
        <v>0</v>
      </c>
      <c r="K1376" s="35" t="str">
        <f t="shared" si="21"/>
        <v>Usine</v>
      </c>
      <c r="L1376" s="35" t="str">
        <f>_xlfn.XLOOKUP(mvtst[[#This Row],[Sous Traitant]],coordonnee_st[Identification],coordonnee_st[SERVICE],"Non Trouvé")</f>
        <v>Frange</v>
      </c>
      <c r="M1376" s="35" t="str">
        <f>INDEX(_xlfn.TEXTSPLIT(mvtst[[#This Row],[QR Suivis]],"_"),1,2)</f>
        <v>CL00884</v>
      </c>
      <c r="N1376" s="35" t="str">
        <f>INDEX(_xlfn.TEXTSPLIT(mvtst[[#This Row],[QR Suivis]],"_"),1,3)</f>
        <v>CM-FT0119</v>
      </c>
      <c r="O1376" s="35" t="str">
        <f>INDEX(_xlfn.TEXTSPLIT(mvtst[[#This Row],[QR Suivis]],"_"),1,4)</f>
        <v>IB1020-B24-01</v>
      </c>
      <c r="P1376" s="35" t="str">
        <f>INDEX(_xlfn.TEXTSPLIT(mvtst[[#This Row],[QR Suivis]],"_"),1,5)</f>
        <v>IBIZA</v>
      </c>
      <c r="Q1376" s="35" t="str">
        <f>_xlfn.TEXTAFTER(mvtst[[#This Row],[QR Suivis]],"_",5)</f>
        <v>1020</v>
      </c>
      <c r="R1376" s="84" t="str">
        <f>IF(
   COUNTIFS($A$2:A1376,A1376,
             $B$2:B1376,B1376,
             $C$2:C1376,C1376,
             $D$2:D1376,D1376,
             $G$2:G1376,G1376)&gt;1,
   "Doublon",
   "Correcte"
)</f>
        <v>Correcte</v>
      </c>
    </row>
    <row r="1377" spans="1:18" x14ac:dyDescent="0.25">
      <c r="A1377" s="104" t="s">
        <v>2029</v>
      </c>
      <c r="B1377" s="35" t="s">
        <v>596</v>
      </c>
      <c r="C1377" s="36">
        <v>5</v>
      </c>
      <c r="D1377" s="36">
        <v>0</v>
      </c>
      <c r="E1377" s="35" t="s">
        <v>699</v>
      </c>
      <c r="F1377" s="35" t="s">
        <v>634</v>
      </c>
      <c r="G1377" s="37">
        <v>45938.585520833331</v>
      </c>
      <c r="H1377" s="37" t="str">
        <f>INDEX(_xlfn.TEXTSPLIT(mvtst[[#This Row],[QR Suivis]],"_"),1,1)</f>
        <v>OF249809-1</v>
      </c>
      <c r="I1377" s="35" t="str">
        <f>_xlfn.TEXTBEFORE(mvtst[[#This Row],[Num Suivis]],"-",,,1)</f>
        <v>OF249809</v>
      </c>
      <c r="J1377" s="36">
        <f>SUMIF(mvtst[QR Suivis],mvtst[[#This Row],[QR Suivis]],mvtst[QTE SORTIS])-SUMIF(mvtst[QR Suivis],mvtst[[#This Row],[QR Suivis]],mvtst[QTE RETOUR])</f>
        <v>5</v>
      </c>
      <c r="K1377" s="35" t="str">
        <f t="shared" si="21"/>
        <v>Usine</v>
      </c>
      <c r="L1377" s="35" t="str">
        <f>_xlfn.XLOOKUP(mvtst[[#This Row],[Sous Traitant]],coordonnee_st[Identification],coordonnee_st[SERVICE],"Non Trouvé")</f>
        <v>Frange</v>
      </c>
      <c r="M1377" s="35" t="str">
        <f>INDEX(_xlfn.TEXTSPLIT(mvtst[[#This Row],[QR Suivis]],"_"),1,2)</f>
        <v>CL00884</v>
      </c>
      <c r="N1377" s="35" t="str">
        <f>INDEX(_xlfn.TEXTSPLIT(mvtst[[#This Row],[QR Suivis]],"_"),1,3)</f>
        <v>CM-FT0119</v>
      </c>
      <c r="O1377" s="35" t="str">
        <f>INDEX(_xlfn.TEXTSPLIT(mvtst[[#This Row],[QR Suivis]],"_"),1,4)</f>
        <v>IS1020-B14-01</v>
      </c>
      <c r="P1377" s="35" t="str">
        <f>INDEX(_xlfn.TEXTSPLIT(mvtst[[#This Row],[QR Suivis]],"_"),1,5)</f>
        <v>ISTANBUL</v>
      </c>
      <c r="Q1377" s="35" t="str">
        <f>_xlfn.TEXTAFTER(mvtst[[#This Row],[QR Suivis]],"_",5)</f>
        <v>1020</v>
      </c>
      <c r="R1377" s="84" t="str">
        <f>IF(
   COUNTIFS($A$2:A1377,A1377,
             $B$2:B1377,B1377,
             $C$2:C1377,C1377,
             $D$2:D1377,D1377,
             $G$2:G1377,G1377)&gt;1,
   "Doublon",
   "Correcte"
)</f>
        <v>Correcte</v>
      </c>
    </row>
    <row r="1378" spans="1:18" x14ac:dyDescent="0.25">
      <c r="A1378" s="104" t="s">
        <v>2030</v>
      </c>
      <c r="B1378" s="35" t="s">
        <v>596</v>
      </c>
      <c r="C1378" s="36">
        <v>5</v>
      </c>
      <c r="D1378" s="36">
        <v>0</v>
      </c>
      <c r="E1378" s="35" t="s">
        <v>699</v>
      </c>
      <c r="F1378" s="35" t="s">
        <v>634</v>
      </c>
      <c r="G1378" s="37">
        <v>45938.585763888892</v>
      </c>
      <c r="H1378" s="37" t="str">
        <f>INDEX(_xlfn.TEXTSPLIT(mvtst[[#This Row],[QR Suivis]],"_"),1,1)</f>
        <v>OF249809-13</v>
      </c>
      <c r="I1378" s="35" t="str">
        <f>_xlfn.TEXTBEFORE(mvtst[[#This Row],[Num Suivis]],"-",,,1)</f>
        <v>OF249809</v>
      </c>
      <c r="J1378" s="36">
        <f>SUMIF(mvtst[QR Suivis],mvtst[[#This Row],[QR Suivis]],mvtst[QTE SORTIS])-SUMIF(mvtst[QR Suivis],mvtst[[#This Row],[QR Suivis]],mvtst[QTE RETOUR])</f>
        <v>0</v>
      </c>
      <c r="K1378" s="35" t="str">
        <f t="shared" si="21"/>
        <v>Usine</v>
      </c>
      <c r="L1378" s="35" t="str">
        <f>_xlfn.XLOOKUP(mvtst[[#This Row],[Sous Traitant]],coordonnee_st[Identification],coordonnee_st[SERVICE],"Non Trouvé")</f>
        <v>Frange</v>
      </c>
      <c r="M1378" s="35" t="str">
        <f>INDEX(_xlfn.TEXTSPLIT(mvtst[[#This Row],[QR Suivis]],"_"),1,2)</f>
        <v>CL00884</v>
      </c>
      <c r="N1378" s="35" t="str">
        <f>INDEX(_xlfn.TEXTSPLIT(mvtst[[#This Row],[QR Suivis]],"_"),1,3)</f>
        <v>CM-FT0119</v>
      </c>
      <c r="O1378" s="35" t="str">
        <f>INDEX(_xlfn.TEXTSPLIT(mvtst[[#This Row],[QR Suivis]],"_"),1,4)</f>
        <v>IS1020-B14-01</v>
      </c>
      <c r="P1378" s="35" t="str">
        <f>INDEX(_xlfn.TEXTSPLIT(mvtst[[#This Row],[QR Suivis]],"_"),1,5)</f>
        <v>ISTANBUL</v>
      </c>
      <c r="Q1378" s="35" t="str">
        <f>_xlfn.TEXTAFTER(mvtst[[#This Row],[QR Suivis]],"_",5)</f>
        <v>1020</v>
      </c>
      <c r="R1378" s="84" t="str">
        <f>IF(
   COUNTIFS($A$2:A1378,A1378,
             $B$2:B1378,B1378,
             $C$2:C1378,C1378,
             $D$2:D1378,D1378,
             $G$2:G1378,G1378)&gt;1,
   "Doublon",
   "Correcte"
)</f>
        <v>Correcte</v>
      </c>
    </row>
    <row r="1379" spans="1:18" x14ac:dyDescent="0.25">
      <c r="A1379" s="104" t="s">
        <v>2031</v>
      </c>
      <c r="B1379" s="35" t="s">
        <v>596</v>
      </c>
      <c r="C1379" s="36">
        <v>5</v>
      </c>
      <c r="D1379" s="36">
        <v>0</v>
      </c>
      <c r="E1379" s="35" t="s">
        <v>699</v>
      </c>
      <c r="F1379" s="35" t="s">
        <v>634</v>
      </c>
      <c r="G1379" s="37">
        <v>45938.585949074077</v>
      </c>
      <c r="H1379" s="37" t="str">
        <f>INDEX(_xlfn.TEXTSPLIT(mvtst[[#This Row],[QR Suivis]],"_"),1,1)</f>
        <v>OF249809-5</v>
      </c>
      <c r="I1379" s="35" t="str">
        <f>_xlfn.TEXTBEFORE(mvtst[[#This Row],[Num Suivis]],"-",,,1)</f>
        <v>OF249809</v>
      </c>
      <c r="J1379" s="36">
        <f>SUMIF(mvtst[QR Suivis],mvtst[[#This Row],[QR Suivis]],mvtst[QTE SORTIS])-SUMIF(mvtst[QR Suivis],mvtst[[#This Row],[QR Suivis]],mvtst[QTE RETOUR])</f>
        <v>0</v>
      </c>
      <c r="K1379" s="35" t="str">
        <f t="shared" si="21"/>
        <v>Usine</v>
      </c>
      <c r="L1379" s="35" t="str">
        <f>_xlfn.XLOOKUP(mvtst[[#This Row],[Sous Traitant]],coordonnee_st[Identification],coordonnee_st[SERVICE],"Non Trouvé")</f>
        <v>Frange</v>
      </c>
      <c r="M1379" s="35" t="str">
        <f>INDEX(_xlfn.TEXTSPLIT(mvtst[[#This Row],[QR Suivis]],"_"),1,2)</f>
        <v>CL00884</v>
      </c>
      <c r="N1379" s="35" t="str">
        <f>INDEX(_xlfn.TEXTSPLIT(mvtst[[#This Row],[QR Suivis]],"_"),1,3)</f>
        <v>CM-FT0119</v>
      </c>
      <c r="O1379" s="35" t="str">
        <f>INDEX(_xlfn.TEXTSPLIT(mvtst[[#This Row],[QR Suivis]],"_"),1,4)</f>
        <v>IS1020-B14-01</v>
      </c>
      <c r="P1379" s="35" t="str">
        <f>INDEX(_xlfn.TEXTSPLIT(mvtst[[#This Row],[QR Suivis]],"_"),1,5)</f>
        <v>ISTANBUL</v>
      </c>
      <c r="Q1379" s="35" t="str">
        <f>_xlfn.TEXTAFTER(mvtst[[#This Row],[QR Suivis]],"_",5)</f>
        <v>1020</v>
      </c>
      <c r="R1379" s="84" t="str">
        <f>IF(
   COUNTIFS($A$2:A1379,A1379,
             $B$2:B1379,B1379,
             $C$2:C1379,C1379,
             $D$2:D1379,D1379,
             $G$2:G1379,G1379)&gt;1,
   "Doublon",
   "Correcte"
)</f>
        <v>Correcte</v>
      </c>
    </row>
    <row r="1380" spans="1:18" x14ac:dyDescent="0.25">
      <c r="A1380" s="104" t="s">
        <v>2032</v>
      </c>
      <c r="B1380" s="35" t="s">
        <v>596</v>
      </c>
      <c r="C1380" s="36">
        <v>5</v>
      </c>
      <c r="D1380" s="36">
        <v>0</v>
      </c>
      <c r="E1380" s="35" t="s">
        <v>699</v>
      </c>
      <c r="F1380" s="35" t="s">
        <v>634</v>
      </c>
      <c r="G1380" s="37">
        <v>45938.586180555554</v>
      </c>
      <c r="H1380" s="37" t="str">
        <f>INDEX(_xlfn.TEXTSPLIT(mvtst[[#This Row],[QR Suivis]],"_"),1,1)</f>
        <v>OF249809-8</v>
      </c>
      <c r="I1380" s="35" t="str">
        <f>_xlfn.TEXTBEFORE(mvtst[[#This Row],[Num Suivis]],"-",,,1)</f>
        <v>OF249809</v>
      </c>
      <c r="J1380" s="36">
        <f>SUMIF(mvtst[QR Suivis],mvtst[[#This Row],[QR Suivis]],mvtst[QTE SORTIS])-SUMIF(mvtst[QR Suivis],mvtst[[#This Row],[QR Suivis]],mvtst[QTE RETOUR])</f>
        <v>0</v>
      </c>
      <c r="K1380" s="35" t="str">
        <f t="shared" si="21"/>
        <v>Usine</v>
      </c>
      <c r="L1380" s="35" t="str">
        <f>_xlfn.XLOOKUP(mvtst[[#This Row],[Sous Traitant]],coordonnee_st[Identification],coordonnee_st[SERVICE],"Non Trouvé")</f>
        <v>Frange</v>
      </c>
      <c r="M1380" s="35" t="str">
        <f>INDEX(_xlfn.TEXTSPLIT(mvtst[[#This Row],[QR Suivis]],"_"),1,2)</f>
        <v>CL00884</v>
      </c>
      <c r="N1380" s="35" t="str">
        <f>INDEX(_xlfn.TEXTSPLIT(mvtst[[#This Row],[QR Suivis]],"_"),1,3)</f>
        <v>CM-FT0119</v>
      </c>
      <c r="O1380" s="35" t="str">
        <f>INDEX(_xlfn.TEXTSPLIT(mvtst[[#This Row],[QR Suivis]],"_"),1,4)</f>
        <v>IS1020-B14-01</v>
      </c>
      <c r="P1380" s="35" t="str">
        <f>INDEX(_xlfn.TEXTSPLIT(mvtst[[#This Row],[QR Suivis]],"_"),1,5)</f>
        <v>ISTANBUL</v>
      </c>
      <c r="Q1380" s="35" t="str">
        <f>_xlfn.TEXTAFTER(mvtst[[#This Row],[QR Suivis]],"_",5)</f>
        <v>1020</v>
      </c>
      <c r="R1380" s="84" t="str">
        <f>IF(
   COUNTIFS($A$2:A1380,A1380,
             $B$2:B1380,B1380,
             $C$2:C1380,C1380,
             $D$2:D1380,D1380,
             $G$2:G1380,G1380)&gt;1,
   "Doublon",
   "Correcte"
)</f>
        <v>Correcte</v>
      </c>
    </row>
    <row r="1381" spans="1:18" x14ac:dyDescent="0.25">
      <c r="A1381" s="104" t="s">
        <v>2033</v>
      </c>
      <c r="B1381" s="35" t="s">
        <v>596</v>
      </c>
      <c r="C1381" s="36">
        <v>5</v>
      </c>
      <c r="D1381" s="36">
        <v>0</v>
      </c>
      <c r="E1381" s="35" t="s">
        <v>699</v>
      </c>
      <c r="F1381" s="35" t="s">
        <v>634</v>
      </c>
      <c r="G1381" s="37">
        <v>45938.586388888885</v>
      </c>
      <c r="H1381" s="37" t="str">
        <f>INDEX(_xlfn.TEXTSPLIT(mvtst[[#This Row],[QR Suivis]],"_"),1,1)</f>
        <v>OF249809-14</v>
      </c>
      <c r="I1381" s="35" t="str">
        <f>_xlfn.TEXTBEFORE(mvtst[[#This Row],[Num Suivis]],"-",,,1)</f>
        <v>OF249809</v>
      </c>
      <c r="J1381" s="36">
        <f>SUMIF(mvtst[QR Suivis],mvtst[[#This Row],[QR Suivis]],mvtst[QTE SORTIS])-SUMIF(mvtst[QR Suivis],mvtst[[#This Row],[QR Suivis]],mvtst[QTE RETOUR])</f>
        <v>0</v>
      </c>
      <c r="K1381" s="35" t="str">
        <f t="shared" si="21"/>
        <v>Usine</v>
      </c>
      <c r="L1381" s="35" t="str">
        <f>_xlfn.XLOOKUP(mvtst[[#This Row],[Sous Traitant]],coordonnee_st[Identification],coordonnee_st[SERVICE],"Non Trouvé")</f>
        <v>Frange</v>
      </c>
      <c r="M1381" s="35" t="str">
        <f>INDEX(_xlfn.TEXTSPLIT(mvtst[[#This Row],[QR Suivis]],"_"),1,2)</f>
        <v>CL00884</v>
      </c>
      <c r="N1381" s="35" t="str">
        <f>INDEX(_xlfn.TEXTSPLIT(mvtst[[#This Row],[QR Suivis]],"_"),1,3)</f>
        <v>CM-FT0119</v>
      </c>
      <c r="O1381" s="35" t="str">
        <f>INDEX(_xlfn.TEXTSPLIT(mvtst[[#This Row],[QR Suivis]],"_"),1,4)</f>
        <v>IS1020-B14-01</v>
      </c>
      <c r="P1381" s="35" t="str">
        <f>INDEX(_xlfn.TEXTSPLIT(mvtst[[#This Row],[QR Suivis]],"_"),1,5)</f>
        <v>ISTANBUL</v>
      </c>
      <c r="Q1381" s="35" t="str">
        <f>_xlfn.TEXTAFTER(mvtst[[#This Row],[QR Suivis]],"_",5)</f>
        <v>1020</v>
      </c>
      <c r="R1381" s="84" t="str">
        <f>IF(
   COUNTIFS($A$2:A1381,A1381,
             $B$2:B1381,B1381,
             $C$2:C1381,C1381,
             $D$2:D1381,D1381,
             $G$2:G1381,G1381)&gt;1,
   "Doublon",
   "Correcte"
)</f>
        <v>Correcte</v>
      </c>
    </row>
    <row r="1382" spans="1:18" x14ac:dyDescent="0.25">
      <c r="A1382" s="104" t="s">
        <v>2034</v>
      </c>
      <c r="B1382" s="35" t="s">
        <v>596</v>
      </c>
      <c r="C1382" s="36">
        <v>5</v>
      </c>
      <c r="D1382" s="36">
        <v>0</v>
      </c>
      <c r="E1382" s="35" t="s">
        <v>699</v>
      </c>
      <c r="F1382" s="35" t="s">
        <v>634</v>
      </c>
      <c r="G1382" s="37">
        <v>45938.586608796293</v>
      </c>
      <c r="H1382" s="37" t="str">
        <f>INDEX(_xlfn.TEXTSPLIT(mvtst[[#This Row],[QR Suivis]],"_"),1,1)</f>
        <v>OF249809-16</v>
      </c>
      <c r="I1382" s="35" t="str">
        <f>_xlfn.TEXTBEFORE(mvtst[[#This Row],[Num Suivis]],"-",,,1)</f>
        <v>OF249809</v>
      </c>
      <c r="J1382" s="36">
        <f>SUMIF(mvtst[QR Suivis],mvtst[[#This Row],[QR Suivis]],mvtst[QTE SORTIS])-SUMIF(mvtst[QR Suivis],mvtst[[#This Row],[QR Suivis]],mvtst[QTE RETOUR])</f>
        <v>0</v>
      </c>
      <c r="K1382" s="35" t="str">
        <f t="shared" si="21"/>
        <v>Usine</v>
      </c>
      <c r="L1382" s="35" t="str">
        <f>_xlfn.XLOOKUP(mvtst[[#This Row],[Sous Traitant]],coordonnee_st[Identification],coordonnee_st[SERVICE],"Non Trouvé")</f>
        <v>Frange</v>
      </c>
      <c r="M1382" s="35" t="str">
        <f>INDEX(_xlfn.TEXTSPLIT(mvtst[[#This Row],[QR Suivis]],"_"),1,2)</f>
        <v>CL00884</v>
      </c>
      <c r="N1382" s="35" t="str">
        <f>INDEX(_xlfn.TEXTSPLIT(mvtst[[#This Row],[QR Suivis]],"_"),1,3)</f>
        <v>CM-FT0119</v>
      </c>
      <c r="O1382" s="35" t="str">
        <f>INDEX(_xlfn.TEXTSPLIT(mvtst[[#This Row],[QR Suivis]],"_"),1,4)</f>
        <v>IS1020-B14-01</v>
      </c>
      <c r="P1382" s="35" t="str">
        <f>INDEX(_xlfn.TEXTSPLIT(mvtst[[#This Row],[QR Suivis]],"_"),1,5)</f>
        <v>ISTANBUL</v>
      </c>
      <c r="Q1382" s="35" t="str">
        <f>_xlfn.TEXTAFTER(mvtst[[#This Row],[QR Suivis]],"_",5)</f>
        <v>1020</v>
      </c>
      <c r="R1382" s="84" t="str">
        <f>IF(
   COUNTIFS($A$2:A1382,A1382,
             $B$2:B1382,B1382,
             $C$2:C1382,C1382,
             $D$2:D1382,D1382,
             $G$2:G1382,G1382)&gt;1,
   "Doublon",
   "Correcte"
)</f>
        <v>Correcte</v>
      </c>
    </row>
    <row r="1383" spans="1:18" x14ac:dyDescent="0.25">
      <c r="A1383" s="104" t="s">
        <v>2035</v>
      </c>
      <c r="B1383" s="35" t="s">
        <v>596</v>
      </c>
      <c r="C1383" s="36">
        <v>5</v>
      </c>
      <c r="D1383" s="36">
        <v>0</v>
      </c>
      <c r="E1383" s="35" t="s">
        <v>699</v>
      </c>
      <c r="F1383" s="35" t="s">
        <v>634</v>
      </c>
      <c r="G1383" s="37">
        <v>45938.586805555555</v>
      </c>
      <c r="H1383" s="37" t="str">
        <f>INDEX(_xlfn.TEXTSPLIT(mvtst[[#This Row],[QR Suivis]],"_"),1,1)</f>
        <v>OF249809-15</v>
      </c>
      <c r="I1383" s="35" t="str">
        <f>_xlfn.TEXTBEFORE(mvtst[[#This Row],[Num Suivis]],"-",,,1)</f>
        <v>OF249809</v>
      </c>
      <c r="J1383" s="36">
        <f>SUMIF(mvtst[QR Suivis],mvtst[[#This Row],[QR Suivis]],mvtst[QTE SORTIS])-SUMIF(mvtst[QR Suivis],mvtst[[#This Row],[QR Suivis]],mvtst[QTE RETOUR])</f>
        <v>0</v>
      </c>
      <c r="K1383" s="35" t="str">
        <f t="shared" si="21"/>
        <v>Usine</v>
      </c>
      <c r="L1383" s="35" t="str">
        <f>_xlfn.XLOOKUP(mvtst[[#This Row],[Sous Traitant]],coordonnee_st[Identification],coordonnee_st[SERVICE],"Non Trouvé")</f>
        <v>Frange</v>
      </c>
      <c r="M1383" s="35" t="str">
        <f>INDEX(_xlfn.TEXTSPLIT(mvtst[[#This Row],[QR Suivis]],"_"),1,2)</f>
        <v>CL00884</v>
      </c>
      <c r="N1383" s="35" t="str">
        <f>INDEX(_xlfn.TEXTSPLIT(mvtst[[#This Row],[QR Suivis]],"_"),1,3)</f>
        <v>CM-FT0119</v>
      </c>
      <c r="O1383" s="35" t="str">
        <f>INDEX(_xlfn.TEXTSPLIT(mvtst[[#This Row],[QR Suivis]],"_"),1,4)</f>
        <v>IS1020-B14-01</v>
      </c>
      <c r="P1383" s="35" t="str">
        <f>INDEX(_xlfn.TEXTSPLIT(mvtst[[#This Row],[QR Suivis]],"_"),1,5)</f>
        <v>ISTANBUL</v>
      </c>
      <c r="Q1383" s="35" t="str">
        <f>_xlfn.TEXTAFTER(mvtst[[#This Row],[QR Suivis]],"_",5)</f>
        <v>1020</v>
      </c>
      <c r="R1383" s="84" t="str">
        <f>IF(
   COUNTIFS($A$2:A1383,A1383,
             $B$2:B1383,B1383,
             $C$2:C1383,C1383,
             $D$2:D1383,D1383,
             $G$2:G1383,G1383)&gt;1,
   "Doublon",
   "Correcte"
)</f>
        <v>Correcte</v>
      </c>
    </row>
    <row r="1384" spans="1:18" x14ac:dyDescent="0.25">
      <c r="A1384" s="104" t="s">
        <v>2036</v>
      </c>
      <c r="B1384" s="35" t="s">
        <v>596</v>
      </c>
      <c r="C1384" s="36">
        <v>5</v>
      </c>
      <c r="D1384" s="36">
        <v>0</v>
      </c>
      <c r="E1384" s="35" t="s">
        <v>699</v>
      </c>
      <c r="F1384" s="35" t="s">
        <v>634</v>
      </c>
      <c r="G1384" s="37">
        <v>45938.58697916667</v>
      </c>
      <c r="H1384" s="37" t="str">
        <f>INDEX(_xlfn.TEXTSPLIT(mvtst[[#This Row],[QR Suivis]],"_"),1,1)</f>
        <v>OF249809-3</v>
      </c>
      <c r="I1384" s="35" t="str">
        <f>_xlfn.TEXTBEFORE(mvtst[[#This Row],[Num Suivis]],"-",,,1)</f>
        <v>OF249809</v>
      </c>
      <c r="J1384" s="36">
        <f>SUMIF(mvtst[QR Suivis],mvtst[[#This Row],[QR Suivis]],mvtst[QTE SORTIS])-SUMIF(mvtst[QR Suivis],mvtst[[#This Row],[QR Suivis]],mvtst[QTE RETOUR])</f>
        <v>0</v>
      </c>
      <c r="K1384" s="35" t="str">
        <f t="shared" si="21"/>
        <v>Usine</v>
      </c>
      <c r="L1384" s="35" t="str">
        <f>_xlfn.XLOOKUP(mvtst[[#This Row],[Sous Traitant]],coordonnee_st[Identification],coordonnee_st[SERVICE],"Non Trouvé")</f>
        <v>Frange</v>
      </c>
      <c r="M1384" s="35" t="str">
        <f>INDEX(_xlfn.TEXTSPLIT(mvtst[[#This Row],[QR Suivis]],"_"),1,2)</f>
        <v>CL00884</v>
      </c>
      <c r="N1384" s="35" t="str">
        <f>INDEX(_xlfn.TEXTSPLIT(mvtst[[#This Row],[QR Suivis]],"_"),1,3)</f>
        <v>CM-FT0119</v>
      </c>
      <c r="O1384" s="35" t="str">
        <f>INDEX(_xlfn.TEXTSPLIT(mvtst[[#This Row],[QR Suivis]],"_"),1,4)</f>
        <v>IS1020-B14-01</v>
      </c>
      <c r="P1384" s="35" t="str">
        <f>INDEX(_xlfn.TEXTSPLIT(mvtst[[#This Row],[QR Suivis]],"_"),1,5)</f>
        <v>ISTANBUL</v>
      </c>
      <c r="Q1384" s="35" t="str">
        <f>_xlfn.TEXTAFTER(mvtst[[#This Row],[QR Suivis]],"_",5)</f>
        <v>1020</v>
      </c>
      <c r="R1384" s="84" t="str">
        <f>IF(
   COUNTIFS($A$2:A1384,A1384,
             $B$2:B1384,B1384,
             $C$2:C1384,C1384,
             $D$2:D1384,D1384,
             $G$2:G1384,G1384)&gt;1,
   "Doublon",
   "Correcte"
)</f>
        <v>Correcte</v>
      </c>
    </row>
    <row r="1385" spans="1:18" x14ac:dyDescent="0.25">
      <c r="A1385" s="104" t="s">
        <v>2037</v>
      </c>
      <c r="B1385" s="35" t="s">
        <v>596</v>
      </c>
      <c r="C1385" s="36">
        <v>5</v>
      </c>
      <c r="D1385" s="36">
        <v>0</v>
      </c>
      <c r="E1385" s="35" t="s">
        <v>699</v>
      </c>
      <c r="F1385" s="35" t="s">
        <v>634</v>
      </c>
      <c r="G1385" s="37">
        <v>45938.587210648147</v>
      </c>
      <c r="H1385" s="37" t="str">
        <f>INDEX(_xlfn.TEXTSPLIT(mvtst[[#This Row],[QR Suivis]],"_"),1,1)</f>
        <v>OF249809-7</v>
      </c>
      <c r="I1385" s="35" t="str">
        <f>_xlfn.TEXTBEFORE(mvtst[[#This Row],[Num Suivis]],"-",,,1)</f>
        <v>OF249809</v>
      </c>
      <c r="J1385" s="36">
        <f>SUMIF(mvtst[QR Suivis],mvtst[[#This Row],[QR Suivis]],mvtst[QTE SORTIS])-SUMIF(mvtst[QR Suivis],mvtst[[#This Row],[QR Suivis]],mvtst[QTE RETOUR])</f>
        <v>5</v>
      </c>
      <c r="K1385" s="35" t="str">
        <f t="shared" si="21"/>
        <v>Usine</v>
      </c>
      <c r="L1385" s="35" t="str">
        <f>_xlfn.XLOOKUP(mvtst[[#This Row],[Sous Traitant]],coordonnee_st[Identification],coordonnee_st[SERVICE],"Non Trouvé")</f>
        <v>Frange</v>
      </c>
      <c r="M1385" s="35" t="str">
        <f>INDEX(_xlfn.TEXTSPLIT(mvtst[[#This Row],[QR Suivis]],"_"),1,2)</f>
        <v>CL00884</v>
      </c>
      <c r="N1385" s="35" t="str">
        <f>INDEX(_xlfn.TEXTSPLIT(mvtst[[#This Row],[QR Suivis]],"_"),1,3)</f>
        <v>CM-FT0119</v>
      </c>
      <c r="O1385" s="35" t="str">
        <f>INDEX(_xlfn.TEXTSPLIT(mvtst[[#This Row],[QR Suivis]],"_"),1,4)</f>
        <v>IS1020-B14-01</v>
      </c>
      <c r="P1385" s="35" t="str">
        <f>INDEX(_xlfn.TEXTSPLIT(mvtst[[#This Row],[QR Suivis]],"_"),1,5)</f>
        <v>ISTANBUL</v>
      </c>
      <c r="Q1385" s="35" t="str">
        <f>_xlfn.TEXTAFTER(mvtst[[#This Row],[QR Suivis]],"_",5)</f>
        <v>1020</v>
      </c>
      <c r="R1385" s="84" t="str">
        <f>IF(
   COUNTIFS($A$2:A1385,A1385,
             $B$2:B1385,B1385,
             $C$2:C1385,C1385,
             $D$2:D1385,D1385,
             $G$2:G1385,G1385)&gt;1,
   "Doublon",
   "Correcte"
)</f>
        <v>Correcte</v>
      </c>
    </row>
    <row r="1386" spans="1:18" x14ac:dyDescent="0.25">
      <c r="A1386" s="104" t="s">
        <v>2038</v>
      </c>
      <c r="B1386" s="35" t="s">
        <v>596</v>
      </c>
      <c r="C1386" s="36">
        <v>5</v>
      </c>
      <c r="D1386" s="36">
        <v>0</v>
      </c>
      <c r="E1386" s="35" t="s">
        <v>699</v>
      </c>
      <c r="F1386" s="35" t="s">
        <v>634</v>
      </c>
      <c r="G1386" s="37">
        <v>45938.587476851855</v>
      </c>
      <c r="H1386" s="37" t="str">
        <f>INDEX(_xlfn.TEXTSPLIT(mvtst[[#This Row],[QR Suivis]],"_"),1,1)</f>
        <v>OF249809-2</v>
      </c>
      <c r="I1386" s="35" t="str">
        <f>_xlfn.TEXTBEFORE(mvtst[[#This Row],[Num Suivis]],"-",,,1)</f>
        <v>OF249809</v>
      </c>
      <c r="J1386" s="36">
        <f>SUMIF(mvtst[QR Suivis],mvtst[[#This Row],[QR Suivis]],mvtst[QTE SORTIS])-SUMIF(mvtst[QR Suivis],mvtst[[#This Row],[QR Suivis]],mvtst[QTE RETOUR])</f>
        <v>5</v>
      </c>
      <c r="K1386" s="35" t="str">
        <f t="shared" si="21"/>
        <v>Usine</v>
      </c>
      <c r="L1386" s="35" t="str">
        <f>_xlfn.XLOOKUP(mvtst[[#This Row],[Sous Traitant]],coordonnee_st[Identification],coordonnee_st[SERVICE],"Non Trouvé")</f>
        <v>Frange</v>
      </c>
      <c r="M1386" s="35" t="str">
        <f>INDEX(_xlfn.TEXTSPLIT(mvtst[[#This Row],[QR Suivis]],"_"),1,2)</f>
        <v>CL00884</v>
      </c>
      <c r="N1386" s="35" t="str">
        <f>INDEX(_xlfn.TEXTSPLIT(mvtst[[#This Row],[QR Suivis]],"_"),1,3)</f>
        <v>CM-FT0119</v>
      </c>
      <c r="O1386" s="35" t="str">
        <f>INDEX(_xlfn.TEXTSPLIT(mvtst[[#This Row],[QR Suivis]],"_"),1,4)</f>
        <v>IS1020-B14-01</v>
      </c>
      <c r="P1386" s="35" t="str">
        <f>INDEX(_xlfn.TEXTSPLIT(mvtst[[#This Row],[QR Suivis]],"_"),1,5)</f>
        <v>ISTANBUL</v>
      </c>
      <c r="Q1386" s="35" t="str">
        <f>_xlfn.TEXTAFTER(mvtst[[#This Row],[QR Suivis]],"_",5)</f>
        <v>1020</v>
      </c>
      <c r="R1386" s="84" t="str">
        <f>IF(
   COUNTIFS($A$2:A1386,A1386,
             $B$2:B1386,B1386,
             $C$2:C1386,C1386,
             $D$2:D1386,D1386,
             $G$2:G1386,G1386)&gt;1,
   "Doublon",
   "Correcte"
)</f>
        <v>Correcte</v>
      </c>
    </row>
    <row r="1387" spans="1:18" x14ac:dyDescent="0.25">
      <c r="A1387" s="104" t="s">
        <v>2039</v>
      </c>
      <c r="B1387" s="35" t="s">
        <v>596</v>
      </c>
      <c r="C1387" s="36">
        <v>5</v>
      </c>
      <c r="D1387" s="36">
        <v>0</v>
      </c>
      <c r="E1387" s="35" t="s">
        <v>699</v>
      </c>
      <c r="F1387" s="35" t="s">
        <v>634</v>
      </c>
      <c r="G1387" s="37">
        <v>45938.587638888886</v>
      </c>
      <c r="H1387" s="37" t="str">
        <f>INDEX(_xlfn.TEXTSPLIT(mvtst[[#This Row],[QR Suivis]],"_"),1,1)</f>
        <v>OF249809-6</v>
      </c>
      <c r="I1387" s="35" t="str">
        <f>_xlfn.TEXTBEFORE(mvtst[[#This Row],[Num Suivis]],"-",,,1)</f>
        <v>OF249809</v>
      </c>
      <c r="J1387" s="36">
        <f>SUMIF(mvtst[QR Suivis],mvtst[[#This Row],[QR Suivis]],mvtst[QTE SORTIS])-SUMIF(mvtst[QR Suivis],mvtst[[#This Row],[QR Suivis]],mvtst[QTE RETOUR])</f>
        <v>5</v>
      </c>
      <c r="K1387" s="35" t="str">
        <f t="shared" si="21"/>
        <v>Usine</v>
      </c>
      <c r="L1387" s="35" t="str">
        <f>_xlfn.XLOOKUP(mvtst[[#This Row],[Sous Traitant]],coordonnee_st[Identification],coordonnee_st[SERVICE],"Non Trouvé")</f>
        <v>Frange</v>
      </c>
      <c r="M1387" s="35" t="str">
        <f>INDEX(_xlfn.TEXTSPLIT(mvtst[[#This Row],[QR Suivis]],"_"),1,2)</f>
        <v>CL00884</v>
      </c>
      <c r="N1387" s="35" t="str">
        <f>INDEX(_xlfn.TEXTSPLIT(mvtst[[#This Row],[QR Suivis]],"_"),1,3)</f>
        <v>CM-FT0119</v>
      </c>
      <c r="O1387" s="35" t="str">
        <f>INDEX(_xlfn.TEXTSPLIT(mvtst[[#This Row],[QR Suivis]],"_"),1,4)</f>
        <v>IS1020-B14-01</v>
      </c>
      <c r="P1387" s="35" t="str">
        <f>INDEX(_xlfn.TEXTSPLIT(mvtst[[#This Row],[QR Suivis]],"_"),1,5)</f>
        <v>ISTANBUL</v>
      </c>
      <c r="Q1387" s="35" t="str">
        <f>_xlfn.TEXTAFTER(mvtst[[#This Row],[QR Suivis]],"_",5)</f>
        <v>1020</v>
      </c>
      <c r="R1387" s="84" t="str">
        <f>IF(
   COUNTIFS($A$2:A1387,A1387,
             $B$2:B1387,B1387,
             $C$2:C1387,C1387,
             $D$2:D1387,D1387,
             $G$2:G1387,G1387)&gt;1,
   "Doublon",
   "Correcte"
)</f>
        <v>Correcte</v>
      </c>
    </row>
    <row r="1388" spans="1:18" x14ac:dyDescent="0.25">
      <c r="A1388" s="104" t="s">
        <v>2040</v>
      </c>
      <c r="B1388" s="35" t="s">
        <v>596</v>
      </c>
      <c r="C1388" s="36">
        <v>5</v>
      </c>
      <c r="D1388" s="36">
        <v>0</v>
      </c>
      <c r="E1388" s="35" t="s">
        <v>699</v>
      </c>
      <c r="F1388" s="35" t="s">
        <v>634</v>
      </c>
      <c r="G1388" s="37">
        <v>45938.587858796294</v>
      </c>
      <c r="H1388" s="37" t="str">
        <f>INDEX(_xlfn.TEXTSPLIT(mvtst[[#This Row],[QR Suivis]],"_"),1,1)</f>
        <v>OF249809-4</v>
      </c>
      <c r="I1388" s="35" t="str">
        <f>_xlfn.TEXTBEFORE(mvtst[[#This Row],[Num Suivis]],"-",,,1)</f>
        <v>OF249809</v>
      </c>
      <c r="J1388" s="36">
        <f>SUMIF(mvtst[QR Suivis],mvtst[[#This Row],[QR Suivis]],mvtst[QTE SORTIS])-SUMIF(mvtst[QR Suivis],mvtst[[#This Row],[QR Suivis]],mvtst[QTE RETOUR])</f>
        <v>0</v>
      </c>
      <c r="K1388" s="35" t="str">
        <f t="shared" si="21"/>
        <v>Usine</v>
      </c>
      <c r="L1388" s="35" t="str">
        <f>_xlfn.XLOOKUP(mvtst[[#This Row],[Sous Traitant]],coordonnee_st[Identification],coordonnee_st[SERVICE],"Non Trouvé")</f>
        <v>Frange</v>
      </c>
      <c r="M1388" s="35" t="str">
        <f>INDEX(_xlfn.TEXTSPLIT(mvtst[[#This Row],[QR Suivis]],"_"),1,2)</f>
        <v>CL00884</v>
      </c>
      <c r="N1388" s="35" t="str">
        <f>INDEX(_xlfn.TEXTSPLIT(mvtst[[#This Row],[QR Suivis]],"_"),1,3)</f>
        <v>CM-FT0119</v>
      </c>
      <c r="O1388" s="35" t="str">
        <f>INDEX(_xlfn.TEXTSPLIT(mvtst[[#This Row],[QR Suivis]],"_"),1,4)</f>
        <v>IS1020-B14-01</v>
      </c>
      <c r="P1388" s="35" t="str">
        <f>INDEX(_xlfn.TEXTSPLIT(mvtst[[#This Row],[QR Suivis]],"_"),1,5)</f>
        <v>ISTANBUL</v>
      </c>
      <c r="Q1388" s="35" t="str">
        <f>_xlfn.TEXTAFTER(mvtst[[#This Row],[QR Suivis]],"_",5)</f>
        <v>1020</v>
      </c>
      <c r="R1388" s="84" t="str">
        <f>IF(
   COUNTIFS($A$2:A1388,A1388,
             $B$2:B1388,B1388,
             $C$2:C1388,C1388,
             $D$2:D1388,D1388,
             $G$2:G1388,G1388)&gt;1,
   "Doublon",
   "Correcte"
)</f>
        <v>Correcte</v>
      </c>
    </row>
    <row r="1389" spans="1:18" x14ac:dyDescent="0.25">
      <c r="A1389" s="104" t="s">
        <v>2041</v>
      </c>
      <c r="B1389" s="35" t="s">
        <v>712</v>
      </c>
      <c r="C1389" s="36">
        <v>5</v>
      </c>
      <c r="D1389" s="36">
        <v>0</v>
      </c>
      <c r="E1389" s="35" t="s">
        <v>699</v>
      </c>
      <c r="F1389" s="35" t="s">
        <v>634</v>
      </c>
      <c r="G1389" s="37">
        <v>45938.637025462966</v>
      </c>
      <c r="H1389" s="37" t="str">
        <f>INDEX(_xlfn.TEXTSPLIT(mvtst[[#This Row],[QR Suivis]],"_"),1,1)</f>
        <v>OF249848-12</v>
      </c>
      <c r="I1389" s="35" t="str">
        <f>_xlfn.TEXTBEFORE(mvtst[[#This Row],[Num Suivis]],"-",,,1)</f>
        <v>OF249848</v>
      </c>
      <c r="J1389" s="36">
        <f>SUMIF(mvtst[QR Suivis],mvtst[[#This Row],[QR Suivis]],mvtst[QTE SORTIS])-SUMIF(mvtst[QR Suivis],mvtst[[#This Row],[QR Suivis]],mvtst[QTE RETOUR])</f>
        <v>0</v>
      </c>
      <c r="K1389" s="35" t="str">
        <f t="shared" si="21"/>
        <v>Usine</v>
      </c>
      <c r="L1389" s="35" t="str">
        <f>_xlfn.XLOOKUP(mvtst[[#This Row],[Sous Traitant]],coordonnee_st[Identification],coordonnee_st[SERVICE],"Non Trouvé")</f>
        <v>Frange</v>
      </c>
      <c r="M1389" s="35" t="str">
        <f>INDEX(_xlfn.TEXTSPLIT(mvtst[[#This Row],[QR Suivis]],"_"),1,2)</f>
        <v>CL00884</v>
      </c>
      <c r="N1389" s="35" t="str">
        <f>INDEX(_xlfn.TEXTSPLIT(mvtst[[#This Row],[QR Suivis]],"_"),1,3)</f>
        <v>CM-FT0119</v>
      </c>
      <c r="O1389" s="35" t="str">
        <f>INDEX(_xlfn.TEXTSPLIT(mvtst[[#This Row],[QR Suivis]],"_"),1,4)</f>
        <v>ST1020-S14-16-17</v>
      </c>
      <c r="P1389" s="35" t="str">
        <f>INDEX(_xlfn.TEXTSPLIT(mvtst[[#This Row],[QR Suivis]],"_"),1,5)</f>
        <v>ST TROPEZ</v>
      </c>
      <c r="Q1389" s="35" t="str">
        <f>_xlfn.TEXTAFTER(mvtst[[#This Row],[QR Suivis]],"_",5)</f>
        <v>1020</v>
      </c>
      <c r="R1389" s="84" t="str">
        <f>IF(
   COUNTIFS($A$2:A1389,A1389,
             $B$2:B1389,B1389,
             $C$2:C1389,C1389,
             $D$2:D1389,D1389,
             $G$2:G1389,G1389)&gt;1,
   "Doublon",
   "Correcte"
)</f>
        <v>Correcte</v>
      </c>
    </row>
    <row r="1390" spans="1:18" x14ac:dyDescent="0.25">
      <c r="A1390" s="104" t="s">
        <v>2042</v>
      </c>
      <c r="B1390" s="35" t="s">
        <v>712</v>
      </c>
      <c r="C1390" s="36">
        <v>5</v>
      </c>
      <c r="D1390" s="36">
        <v>0</v>
      </c>
      <c r="E1390" s="35" t="s">
        <v>699</v>
      </c>
      <c r="F1390" s="35" t="s">
        <v>634</v>
      </c>
      <c r="G1390" s="37">
        <v>45938.637326388889</v>
      </c>
      <c r="H1390" s="37" t="str">
        <f>INDEX(_xlfn.TEXTSPLIT(mvtst[[#This Row],[QR Suivis]],"_"),1,1)</f>
        <v>OF249848-11</v>
      </c>
      <c r="I1390" s="35" t="str">
        <f>_xlfn.TEXTBEFORE(mvtst[[#This Row],[Num Suivis]],"-",,,1)</f>
        <v>OF249848</v>
      </c>
      <c r="J1390" s="36">
        <f>SUMIF(mvtst[QR Suivis],mvtst[[#This Row],[QR Suivis]],mvtst[QTE SORTIS])-SUMIF(mvtst[QR Suivis],mvtst[[#This Row],[QR Suivis]],mvtst[QTE RETOUR])</f>
        <v>0</v>
      </c>
      <c r="K1390" s="35" t="str">
        <f t="shared" si="21"/>
        <v>Usine</v>
      </c>
      <c r="L1390" s="35" t="str">
        <f>_xlfn.XLOOKUP(mvtst[[#This Row],[Sous Traitant]],coordonnee_st[Identification],coordonnee_st[SERVICE],"Non Trouvé")</f>
        <v>Frange</v>
      </c>
      <c r="M1390" s="35" t="str">
        <f>INDEX(_xlfn.TEXTSPLIT(mvtst[[#This Row],[QR Suivis]],"_"),1,2)</f>
        <v>CL00884</v>
      </c>
      <c r="N1390" s="35" t="str">
        <f>INDEX(_xlfn.TEXTSPLIT(mvtst[[#This Row],[QR Suivis]],"_"),1,3)</f>
        <v>CM-FT0119</v>
      </c>
      <c r="O1390" s="35" t="str">
        <f>INDEX(_xlfn.TEXTSPLIT(mvtst[[#This Row],[QR Suivis]],"_"),1,4)</f>
        <v>ST1020-S14-16-17</v>
      </c>
      <c r="P1390" s="35" t="str">
        <f>INDEX(_xlfn.TEXTSPLIT(mvtst[[#This Row],[QR Suivis]],"_"),1,5)</f>
        <v>ST TROPEZ</v>
      </c>
      <c r="Q1390" s="35" t="str">
        <f>_xlfn.TEXTAFTER(mvtst[[#This Row],[QR Suivis]],"_",5)</f>
        <v>1020</v>
      </c>
      <c r="R1390" s="84" t="str">
        <f>IF(
   COUNTIFS($A$2:A1390,A1390,
             $B$2:B1390,B1390,
             $C$2:C1390,C1390,
             $D$2:D1390,D1390,
             $G$2:G1390,G1390)&gt;1,
   "Doublon",
   "Correcte"
)</f>
        <v>Correcte</v>
      </c>
    </row>
    <row r="1391" spans="1:18" x14ac:dyDescent="0.25">
      <c r="A1391" s="104" t="s">
        <v>2043</v>
      </c>
      <c r="B1391" s="35" t="s">
        <v>712</v>
      </c>
      <c r="C1391" s="36">
        <v>5</v>
      </c>
      <c r="D1391" s="36">
        <v>0</v>
      </c>
      <c r="E1391" s="35" t="s">
        <v>699</v>
      </c>
      <c r="F1391" s="35" t="s">
        <v>634</v>
      </c>
      <c r="G1391" s="37">
        <v>45938.637673611112</v>
      </c>
      <c r="H1391" s="37" t="str">
        <f>INDEX(_xlfn.TEXTSPLIT(mvtst[[#This Row],[QR Suivis]],"_"),1,1)</f>
        <v>OF249848-10</v>
      </c>
      <c r="I1391" s="35" t="str">
        <f>_xlfn.TEXTBEFORE(mvtst[[#This Row],[Num Suivis]],"-",,,1)</f>
        <v>OF249848</v>
      </c>
      <c r="J1391" s="36">
        <f>SUMIF(mvtst[QR Suivis],mvtst[[#This Row],[QR Suivis]],mvtst[QTE SORTIS])-SUMIF(mvtst[QR Suivis],mvtst[[#This Row],[QR Suivis]],mvtst[QTE RETOUR])</f>
        <v>0</v>
      </c>
      <c r="K1391" s="35" t="str">
        <f t="shared" si="21"/>
        <v>Usine</v>
      </c>
      <c r="L1391" s="35" t="str">
        <f>_xlfn.XLOOKUP(mvtst[[#This Row],[Sous Traitant]],coordonnee_st[Identification],coordonnee_st[SERVICE],"Non Trouvé")</f>
        <v>Frange</v>
      </c>
      <c r="M1391" s="35" t="str">
        <f>INDEX(_xlfn.TEXTSPLIT(mvtst[[#This Row],[QR Suivis]],"_"),1,2)</f>
        <v>CL00884</v>
      </c>
      <c r="N1391" s="35" t="str">
        <f>INDEX(_xlfn.TEXTSPLIT(mvtst[[#This Row],[QR Suivis]],"_"),1,3)</f>
        <v>CM-FT0119</v>
      </c>
      <c r="O1391" s="35" t="str">
        <f>INDEX(_xlfn.TEXTSPLIT(mvtst[[#This Row],[QR Suivis]],"_"),1,4)</f>
        <v>ST1020-S14-16-17</v>
      </c>
      <c r="P1391" s="35" t="str">
        <f>INDEX(_xlfn.TEXTSPLIT(mvtst[[#This Row],[QR Suivis]],"_"),1,5)</f>
        <v>ST TROPEZ</v>
      </c>
      <c r="Q1391" s="35" t="str">
        <f>_xlfn.TEXTAFTER(mvtst[[#This Row],[QR Suivis]],"_",5)</f>
        <v>1020</v>
      </c>
      <c r="R1391" s="84" t="str">
        <f>IF(
   COUNTIFS($A$2:A1391,A1391,
             $B$2:B1391,B1391,
             $C$2:C1391,C1391,
             $D$2:D1391,D1391,
             $G$2:G1391,G1391)&gt;1,
   "Doublon",
   "Correcte"
)</f>
        <v>Correcte</v>
      </c>
    </row>
    <row r="1392" spans="1:18" x14ac:dyDescent="0.25">
      <c r="A1392" s="104" t="s">
        <v>2044</v>
      </c>
      <c r="B1392" s="35" t="s">
        <v>712</v>
      </c>
      <c r="C1392" s="36">
        <v>5</v>
      </c>
      <c r="D1392" s="36">
        <v>0</v>
      </c>
      <c r="E1392" s="35" t="s">
        <v>699</v>
      </c>
      <c r="F1392" s="35" t="s">
        <v>634</v>
      </c>
      <c r="G1392" s="37">
        <v>45938.638136574074</v>
      </c>
      <c r="H1392" s="37" t="str">
        <f>INDEX(_xlfn.TEXTSPLIT(mvtst[[#This Row],[QR Suivis]],"_"),1,1)</f>
        <v>OF249848-9</v>
      </c>
      <c r="I1392" s="35" t="str">
        <f>_xlfn.TEXTBEFORE(mvtst[[#This Row],[Num Suivis]],"-",,,1)</f>
        <v>OF249848</v>
      </c>
      <c r="J1392" s="36">
        <f>SUMIF(mvtst[QR Suivis],mvtst[[#This Row],[QR Suivis]],mvtst[QTE SORTIS])-SUMIF(mvtst[QR Suivis],mvtst[[#This Row],[QR Suivis]],mvtst[QTE RETOUR])</f>
        <v>0</v>
      </c>
      <c r="K1392" s="35" t="str">
        <f t="shared" si="21"/>
        <v>Usine</v>
      </c>
      <c r="L1392" s="35" t="str">
        <f>_xlfn.XLOOKUP(mvtst[[#This Row],[Sous Traitant]],coordonnee_st[Identification],coordonnee_st[SERVICE],"Non Trouvé")</f>
        <v>Frange</v>
      </c>
      <c r="M1392" s="35" t="str">
        <f>INDEX(_xlfn.TEXTSPLIT(mvtst[[#This Row],[QR Suivis]],"_"),1,2)</f>
        <v>CL00884</v>
      </c>
      <c r="N1392" s="35" t="str">
        <f>INDEX(_xlfn.TEXTSPLIT(mvtst[[#This Row],[QR Suivis]],"_"),1,3)</f>
        <v>CM-FT0119</v>
      </c>
      <c r="O1392" s="35" t="str">
        <f>INDEX(_xlfn.TEXTSPLIT(mvtst[[#This Row],[QR Suivis]],"_"),1,4)</f>
        <v>ST1020-S14-16-17</v>
      </c>
      <c r="P1392" s="35" t="str">
        <f>INDEX(_xlfn.TEXTSPLIT(mvtst[[#This Row],[QR Suivis]],"_"),1,5)</f>
        <v>ST TROPEZ</v>
      </c>
      <c r="Q1392" s="35" t="str">
        <f>_xlfn.TEXTAFTER(mvtst[[#This Row],[QR Suivis]],"_",5)</f>
        <v>1020</v>
      </c>
      <c r="R1392" s="84" t="str">
        <f>IF(
   COUNTIFS($A$2:A1392,A1392,
             $B$2:B1392,B1392,
             $C$2:C1392,C1392,
             $D$2:D1392,D1392,
             $G$2:G1392,G1392)&gt;1,
   "Doublon",
   "Correcte"
)</f>
        <v>Correcte</v>
      </c>
    </row>
    <row r="1393" spans="1:18" x14ac:dyDescent="0.25">
      <c r="A1393" s="104" t="s">
        <v>2045</v>
      </c>
      <c r="B1393" s="35" t="s">
        <v>712</v>
      </c>
      <c r="C1393" s="36">
        <v>5</v>
      </c>
      <c r="D1393" s="36">
        <v>0</v>
      </c>
      <c r="E1393" s="35" t="s">
        <v>699</v>
      </c>
      <c r="F1393" s="35" t="s">
        <v>634</v>
      </c>
      <c r="G1393" s="37">
        <v>45938.638414351852</v>
      </c>
      <c r="H1393" s="37" t="str">
        <f>INDEX(_xlfn.TEXTSPLIT(mvtst[[#This Row],[QR Suivis]],"_"),1,1)</f>
        <v>OF249848-8</v>
      </c>
      <c r="I1393" s="35" t="str">
        <f>_xlfn.TEXTBEFORE(mvtst[[#This Row],[Num Suivis]],"-",,,1)</f>
        <v>OF249848</v>
      </c>
      <c r="J1393" s="36">
        <f>SUMIF(mvtst[QR Suivis],mvtst[[#This Row],[QR Suivis]],mvtst[QTE SORTIS])-SUMIF(mvtst[QR Suivis],mvtst[[#This Row],[QR Suivis]],mvtst[QTE RETOUR])</f>
        <v>0</v>
      </c>
      <c r="K1393" s="35" t="str">
        <f t="shared" si="21"/>
        <v>Usine</v>
      </c>
      <c r="L1393" s="35" t="str">
        <f>_xlfn.XLOOKUP(mvtst[[#This Row],[Sous Traitant]],coordonnee_st[Identification],coordonnee_st[SERVICE],"Non Trouvé")</f>
        <v>Frange</v>
      </c>
      <c r="M1393" s="35" t="str">
        <f>INDEX(_xlfn.TEXTSPLIT(mvtst[[#This Row],[QR Suivis]],"_"),1,2)</f>
        <v>CL00884</v>
      </c>
      <c r="N1393" s="35" t="str">
        <f>INDEX(_xlfn.TEXTSPLIT(mvtst[[#This Row],[QR Suivis]],"_"),1,3)</f>
        <v>CM-FT0119</v>
      </c>
      <c r="O1393" s="35" t="str">
        <f>INDEX(_xlfn.TEXTSPLIT(mvtst[[#This Row],[QR Suivis]],"_"),1,4)</f>
        <v>ST1020-S14-16-17</v>
      </c>
      <c r="P1393" s="35" t="str">
        <f>INDEX(_xlfn.TEXTSPLIT(mvtst[[#This Row],[QR Suivis]],"_"),1,5)</f>
        <v>ST TROPEZ</v>
      </c>
      <c r="Q1393" s="35" t="str">
        <f>_xlfn.TEXTAFTER(mvtst[[#This Row],[QR Suivis]],"_",5)</f>
        <v>1020</v>
      </c>
      <c r="R1393" s="84" t="str">
        <f>IF(
   COUNTIFS($A$2:A1393,A1393,
             $B$2:B1393,B1393,
             $C$2:C1393,C1393,
             $D$2:D1393,D1393,
             $G$2:G1393,G1393)&gt;1,
   "Doublon",
   "Correcte"
)</f>
        <v>Correcte</v>
      </c>
    </row>
    <row r="1394" spans="1:18" x14ac:dyDescent="0.25">
      <c r="A1394" s="104" t="s">
        <v>2046</v>
      </c>
      <c r="B1394" s="35" t="s">
        <v>712</v>
      </c>
      <c r="C1394" s="36">
        <v>5</v>
      </c>
      <c r="D1394" s="36">
        <v>0</v>
      </c>
      <c r="E1394" s="35" t="s">
        <v>699</v>
      </c>
      <c r="F1394" s="35" t="s">
        <v>634</v>
      </c>
      <c r="G1394" s="37">
        <v>45938.638553240744</v>
      </c>
      <c r="H1394" s="37" t="str">
        <f>INDEX(_xlfn.TEXTSPLIT(mvtst[[#This Row],[QR Suivis]],"_"),1,1)</f>
        <v>OF249848-7</v>
      </c>
      <c r="I1394" s="35" t="str">
        <f>_xlfn.TEXTBEFORE(mvtst[[#This Row],[Num Suivis]],"-",,,1)</f>
        <v>OF249848</v>
      </c>
      <c r="J1394" s="36">
        <f>SUMIF(mvtst[QR Suivis],mvtst[[#This Row],[QR Suivis]],mvtst[QTE SORTIS])-SUMIF(mvtst[QR Suivis],mvtst[[#This Row],[QR Suivis]],mvtst[QTE RETOUR])</f>
        <v>0</v>
      </c>
      <c r="K1394" s="35" t="str">
        <f t="shared" si="21"/>
        <v>Usine</v>
      </c>
      <c r="L1394" s="35" t="str">
        <f>_xlfn.XLOOKUP(mvtst[[#This Row],[Sous Traitant]],coordonnee_st[Identification],coordonnee_st[SERVICE],"Non Trouvé")</f>
        <v>Frange</v>
      </c>
      <c r="M1394" s="35" t="str">
        <f>INDEX(_xlfn.TEXTSPLIT(mvtst[[#This Row],[QR Suivis]],"_"),1,2)</f>
        <v>CL00884</v>
      </c>
      <c r="N1394" s="35" t="str">
        <f>INDEX(_xlfn.TEXTSPLIT(mvtst[[#This Row],[QR Suivis]],"_"),1,3)</f>
        <v>CM-FT0119</v>
      </c>
      <c r="O1394" s="35" t="str">
        <f>INDEX(_xlfn.TEXTSPLIT(mvtst[[#This Row],[QR Suivis]],"_"),1,4)</f>
        <v>ST1020-S14-16-17</v>
      </c>
      <c r="P1394" s="35" t="str">
        <f>INDEX(_xlfn.TEXTSPLIT(mvtst[[#This Row],[QR Suivis]],"_"),1,5)</f>
        <v>ST TROPEZ</v>
      </c>
      <c r="Q1394" s="35" t="str">
        <f>_xlfn.TEXTAFTER(mvtst[[#This Row],[QR Suivis]],"_",5)</f>
        <v>1020</v>
      </c>
      <c r="R1394" s="84" t="str">
        <f>IF(
   COUNTIFS($A$2:A1394,A1394,
             $B$2:B1394,B1394,
             $C$2:C1394,C1394,
             $D$2:D1394,D1394,
             $G$2:G1394,G1394)&gt;1,
   "Doublon",
   "Correcte"
)</f>
        <v>Correcte</v>
      </c>
    </row>
    <row r="1395" spans="1:18" x14ac:dyDescent="0.25">
      <c r="A1395" s="104" t="s">
        <v>2047</v>
      </c>
      <c r="B1395" s="35" t="s">
        <v>712</v>
      </c>
      <c r="C1395" s="36">
        <v>5</v>
      </c>
      <c r="D1395" s="36">
        <v>0</v>
      </c>
      <c r="E1395" s="35" t="s">
        <v>699</v>
      </c>
      <c r="F1395" s="35" t="s">
        <v>634</v>
      </c>
      <c r="G1395" s="37">
        <v>45938.638888888891</v>
      </c>
      <c r="H1395" s="37" t="str">
        <f>INDEX(_xlfn.TEXTSPLIT(mvtst[[#This Row],[QR Suivis]],"_"),1,1)</f>
        <v>OF249848-6</v>
      </c>
      <c r="I1395" s="35" t="str">
        <f>_xlfn.TEXTBEFORE(mvtst[[#This Row],[Num Suivis]],"-",,,1)</f>
        <v>OF249848</v>
      </c>
      <c r="J1395" s="36">
        <f>SUMIF(mvtst[QR Suivis],mvtst[[#This Row],[QR Suivis]],mvtst[QTE SORTIS])-SUMIF(mvtst[QR Suivis],mvtst[[#This Row],[QR Suivis]],mvtst[QTE RETOUR])</f>
        <v>0</v>
      </c>
      <c r="K1395" s="35" t="str">
        <f t="shared" si="21"/>
        <v>Usine</v>
      </c>
      <c r="L1395" s="35" t="str">
        <f>_xlfn.XLOOKUP(mvtst[[#This Row],[Sous Traitant]],coordonnee_st[Identification],coordonnee_st[SERVICE],"Non Trouvé")</f>
        <v>Frange</v>
      </c>
      <c r="M1395" s="35" t="str">
        <f>INDEX(_xlfn.TEXTSPLIT(mvtst[[#This Row],[QR Suivis]],"_"),1,2)</f>
        <v>CL00884</v>
      </c>
      <c r="N1395" s="35" t="str">
        <f>INDEX(_xlfn.TEXTSPLIT(mvtst[[#This Row],[QR Suivis]],"_"),1,3)</f>
        <v>CM-FT0119</v>
      </c>
      <c r="O1395" s="35" t="str">
        <f>INDEX(_xlfn.TEXTSPLIT(mvtst[[#This Row],[QR Suivis]],"_"),1,4)</f>
        <v>ST1020-S14-16-17</v>
      </c>
      <c r="P1395" s="35" t="str">
        <f>INDEX(_xlfn.TEXTSPLIT(mvtst[[#This Row],[QR Suivis]],"_"),1,5)</f>
        <v>ST TROPEZ</v>
      </c>
      <c r="Q1395" s="35" t="str">
        <f>_xlfn.TEXTAFTER(mvtst[[#This Row],[QR Suivis]],"_",5)</f>
        <v>1020</v>
      </c>
      <c r="R1395" s="84" t="str">
        <f>IF(
   COUNTIFS($A$2:A1395,A1395,
             $B$2:B1395,B1395,
             $C$2:C1395,C1395,
             $D$2:D1395,D1395,
             $G$2:G1395,G1395)&gt;1,
   "Doublon",
   "Correcte"
)</f>
        <v>Correcte</v>
      </c>
    </row>
    <row r="1396" spans="1:18" x14ac:dyDescent="0.25">
      <c r="A1396" s="104" t="s">
        <v>2048</v>
      </c>
      <c r="B1396" s="35" t="s">
        <v>712</v>
      </c>
      <c r="C1396" s="36">
        <v>5</v>
      </c>
      <c r="D1396" s="36">
        <v>0</v>
      </c>
      <c r="E1396" s="35" t="s">
        <v>699</v>
      </c>
      <c r="F1396" s="35" t="s">
        <v>634</v>
      </c>
      <c r="G1396" s="37">
        <v>45938.639120370368</v>
      </c>
      <c r="H1396" s="37" t="str">
        <f>INDEX(_xlfn.TEXTSPLIT(mvtst[[#This Row],[QR Suivis]],"_"),1,1)</f>
        <v>OF249848-5</v>
      </c>
      <c r="I1396" s="35" t="str">
        <f>_xlfn.TEXTBEFORE(mvtst[[#This Row],[Num Suivis]],"-",,,1)</f>
        <v>OF249848</v>
      </c>
      <c r="J1396" s="36">
        <f>SUMIF(mvtst[QR Suivis],mvtst[[#This Row],[QR Suivis]],mvtst[QTE SORTIS])-SUMIF(mvtst[QR Suivis],mvtst[[#This Row],[QR Suivis]],mvtst[QTE RETOUR])</f>
        <v>0</v>
      </c>
      <c r="K1396" s="35" t="str">
        <f t="shared" si="21"/>
        <v>Usine</v>
      </c>
      <c r="L1396" s="35" t="str">
        <f>_xlfn.XLOOKUP(mvtst[[#This Row],[Sous Traitant]],coordonnee_st[Identification],coordonnee_st[SERVICE],"Non Trouvé")</f>
        <v>Frange</v>
      </c>
      <c r="M1396" s="35" t="str">
        <f>INDEX(_xlfn.TEXTSPLIT(mvtst[[#This Row],[QR Suivis]],"_"),1,2)</f>
        <v>CL00884</v>
      </c>
      <c r="N1396" s="35" t="str">
        <f>INDEX(_xlfn.TEXTSPLIT(mvtst[[#This Row],[QR Suivis]],"_"),1,3)</f>
        <v>CM-FT0119</v>
      </c>
      <c r="O1396" s="35" t="str">
        <f>INDEX(_xlfn.TEXTSPLIT(mvtst[[#This Row],[QR Suivis]],"_"),1,4)</f>
        <v>ST1020-S14-16-17</v>
      </c>
      <c r="P1396" s="35" t="str">
        <f>INDEX(_xlfn.TEXTSPLIT(mvtst[[#This Row],[QR Suivis]],"_"),1,5)</f>
        <v>ST TROPEZ</v>
      </c>
      <c r="Q1396" s="35" t="str">
        <f>_xlfn.TEXTAFTER(mvtst[[#This Row],[QR Suivis]],"_",5)</f>
        <v>1020</v>
      </c>
      <c r="R1396" s="84" t="str">
        <f>IF(
   COUNTIFS($A$2:A1396,A1396,
             $B$2:B1396,B1396,
             $C$2:C1396,C1396,
             $D$2:D1396,D1396,
             $G$2:G1396,G1396)&gt;1,
   "Doublon",
   "Correcte"
)</f>
        <v>Correcte</v>
      </c>
    </row>
    <row r="1397" spans="1:18" x14ac:dyDescent="0.25">
      <c r="A1397" s="104" t="s">
        <v>2049</v>
      </c>
      <c r="B1397" s="35" t="s">
        <v>712</v>
      </c>
      <c r="C1397" s="36">
        <v>5</v>
      </c>
      <c r="D1397" s="36">
        <v>0</v>
      </c>
      <c r="E1397" s="35" t="s">
        <v>699</v>
      </c>
      <c r="F1397" s="35" t="s">
        <v>634</v>
      </c>
      <c r="G1397" s="37">
        <v>45938.639374999999</v>
      </c>
      <c r="H1397" s="37" t="str">
        <f>INDEX(_xlfn.TEXTSPLIT(mvtst[[#This Row],[QR Suivis]],"_"),1,1)</f>
        <v>OF249848-4</v>
      </c>
      <c r="I1397" s="35" t="str">
        <f>_xlfn.TEXTBEFORE(mvtst[[#This Row],[Num Suivis]],"-",,,1)</f>
        <v>OF249848</v>
      </c>
      <c r="J1397" s="36">
        <f>SUMIF(mvtst[QR Suivis],mvtst[[#This Row],[QR Suivis]],mvtst[QTE SORTIS])-SUMIF(mvtst[QR Suivis],mvtst[[#This Row],[QR Suivis]],mvtst[QTE RETOUR])</f>
        <v>0</v>
      </c>
      <c r="K1397" s="35" t="str">
        <f t="shared" si="21"/>
        <v>Usine</v>
      </c>
      <c r="L1397" s="35" t="str">
        <f>_xlfn.XLOOKUP(mvtst[[#This Row],[Sous Traitant]],coordonnee_st[Identification],coordonnee_st[SERVICE],"Non Trouvé")</f>
        <v>Frange</v>
      </c>
      <c r="M1397" s="35" t="str">
        <f>INDEX(_xlfn.TEXTSPLIT(mvtst[[#This Row],[QR Suivis]],"_"),1,2)</f>
        <v>CL00884</v>
      </c>
      <c r="N1397" s="35" t="str">
        <f>INDEX(_xlfn.TEXTSPLIT(mvtst[[#This Row],[QR Suivis]],"_"),1,3)</f>
        <v>CM-FT0119</v>
      </c>
      <c r="O1397" s="35" t="str">
        <f>INDEX(_xlfn.TEXTSPLIT(mvtst[[#This Row],[QR Suivis]],"_"),1,4)</f>
        <v>ST1020-S14-16-17</v>
      </c>
      <c r="P1397" s="35" t="str">
        <f>INDEX(_xlfn.TEXTSPLIT(mvtst[[#This Row],[QR Suivis]],"_"),1,5)</f>
        <v>ST TROPEZ</v>
      </c>
      <c r="Q1397" s="35" t="str">
        <f>_xlfn.TEXTAFTER(mvtst[[#This Row],[QR Suivis]],"_",5)</f>
        <v>1020</v>
      </c>
      <c r="R1397" s="84" t="str">
        <f>IF(
   COUNTIFS($A$2:A1397,A1397,
             $B$2:B1397,B1397,
             $C$2:C1397,C1397,
             $D$2:D1397,D1397,
             $G$2:G1397,G1397)&gt;1,
   "Doublon",
   "Correcte"
)</f>
        <v>Correcte</v>
      </c>
    </row>
    <row r="1398" spans="1:18" x14ac:dyDescent="0.25">
      <c r="A1398" s="104" t="s">
        <v>2050</v>
      </c>
      <c r="B1398" s="35" t="s">
        <v>712</v>
      </c>
      <c r="C1398" s="36">
        <v>5</v>
      </c>
      <c r="D1398" s="36">
        <v>0</v>
      </c>
      <c r="E1398" s="35" t="s">
        <v>699</v>
      </c>
      <c r="F1398" s="35" t="s">
        <v>634</v>
      </c>
      <c r="G1398" s="37">
        <v>45938.63957175926</v>
      </c>
      <c r="H1398" s="37" t="str">
        <f>INDEX(_xlfn.TEXTSPLIT(mvtst[[#This Row],[QR Suivis]],"_"),1,1)</f>
        <v>OF249848-3</v>
      </c>
      <c r="I1398" s="35" t="str">
        <f>_xlfn.TEXTBEFORE(mvtst[[#This Row],[Num Suivis]],"-",,,1)</f>
        <v>OF249848</v>
      </c>
      <c r="J1398" s="36">
        <f>SUMIF(mvtst[QR Suivis],mvtst[[#This Row],[QR Suivis]],mvtst[QTE SORTIS])-SUMIF(mvtst[QR Suivis],mvtst[[#This Row],[QR Suivis]],mvtst[QTE RETOUR])</f>
        <v>0</v>
      </c>
      <c r="K1398" s="35" t="str">
        <f t="shared" si="21"/>
        <v>Usine</v>
      </c>
      <c r="L1398" s="35" t="str">
        <f>_xlfn.XLOOKUP(mvtst[[#This Row],[Sous Traitant]],coordonnee_st[Identification],coordonnee_st[SERVICE],"Non Trouvé")</f>
        <v>Frange</v>
      </c>
      <c r="M1398" s="35" t="str">
        <f>INDEX(_xlfn.TEXTSPLIT(mvtst[[#This Row],[QR Suivis]],"_"),1,2)</f>
        <v>CL00884</v>
      </c>
      <c r="N1398" s="35" t="str">
        <f>INDEX(_xlfn.TEXTSPLIT(mvtst[[#This Row],[QR Suivis]],"_"),1,3)</f>
        <v>CM-FT0119</v>
      </c>
      <c r="O1398" s="35" t="str">
        <f>INDEX(_xlfn.TEXTSPLIT(mvtst[[#This Row],[QR Suivis]],"_"),1,4)</f>
        <v>ST1020-S14-16-17</v>
      </c>
      <c r="P1398" s="35" t="str">
        <f>INDEX(_xlfn.TEXTSPLIT(mvtst[[#This Row],[QR Suivis]],"_"),1,5)</f>
        <v>ST TROPEZ</v>
      </c>
      <c r="Q1398" s="35" t="str">
        <f>_xlfn.TEXTAFTER(mvtst[[#This Row],[QR Suivis]],"_",5)</f>
        <v>1020</v>
      </c>
      <c r="R1398" s="84" t="str">
        <f>IF(
   COUNTIFS($A$2:A1398,A1398,
             $B$2:B1398,B1398,
             $C$2:C1398,C1398,
             $D$2:D1398,D1398,
             $G$2:G1398,G1398)&gt;1,
   "Doublon",
   "Correcte"
)</f>
        <v>Correcte</v>
      </c>
    </row>
    <row r="1399" spans="1:18" x14ac:dyDescent="0.25">
      <c r="A1399" s="104" t="s">
        <v>2051</v>
      </c>
      <c r="B1399" s="35" t="s">
        <v>712</v>
      </c>
      <c r="C1399" s="36">
        <v>5</v>
      </c>
      <c r="D1399" s="36">
        <v>0</v>
      </c>
      <c r="E1399" s="35" t="s">
        <v>699</v>
      </c>
      <c r="F1399" s="35" t="s">
        <v>634</v>
      </c>
      <c r="G1399" s="37">
        <v>45938.639768518522</v>
      </c>
      <c r="H1399" s="37" t="str">
        <f>INDEX(_xlfn.TEXTSPLIT(mvtst[[#This Row],[QR Suivis]],"_"),1,1)</f>
        <v>OF249848-2</v>
      </c>
      <c r="I1399" s="35" t="str">
        <f>_xlfn.TEXTBEFORE(mvtst[[#This Row],[Num Suivis]],"-",,,1)</f>
        <v>OF249848</v>
      </c>
      <c r="J1399" s="36">
        <f>SUMIF(mvtst[QR Suivis],mvtst[[#This Row],[QR Suivis]],mvtst[QTE SORTIS])-SUMIF(mvtst[QR Suivis],mvtst[[#This Row],[QR Suivis]],mvtst[QTE RETOUR])</f>
        <v>0</v>
      </c>
      <c r="K1399" s="35" t="str">
        <f t="shared" si="21"/>
        <v>Usine</v>
      </c>
      <c r="L1399" s="35" t="str">
        <f>_xlfn.XLOOKUP(mvtst[[#This Row],[Sous Traitant]],coordonnee_st[Identification],coordonnee_st[SERVICE],"Non Trouvé")</f>
        <v>Frange</v>
      </c>
      <c r="M1399" s="35" t="str">
        <f>INDEX(_xlfn.TEXTSPLIT(mvtst[[#This Row],[QR Suivis]],"_"),1,2)</f>
        <v>CL00884</v>
      </c>
      <c r="N1399" s="35" t="str">
        <f>INDEX(_xlfn.TEXTSPLIT(mvtst[[#This Row],[QR Suivis]],"_"),1,3)</f>
        <v>CM-FT0119</v>
      </c>
      <c r="O1399" s="35" t="str">
        <f>INDEX(_xlfn.TEXTSPLIT(mvtst[[#This Row],[QR Suivis]],"_"),1,4)</f>
        <v>ST1020-S14-16-17</v>
      </c>
      <c r="P1399" s="35" t="str">
        <f>INDEX(_xlfn.TEXTSPLIT(mvtst[[#This Row],[QR Suivis]],"_"),1,5)</f>
        <v>ST TROPEZ</v>
      </c>
      <c r="Q1399" s="35" t="str">
        <f>_xlfn.TEXTAFTER(mvtst[[#This Row],[QR Suivis]],"_",5)</f>
        <v>1020</v>
      </c>
      <c r="R1399" s="84" t="str">
        <f>IF(
   COUNTIFS($A$2:A1399,A1399,
             $B$2:B1399,B1399,
             $C$2:C1399,C1399,
             $D$2:D1399,D1399,
             $G$2:G1399,G1399)&gt;1,
   "Doublon",
   "Correcte"
)</f>
        <v>Correcte</v>
      </c>
    </row>
    <row r="1400" spans="1:18" x14ac:dyDescent="0.25">
      <c r="A1400" s="104" t="s">
        <v>2052</v>
      </c>
      <c r="B1400" s="35" t="s">
        <v>712</v>
      </c>
      <c r="C1400" s="36">
        <v>5</v>
      </c>
      <c r="D1400" s="36">
        <v>0</v>
      </c>
      <c r="E1400" s="35" t="s">
        <v>699</v>
      </c>
      <c r="F1400" s="35" t="s">
        <v>634</v>
      </c>
      <c r="G1400" s="37">
        <v>45938.639953703707</v>
      </c>
      <c r="H1400" s="37" t="str">
        <f>INDEX(_xlfn.TEXTSPLIT(mvtst[[#This Row],[QR Suivis]],"_"),1,1)</f>
        <v>OF249848-1</v>
      </c>
      <c r="I1400" s="35" t="str">
        <f>_xlfn.TEXTBEFORE(mvtst[[#This Row],[Num Suivis]],"-",,,1)</f>
        <v>OF249848</v>
      </c>
      <c r="J1400" s="36">
        <f>SUMIF(mvtst[QR Suivis],mvtst[[#This Row],[QR Suivis]],mvtst[QTE SORTIS])-SUMIF(mvtst[QR Suivis],mvtst[[#This Row],[QR Suivis]],mvtst[QTE RETOUR])</f>
        <v>0</v>
      </c>
      <c r="K1400" s="35" t="str">
        <f t="shared" si="21"/>
        <v>Usine</v>
      </c>
      <c r="L1400" s="35" t="str">
        <f>_xlfn.XLOOKUP(mvtst[[#This Row],[Sous Traitant]],coordonnee_st[Identification],coordonnee_st[SERVICE],"Non Trouvé")</f>
        <v>Frange</v>
      </c>
      <c r="M1400" s="35" t="str">
        <f>INDEX(_xlfn.TEXTSPLIT(mvtst[[#This Row],[QR Suivis]],"_"),1,2)</f>
        <v>CL00884</v>
      </c>
      <c r="N1400" s="35" t="str">
        <f>INDEX(_xlfn.TEXTSPLIT(mvtst[[#This Row],[QR Suivis]],"_"),1,3)</f>
        <v>CM-FT0119</v>
      </c>
      <c r="O1400" s="35" t="str">
        <f>INDEX(_xlfn.TEXTSPLIT(mvtst[[#This Row],[QR Suivis]],"_"),1,4)</f>
        <v>ST1020-S14-16-17</v>
      </c>
      <c r="P1400" s="35" t="str">
        <f>INDEX(_xlfn.TEXTSPLIT(mvtst[[#This Row],[QR Suivis]],"_"),1,5)</f>
        <v>ST TROPEZ</v>
      </c>
      <c r="Q1400" s="35" t="str">
        <f>_xlfn.TEXTAFTER(mvtst[[#This Row],[QR Suivis]],"_",5)</f>
        <v>1020</v>
      </c>
      <c r="R1400" s="84" t="str">
        <f>IF(
   COUNTIFS($A$2:A1400,A1400,
             $B$2:B1400,B1400,
             $C$2:C1400,C1400,
             $D$2:D1400,D1400,
             $G$2:G1400,G1400)&gt;1,
   "Doublon",
   "Correcte"
)</f>
        <v>Correcte</v>
      </c>
    </row>
    <row r="1401" spans="1:18" x14ac:dyDescent="0.25">
      <c r="A1401" s="104" t="s">
        <v>2053</v>
      </c>
      <c r="B1401" s="35" t="s">
        <v>712</v>
      </c>
      <c r="C1401" s="36">
        <v>5</v>
      </c>
      <c r="D1401" s="36">
        <v>0</v>
      </c>
      <c r="E1401" s="35" t="s">
        <v>699</v>
      </c>
      <c r="F1401" s="35" t="s">
        <v>634</v>
      </c>
      <c r="G1401" s="37">
        <v>45938.640104166669</v>
      </c>
      <c r="H1401" s="37" t="str">
        <f>INDEX(_xlfn.TEXTSPLIT(mvtst[[#This Row],[QR Suivis]],"_"),1,1)</f>
        <v>OF249848-18</v>
      </c>
      <c r="I1401" s="35" t="str">
        <f>_xlfn.TEXTBEFORE(mvtst[[#This Row],[Num Suivis]],"-",,,1)</f>
        <v>OF249848</v>
      </c>
      <c r="J1401" s="36">
        <f>SUMIF(mvtst[QR Suivis],mvtst[[#This Row],[QR Suivis]],mvtst[QTE SORTIS])-SUMIF(mvtst[QR Suivis],mvtst[[#This Row],[QR Suivis]],mvtst[QTE RETOUR])</f>
        <v>0</v>
      </c>
      <c r="K1401" s="35" t="str">
        <f t="shared" si="21"/>
        <v>Usine</v>
      </c>
      <c r="L1401" s="35" t="str">
        <f>_xlfn.XLOOKUP(mvtst[[#This Row],[Sous Traitant]],coordonnee_st[Identification],coordonnee_st[SERVICE],"Non Trouvé")</f>
        <v>Frange</v>
      </c>
      <c r="M1401" s="35" t="str">
        <f>INDEX(_xlfn.TEXTSPLIT(mvtst[[#This Row],[QR Suivis]],"_"),1,2)</f>
        <v>CL00884</v>
      </c>
      <c r="N1401" s="35" t="str">
        <f>INDEX(_xlfn.TEXTSPLIT(mvtst[[#This Row],[QR Suivis]],"_"),1,3)</f>
        <v>CM-FT0119</v>
      </c>
      <c r="O1401" s="35" t="str">
        <f>INDEX(_xlfn.TEXTSPLIT(mvtst[[#This Row],[QR Suivis]],"_"),1,4)</f>
        <v>ST1020-S14-16-17</v>
      </c>
      <c r="P1401" s="35" t="str">
        <f>INDEX(_xlfn.TEXTSPLIT(mvtst[[#This Row],[QR Suivis]],"_"),1,5)</f>
        <v>ST TROPEZ</v>
      </c>
      <c r="Q1401" s="35" t="str">
        <f>_xlfn.TEXTAFTER(mvtst[[#This Row],[QR Suivis]],"_",5)</f>
        <v>1020</v>
      </c>
      <c r="R1401" s="84" t="str">
        <f>IF(
   COUNTIFS($A$2:A1401,A1401,
             $B$2:B1401,B1401,
             $C$2:C1401,C1401,
             $D$2:D1401,D1401,
             $G$2:G1401,G1401)&gt;1,
   "Doublon",
   "Correcte"
)</f>
        <v>Correcte</v>
      </c>
    </row>
    <row r="1402" spans="1:18" x14ac:dyDescent="0.25">
      <c r="A1402" s="104" t="s">
        <v>2054</v>
      </c>
      <c r="B1402" s="35" t="s">
        <v>712</v>
      </c>
      <c r="C1402" s="36">
        <v>5</v>
      </c>
      <c r="D1402" s="36">
        <v>0</v>
      </c>
      <c r="E1402" s="35" t="s">
        <v>699</v>
      </c>
      <c r="F1402" s="35" t="s">
        <v>634</v>
      </c>
      <c r="G1402" s="37">
        <v>45938.640659722223</v>
      </c>
      <c r="H1402" s="37" t="str">
        <f>INDEX(_xlfn.TEXTSPLIT(mvtst[[#This Row],[QR Suivis]],"_"),1,1)</f>
        <v>OF249848-17</v>
      </c>
      <c r="I1402" s="35" t="str">
        <f>_xlfn.TEXTBEFORE(mvtst[[#This Row],[Num Suivis]],"-",,,1)</f>
        <v>OF249848</v>
      </c>
      <c r="J1402" s="36">
        <f>SUMIF(mvtst[QR Suivis],mvtst[[#This Row],[QR Suivis]],mvtst[QTE SORTIS])-SUMIF(mvtst[QR Suivis],mvtst[[#This Row],[QR Suivis]],mvtst[QTE RETOUR])</f>
        <v>0</v>
      </c>
      <c r="K1402" s="35" t="str">
        <f t="shared" si="21"/>
        <v>Usine</v>
      </c>
      <c r="L1402" s="35" t="str">
        <f>_xlfn.XLOOKUP(mvtst[[#This Row],[Sous Traitant]],coordonnee_st[Identification],coordonnee_st[SERVICE],"Non Trouvé")</f>
        <v>Frange</v>
      </c>
      <c r="M1402" s="35" t="str">
        <f>INDEX(_xlfn.TEXTSPLIT(mvtst[[#This Row],[QR Suivis]],"_"),1,2)</f>
        <v>CL00884</v>
      </c>
      <c r="N1402" s="35" t="str">
        <f>INDEX(_xlfn.TEXTSPLIT(mvtst[[#This Row],[QR Suivis]],"_"),1,3)</f>
        <v>CM-FT0119</v>
      </c>
      <c r="O1402" s="35" t="str">
        <f>INDEX(_xlfn.TEXTSPLIT(mvtst[[#This Row],[QR Suivis]],"_"),1,4)</f>
        <v>ST1020-S14-16-17</v>
      </c>
      <c r="P1402" s="35" t="str">
        <f>INDEX(_xlfn.TEXTSPLIT(mvtst[[#This Row],[QR Suivis]],"_"),1,5)</f>
        <v>ST TROPEZ</v>
      </c>
      <c r="Q1402" s="35" t="str">
        <f>_xlfn.TEXTAFTER(mvtst[[#This Row],[QR Suivis]],"_",5)</f>
        <v>1020</v>
      </c>
      <c r="R1402" s="84" t="str">
        <f>IF(
   COUNTIFS($A$2:A1402,A1402,
             $B$2:B1402,B1402,
             $C$2:C1402,C1402,
             $D$2:D1402,D1402,
             $G$2:G1402,G1402)&gt;1,
   "Doublon",
   "Correcte"
)</f>
        <v>Correcte</v>
      </c>
    </row>
    <row r="1403" spans="1:18" x14ac:dyDescent="0.25">
      <c r="A1403" s="104" t="s">
        <v>2055</v>
      </c>
      <c r="B1403" s="35" t="s">
        <v>712</v>
      </c>
      <c r="C1403" s="36">
        <v>5</v>
      </c>
      <c r="D1403" s="36">
        <v>0</v>
      </c>
      <c r="E1403" s="35" t="s">
        <v>699</v>
      </c>
      <c r="F1403" s="35" t="s">
        <v>634</v>
      </c>
      <c r="G1403" s="37">
        <v>45938.640844907408</v>
      </c>
      <c r="H1403" s="37" t="str">
        <f>INDEX(_xlfn.TEXTSPLIT(mvtst[[#This Row],[QR Suivis]],"_"),1,1)</f>
        <v>OF249848-13</v>
      </c>
      <c r="I1403" s="35" t="str">
        <f>_xlfn.TEXTBEFORE(mvtst[[#This Row],[Num Suivis]],"-",,,1)</f>
        <v>OF249848</v>
      </c>
      <c r="J1403" s="36">
        <f>SUMIF(mvtst[QR Suivis],mvtst[[#This Row],[QR Suivis]],mvtst[QTE SORTIS])-SUMIF(mvtst[QR Suivis],mvtst[[#This Row],[QR Suivis]],mvtst[QTE RETOUR])</f>
        <v>0</v>
      </c>
      <c r="K1403" s="35" t="str">
        <f t="shared" si="21"/>
        <v>Usine</v>
      </c>
      <c r="L1403" s="35" t="str">
        <f>_xlfn.XLOOKUP(mvtst[[#This Row],[Sous Traitant]],coordonnee_st[Identification],coordonnee_st[SERVICE],"Non Trouvé")</f>
        <v>Frange</v>
      </c>
      <c r="M1403" s="35" t="str">
        <f>INDEX(_xlfn.TEXTSPLIT(mvtst[[#This Row],[QR Suivis]],"_"),1,2)</f>
        <v>CL00884</v>
      </c>
      <c r="N1403" s="35" t="str">
        <f>INDEX(_xlfn.TEXTSPLIT(mvtst[[#This Row],[QR Suivis]],"_"),1,3)</f>
        <v>CM-FT0119</v>
      </c>
      <c r="O1403" s="35" t="str">
        <f>INDEX(_xlfn.TEXTSPLIT(mvtst[[#This Row],[QR Suivis]],"_"),1,4)</f>
        <v>ST1020-S14-16-17</v>
      </c>
      <c r="P1403" s="35" t="str">
        <f>INDEX(_xlfn.TEXTSPLIT(mvtst[[#This Row],[QR Suivis]],"_"),1,5)</f>
        <v>ST TROPEZ</v>
      </c>
      <c r="Q1403" s="35" t="str">
        <f>_xlfn.TEXTAFTER(mvtst[[#This Row],[QR Suivis]],"_",5)</f>
        <v>1020</v>
      </c>
      <c r="R1403" s="84" t="str">
        <f>IF(
   COUNTIFS($A$2:A1403,A1403,
             $B$2:B1403,B1403,
             $C$2:C1403,C1403,
             $D$2:D1403,D1403,
             $G$2:G1403,G1403)&gt;1,
   "Doublon",
   "Correcte"
)</f>
        <v>Correcte</v>
      </c>
    </row>
    <row r="1404" spans="1:18" x14ac:dyDescent="0.25">
      <c r="A1404" s="104" t="s">
        <v>2056</v>
      </c>
      <c r="B1404" s="35" t="s">
        <v>712</v>
      </c>
      <c r="C1404" s="36">
        <v>5</v>
      </c>
      <c r="D1404" s="36">
        <v>0</v>
      </c>
      <c r="E1404" s="35" t="s">
        <v>699</v>
      </c>
      <c r="F1404" s="35" t="s">
        <v>634</v>
      </c>
      <c r="G1404" s="37">
        <v>45938.641018518516</v>
      </c>
      <c r="H1404" s="37" t="str">
        <f>INDEX(_xlfn.TEXTSPLIT(mvtst[[#This Row],[QR Suivis]],"_"),1,1)</f>
        <v>OF249848-14</v>
      </c>
      <c r="I1404" s="35" t="str">
        <f>_xlfn.TEXTBEFORE(mvtst[[#This Row],[Num Suivis]],"-",,,1)</f>
        <v>OF249848</v>
      </c>
      <c r="J1404" s="36">
        <f>SUMIF(mvtst[QR Suivis],mvtst[[#This Row],[QR Suivis]],mvtst[QTE SORTIS])-SUMIF(mvtst[QR Suivis],mvtst[[#This Row],[QR Suivis]],mvtst[QTE RETOUR])</f>
        <v>0</v>
      </c>
      <c r="K1404" s="35" t="str">
        <f t="shared" si="21"/>
        <v>Usine</v>
      </c>
      <c r="L1404" s="35" t="str">
        <f>_xlfn.XLOOKUP(mvtst[[#This Row],[Sous Traitant]],coordonnee_st[Identification],coordonnee_st[SERVICE],"Non Trouvé")</f>
        <v>Frange</v>
      </c>
      <c r="M1404" s="35" t="str">
        <f>INDEX(_xlfn.TEXTSPLIT(mvtst[[#This Row],[QR Suivis]],"_"),1,2)</f>
        <v>CL00884</v>
      </c>
      <c r="N1404" s="35" t="str">
        <f>INDEX(_xlfn.TEXTSPLIT(mvtst[[#This Row],[QR Suivis]],"_"),1,3)</f>
        <v>CM-FT0119</v>
      </c>
      <c r="O1404" s="35" t="str">
        <f>INDEX(_xlfn.TEXTSPLIT(mvtst[[#This Row],[QR Suivis]],"_"),1,4)</f>
        <v>ST1020-S14-16-17</v>
      </c>
      <c r="P1404" s="35" t="str">
        <f>INDEX(_xlfn.TEXTSPLIT(mvtst[[#This Row],[QR Suivis]],"_"),1,5)</f>
        <v>ST TROPEZ</v>
      </c>
      <c r="Q1404" s="35" t="str">
        <f>_xlfn.TEXTAFTER(mvtst[[#This Row],[QR Suivis]],"_",5)</f>
        <v>1020</v>
      </c>
      <c r="R1404" s="84" t="str">
        <f>IF(
   COUNTIFS($A$2:A1404,A1404,
             $B$2:B1404,B1404,
             $C$2:C1404,C1404,
             $D$2:D1404,D1404,
             $G$2:G1404,G1404)&gt;1,
   "Doublon",
   "Correcte"
)</f>
        <v>Correcte</v>
      </c>
    </row>
    <row r="1405" spans="1:18" x14ac:dyDescent="0.25">
      <c r="A1405" s="104" t="s">
        <v>2057</v>
      </c>
      <c r="B1405" s="35" t="s">
        <v>712</v>
      </c>
      <c r="C1405" s="36">
        <v>5</v>
      </c>
      <c r="D1405" s="36">
        <v>0</v>
      </c>
      <c r="E1405" s="35" t="s">
        <v>699</v>
      </c>
      <c r="F1405" s="35" t="s">
        <v>634</v>
      </c>
      <c r="G1405" s="37">
        <v>45938.641250000001</v>
      </c>
      <c r="H1405" s="37" t="str">
        <f>INDEX(_xlfn.TEXTSPLIT(mvtst[[#This Row],[QR Suivis]],"_"),1,1)</f>
        <v>OF249848-15</v>
      </c>
      <c r="I1405" s="35" t="str">
        <f>_xlfn.TEXTBEFORE(mvtst[[#This Row],[Num Suivis]],"-",,,1)</f>
        <v>OF249848</v>
      </c>
      <c r="J1405" s="36">
        <f>SUMIF(mvtst[QR Suivis],mvtst[[#This Row],[QR Suivis]],mvtst[QTE SORTIS])-SUMIF(mvtst[QR Suivis],mvtst[[#This Row],[QR Suivis]],mvtst[QTE RETOUR])</f>
        <v>0</v>
      </c>
      <c r="K1405" s="35" t="str">
        <f t="shared" si="21"/>
        <v>Usine</v>
      </c>
      <c r="L1405" s="35" t="str">
        <f>_xlfn.XLOOKUP(mvtst[[#This Row],[Sous Traitant]],coordonnee_st[Identification],coordonnee_st[SERVICE],"Non Trouvé")</f>
        <v>Frange</v>
      </c>
      <c r="M1405" s="35" t="str">
        <f>INDEX(_xlfn.TEXTSPLIT(mvtst[[#This Row],[QR Suivis]],"_"),1,2)</f>
        <v>CL00884</v>
      </c>
      <c r="N1405" s="35" t="str">
        <f>INDEX(_xlfn.TEXTSPLIT(mvtst[[#This Row],[QR Suivis]],"_"),1,3)</f>
        <v>CM-FT0119</v>
      </c>
      <c r="O1405" s="35" t="str">
        <f>INDEX(_xlfn.TEXTSPLIT(mvtst[[#This Row],[QR Suivis]],"_"),1,4)</f>
        <v>ST1020-S14-16-17</v>
      </c>
      <c r="P1405" s="35" t="str">
        <f>INDEX(_xlfn.TEXTSPLIT(mvtst[[#This Row],[QR Suivis]],"_"),1,5)</f>
        <v>ST TROPEZ</v>
      </c>
      <c r="Q1405" s="35" t="str">
        <f>_xlfn.TEXTAFTER(mvtst[[#This Row],[QR Suivis]],"_",5)</f>
        <v>1020</v>
      </c>
      <c r="R1405" s="84" t="str">
        <f>IF(
   COUNTIFS($A$2:A1405,A1405,
             $B$2:B1405,B1405,
             $C$2:C1405,C1405,
             $D$2:D1405,D1405,
             $G$2:G1405,G1405)&gt;1,
   "Doublon",
   "Correcte"
)</f>
        <v>Correcte</v>
      </c>
    </row>
    <row r="1406" spans="1:18" x14ac:dyDescent="0.25">
      <c r="A1406" s="104" t="s">
        <v>2058</v>
      </c>
      <c r="B1406" s="35" t="s">
        <v>712</v>
      </c>
      <c r="C1406" s="36">
        <v>5</v>
      </c>
      <c r="D1406" s="36">
        <v>0</v>
      </c>
      <c r="E1406" s="35" t="s">
        <v>699</v>
      </c>
      <c r="F1406" s="35" t="s">
        <v>634</v>
      </c>
      <c r="G1406" s="37">
        <v>45938.641724537039</v>
      </c>
      <c r="H1406" s="37" t="str">
        <f>INDEX(_xlfn.TEXTSPLIT(mvtst[[#This Row],[QR Suivis]],"_"),1,1)</f>
        <v>OF249946-64</v>
      </c>
      <c r="I1406" s="35" t="str">
        <f>_xlfn.TEXTBEFORE(mvtst[[#This Row],[Num Suivis]],"-",,,1)</f>
        <v>OF249946</v>
      </c>
      <c r="J1406" s="36">
        <f>SUMIF(mvtst[QR Suivis],mvtst[[#This Row],[QR Suivis]],mvtst[QTE SORTIS])-SUMIF(mvtst[QR Suivis],mvtst[[#This Row],[QR Suivis]],mvtst[QTE RETOUR])</f>
        <v>0</v>
      </c>
      <c r="K1406" s="35" t="str">
        <f t="shared" si="21"/>
        <v>Usine</v>
      </c>
      <c r="L1406" s="35" t="str">
        <f>_xlfn.XLOOKUP(mvtst[[#This Row],[Sous Traitant]],coordonnee_st[Identification],coordonnee_st[SERVICE],"Non Trouvé")</f>
        <v>Frange</v>
      </c>
      <c r="M1406" s="35" t="str">
        <f>INDEX(_xlfn.TEXTSPLIT(mvtst[[#This Row],[QR Suivis]],"_"),1,2)</f>
        <v>CL00884</v>
      </c>
      <c r="N1406" s="35" t="str">
        <f>INDEX(_xlfn.TEXTSPLIT(mvtst[[#This Row],[QR Suivis]],"_"),1,3)</f>
        <v>CM-FT0120</v>
      </c>
      <c r="O1406" s="35" t="str">
        <f>INDEX(_xlfn.TEXTSPLIT(mvtst[[#This Row],[QR Suivis]],"_"),1,4)</f>
        <v>ST1020-S14-16-17</v>
      </c>
      <c r="P1406" s="35" t="str">
        <f>INDEX(_xlfn.TEXTSPLIT(mvtst[[#This Row],[QR Suivis]],"_"),1,5)</f>
        <v>ST TROPEZ</v>
      </c>
      <c r="Q1406" s="35" t="str">
        <f>_xlfn.TEXTAFTER(mvtst[[#This Row],[QR Suivis]],"_",5)</f>
        <v>1020</v>
      </c>
      <c r="R1406" s="84" t="str">
        <f>IF(
   COUNTIFS($A$2:A1406,A1406,
             $B$2:B1406,B1406,
             $C$2:C1406,C1406,
             $D$2:D1406,D1406,
             $G$2:G1406,G1406)&gt;1,
   "Doublon",
   "Correcte"
)</f>
        <v>Correcte</v>
      </c>
    </row>
    <row r="1407" spans="1:18" x14ac:dyDescent="0.25">
      <c r="A1407" s="104" t="s">
        <v>2059</v>
      </c>
      <c r="B1407" s="35" t="s">
        <v>712</v>
      </c>
      <c r="C1407" s="36">
        <v>5</v>
      </c>
      <c r="D1407" s="36">
        <v>0</v>
      </c>
      <c r="E1407" s="35" t="s">
        <v>699</v>
      </c>
      <c r="F1407" s="35" t="s">
        <v>634</v>
      </c>
      <c r="G1407" s="37">
        <v>45938.642500000002</v>
      </c>
      <c r="H1407" s="37" t="str">
        <f>INDEX(_xlfn.TEXTSPLIT(mvtst[[#This Row],[QR Suivis]],"_"),1,1)</f>
        <v>OF249946-63</v>
      </c>
      <c r="I1407" s="35" t="str">
        <f>_xlfn.TEXTBEFORE(mvtst[[#This Row],[Num Suivis]],"-",,,1)</f>
        <v>OF249946</v>
      </c>
      <c r="J1407" s="36">
        <f>SUMIF(mvtst[QR Suivis],mvtst[[#This Row],[QR Suivis]],mvtst[QTE SORTIS])-SUMIF(mvtst[QR Suivis],mvtst[[#This Row],[QR Suivis]],mvtst[QTE RETOUR])</f>
        <v>0</v>
      </c>
      <c r="K1407" s="35" t="str">
        <f t="shared" si="21"/>
        <v>Usine</v>
      </c>
      <c r="L1407" s="35" t="str">
        <f>_xlfn.XLOOKUP(mvtst[[#This Row],[Sous Traitant]],coordonnee_st[Identification],coordonnee_st[SERVICE],"Non Trouvé")</f>
        <v>Frange</v>
      </c>
      <c r="M1407" s="35" t="str">
        <f>INDEX(_xlfn.TEXTSPLIT(mvtst[[#This Row],[QR Suivis]],"_"),1,2)</f>
        <v>CL00884</v>
      </c>
      <c r="N1407" s="35" t="str">
        <f>INDEX(_xlfn.TEXTSPLIT(mvtst[[#This Row],[QR Suivis]],"_"),1,3)</f>
        <v>CM-FT0120</v>
      </c>
      <c r="O1407" s="35" t="str">
        <f>INDEX(_xlfn.TEXTSPLIT(mvtst[[#This Row],[QR Suivis]],"_"),1,4)</f>
        <v>ST1020-S14-16-17</v>
      </c>
      <c r="P1407" s="35" t="str">
        <f>INDEX(_xlfn.TEXTSPLIT(mvtst[[#This Row],[QR Suivis]],"_"),1,5)</f>
        <v>ST TROPEZ</v>
      </c>
      <c r="Q1407" s="35" t="str">
        <f>_xlfn.TEXTAFTER(mvtst[[#This Row],[QR Suivis]],"_",5)</f>
        <v>1020</v>
      </c>
      <c r="R1407" s="84" t="str">
        <f>IF(
   COUNTIFS($A$2:A1407,A1407,
             $B$2:B1407,B1407,
             $C$2:C1407,C1407,
             $D$2:D1407,D1407,
             $G$2:G1407,G1407)&gt;1,
   "Doublon",
   "Correcte"
)</f>
        <v>Correcte</v>
      </c>
    </row>
    <row r="1408" spans="1:18" x14ac:dyDescent="0.25">
      <c r="A1408" s="104" t="s">
        <v>2060</v>
      </c>
      <c r="B1408" s="35" t="s">
        <v>712</v>
      </c>
      <c r="C1408" s="36">
        <v>5</v>
      </c>
      <c r="D1408" s="36">
        <v>0</v>
      </c>
      <c r="E1408" s="35" t="s">
        <v>699</v>
      </c>
      <c r="F1408" s="35" t="s">
        <v>634</v>
      </c>
      <c r="G1408" s="37">
        <v>45938.642638888887</v>
      </c>
      <c r="H1408" s="37" t="str">
        <f>INDEX(_xlfn.TEXTSPLIT(mvtst[[#This Row],[QR Suivis]],"_"),1,1)</f>
        <v>OF249946-62</v>
      </c>
      <c r="I1408" s="35" t="str">
        <f>_xlfn.TEXTBEFORE(mvtst[[#This Row],[Num Suivis]],"-",,,1)</f>
        <v>OF249946</v>
      </c>
      <c r="J1408" s="36">
        <f>SUMIF(mvtst[QR Suivis],mvtst[[#This Row],[QR Suivis]],mvtst[QTE SORTIS])-SUMIF(mvtst[QR Suivis],mvtst[[#This Row],[QR Suivis]],mvtst[QTE RETOUR])</f>
        <v>0</v>
      </c>
      <c r="K1408" s="35" t="str">
        <f t="shared" si="21"/>
        <v>Usine</v>
      </c>
      <c r="L1408" s="35" t="str">
        <f>_xlfn.XLOOKUP(mvtst[[#This Row],[Sous Traitant]],coordonnee_st[Identification],coordonnee_st[SERVICE],"Non Trouvé")</f>
        <v>Frange</v>
      </c>
      <c r="M1408" s="35" t="str">
        <f>INDEX(_xlfn.TEXTSPLIT(mvtst[[#This Row],[QR Suivis]],"_"),1,2)</f>
        <v>CL00884</v>
      </c>
      <c r="N1408" s="35" t="str">
        <f>INDEX(_xlfn.TEXTSPLIT(mvtst[[#This Row],[QR Suivis]],"_"),1,3)</f>
        <v>CM-FT0120</v>
      </c>
      <c r="O1408" s="35" t="str">
        <f>INDEX(_xlfn.TEXTSPLIT(mvtst[[#This Row],[QR Suivis]],"_"),1,4)</f>
        <v>ST1020-S14-16-17</v>
      </c>
      <c r="P1408" s="35" t="str">
        <f>INDEX(_xlfn.TEXTSPLIT(mvtst[[#This Row],[QR Suivis]],"_"),1,5)</f>
        <v>ST TROPEZ</v>
      </c>
      <c r="Q1408" s="35" t="str">
        <f>_xlfn.TEXTAFTER(mvtst[[#This Row],[QR Suivis]],"_",5)</f>
        <v>1020</v>
      </c>
      <c r="R1408" s="84" t="str">
        <f>IF(
   COUNTIFS($A$2:A1408,A1408,
             $B$2:B1408,B1408,
             $C$2:C1408,C1408,
             $D$2:D1408,D1408,
             $G$2:G1408,G1408)&gt;1,
   "Doublon",
   "Correcte"
)</f>
        <v>Correcte</v>
      </c>
    </row>
    <row r="1409" spans="1:18" x14ac:dyDescent="0.25">
      <c r="A1409" s="104" t="s">
        <v>2061</v>
      </c>
      <c r="B1409" s="35" t="s">
        <v>712</v>
      </c>
      <c r="C1409" s="36">
        <v>5</v>
      </c>
      <c r="D1409" s="36">
        <v>0</v>
      </c>
      <c r="E1409" s="35" t="s">
        <v>699</v>
      </c>
      <c r="F1409" s="35" t="s">
        <v>634</v>
      </c>
      <c r="G1409" s="37">
        <v>45938.642928240741</v>
      </c>
      <c r="H1409" s="37" t="str">
        <f>INDEX(_xlfn.TEXTSPLIT(mvtst[[#This Row],[QR Suivis]],"_"),1,1)</f>
        <v>OF249946-61</v>
      </c>
      <c r="I1409" s="35" t="str">
        <f>_xlfn.TEXTBEFORE(mvtst[[#This Row],[Num Suivis]],"-",,,1)</f>
        <v>OF249946</v>
      </c>
      <c r="J1409" s="36">
        <f>SUMIF(mvtst[QR Suivis],mvtst[[#This Row],[QR Suivis]],mvtst[QTE SORTIS])-SUMIF(mvtst[QR Suivis],mvtst[[#This Row],[QR Suivis]],mvtst[QTE RETOUR])</f>
        <v>0</v>
      </c>
      <c r="K1409" s="35" t="str">
        <f t="shared" si="21"/>
        <v>Usine</v>
      </c>
      <c r="L1409" s="35" t="str">
        <f>_xlfn.XLOOKUP(mvtst[[#This Row],[Sous Traitant]],coordonnee_st[Identification],coordonnee_st[SERVICE],"Non Trouvé")</f>
        <v>Frange</v>
      </c>
      <c r="M1409" s="35" t="str">
        <f>INDEX(_xlfn.TEXTSPLIT(mvtst[[#This Row],[QR Suivis]],"_"),1,2)</f>
        <v>CL00884</v>
      </c>
      <c r="N1409" s="35" t="str">
        <f>INDEX(_xlfn.TEXTSPLIT(mvtst[[#This Row],[QR Suivis]],"_"),1,3)</f>
        <v>CM-FT0120</v>
      </c>
      <c r="O1409" s="35" t="str">
        <f>INDEX(_xlfn.TEXTSPLIT(mvtst[[#This Row],[QR Suivis]],"_"),1,4)</f>
        <v>ST1020-S14-16-17</v>
      </c>
      <c r="P1409" s="35" t="str">
        <f>INDEX(_xlfn.TEXTSPLIT(mvtst[[#This Row],[QR Suivis]],"_"),1,5)</f>
        <v>ST TROPEZ</v>
      </c>
      <c r="Q1409" s="35" t="str">
        <f>_xlfn.TEXTAFTER(mvtst[[#This Row],[QR Suivis]],"_",5)</f>
        <v>1020</v>
      </c>
      <c r="R1409" s="84" t="str">
        <f>IF(
   COUNTIFS($A$2:A1409,A1409,
             $B$2:B1409,B1409,
             $C$2:C1409,C1409,
             $D$2:D1409,D1409,
             $G$2:G1409,G1409)&gt;1,
   "Doublon",
   "Correcte"
)</f>
        <v>Correcte</v>
      </c>
    </row>
    <row r="1410" spans="1:18" x14ac:dyDescent="0.25">
      <c r="A1410" s="104" t="s">
        <v>2062</v>
      </c>
      <c r="B1410" s="35" t="s">
        <v>712</v>
      </c>
      <c r="C1410" s="36">
        <v>4</v>
      </c>
      <c r="D1410" s="36">
        <v>0</v>
      </c>
      <c r="E1410" s="35" t="s">
        <v>699</v>
      </c>
      <c r="F1410" s="35" t="s">
        <v>634</v>
      </c>
      <c r="G1410" s="37">
        <v>45938.643437500003</v>
      </c>
      <c r="H1410" s="37" t="str">
        <f>INDEX(_xlfn.TEXTSPLIT(mvtst[[#This Row],[QR Suivis]],"_"),1,1)</f>
        <v>OF249946-65</v>
      </c>
      <c r="I1410" s="35" t="str">
        <f>_xlfn.TEXTBEFORE(mvtst[[#This Row],[Num Suivis]],"-",,,1)</f>
        <v>OF249946</v>
      </c>
      <c r="J1410" s="36">
        <f>SUMIF(mvtst[QR Suivis],mvtst[[#This Row],[QR Suivis]],mvtst[QTE SORTIS])-SUMIF(mvtst[QR Suivis],mvtst[[#This Row],[QR Suivis]],mvtst[QTE RETOUR])</f>
        <v>0</v>
      </c>
      <c r="K1410" s="35" t="str">
        <f t="shared" si="21"/>
        <v>Usine</v>
      </c>
      <c r="L1410" s="35" t="str">
        <f>_xlfn.XLOOKUP(mvtst[[#This Row],[Sous Traitant]],coordonnee_st[Identification],coordonnee_st[SERVICE],"Non Trouvé")</f>
        <v>Frange</v>
      </c>
      <c r="M1410" s="35" t="str">
        <f>INDEX(_xlfn.TEXTSPLIT(mvtst[[#This Row],[QR Suivis]],"_"),1,2)</f>
        <v>CL00884</v>
      </c>
      <c r="N1410" s="35" t="str">
        <f>INDEX(_xlfn.TEXTSPLIT(mvtst[[#This Row],[QR Suivis]],"_"),1,3)</f>
        <v>CM-FT0120</v>
      </c>
      <c r="O1410" s="35" t="str">
        <f>INDEX(_xlfn.TEXTSPLIT(mvtst[[#This Row],[QR Suivis]],"_"),1,4)</f>
        <v>ST1020-S14-16-17</v>
      </c>
      <c r="P1410" s="35" t="str">
        <f>INDEX(_xlfn.TEXTSPLIT(mvtst[[#This Row],[QR Suivis]],"_"),1,5)</f>
        <v>ST TROPEZ</v>
      </c>
      <c r="Q1410" s="35" t="str">
        <f>_xlfn.TEXTAFTER(mvtst[[#This Row],[QR Suivis]],"_",5)</f>
        <v>1020</v>
      </c>
      <c r="R1410" s="84" t="str">
        <f>IF(
   COUNTIFS($A$2:A1410,A1410,
             $B$2:B1410,B1410,
             $C$2:C1410,C1410,
             $D$2:D1410,D1410,
             $G$2:G1410,G1410)&gt;1,
   "Doublon",
   "Correcte"
)</f>
        <v>Correcte</v>
      </c>
    </row>
    <row r="1411" spans="1:18" x14ac:dyDescent="0.25">
      <c r="A1411" s="104" t="s">
        <v>2063</v>
      </c>
      <c r="B1411" s="35" t="s">
        <v>712</v>
      </c>
      <c r="C1411" s="36">
        <v>5</v>
      </c>
      <c r="D1411" s="36">
        <v>0</v>
      </c>
      <c r="E1411" s="35" t="s">
        <v>699</v>
      </c>
      <c r="F1411" s="35" t="s">
        <v>634</v>
      </c>
      <c r="G1411" s="37">
        <v>45938.643622685187</v>
      </c>
      <c r="H1411" s="37" t="str">
        <f>INDEX(_xlfn.TEXTSPLIT(mvtst[[#This Row],[QR Suivis]],"_"),1,1)</f>
        <v>CA250034-4</v>
      </c>
      <c r="I1411" s="35" t="str">
        <f>_xlfn.TEXTBEFORE(mvtst[[#This Row],[Num Suivis]],"-",,,1)</f>
        <v>CA250034</v>
      </c>
      <c r="J1411" s="36">
        <f>SUMIF(mvtst[QR Suivis],mvtst[[#This Row],[QR Suivis]],mvtst[QTE SORTIS])-SUMIF(mvtst[QR Suivis],mvtst[[#This Row],[QR Suivis]],mvtst[QTE RETOUR])</f>
        <v>0</v>
      </c>
      <c r="K1411" s="35" t="str">
        <f t="shared" ref="K1411:K1474" si="22">"Usine"</f>
        <v>Usine</v>
      </c>
      <c r="L1411" s="35" t="str">
        <f>_xlfn.XLOOKUP(mvtst[[#This Row],[Sous Traitant]],coordonnee_st[Identification],coordonnee_st[SERVICE],"Non Trouvé")</f>
        <v>Frange</v>
      </c>
      <c r="M1411" s="35" t="str">
        <f>INDEX(_xlfn.TEXTSPLIT(mvtst[[#This Row],[QR Suivis]],"_"),1,2)</f>
        <v>All by Fouta</v>
      </c>
      <c r="N1411" s="35" t="str">
        <f>INDEX(_xlfn.TEXTSPLIT(mvtst[[#This Row],[QR Suivis]],"_"),1,3)</f>
        <v>Stock</v>
      </c>
      <c r="O1411" s="35" t="str">
        <f>INDEX(_xlfn.TEXTSPLIT(mvtst[[#This Row],[QR Suivis]],"_"),1,4)</f>
        <v>UNS2020-24</v>
      </c>
      <c r="P1411" s="35" t="str">
        <f>INDEX(_xlfn.TEXTSPLIT(mvtst[[#This Row],[QR Suivis]],"_"),1,5)</f>
        <v>UNI SURPIQUE</v>
      </c>
      <c r="Q1411" s="35" t="str">
        <f>_xlfn.TEXTAFTER(mvtst[[#This Row],[QR Suivis]],"_",5)</f>
        <v>2020</v>
      </c>
      <c r="R1411" s="84" t="str">
        <f>IF(
   COUNTIFS($A$2:A1411,A1411,
             $B$2:B1411,B1411,
             $C$2:C1411,C1411,
             $D$2:D1411,D1411,
             $G$2:G1411,G1411)&gt;1,
   "Doublon",
   "Correcte"
)</f>
        <v>Correcte</v>
      </c>
    </row>
    <row r="1412" spans="1:18" x14ac:dyDescent="0.25">
      <c r="A1412" s="104" t="s">
        <v>2064</v>
      </c>
      <c r="B1412" s="35" t="s">
        <v>712</v>
      </c>
      <c r="C1412" s="36">
        <v>5</v>
      </c>
      <c r="D1412" s="36">
        <v>0</v>
      </c>
      <c r="E1412" s="35" t="s">
        <v>699</v>
      </c>
      <c r="F1412" s="35" t="s">
        <v>634</v>
      </c>
      <c r="G1412" s="37">
        <v>45938.644143518519</v>
      </c>
      <c r="H1412" s="37" t="str">
        <f>INDEX(_xlfn.TEXTSPLIT(mvtst[[#This Row],[QR Suivis]],"_"),1,1)</f>
        <v>CA250034-2</v>
      </c>
      <c r="I1412" s="35" t="str">
        <f>_xlfn.TEXTBEFORE(mvtst[[#This Row],[Num Suivis]],"-",,,1)</f>
        <v>CA250034</v>
      </c>
      <c r="J1412" s="36">
        <f>SUMIF(mvtst[QR Suivis],mvtst[[#This Row],[QR Suivis]],mvtst[QTE SORTIS])-SUMIF(mvtst[QR Suivis],mvtst[[#This Row],[QR Suivis]],mvtst[QTE RETOUR])</f>
        <v>0</v>
      </c>
      <c r="K1412" s="35" t="str">
        <f t="shared" si="22"/>
        <v>Usine</v>
      </c>
      <c r="L1412" s="35" t="str">
        <f>_xlfn.XLOOKUP(mvtst[[#This Row],[Sous Traitant]],coordonnee_st[Identification],coordonnee_st[SERVICE],"Non Trouvé")</f>
        <v>Frange</v>
      </c>
      <c r="M1412" s="35" t="str">
        <f>INDEX(_xlfn.TEXTSPLIT(mvtst[[#This Row],[QR Suivis]],"_"),1,2)</f>
        <v>All by Fouta</v>
      </c>
      <c r="N1412" s="35" t="str">
        <f>INDEX(_xlfn.TEXTSPLIT(mvtst[[#This Row],[QR Suivis]],"_"),1,3)</f>
        <v>Stock</v>
      </c>
      <c r="O1412" s="35" t="str">
        <f>INDEX(_xlfn.TEXTSPLIT(mvtst[[#This Row],[QR Suivis]],"_"),1,4)</f>
        <v>UNS2020-24</v>
      </c>
      <c r="P1412" s="35" t="str">
        <f>INDEX(_xlfn.TEXTSPLIT(mvtst[[#This Row],[QR Suivis]],"_"),1,5)</f>
        <v>UNI SURPIQUE</v>
      </c>
      <c r="Q1412" s="35" t="str">
        <f>_xlfn.TEXTAFTER(mvtst[[#This Row],[QR Suivis]],"_",5)</f>
        <v>2020</v>
      </c>
      <c r="R1412" s="84" t="str">
        <f>IF(
   COUNTIFS($A$2:A1412,A1412,
             $B$2:B1412,B1412,
             $C$2:C1412,C1412,
             $D$2:D1412,D1412,
             $G$2:G1412,G1412)&gt;1,
   "Doublon",
   "Correcte"
)</f>
        <v>Correcte</v>
      </c>
    </row>
    <row r="1413" spans="1:18" x14ac:dyDescent="0.25">
      <c r="A1413" s="104" t="s">
        <v>2065</v>
      </c>
      <c r="B1413" s="35" t="s">
        <v>712</v>
      </c>
      <c r="C1413" s="36">
        <v>5</v>
      </c>
      <c r="D1413" s="36">
        <v>0</v>
      </c>
      <c r="E1413" s="35" t="s">
        <v>699</v>
      </c>
      <c r="F1413" s="35" t="s">
        <v>634</v>
      </c>
      <c r="G1413" s="37">
        <v>45938.644375000003</v>
      </c>
      <c r="H1413" s="37" t="str">
        <f>INDEX(_xlfn.TEXTSPLIT(mvtst[[#This Row],[QR Suivis]],"_"),1,1)</f>
        <v>CA250034-3</v>
      </c>
      <c r="I1413" s="35" t="str">
        <f>_xlfn.TEXTBEFORE(mvtst[[#This Row],[Num Suivis]],"-",,,1)</f>
        <v>CA250034</v>
      </c>
      <c r="J1413" s="36">
        <f>SUMIF(mvtst[QR Suivis],mvtst[[#This Row],[QR Suivis]],mvtst[QTE SORTIS])-SUMIF(mvtst[QR Suivis],mvtst[[#This Row],[QR Suivis]],mvtst[QTE RETOUR])</f>
        <v>0</v>
      </c>
      <c r="K1413" s="35" t="str">
        <f t="shared" si="22"/>
        <v>Usine</v>
      </c>
      <c r="L1413" s="35" t="str">
        <f>_xlfn.XLOOKUP(mvtst[[#This Row],[Sous Traitant]],coordonnee_st[Identification],coordonnee_st[SERVICE],"Non Trouvé")</f>
        <v>Frange</v>
      </c>
      <c r="M1413" s="35" t="str">
        <f>INDEX(_xlfn.TEXTSPLIT(mvtst[[#This Row],[QR Suivis]],"_"),1,2)</f>
        <v>All by Fouta</v>
      </c>
      <c r="N1413" s="35" t="str">
        <f>INDEX(_xlfn.TEXTSPLIT(mvtst[[#This Row],[QR Suivis]],"_"),1,3)</f>
        <v>Stock</v>
      </c>
      <c r="O1413" s="35" t="str">
        <f>INDEX(_xlfn.TEXTSPLIT(mvtst[[#This Row],[QR Suivis]],"_"),1,4)</f>
        <v>UNS2020-24</v>
      </c>
      <c r="P1413" s="35" t="str">
        <f>INDEX(_xlfn.TEXTSPLIT(mvtst[[#This Row],[QR Suivis]],"_"),1,5)</f>
        <v>UNI SURPIQUE</v>
      </c>
      <c r="Q1413" s="35" t="str">
        <f>_xlfn.TEXTAFTER(mvtst[[#This Row],[QR Suivis]],"_",5)</f>
        <v>2020</v>
      </c>
      <c r="R1413" s="84" t="str">
        <f>IF(
   COUNTIFS($A$2:A1413,A1413,
             $B$2:B1413,B1413,
             $C$2:C1413,C1413,
             $D$2:D1413,D1413,
             $G$2:G1413,G1413)&gt;1,
   "Doublon",
   "Correcte"
)</f>
        <v>Correcte</v>
      </c>
    </row>
    <row r="1414" spans="1:18" x14ac:dyDescent="0.25">
      <c r="A1414" s="104" t="s">
        <v>2066</v>
      </c>
      <c r="B1414" s="35" t="s">
        <v>712</v>
      </c>
      <c r="C1414" s="36">
        <v>5</v>
      </c>
      <c r="D1414" s="36">
        <v>0</v>
      </c>
      <c r="E1414" s="35" t="s">
        <v>699</v>
      </c>
      <c r="F1414" s="35" t="s">
        <v>634</v>
      </c>
      <c r="G1414" s="37">
        <v>45938.644930555558</v>
      </c>
      <c r="H1414" s="37" t="str">
        <f>INDEX(_xlfn.TEXTSPLIT(mvtst[[#This Row],[QR Suivis]],"_"),1,1)</f>
        <v>CA250034-6</v>
      </c>
      <c r="I1414" s="35" t="str">
        <f>_xlfn.TEXTBEFORE(mvtst[[#This Row],[Num Suivis]],"-",,,1)</f>
        <v>CA250034</v>
      </c>
      <c r="J1414" s="36">
        <f>SUMIF(mvtst[QR Suivis],mvtst[[#This Row],[QR Suivis]],mvtst[QTE SORTIS])-SUMIF(mvtst[QR Suivis],mvtst[[#This Row],[QR Suivis]],mvtst[QTE RETOUR])</f>
        <v>0</v>
      </c>
      <c r="K1414" s="35" t="str">
        <f t="shared" si="22"/>
        <v>Usine</v>
      </c>
      <c r="L1414" s="35" t="str">
        <f>_xlfn.XLOOKUP(mvtst[[#This Row],[Sous Traitant]],coordonnee_st[Identification],coordonnee_st[SERVICE],"Non Trouvé")</f>
        <v>Frange</v>
      </c>
      <c r="M1414" s="35" t="str">
        <f>INDEX(_xlfn.TEXTSPLIT(mvtst[[#This Row],[QR Suivis]],"_"),1,2)</f>
        <v>All by Fouta</v>
      </c>
      <c r="N1414" s="35" t="str">
        <f>INDEX(_xlfn.TEXTSPLIT(mvtst[[#This Row],[QR Suivis]],"_"),1,3)</f>
        <v>Stock</v>
      </c>
      <c r="O1414" s="35" t="str">
        <f>INDEX(_xlfn.TEXTSPLIT(mvtst[[#This Row],[QR Suivis]],"_"),1,4)</f>
        <v>UNS2020-24</v>
      </c>
      <c r="P1414" s="35" t="str">
        <f>INDEX(_xlfn.TEXTSPLIT(mvtst[[#This Row],[QR Suivis]],"_"),1,5)</f>
        <v>UNI SURPIQUE</v>
      </c>
      <c r="Q1414" s="35" t="str">
        <f>_xlfn.TEXTAFTER(mvtst[[#This Row],[QR Suivis]],"_",5)</f>
        <v>2020</v>
      </c>
      <c r="R1414" s="84" t="str">
        <f>IF(
   COUNTIFS($A$2:A1414,A1414,
             $B$2:B1414,B1414,
             $C$2:C1414,C1414,
             $D$2:D1414,D1414,
             $G$2:G1414,G1414)&gt;1,
   "Doublon",
   "Correcte"
)</f>
        <v>Correcte</v>
      </c>
    </row>
    <row r="1415" spans="1:18" x14ac:dyDescent="0.25">
      <c r="A1415" s="104" t="s">
        <v>2067</v>
      </c>
      <c r="B1415" s="35" t="s">
        <v>712</v>
      </c>
      <c r="C1415" s="36">
        <v>5</v>
      </c>
      <c r="D1415" s="36">
        <v>0</v>
      </c>
      <c r="E1415" s="35" t="s">
        <v>699</v>
      </c>
      <c r="F1415" s="35" t="s">
        <v>634</v>
      </c>
      <c r="G1415" s="37">
        <v>45938.645092592589</v>
      </c>
      <c r="H1415" s="37" t="str">
        <f>INDEX(_xlfn.TEXTSPLIT(mvtst[[#This Row],[QR Suivis]],"_"),1,1)</f>
        <v>CA250034-5</v>
      </c>
      <c r="I1415" s="35" t="str">
        <f>_xlfn.TEXTBEFORE(mvtst[[#This Row],[Num Suivis]],"-",,,1)</f>
        <v>CA250034</v>
      </c>
      <c r="J1415" s="36">
        <f>SUMIF(mvtst[QR Suivis],mvtst[[#This Row],[QR Suivis]],mvtst[QTE SORTIS])-SUMIF(mvtst[QR Suivis],mvtst[[#This Row],[QR Suivis]],mvtst[QTE RETOUR])</f>
        <v>0</v>
      </c>
      <c r="K1415" s="35" t="str">
        <f t="shared" si="22"/>
        <v>Usine</v>
      </c>
      <c r="L1415" s="35" t="str">
        <f>_xlfn.XLOOKUP(mvtst[[#This Row],[Sous Traitant]],coordonnee_st[Identification],coordonnee_st[SERVICE],"Non Trouvé")</f>
        <v>Frange</v>
      </c>
      <c r="M1415" s="35" t="str">
        <f>INDEX(_xlfn.TEXTSPLIT(mvtst[[#This Row],[QR Suivis]],"_"),1,2)</f>
        <v>All by Fouta</v>
      </c>
      <c r="N1415" s="35" t="str">
        <f>INDEX(_xlfn.TEXTSPLIT(mvtst[[#This Row],[QR Suivis]],"_"),1,3)</f>
        <v>Stock</v>
      </c>
      <c r="O1415" s="35" t="str">
        <f>INDEX(_xlfn.TEXTSPLIT(mvtst[[#This Row],[QR Suivis]],"_"),1,4)</f>
        <v>UNS2020-24</v>
      </c>
      <c r="P1415" s="35" t="str">
        <f>INDEX(_xlfn.TEXTSPLIT(mvtst[[#This Row],[QR Suivis]],"_"),1,5)</f>
        <v>UNI SURPIQUE</v>
      </c>
      <c r="Q1415" s="35" t="str">
        <f>_xlfn.TEXTAFTER(mvtst[[#This Row],[QR Suivis]],"_",5)</f>
        <v>2020</v>
      </c>
      <c r="R1415" s="84" t="str">
        <f>IF(
   COUNTIFS($A$2:A1415,A1415,
             $B$2:B1415,B1415,
             $C$2:C1415,C1415,
             $D$2:D1415,D1415,
             $G$2:G1415,G1415)&gt;1,
   "Doublon",
   "Correcte"
)</f>
        <v>Correcte</v>
      </c>
    </row>
    <row r="1416" spans="1:18" x14ac:dyDescent="0.25">
      <c r="A1416" s="104" t="s">
        <v>2068</v>
      </c>
      <c r="B1416" s="35" t="s">
        <v>712</v>
      </c>
      <c r="C1416" s="36">
        <v>5</v>
      </c>
      <c r="D1416" s="36">
        <v>0</v>
      </c>
      <c r="E1416" s="35" t="s">
        <v>699</v>
      </c>
      <c r="F1416" s="35" t="s">
        <v>634</v>
      </c>
      <c r="G1416" s="37">
        <v>45938.650856481479</v>
      </c>
      <c r="H1416" s="37" t="str">
        <f>INDEX(_xlfn.TEXTSPLIT(mvtst[[#This Row],[QR Suivis]],"_"),1,1)</f>
        <v>OF249946-56</v>
      </c>
      <c r="I1416" s="35" t="str">
        <f>_xlfn.TEXTBEFORE(mvtst[[#This Row],[Num Suivis]],"-",,,1)</f>
        <v>OF249946</v>
      </c>
      <c r="J1416" s="36">
        <f>SUMIF(mvtst[QR Suivis],mvtst[[#This Row],[QR Suivis]],mvtst[QTE SORTIS])-SUMIF(mvtst[QR Suivis],mvtst[[#This Row],[QR Suivis]],mvtst[QTE RETOUR])</f>
        <v>0</v>
      </c>
      <c r="K1416" s="35" t="str">
        <f t="shared" si="22"/>
        <v>Usine</v>
      </c>
      <c r="L1416" s="35" t="str">
        <f>_xlfn.XLOOKUP(mvtst[[#This Row],[Sous Traitant]],coordonnee_st[Identification],coordonnee_st[SERVICE],"Non Trouvé")</f>
        <v>Frange</v>
      </c>
      <c r="M1416" s="35" t="str">
        <f>INDEX(_xlfn.TEXTSPLIT(mvtst[[#This Row],[QR Suivis]],"_"),1,2)</f>
        <v>CL00884</v>
      </c>
      <c r="N1416" s="35" t="str">
        <f>INDEX(_xlfn.TEXTSPLIT(mvtst[[#This Row],[QR Suivis]],"_"),1,3)</f>
        <v>CM-FT0120</v>
      </c>
      <c r="O1416" s="35" t="str">
        <f>INDEX(_xlfn.TEXTSPLIT(mvtst[[#This Row],[QR Suivis]],"_"),1,4)</f>
        <v>ST1020-S14-16-17</v>
      </c>
      <c r="P1416" s="35" t="str">
        <f>INDEX(_xlfn.TEXTSPLIT(mvtst[[#This Row],[QR Suivis]],"_"),1,5)</f>
        <v>ST TROPEZ</v>
      </c>
      <c r="Q1416" s="35" t="str">
        <f>_xlfn.TEXTAFTER(mvtst[[#This Row],[QR Suivis]],"_",5)</f>
        <v>1020</v>
      </c>
      <c r="R1416" s="84" t="str">
        <f>IF(
   COUNTIFS($A$2:A1416,A1416,
             $B$2:B1416,B1416,
             $C$2:C1416,C1416,
             $D$2:D1416,D1416,
             $G$2:G1416,G1416)&gt;1,
   "Doublon",
   "Correcte"
)</f>
        <v>Correcte</v>
      </c>
    </row>
    <row r="1417" spans="1:18" x14ac:dyDescent="0.25">
      <c r="A1417" s="104" t="s">
        <v>2069</v>
      </c>
      <c r="B1417" s="35" t="s">
        <v>712</v>
      </c>
      <c r="C1417" s="36">
        <v>5</v>
      </c>
      <c r="D1417" s="36">
        <v>0</v>
      </c>
      <c r="E1417" s="35" t="s">
        <v>699</v>
      </c>
      <c r="F1417" s="35" t="s">
        <v>634</v>
      </c>
      <c r="G1417" s="37">
        <v>45938.651122685187</v>
      </c>
      <c r="H1417" s="37" t="str">
        <f>INDEX(_xlfn.TEXTSPLIT(mvtst[[#This Row],[QR Suivis]],"_"),1,1)</f>
        <v>OF249946-52</v>
      </c>
      <c r="I1417" s="35" t="str">
        <f>_xlfn.TEXTBEFORE(mvtst[[#This Row],[Num Suivis]],"-",,,1)</f>
        <v>OF249946</v>
      </c>
      <c r="J1417" s="36">
        <f>SUMIF(mvtst[QR Suivis],mvtst[[#This Row],[QR Suivis]],mvtst[QTE SORTIS])-SUMIF(mvtst[QR Suivis],mvtst[[#This Row],[QR Suivis]],mvtst[QTE RETOUR])</f>
        <v>0</v>
      </c>
      <c r="K1417" s="35" t="str">
        <f t="shared" si="22"/>
        <v>Usine</v>
      </c>
      <c r="L1417" s="35" t="str">
        <f>_xlfn.XLOOKUP(mvtst[[#This Row],[Sous Traitant]],coordonnee_st[Identification],coordonnee_st[SERVICE],"Non Trouvé")</f>
        <v>Frange</v>
      </c>
      <c r="M1417" s="35" t="str">
        <f>INDEX(_xlfn.TEXTSPLIT(mvtst[[#This Row],[QR Suivis]],"_"),1,2)</f>
        <v>CL00884</v>
      </c>
      <c r="N1417" s="35" t="str">
        <f>INDEX(_xlfn.TEXTSPLIT(mvtst[[#This Row],[QR Suivis]],"_"),1,3)</f>
        <v>CM-FT0120</v>
      </c>
      <c r="O1417" s="35" t="str">
        <f>INDEX(_xlfn.TEXTSPLIT(mvtst[[#This Row],[QR Suivis]],"_"),1,4)</f>
        <v>ST1020-S14-16-17</v>
      </c>
      <c r="P1417" s="35" t="str">
        <f>INDEX(_xlfn.TEXTSPLIT(mvtst[[#This Row],[QR Suivis]],"_"),1,5)</f>
        <v>ST TROPEZ</v>
      </c>
      <c r="Q1417" s="35" t="str">
        <f>_xlfn.TEXTAFTER(mvtst[[#This Row],[QR Suivis]],"_",5)</f>
        <v>1020</v>
      </c>
      <c r="R1417" s="84" t="str">
        <f>IF(
   COUNTIFS($A$2:A1417,A1417,
             $B$2:B1417,B1417,
             $C$2:C1417,C1417,
             $D$2:D1417,D1417,
             $G$2:G1417,G1417)&gt;1,
   "Doublon",
   "Correcte"
)</f>
        <v>Correcte</v>
      </c>
    </row>
    <row r="1418" spans="1:18" x14ac:dyDescent="0.25">
      <c r="A1418" s="104" t="s">
        <v>2070</v>
      </c>
      <c r="B1418" s="35" t="s">
        <v>712</v>
      </c>
      <c r="C1418" s="36">
        <v>5</v>
      </c>
      <c r="D1418" s="36">
        <v>0</v>
      </c>
      <c r="E1418" s="35" t="s">
        <v>699</v>
      </c>
      <c r="F1418" s="35" t="s">
        <v>634</v>
      </c>
      <c r="G1418" s="37">
        <v>45938.651446759257</v>
      </c>
      <c r="H1418" s="37" t="str">
        <f>INDEX(_xlfn.TEXTSPLIT(mvtst[[#This Row],[QR Suivis]],"_"),1,1)</f>
        <v>OF249946-51</v>
      </c>
      <c r="I1418" s="35" t="str">
        <f>_xlfn.TEXTBEFORE(mvtst[[#This Row],[Num Suivis]],"-",,,1)</f>
        <v>OF249946</v>
      </c>
      <c r="J1418" s="36">
        <f>SUMIF(mvtst[QR Suivis],mvtst[[#This Row],[QR Suivis]],mvtst[QTE SORTIS])-SUMIF(mvtst[QR Suivis],mvtst[[#This Row],[QR Suivis]],mvtst[QTE RETOUR])</f>
        <v>0</v>
      </c>
      <c r="K1418" s="35" t="str">
        <f t="shared" si="22"/>
        <v>Usine</v>
      </c>
      <c r="L1418" s="35" t="str">
        <f>_xlfn.XLOOKUP(mvtst[[#This Row],[Sous Traitant]],coordonnee_st[Identification],coordonnee_st[SERVICE],"Non Trouvé")</f>
        <v>Frange</v>
      </c>
      <c r="M1418" s="35" t="str">
        <f>INDEX(_xlfn.TEXTSPLIT(mvtst[[#This Row],[QR Suivis]],"_"),1,2)</f>
        <v>CL00884</v>
      </c>
      <c r="N1418" s="35" t="str">
        <f>INDEX(_xlfn.TEXTSPLIT(mvtst[[#This Row],[QR Suivis]],"_"),1,3)</f>
        <v>CM-FT0120</v>
      </c>
      <c r="O1418" s="35" t="str">
        <f>INDEX(_xlfn.TEXTSPLIT(mvtst[[#This Row],[QR Suivis]],"_"),1,4)</f>
        <v>ST1020-S14-16-17</v>
      </c>
      <c r="P1418" s="35" t="str">
        <f>INDEX(_xlfn.TEXTSPLIT(mvtst[[#This Row],[QR Suivis]],"_"),1,5)</f>
        <v>ST TROPEZ</v>
      </c>
      <c r="Q1418" s="35" t="str">
        <f>_xlfn.TEXTAFTER(mvtst[[#This Row],[QR Suivis]],"_",5)</f>
        <v>1020</v>
      </c>
      <c r="R1418" s="84" t="str">
        <f>IF(
   COUNTIFS($A$2:A1418,A1418,
             $B$2:B1418,B1418,
             $C$2:C1418,C1418,
             $D$2:D1418,D1418,
             $G$2:G1418,G1418)&gt;1,
   "Doublon",
   "Correcte"
)</f>
        <v>Correcte</v>
      </c>
    </row>
    <row r="1419" spans="1:18" x14ac:dyDescent="0.25">
      <c r="A1419" s="104" t="s">
        <v>2071</v>
      </c>
      <c r="B1419" s="35" t="s">
        <v>712</v>
      </c>
      <c r="C1419" s="36">
        <v>5</v>
      </c>
      <c r="D1419" s="36">
        <v>0</v>
      </c>
      <c r="E1419" s="35" t="s">
        <v>699</v>
      </c>
      <c r="F1419" s="35" t="s">
        <v>634</v>
      </c>
      <c r="G1419" s="37">
        <v>45938.651643518519</v>
      </c>
      <c r="H1419" s="37" t="str">
        <f>INDEX(_xlfn.TEXTSPLIT(mvtst[[#This Row],[QR Suivis]],"_"),1,1)</f>
        <v>OF249946-50</v>
      </c>
      <c r="I1419" s="35" t="str">
        <f>_xlfn.TEXTBEFORE(mvtst[[#This Row],[Num Suivis]],"-",,,1)</f>
        <v>OF249946</v>
      </c>
      <c r="J1419" s="36">
        <f>SUMIF(mvtst[QR Suivis],mvtst[[#This Row],[QR Suivis]],mvtst[QTE SORTIS])-SUMIF(mvtst[QR Suivis],mvtst[[#This Row],[QR Suivis]],mvtst[QTE RETOUR])</f>
        <v>0</v>
      </c>
      <c r="K1419" s="35" t="str">
        <f t="shared" si="22"/>
        <v>Usine</v>
      </c>
      <c r="L1419" s="35" t="str">
        <f>_xlfn.XLOOKUP(mvtst[[#This Row],[Sous Traitant]],coordonnee_st[Identification],coordonnee_st[SERVICE],"Non Trouvé")</f>
        <v>Frange</v>
      </c>
      <c r="M1419" s="35" t="str">
        <f>INDEX(_xlfn.TEXTSPLIT(mvtst[[#This Row],[QR Suivis]],"_"),1,2)</f>
        <v>CL00884</v>
      </c>
      <c r="N1419" s="35" t="str">
        <f>INDEX(_xlfn.TEXTSPLIT(mvtst[[#This Row],[QR Suivis]],"_"),1,3)</f>
        <v>CM-FT0120</v>
      </c>
      <c r="O1419" s="35" t="str">
        <f>INDEX(_xlfn.TEXTSPLIT(mvtst[[#This Row],[QR Suivis]],"_"),1,4)</f>
        <v>ST1020-S14-16-17</v>
      </c>
      <c r="P1419" s="35" t="str">
        <f>INDEX(_xlfn.TEXTSPLIT(mvtst[[#This Row],[QR Suivis]],"_"),1,5)</f>
        <v>ST TROPEZ</v>
      </c>
      <c r="Q1419" s="35" t="str">
        <f>_xlfn.TEXTAFTER(mvtst[[#This Row],[QR Suivis]],"_",5)</f>
        <v>1020</v>
      </c>
      <c r="R1419" s="84" t="str">
        <f>IF(
   COUNTIFS($A$2:A1419,A1419,
             $B$2:B1419,B1419,
             $C$2:C1419,C1419,
             $D$2:D1419,D1419,
             $G$2:G1419,G1419)&gt;1,
   "Doublon",
   "Correcte"
)</f>
        <v>Correcte</v>
      </c>
    </row>
    <row r="1420" spans="1:18" x14ac:dyDescent="0.25">
      <c r="A1420" s="104" t="s">
        <v>2072</v>
      </c>
      <c r="B1420" s="35" t="s">
        <v>712</v>
      </c>
      <c r="C1420" s="36">
        <v>5</v>
      </c>
      <c r="D1420" s="36">
        <v>0</v>
      </c>
      <c r="E1420" s="35" t="s">
        <v>699</v>
      </c>
      <c r="F1420" s="35" t="s">
        <v>634</v>
      </c>
      <c r="G1420" s="37">
        <v>45938.65179398148</v>
      </c>
      <c r="H1420" s="37" t="str">
        <f>INDEX(_xlfn.TEXTSPLIT(mvtst[[#This Row],[QR Suivis]],"_"),1,1)</f>
        <v>OF249946-60</v>
      </c>
      <c r="I1420" s="35" t="str">
        <f>_xlfn.TEXTBEFORE(mvtst[[#This Row],[Num Suivis]],"-",,,1)</f>
        <v>OF249946</v>
      </c>
      <c r="J1420" s="36">
        <f>SUMIF(mvtst[QR Suivis],mvtst[[#This Row],[QR Suivis]],mvtst[QTE SORTIS])-SUMIF(mvtst[QR Suivis],mvtst[[#This Row],[QR Suivis]],mvtst[QTE RETOUR])</f>
        <v>0</v>
      </c>
      <c r="K1420" s="35" t="str">
        <f t="shared" si="22"/>
        <v>Usine</v>
      </c>
      <c r="L1420" s="35" t="str">
        <f>_xlfn.XLOOKUP(mvtst[[#This Row],[Sous Traitant]],coordonnee_st[Identification],coordonnee_st[SERVICE],"Non Trouvé")</f>
        <v>Frange</v>
      </c>
      <c r="M1420" s="35" t="str">
        <f>INDEX(_xlfn.TEXTSPLIT(mvtst[[#This Row],[QR Suivis]],"_"),1,2)</f>
        <v>CL00884</v>
      </c>
      <c r="N1420" s="35" t="str">
        <f>INDEX(_xlfn.TEXTSPLIT(mvtst[[#This Row],[QR Suivis]],"_"),1,3)</f>
        <v>CM-FT0120</v>
      </c>
      <c r="O1420" s="35" t="str">
        <f>INDEX(_xlfn.TEXTSPLIT(mvtst[[#This Row],[QR Suivis]],"_"),1,4)</f>
        <v>ST1020-S14-16-17</v>
      </c>
      <c r="P1420" s="35" t="str">
        <f>INDEX(_xlfn.TEXTSPLIT(mvtst[[#This Row],[QR Suivis]],"_"),1,5)</f>
        <v>ST TROPEZ</v>
      </c>
      <c r="Q1420" s="35" t="str">
        <f>_xlfn.TEXTAFTER(mvtst[[#This Row],[QR Suivis]],"_",5)</f>
        <v>1020</v>
      </c>
      <c r="R1420" s="84" t="str">
        <f>IF(
   COUNTIFS($A$2:A1420,A1420,
             $B$2:B1420,B1420,
             $C$2:C1420,C1420,
             $D$2:D1420,D1420,
             $G$2:G1420,G1420)&gt;1,
   "Doublon",
   "Correcte"
)</f>
        <v>Correcte</v>
      </c>
    </row>
    <row r="1421" spans="1:18" x14ac:dyDescent="0.25">
      <c r="A1421" s="104" t="s">
        <v>2073</v>
      </c>
      <c r="B1421" s="35" t="s">
        <v>712</v>
      </c>
      <c r="C1421" s="36">
        <v>5</v>
      </c>
      <c r="D1421" s="36">
        <v>0</v>
      </c>
      <c r="E1421" s="35" t="s">
        <v>699</v>
      </c>
      <c r="F1421" s="35" t="s">
        <v>634</v>
      </c>
      <c r="G1421" s="37">
        <v>45938.652129629627</v>
      </c>
      <c r="H1421" s="37" t="str">
        <f>INDEX(_xlfn.TEXTSPLIT(mvtst[[#This Row],[QR Suivis]],"_"),1,1)</f>
        <v>OF249946-55</v>
      </c>
      <c r="I1421" s="35" t="str">
        <f>_xlfn.TEXTBEFORE(mvtst[[#This Row],[Num Suivis]],"-",,,1)</f>
        <v>OF249946</v>
      </c>
      <c r="J1421" s="36">
        <f>SUMIF(mvtst[QR Suivis],mvtst[[#This Row],[QR Suivis]],mvtst[QTE SORTIS])-SUMIF(mvtst[QR Suivis],mvtst[[#This Row],[QR Suivis]],mvtst[QTE RETOUR])</f>
        <v>0</v>
      </c>
      <c r="K1421" s="35" t="str">
        <f t="shared" si="22"/>
        <v>Usine</v>
      </c>
      <c r="L1421" s="35" t="str">
        <f>_xlfn.XLOOKUP(mvtst[[#This Row],[Sous Traitant]],coordonnee_st[Identification],coordonnee_st[SERVICE],"Non Trouvé")</f>
        <v>Frange</v>
      </c>
      <c r="M1421" s="35" t="str">
        <f>INDEX(_xlfn.TEXTSPLIT(mvtst[[#This Row],[QR Suivis]],"_"),1,2)</f>
        <v>CL00884</v>
      </c>
      <c r="N1421" s="35" t="str">
        <f>INDEX(_xlfn.TEXTSPLIT(mvtst[[#This Row],[QR Suivis]],"_"),1,3)</f>
        <v>CM-FT0120</v>
      </c>
      <c r="O1421" s="35" t="str">
        <f>INDEX(_xlfn.TEXTSPLIT(mvtst[[#This Row],[QR Suivis]],"_"),1,4)</f>
        <v>ST1020-S14-16-17</v>
      </c>
      <c r="P1421" s="35" t="str">
        <f>INDEX(_xlfn.TEXTSPLIT(mvtst[[#This Row],[QR Suivis]],"_"),1,5)</f>
        <v>ST TROPEZ</v>
      </c>
      <c r="Q1421" s="35" t="str">
        <f>_xlfn.TEXTAFTER(mvtst[[#This Row],[QR Suivis]],"_",5)</f>
        <v>1020</v>
      </c>
      <c r="R1421" s="84" t="str">
        <f>IF(
   COUNTIFS($A$2:A1421,A1421,
             $B$2:B1421,B1421,
             $C$2:C1421,C1421,
             $D$2:D1421,D1421,
             $G$2:G1421,G1421)&gt;1,
   "Doublon",
   "Correcte"
)</f>
        <v>Correcte</v>
      </c>
    </row>
    <row r="1422" spans="1:18" x14ac:dyDescent="0.25">
      <c r="A1422" s="104" t="s">
        <v>2074</v>
      </c>
      <c r="B1422" s="35" t="s">
        <v>712</v>
      </c>
      <c r="C1422" s="36">
        <v>5</v>
      </c>
      <c r="D1422" s="36">
        <v>0</v>
      </c>
      <c r="E1422" s="35" t="s">
        <v>699</v>
      </c>
      <c r="F1422" s="35" t="s">
        <v>634</v>
      </c>
      <c r="G1422" s="37">
        <v>45938.652372685188</v>
      </c>
      <c r="H1422" s="37" t="str">
        <f>INDEX(_xlfn.TEXTSPLIT(mvtst[[#This Row],[QR Suivis]],"_"),1,1)</f>
        <v>OF249946-58</v>
      </c>
      <c r="I1422" s="35" t="str">
        <f>_xlfn.TEXTBEFORE(mvtst[[#This Row],[Num Suivis]],"-",,,1)</f>
        <v>OF249946</v>
      </c>
      <c r="J1422" s="36">
        <f>SUMIF(mvtst[QR Suivis],mvtst[[#This Row],[QR Suivis]],mvtst[QTE SORTIS])-SUMIF(mvtst[QR Suivis],mvtst[[#This Row],[QR Suivis]],mvtst[QTE RETOUR])</f>
        <v>0</v>
      </c>
      <c r="K1422" s="35" t="str">
        <f t="shared" si="22"/>
        <v>Usine</v>
      </c>
      <c r="L1422" s="35" t="str">
        <f>_xlfn.XLOOKUP(mvtst[[#This Row],[Sous Traitant]],coordonnee_st[Identification],coordonnee_st[SERVICE],"Non Trouvé")</f>
        <v>Frange</v>
      </c>
      <c r="M1422" s="35" t="str">
        <f>INDEX(_xlfn.TEXTSPLIT(mvtst[[#This Row],[QR Suivis]],"_"),1,2)</f>
        <v>CL00884</v>
      </c>
      <c r="N1422" s="35" t="str">
        <f>INDEX(_xlfn.TEXTSPLIT(mvtst[[#This Row],[QR Suivis]],"_"),1,3)</f>
        <v>CM-FT0120</v>
      </c>
      <c r="O1422" s="35" t="str">
        <f>INDEX(_xlfn.TEXTSPLIT(mvtst[[#This Row],[QR Suivis]],"_"),1,4)</f>
        <v>ST1020-S14-16-17</v>
      </c>
      <c r="P1422" s="35" t="str">
        <f>INDEX(_xlfn.TEXTSPLIT(mvtst[[#This Row],[QR Suivis]],"_"),1,5)</f>
        <v>ST TROPEZ</v>
      </c>
      <c r="Q1422" s="35" t="str">
        <f>_xlfn.TEXTAFTER(mvtst[[#This Row],[QR Suivis]],"_",5)</f>
        <v>1020</v>
      </c>
      <c r="R1422" s="84" t="str">
        <f>IF(
   COUNTIFS($A$2:A1422,A1422,
             $B$2:B1422,B1422,
             $C$2:C1422,C1422,
             $D$2:D1422,D1422,
             $G$2:G1422,G1422)&gt;1,
   "Doublon",
   "Correcte"
)</f>
        <v>Correcte</v>
      </c>
    </row>
    <row r="1423" spans="1:18" x14ac:dyDescent="0.25">
      <c r="A1423" s="104" t="s">
        <v>2075</v>
      </c>
      <c r="B1423" s="35" t="s">
        <v>712</v>
      </c>
      <c r="C1423" s="36">
        <v>5</v>
      </c>
      <c r="D1423" s="36">
        <v>0</v>
      </c>
      <c r="E1423" s="35" t="s">
        <v>699</v>
      </c>
      <c r="F1423" s="35" t="s">
        <v>634</v>
      </c>
      <c r="G1423" s="37">
        <v>45938.652592592596</v>
      </c>
      <c r="H1423" s="37" t="str">
        <f>INDEX(_xlfn.TEXTSPLIT(mvtst[[#This Row],[QR Suivis]],"_"),1,1)</f>
        <v>OF249946-57</v>
      </c>
      <c r="I1423" s="35" t="str">
        <f>_xlfn.TEXTBEFORE(mvtst[[#This Row],[Num Suivis]],"-",,,1)</f>
        <v>OF249946</v>
      </c>
      <c r="J1423" s="36">
        <f>SUMIF(mvtst[QR Suivis],mvtst[[#This Row],[QR Suivis]],mvtst[QTE SORTIS])-SUMIF(mvtst[QR Suivis],mvtst[[#This Row],[QR Suivis]],mvtst[QTE RETOUR])</f>
        <v>0</v>
      </c>
      <c r="K1423" s="35" t="str">
        <f t="shared" si="22"/>
        <v>Usine</v>
      </c>
      <c r="L1423" s="35" t="str">
        <f>_xlfn.XLOOKUP(mvtst[[#This Row],[Sous Traitant]],coordonnee_st[Identification],coordonnee_st[SERVICE],"Non Trouvé")</f>
        <v>Frange</v>
      </c>
      <c r="M1423" s="35" t="str">
        <f>INDEX(_xlfn.TEXTSPLIT(mvtst[[#This Row],[QR Suivis]],"_"),1,2)</f>
        <v>CL00884</v>
      </c>
      <c r="N1423" s="35" t="str">
        <f>INDEX(_xlfn.TEXTSPLIT(mvtst[[#This Row],[QR Suivis]],"_"),1,3)</f>
        <v>CM-FT0120</v>
      </c>
      <c r="O1423" s="35" t="str">
        <f>INDEX(_xlfn.TEXTSPLIT(mvtst[[#This Row],[QR Suivis]],"_"),1,4)</f>
        <v>ST1020-S14-16-17</v>
      </c>
      <c r="P1423" s="35" t="str">
        <f>INDEX(_xlfn.TEXTSPLIT(mvtst[[#This Row],[QR Suivis]],"_"),1,5)</f>
        <v>ST TROPEZ</v>
      </c>
      <c r="Q1423" s="35" t="str">
        <f>_xlfn.TEXTAFTER(mvtst[[#This Row],[QR Suivis]],"_",5)</f>
        <v>1020</v>
      </c>
      <c r="R1423" s="84" t="str">
        <f>IF(
   COUNTIFS($A$2:A1423,A1423,
             $B$2:B1423,B1423,
             $C$2:C1423,C1423,
             $D$2:D1423,D1423,
             $G$2:G1423,G1423)&gt;1,
   "Doublon",
   "Correcte"
)</f>
        <v>Correcte</v>
      </c>
    </row>
    <row r="1424" spans="1:18" x14ac:dyDescent="0.25">
      <c r="A1424" s="104" t="s">
        <v>2076</v>
      </c>
      <c r="B1424" s="35" t="s">
        <v>712</v>
      </c>
      <c r="C1424" s="36">
        <v>5</v>
      </c>
      <c r="D1424" s="36">
        <v>0</v>
      </c>
      <c r="E1424" s="35" t="s">
        <v>699</v>
      </c>
      <c r="F1424" s="35" t="s">
        <v>634</v>
      </c>
      <c r="G1424" s="37">
        <v>45938.653368055559</v>
      </c>
      <c r="H1424" s="37" t="str">
        <f>INDEX(_xlfn.TEXTSPLIT(mvtst[[#This Row],[QR Suivis]],"_"),1,1)</f>
        <v>OF249946-54</v>
      </c>
      <c r="I1424" s="35" t="str">
        <f>_xlfn.TEXTBEFORE(mvtst[[#This Row],[Num Suivis]],"-",,,1)</f>
        <v>OF249946</v>
      </c>
      <c r="J1424" s="36">
        <f>SUMIF(mvtst[QR Suivis],mvtst[[#This Row],[QR Suivis]],mvtst[QTE SORTIS])-SUMIF(mvtst[QR Suivis],mvtst[[#This Row],[QR Suivis]],mvtst[QTE RETOUR])</f>
        <v>0</v>
      </c>
      <c r="K1424" s="35" t="str">
        <f t="shared" si="22"/>
        <v>Usine</v>
      </c>
      <c r="L1424" s="35" t="str">
        <f>_xlfn.XLOOKUP(mvtst[[#This Row],[Sous Traitant]],coordonnee_st[Identification],coordonnee_st[SERVICE],"Non Trouvé")</f>
        <v>Frange</v>
      </c>
      <c r="M1424" s="35" t="str">
        <f>INDEX(_xlfn.TEXTSPLIT(mvtst[[#This Row],[QR Suivis]],"_"),1,2)</f>
        <v>CL00884</v>
      </c>
      <c r="N1424" s="35" t="str">
        <f>INDEX(_xlfn.TEXTSPLIT(mvtst[[#This Row],[QR Suivis]],"_"),1,3)</f>
        <v>CM-FT0120</v>
      </c>
      <c r="O1424" s="35" t="str">
        <f>INDEX(_xlfn.TEXTSPLIT(mvtst[[#This Row],[QR Suivis]],"_"),1,4)</f>
        <v>ST1020-S14-16-17</v>
      </c>
      <c r="P1424" s="35" t="str">
        <f>INDEX(_xlfn.TEXTSPLIT(mvtst[[#This Row],[QR Suivis]],"_"),1,5)</f>
        <v>ST TROPEZ</v>
      </c>
      <c r="Q1424" s="35" t="str">
        <f>_xlfn.TEXTAFTER(mvtst[[#This Row],[QR Suivis]],"_",5)</f>
        <v>1020</v>
      </c>
      <c r="R1424" s="84" t="str">
        <f>IF(
   COUNTIFS($A$2:A1424,A1424,
             $B$2:B1424,B1424,
             $C$2:C1424,C1424,
             $D$2:D1424,D1424,
             $G$2:G1424,G1424)&gt;1,
   "Doublon",
   "Correcte"
)</f>
        <v>Correcte</v>
      </c>
    </row>
    <row r="1425" spans="1:18" x14ac:dyDescent="0.25">
      <c r="A1425" s="104" t="s">
        <v>2077</v>
      </c>
      <c r="B1425" s="35" t="s">
        <v>712</v>
      </c>
      <c r="C1425" s="36">
        <v>5</v>
      </c>
      <c r="D1425" s="36">
        <v>0</v>
      </c>
      <c r="E1425" s="35" t="s">
        <v>699</v>
      </c>
      <c r="F1425" s="35" t="s">
        <v>634</v>
      </c>
      <c r="G1425" s="37">
        <v>45938.653553240743</v>
      </c>
      <c r="H1425" s="37" t="str">
        <f>INDEX(_xlfn.TEXTSPLIT(mvtst[[#This Row],[QR Suivis]],"_"),1,1)</f>
        <v>OF249946-53</v>
      </c>
      <c r="I1425" s="35" t="str">
        <f>_xlfn.TEXTBEFORE(mvtst[[#This Row],[Num Suivis]],"-",,,1)</f>
        <v>OF249946</v>
      </c>
      <c r="J1425" s="36">
        <f>SUMIF(mvtst[QR Suivis],mvtst[[#This Row],[QR Suivis]],mvtst[QTE SORTIS])-SUMIF(mvtst[QR Suivis],mvtst[[#This Row],[QR Suivis]],mvtst[QTE RETOUR])</f>
        <v>0</v>
      </c>
      <c r="K1425" s="35" t="str">
        <f t="shared" si="22"/>
        <v>Usine</v>
      </c>
      <c r="L1425" s="35" t="str">
        <f>_xlfn.XLOOKUP(mvtst[[#This Row],[Sous Traitant]],coordonnee_st[Identification],coordonnee_st[SERVICE],"Non Trouvé")</f>
        <v>Frange</v>
      </c>
      <c r="M1425" s="35" t="str">
        <f>INDEX(_xlfn.TEXTSPLIT(mvtst[[#This Row],[QR Suivis]],"_"),1,2)</f>
        <v>CL00884</v>
      </c>
      <c r="N1425" s="35" t="str">
        <f>INDEX(_xlfn.TEXTSPLIT(mvtst[[#This Row],[QR Suivis]],"_"),1,3)</f>
        <v>CM-FT0120</v>
      </c>
      <c r="O1425" s="35" t="str">
        <f>INDEX(_xlfn.TEXTSPLIT(mvtst[[#This Row],[QR Suivis]],"_"),1,4)</f>
        <v>ST1020-S14-16-17</v>
      </c>
      <c r="P1425" s="35" t="str">
        <f>INDEX(_xlfn.TEXTSPLIT(mvtst[[#This Row],[QR Suivis]],"_"),1,5)</f>
        <v>ST TROPEZ</v>
      </c>
      <c r="Q1425" s="35" t="str">
        <f>_xlfn.TEXTAFTER(mvtst[[#This Row],[QR Suivis]],"_",5)</f>
        <v>1020</v>
      </c>
      <c r="R1425" s="84" t="str">
        <f>IF(
   COUNTIFS($A$2:A1425,A1425,
             $B$2:B1425,B1425,
             $C$2:C1425,C1425,
             $D$2:D1425,D1425,
             $G$2:G1425,G1425)&gt;1,
   "Doublon",
   "Correcte"
)</f>
        <v>Correcte</v>
      </c>
    </row>
    <row r="1426" spans="1:18" x14ac:dyDescent="0.25">
      <c r="A1426" s="104" t="s">
        <v>2078</v>
      </c>
      <c r="B1426" s="35" t="s">
        <v>712</v>
      </c>
      <c r="C1426" s="36">
        <v>5</v>
      </c>
      <c r="D1426" s="36">
        <v>0</v>
      </c>
      <c r="E1426" s="35" t="s">
        <v>699</v>
      </c>
      <c r="F1426" s="35" t="s">
        <v>634</v>
      </c>
      <c r="G1426" s="37">
        <v>45938.658206018517</v>
      </c>
      <c r="H1426" s="37" t="str">
        <f>INDEX(_xlfn.TEXTSPLIT(mvtst[[#This Row],[QR Suivis]],"_"),1,1)</f>
        <v>CA250034-1</v>
      </c>
      <c r="I1426" s="35" t="str">
        <f>_xlfn.TEXTBEFORE(mvtst[[#This Row],[Num Suivis]],"-",,,1)</f>
        <v>CA250034</v>
      </c>
      <c r="J1426" s="36">
        <f>SUMIF(mvtst[QR Suivis],mvtst[[#This Row],[QR Suivis]],mvtst[QTE SORTIS])-SUMIF(mvtst[QR Suivis],mvtst[[#This Row],[QR Suivis]],mvtst[QTE RETOUR])</f>
        <v>0</v>
      </c>
      <c r="K1426" s="35" t="str">
        <f t="shared" si="22"/>
        <v>Usine</v>
      </c>
      <c r="L1426" s="35" t="str">
        <f>_xlfn.XLOOKUP(mvtst[[#This Row],[Sous Traitant]],coordonnee_st[Identification],coordonnee_st[SERVICE],"Non Trouvé")</f>
        <v>Frange</v>
      </c>
      <c r="M1426" s="35" t="str">
        <f>INDEX(_xlfn.TEXTSPLIT(mvtst[[#This Row],[QR Suivis]],"_"),1,2)</f>
        <v>All by Fouta</v>
      </c>
      <c r="N1426" s="35" t="str">
        <f>INDEX(_xlfn.TEXTSPLIT(mvtst[[#This Row],[QR Suivis]],"_"),1,3)</f>
        <v>Stock</v>
      </c>
      <c r="O1426" s="35" t="str">
        <f>INDEX(_xlfn.TEXTSPLIT(mvtst[[#This Row],[QR Suivis]],"_"),1,4)</f>
        <v>UNS2020-24</v>
      </c>
      <c r="P1426" s="35" t="str">
        <f>INDEX(_xlfn.TEXTSPLIT(mvtst[[#This Row],[QR Suivis]],"_"),1,5)</f>
        <v>UNI SURPIQUE</v>
      </c>
      <c r="Q1426" s="35" t="str">
        <f>_xlfn.TEXTAFTER(mvtst[[#This Row],[QR Suivis]],"_",5)</f>
        <v>2020</v>
      </c>
      <c r="R1426" s="84" t="str">
        <f>IF(
   COUNTIFS($A$2:A1426,A1426,
             $B$2:B1426,B1426,
             $C$2:C1426,C1426,
             $D$2:D1426,D1426,
             $G$2:G1426,G1426)&gt;1,
   "Doublon",
   "Correcte"
)</f>
        <v>Correcte</v>
      </c>
    </row>
    <row r="1427" spans="1:18" x14ac:dyDescent="0.25">
      <c r="A1427" s="104" t="s">
        <v>2079</v>
      </c>
      <c r="B1427" s="35" t="s">
        <v>712</v>
      </c>
      <c r="C1427" s="36">
        <v>5</v>
      </c>
      <c r="D1427" s="36">
        <v>0</v>
      </c>
      <c r="E1427" s="35" t="s">
        <v>699</v>
      </c>
      <c r="F1427" s="35" t="s">
        <v>634</v>
      </c>
      <c r="G1427" s="37">
        <v>45938.658379629633</v>
      </c>
      <c r="H1427" s="37" t="str">
        <f>INDEX(_xlfn.TEXTSPLIT(mvtst[[#This Row],[QR Suivis]],"_"),1,1)</f>
        <v>OF249946-43</v>
      </c>
      <c r="I1427" s="35" t="str">
        <f>_xlfn.TEXTBEFORE(mvtst[[#This Row],[Num Suivis]],"-",,,1)</f>
        <v>OF249946</v>
      </c>
      <c r="J1427" s="36">
        <f>SUMIF(mvtst[QR Suivis],mvtst[[#This Row],[QR Suivis]],mvtst[QTE SORTIS])-SUMIF(mvtst[QR Suivis],mvtst[[#This Row],[QR Suivis]],mvtst[QTE RETOUR])</f>
        <v>0</v>
      </c>
      <c r="K1427" s="35" t="str">
        <f t="shared" si="22"/>
        <v>Usine</v>
      </c>
      <c r="L1427" s="35" t="str">
        <f>_xlfn.XLOOKUP(mvtst[[#This Row],[Sous Traitant]],coordonnee_st[Identification],coordonnee_st[SERVICE],"Non Trouvé")</f>
        <v>Frange</v>
      </c>
      <c r="M1427" s="35" t="str">
        <f>INDEX(_xlfn.TEXTSPLIT(mvtst[[#This Row],[QR Suivis]],"_"),1,2)</f>
        <v>CL00884</v>
      </c>
      <c r="N1427" s="35" t="str">
        <f>INDEX(_xlfn.TEXTSPLIT(mvtst[[#This Row],[QR Suivis]],"_"),1,3)</f>
        <v>CM-FT0120</v>
      </c>
      <c r="O1427" s="35" t="str">
        <f>INDEX(_xlfn.TEXTSPLIT(mvtst[[#This Row],[QR Suivis]],"_"),1,4)</f>
        <v>ST1020-S14-16-17</v>
      </c>
      <c r="P1427" s="35" t="str">
        <f>INDEX(_xlfn.TEXTSPLIT(mvtst[[#This Row],[QR Suivis]],"_"),1,5)</f>
        <v>ST TROPEZ</v>
      </c>
      <c r="Q1427" s="35" t="str">
        <f>_xlfn.TEXTAFTER(mvtst[[#This Row],[QR Suivis]],"_",5)</f>
        <v>1020</v>
      </c>
      <c r="R1427" s="84" t="str">
        <f>IF(
   COUNTIFS($A$2:A1427,A1427,
             $B$2:B1427,B1427,
             $C$2:C1427,C1427,
             $D$2:D1427,D1427,
             $G$2:G1427,G1427)&gt;1,
   "Doublon",
   "Correcte"
)</f>
        <v>Correcte</v>
      </c>
    </row>
    <row r="1428" spans="1:18" x14ac:dyDescent="0.25">
      <c r="A1428" s="104" t="s">
        <v>2080</v>
      </c>
      <c r="B1428" s="35" t="s">
        <v>712</v>
      </c>
      <c r="C1428" s="36">
        <v>5</v>
      </c>
      <c r="D1428" s="36">
        <v>0</v>
      </c>
      <c r="E1428" s="35" t="s">
        <v>699</v>
      </c>
      <c r="F1428" s="35" t="s">
        <v>634</v>
      </c>
      <c r="G1428" s="37">
        <v>45938.658518518518</v>
      </c>
      <c r="H1428" s="37" t="str">
        <f>INDEX(_xlfn.TEXTSPLIT(mvtst[[#This Row],[QR Suivis]],"_"),1,1)</f>
        <v>OF249946-44</v>
      </c>
      <c r="I1428" s="35" t="str">
        <f>_xlfn.TEXTBEFORE(mvtst[[#This Row],[Num Suivis]],"-",,,1)</f>
        <v>OF249946</v>
      </c>
      <c r="J1428" s="36">
        <f>SUMIF(mvtst[QR Suivis],mvtst[[#This Row],[QR Suivis]],mvtst[QTE SORTIS])-SUMIF(mvtst[QR Suivis],mvtst[[#This Row],[QR Suivis]],mvtst[QTE RETOUR])</f>
        <v>0</v>
      </c>
      <c r="K1428" s="35" t="str">
        <f t="shared" si="22"/>
        <v>Usine</v>
      </c>
      <c r="L1428" s="35" t="str">
        <f>_xlfn.XLOOKUP(mvtst[[#This Row],[Sous Traitant]],coordonnee_st[Identification],coordonnee_st[SERVICE],"Non Trouvé")</f>
        <v>Frange</v>
      </c>
      <c r="M1428" s="35" t="str">
        <f>INDEX(_xlfn.TEXTSPLIT(mvtst[[#This Row],[QR Suivis]],"_"),1,2)</f>
        <v>CL00884</v>
      </c>
      <c r="N1428" s="35" t="str">
        <f>INDEX(_xlfn.TEXTSPLIT(mvtst[[#This Row],[QR Suivis]],"_"),1,3)</f>
        <v>CM-FT0120</v>
      </c>
      <c r="O1428" s="35" t="str">
        <f>INDEX(_xlfn.TEXTSPLIT(mvtst[[#This Row],[QR Suivis]],"_"),1,4)</f>
        <v>ST1020-S14-16-17</v>
      </c>
      <c r="P1428" s="35" t="str">
        <f>INDEX(_xlfn.TEXTSPLIT(mvtst[[#This Row],[QR Suivis]],"_"),1,5)</f>
        <v>ST TROPEZ</v>
      </c>
      <c r="Q1428" s="35" t="str">
        <f>_xlfn.TEXTAFTER(mvtst[[#This Row],[QR Suivis]],"_",5)</f>
        <v>1020</v>
      </c>
      <c r="R1428" s="84" t="str">
        <f>IF(
   COUNTIFS($A$2:A1428,A1428,
             $B$2:B1428,B1428,
             $C$2:C1428,C1428,
             $D$2:D1428,D1428,
             $G$2:G1428,G1428)&gt;1,
   "Doublon",
   "Correcte"
)</f>
        <v>Correcte</v>
      </c>
    </row>
    <row r="1429" spans="1:18" x14ac:dyDescent="0.25">
      <c r="A1429" s="104" t="s">
        <v>2081</v>
      </c>
      <c r="B1429" s="35" t="s">
        <v>712</v>
      </c>
      <c r="C1429" s="36">
        <v>5</v>
      </c>
      <c r="D1429" s="36">
        <v>0</v>
      </c>
      <c r="E1429" s="35" t="s">
        <v>699</v>
      </c>
      <c r="F1429" s="35" t="s">
        <v>634</v>
      </c>
      <c r="G1429" s="37">
        <v>45938.658680555556</v>
      </c>
      <c r="H1429" s="37" t="str">
        <f>INDEX(_xlfn.TEXTSPLIT(mvtst[[#This Row],[QR Suivis]],"_"),1,1)</f>
        <v>OF249946-40</v>
      </c>
      <c r="I1429" s="35" t="str">
        <f>_xlfn.TEXTBEFORE(mvtst[[#This Row],[Num Suivis]],"-",,,1)</f>
        <v>OF249946</v>
      </c>
      <c r="J1429" s="36">
        <f>SUMIF(mvtst[QR Suivis],mvtst[[#This Row],[QR Suivis]],mvtst[QTE SORTIS])-SUMIF(mvtst[QR Suivis],mvtst[[#This Row],[QR Suivis]],mvtst[QTE RETOUR])</f>
        <v>0</v>
      </c>
      <c r="K1429" s="35" t="str">
        <f t="shared" si="22"/>
        <v>Usine</v>
      </c>
      <c r="L1429" s="35" t="str">
        <f>_xlfn.XLOOKUP(mvtst[[#This Row],[Sous Traitant]],coordonnee_st[Identification],coordonnee_st[SERVICE],"Non Trouvé")</f>
        <v>Frange</v>
      </c>
      <c r="M1429" s="35" t="str">
        <f>INDEX(_xlfn.TEXTSPLIT(mvtst[[#This Row],[QR Suivis]],"_"),1,2)</f>
        <v>CL00884</v>
      </c>
      <c r="N1429" s="35" t="str">
        <f>INDEX(_xlfn.TEXTSPLIT(mvtst[[#This Row],[QR Suivis]],"_"),1,3)</f>
        <v>CM-FT0120</v>
      </c>
      <c r="O1429" s="35" t="str">
        <f>INDEX(_xlfn.TEXTSPLIT(mvtst[[#This Row],[QR Suivis]],"_"),1,4)</f>
        <v>ST1020-S14-16-17</v>
      </c>
      <c r="P1429" s="35" t="str">
        <f>INDEX(_xlfn.TEXTSPLIT(mvtst[[#This Row],[QR Suivis]],"_"),1,5)</f>
        <v>ST TROPEZ</v>
      </c>
      <c r="Q1429" s="35" t="str">
        <f>_xlfn.TEXTAFTER(mvtst[[#This Row],[QR Suivis]],"_",5)</f>
        <v>1020</v>
      </c>
      <c r="R1429" s="84" t="str">
        <f>IF(
   COUNTIFS($A$2:A1429,A1429,
             $B$2:B1429,B1429,
             $C$2:C1429,C1429,
             $D$2:D1429,D1429,
             $G$2:G1429,G1429)&gt;1,
   "Doublon",
   "Correcte"
)</f>
        <v>Correcte</v>
      </c>
    </row>
    <row r="1430" spans="1:18" x14ac:dyDescent="0.25">
      <c r="A1430" s="104" t="s">
        <v>2082</v>
      </c>
      <c r="B1430" s="35" t="s">
        <v>712</v>
      </c>
      <c r="C1430" s="36">
        <v>5</v>
      </c>
      <c r="D1430" s="36">
        <v>0</v>
      </c>
      <c r="E1430" s="35" t="s">
        <v>699</v>
      </c>
      <c r="F1430" s="35" t="s">
        <v>634</v>
      </c>
      <c r="G1430" s="37">
        <v>45938.658807870372</v>
      </c>
      <c r="H1430" s="37" t="str">
        <f>INDEX(_xlfn.TEXTSPLIT(mvtst[[#This Row],[QR Suivis]],"_"),1,1)</f>
        <v>OF249946-39</v>
      </c>
      <c r="I1430" s="35" t="str">
        <f>_xlfn.TEXTBEFORE(mvtst[[#This Row],[Num Suivis]],"-",,,1)</f>
        <v>OF249946</v>
      </c>
      <c r="J1430" s="36">
        <f>SUMIF(mvtst[QR Suivis],mvtst[[#This Row],[QR Suivis]],mvtst[QTE SORTIS])-SUMIF(mvtst[QR Suivis],mvtst[[#This Row],[QR Suivis]],mvtst[QTE RETOUR])</f>
        <v>0</v>
      </c>
      <c r="K1430" s="35" t="str">
        <f t="shared" si="22"/>
        <v>Usine</v>
      </c>
      <c r="L1430" s="35" t="str">
        <f>_xlfn.XLOOKUP(mvtst[[#This Row],[Sous Traitant]],coordonnee_st[Identification],coordonnee_st[SERVICE],"Non Trouvé")</f>
        <v>Frange</v>
      </c>
      <c r="M1430" s="35" t="str">
        <f>INDEX(_xlfn.TEXTSPLIT(mvtst[[#This Row],[QR Suivis]],"_"),1,2)</f>
        <v>CL00884</v>
      </c>
      <c r="N1430" s="35" t="str">
        <f>INDEX(_xlfn.TEXTSPLIT(mvtst[[#This Row],[QR Suivis]],"_"),1,3)</f>
        <v>CM-FT0120</v>
      </c>
      <c r="O1430" s="35" t="str">
        <f>INDEX(_xlfn.TEXTSPLIT(mvtst[[#This Row],[QR Suivis]],"_"),1,4)</f>
        <v>ST1020-S14-16-17</v>
      </c>
      <c r="P1430" s="35" t="str">
        <f>INDEX(_xlfn.TEXTSPLIT(mvtst[[#This Row],[QR Suivis]],"_"),1,5)</f>
        <v>ST TROPEZ</v>
      </c>
      <c r="Q1430" s="35" t="str">
        <f>_xlfn.TEXTAFTER(mvtst[[#This Row],[QR Suivis]],"_",5)</f>
        <v>1020</v>
      </c>
      <c r="R1430" s="84" t="str">
        <f>IF(
   COUNTIFS($A$2:A1430,A1430,
             $B$2:B1430,B1430,
             $C$2:C1430,C1430,
             $D$2:D1430,D1430,
             $G$2:G1430,G1430)&gt;1,
   "Doublon",
   "Correcte"
)</f>
        <v>Correcte</v>
      </c>
    </row>
    <row r="1431" spans="1:18" x14ac:dyDescent="0.25">
      <c r="A1431" s="104" t="s">
        <v>2083</v>
      </c>
      <c r="B1431" s="35" t="s">
        <v>712</v>
      </c>
      <c r="C1431" s="36">
        <v>5</v>
      </c>
      <c r="D1431" s="36">
        <v>0</v>
      </c>
      <c r="E1431" s="35" t="s">
        <v>699</v>
      </c>
      <c r="F1431" s="35" t="s">
        <v>634</v>
      </c>
      <c r="G1431" s="37">
        <v>45938.659189814818</v>
      </c>
      <c r="H1431" s="37" t="str">
        <f>INDEX(_xlfn.TEXTSPLIT(mvtst[[#This Row],[QR Suivis]],"_"),1,1)</f>
        <v>OF249946-38</v>
      </c>
      <c r="I1431" s="35" t="str">
        <f>_xlfn.TEXTBEFORE(mvtst[[#This Row],[Num Suivis]],"-",,,1)</f>
        <v>OF249946</v>
      </c>
      <c r="J1431" s="36">
        <f>SUMIF(mvtst[QR Suivis],mvtst[[#This Row],[QR Suivis]],mvtst[QTE SORTIS])-SUMIF(mvtst[QR Suivis],mvtst[[#This Row],[QR Suivis]],mvtst[QTE RETOUR])</f>
        <v>0</v>
      </c>
      <c r="K1431" s="35" t="str">
        <f t="shared" si="22"/>
        <v>Usine</v>
      </c>
      <c r="L1431" s="35" t="str">
        <f>_xlfn.XLOOKUP(mvtst[[#This Row],[Sous Traitant]],coordonnee_st[Identification],coordonnee_st[SERVICE],"Non Trouvé")</f>
        <v>Frange</v>
      </c>
      <c r="M1431" s="35" t="str">
        <f>INDEX(_xlfn.TEXTSPLIT(mvtst[[#This Row],[QR Suivis]],"_"),1,2)</f>
        <v>CL00884</v>
      </c>
      <c r="N1431" s="35" t="str">
        <f>INDEX(_xlfn.TEXTSPLIT(mvtst[[#This Row],[QR Suivis]],"_"),1,3)</f>
        <v>CM-FT0120</v>
      </c>
      <c r="O1431" s="35" t="str">
        <f>INDEX(_xlfn.TEXTSPLIT(mvtst[[#This Row],[QR Suivis]],"_"),1,4)</f>
        <v>ST1020-S14-16-17</v>
      </c>
      <c r="P1431" s="35" t="str">
        <f>INDEX(_xlfn.TEXTSPLIT(mvtst[[#This Row],[QR Suivis]],"_"),1,5)</f>
        <v>ST TROPEZ</v>
      </c>
      <c r="Q1431" s="35" t="str">
        <f>_xlfn.TEXTAFTER(mvtst[[#This Row],[QR Suivis]],"_",5)</f>
        <v>1020</v>
      </c>
      <c r="R1431" s="84" t="str">
        <f>IF(
   COUNTIFS($A$2:A1431,A1431,
             $B$2:B1431,B1431,
             $C$2:C1431,C1431,
             $D$2:D1431,D1431,
             $G$2:G1431,G1431)&gt;1,
   "Doublon",
   "Correcte"
)</f>
        <v>Correcte</v>
      </c>
    </row>
    <row r="1432" spans="1:18" x14ac:dyDescent="0.25">
      <c r="A1432" s="104" t="s">
        <v>2084</v>
      </c>
      <c r="B1432" s="35" t="s">
        <v>712</v>
      </c>
      <c r="C1432" s="36">
        <v>5</v>
      </c>
      <c r="D1432" s="36">
        <v>0</v>
      </c>
      <c r="E1432" s="35" t="s">
        <v>699</v>
      </c>
      <c r="F1432" s="35" t="s">
        <v>634</v>
      </c>
      <c r="G1432" s="37">
        <v>45938.659351851849</v>
      </c>
      <c r="H1432" s="37" t="str">
        <f>INDEX(_xlfn.TEXTSPLIT(mvtst[[#This Row],[QR Suivis]],"_"),1,1)</f>
        <v>OF249946-37</v>
      </c>
      <c r="I1432" s="35" t="str">
        <f>_xlfn.TEXTBEFORE(mvtst[[#This Row],[Num Suivis]],"-",,,1)</f>
        <v>OF249946</v>
      </c>
      <c r="J1432" s="36">
        <f>SUMIF(mvtst[QR Suivis],mvtst[[#This Row],[QR Suivis]],mvtst[QTE SORTIS])-SUMIF(mvtst[QR Suivis],mvtst[[#This Row],[QR Suivis]],mvtst[QTE RETOUR])</f>
        <v>0</v>
      </c>
      <c r="K1432" s="35" t="str">
        <f t="shared" si="22"/>
        <v>Usine</v>
      </c>
      <c r="L1432" s="35" t="str">
        <f>_xlfn.XLOOKUP(mvtst[[#This Row],[Sous Traitant]],coordonnee_st[Identification],coordonnee_st[SERVICE],"Non Trouvé")</f>
        <v>Frange</v>
      </c>
      <c r="M1432" s="35" t="str">
        <f>INDEX(_xlfn.TEXTSPLIT(mvtst[[#This Row],[QR Suivis]],"_"),1,2)</f>
        <v>CL00884</v>
      </c>
      <c r="N1432" s="35" t="str">
        <f>INDEX(_xlfn.TEXTSPLIT(mvtst[[#This Row],[QR Suivis]],"_"),1,3)</f>
        <v>CM-FT0120</v>
      </c>
      <c r="O1432" s="35" t="str">
        <f>INDEX(_xlfn.TEXTSPLIT(mvtst[[#This Row],[QR Suivis]],"_"),1,4)</f>
        <v>ST1020-S14-16-17</v>
      </c>
      <c r="P1432" s="35" t="str">
        <f>INDEX(_xlfn.TEXTSPLIT(mvtst[[#This Row],[QR Suivis]],"_"),1,5)</f>
        <v>ST TROPEZ</v>
      </c>
      <c r="Q1432" s="35" t="str">
        <f>_xlfn.TEXTAFTER(mvtst[[#This Row],[QR Suivis]],"_",5)</f>
        <v>1020</v>
      </c>
      <c r="R1432" s="84" t="str">
        <f>IF(
   COUNTIFS($A$2:A1432,A1432,
             $B$2:B1432,B1432,
             $C$2:C1432,C1432,
             $D$2:D1432,D1432,
             $G$2:G1432,G1432)&gt;1,
   "Doublon",
   "Correcte"
)</f>
        <v>Correcte</v>
      </c>
    </row>
    <row r="1433" spans="1:18" x14ac:dyDescent="0.25">
      <c r="A1433" s="104" t="s">
        <v>2085</v>
      </c>
      <c r="B1433" s="35" t="s">
        <v>712</v>
      </c>
      <c r="C1433" s="36">
        <v>5</v>
      </c>
      <c r="D1433" s="36">
        <v>0</v>
      </c>
      <c r="E1433" s="35" t="s">
        <v>699</v>
      </c>
      <c r="F1433" s="35" t="s">
        <v>634</v>
      </c>
      <c r="G1433" s="37">
        <v>45938.659525462965</v>
      </c>
      <c r="H1433" s="37" t="str">
        <f>INDEX(_xlfn.TEXTSPLIT(mvtst[[#This Row],[QR Suivis]],"_"),1,1)</f>
        <v>OF249946-36</v>
      </c>
      <c r="I1433" s="35" t="str">
        <f>_xlfn.TEXTBEFORE(mvtst[[#This Row],[Num Suivis]],"-",,,1)</f>
        <v>OF249946</v>
      </c>
      <c r="J1433" s="36">
        <f>SUMIF(mvtst[QR Suivis],mvtst[[#This Row],[QR Suivis]],mvtst[QTE SORTIS])-SUMIF(mvtst[QR Suivis],mvtst[[#This Row],[QR Suivis]],mvtst[QTE RETOUR])</f>
        <v>0</v>
      </c>
      <c r="K1433" s="35" t="str">
        <f t="shared" si="22"/>
        <v>Usine</v>
      </c>
      <c r="L1433" s="35" t="str">
        <f>_xlfn.XLOOKUP(mvtst[[#This Row],[Sous Traitant]],coordonnee_st[Identification],coordonnee_st[SERVICE],"Non Trouvé")</f>
        <v>Frange</v>
      </c>
      <c r="M1433" s="35" t="str">
        <f>INDEX(_xlfn.TEXTSPLIT(mvtst[[#This Row],[QR Suivis]],"_"),1,2)</f>
        <v>CL00884</v>
      </c>
      <c r="N1433" s="35" t="str">
        <f>INDEX(_xlfn.TEXTSPLIT(mvtst[[#This Row],[QR Suivis]],"_"),1,3)</f>
        <v>CM-FT0120</v>
      </c>
      <c r="O1433" s="35" t="str">
        <f>INDEX(_xlfn.TEXTSPLIT(mvtst[[#This Row],[QR Suivis]],"_"),1,4)</f>
        <v>ST1020-S14-16-17</v>
      </c>
      <c r="P1433" s="35" t="str">
        <f>INDEX(_xlfn.TEXTSPLIT(mvtst[[#This Row],[QR Suivis]],"_"),1,5)</f>
        <v>ST TROPEZ</v>
      </c>
      <c r="Q1433" s="35" t="str">
        <f>_xlfn.TEXTAFTER(mvtst[[#This Row],[QR Suivis]],"_",5)</f>
        <v>1020</v>
      </c>
      <c r="R1433" s="84" t="str">
        <f>IF(
   COUNTIFS($A$2:A1433,A1433,
             $B$2:B1433,B1433,
             $C$2:C1433,C1433,
             $D$2:D1433,D1433,
             $G$2:G1433,G1433)&gt;1,
   "Doublon",
   "Correcte"
)</f>
        <v>Correcte</v>
      </c>
    </row>
    <row r="1434" spans="1:18" x14ac:dyDescent="0.25">
      <c r="A1434" s="104" t="s">
        <v>2086</v>
      </c>
      <c r="B1434" s="35" t="s">
        <v>712</v>
      </c>
      <c r="C1434" s="36">
        <v>5</v>
      </c>
      <c r="D1434" s="36">
        <v>0</v>
      </c>
      <c r="E1434" s="35" t="s">
        <v>699</v>
      </c>
      <c r="F1434" s="35" t="s">
        <v>634</v>
      </c>
      <c r="G1434" s="37">
        <v>45938.659814814811</v>
      </c>
      <c r="H1434" s="37" t="str">
        <f>INDEX(_xlfn.TEXTSPLIT(mvtst[[#This Row],[QR Suivis]],"_"),1,1)</f>
        <v>OF249946-47</v>
      </c>
      <c r="I1434" s="35" t="str">
        <f>_xlfn.TEXTBEFORE(mvtst[[#This Row],[Num Suivis]],"-",,,1)</f>
        <v>OF249946</v>
      </c>
      <c r="J1434" s="36">
        <f>SUMIF(mvtst[QR Suivis],mvtst[[#This Row],[QR Suivis]],mvtst[QTE SORTIS])-SUMIF(mvtst[QR Suivis],mvtst[[#This Row],[QR Suivis]],mvtst[QTE RETOUR])</f>
        <v>0</v>
      </c>
      <c r="K1434" s="35" t="str">
        <f t="shared" si="22"/>
        <v>Usine</v>
      </c>
      <c r="L1434" s="35" t="str">
        <f>_xlfn.XLOOKUP(mvtst[[#This Row],[Sous Traitant]],coordonnee_st[Identification],coordonnee_st[SERVICE],"Non Trouvé")</f>
        <v>Frange</v>
      </c>
      <c r="M1434" s="35" t="str">
        <f>INDEX(_xlfn.TEXTSPLIT(mvtst[[#This Row],[QR Suivis]],"_"),1,2)</f>
        <v>CL00884</v>
      </c>
      <c r="N1434" s="35" t="str">
        <f>INDEX(_xlfn.TEXTSPLIT(mvtst[[#This Row],[QR Suivis]],"_"),1,3)</f>
        <v>CM-FT0120</v>
      </c>
      <c r="O1434" s="35" t="str">
        <f>INDEX(_xlfn.TEXTSPLIT(mvtst[[#This Row],[QR Suivis]],"_"),1,4)</f>
        <v>ST1020-S14-16-17</v>
      </c>
      <c r="P1434" s="35" t="str">
        <f>INDEX(_xlfn.TEXTSPLIT(mvtst[[#This Row],[QR Suivis]],"_"),1,5)</f>
        <v>ST TROPEZ</v>
      </c>
      <c r="Q1434" s="35" t="str">
        <f>_xlfn.TEXTAFTER(mvtst[[#This Row],[QR Suivis]],"_",5)</f>
        <v>1020</v>
      </c>
      <c r="R1434" s="84" t="str">
        <f>IF(
   COUNTIFS($A$2:A1434,A1434,
             $B$2:B1434,B1434,
             $C$2:C1434,C1434,
             $D$2:D1434,D1434,
             $G$2:G1434,G1434)&gt;1,
   "Doublon",
   "Correcte"
)</f>
        <v>Correcte</v>
      </c>
    </row>
    <row r="1435" spans="1:18" x14ac:dyDescent="0.25">
      <c r="A1435" s="104" t="s">
        <v>2087</v>
      </c>
      <c r="B1435" s="35" t="s">
        <v>712</v>
      </c>
      <c r="C1435" s="36">
        <v>1</v>
      </c>
      <c r="D1435" s="36">
        <v>0</v>
      </c>
      <c r="E1435" s="35" t="s">
        <v>699</v>
      </c>
      <c r="F1435" s="35" t="s">
        <v>634</v>
      </c>
      <c r="G1435" s="37">
        <v>45938.659953703704</v>
      </c>
      <c r="H1435" s="37" t="str">
        <f>INDEX(_xlfn.TEXTSPLIT(mvtst[[#This Row],[QR Suivis]],"_"),1,1)</f>
        <v>CA250016-13</v>
      </c>
      <c r="I1435" s="35" t="str">
        <f>_xlfn.TEXTBEFORE(mvtst[[#This Row],[Num Suivis]],"-",,,1)</f>
        <v>CA250016</v>
      </c>
      <c r="J1435" s="36">
        <f>SUMIF(mvtst[QR Suivis],mvtst[[#This Row],[QR Suivis]],mvtst[QTE SORTIS])-SUMIF(mvtst[QR Suivis],mvtst[[#This Row],[QR Suivis]],mvtst[QTE RETOUR])</f>
        <v>0</v>
      </c>
      <c r="K1435" s="35" t="str">
        <f t="shared" si="22"/>
        <v>Usine</v>
      </c>
      <c r="L1435" s="35" t="str">
        <f>_xlfn.XLOOKUP(mvtst[[#This Row],[Sous Traitant]],coordonnee_st[Identification],coordonnee_st[SERVICE],"Non Trouvé")</f>
        <v>Frange</v>
      </c>
      <c r="M1435" s="35" t="str">
        <f>INDEX(_xlfn.TEXTSPLIT(mvtst[[#This Row],[QR Suivis]],"_"),1,2)</f>
        <v>All by Fouta</v>
      </c>
      <c r="N1435" s="35" t="str">
        <f>INDEX(_xlfn.TEXTSPLIT(mvtst[[#This Row],[QR Suivis]],"_"),1,3)</f>
        <v>Stock</v>
      </c>
      <c r="O1435" s="35" t="str">
        <f>INDEX(_xlfn.TEXTSPLIT(mvtst[[#This Row],[QR Suivis]],"_"),1,4)</f>
        <v>UNS1020-27</v>
      </c>
      <c r="P1435" s="35" t="str">
        <f>INDEX(_xlfn.TEXTSPLIT(mvtst[[#This Row],[QR Suivis]],"_"),1,5)</f>
        <v>UNI SURPIQUE</v>
      </c>
      <c r="Q1435" s="35" t="str">
        <f>_xlfn.TEXTAFTER(mvtst[[#This Row],[QR Suivis]],"_",5)</f>
        <v>1020</v>
      </c>
      <c r="R1435" s="84" t="str">
        <f>IF(
   COUNTIFS($A$2:A1435,A1435,
             $B$2:B1435,B1435,
             $C$2:C1435,C1435,
             $D$2:D1435,D1435,
             $G$2:G1435,G1435)&gt;1,
   "Doublon",
   "Correcte"
)</f>
        <v>Correcte</v>
      </c>
    </row>
    <row r="1436" spans="1:18" x14ac:dyDescent="0.25">
      <c r="A1436" s="104" t="s">
        <v>2088</v>
      </c>
      <c r="B1436" s="35" t="s">
        <v>712</v>
      </c>
      <c r="C1436" s="36">
        <v>5</v>
      </c>
      <c r="D1436" s="36">
        <v>0</v>
      </c>
      <c r="E1436" s="35" t="s">
        <v>699</v>
      </c>
      <c r="F1436" s="35" t="s">
        <v>634</v>
      </c>
      <c r="G1436" s="37">
        <v>45938.660324074073</v>
      </c>
      <c r="H1436" s="37" t="str">
        <f>INDEX(_xlfn.TEXTSPLIT(mvtst[[#This Row],[QR Suivis]],"_"),1,1)</f>
        <v>OF249946-41</v>
      </c>
      <c r="I1436" s="35" t="str">
        <f>_xlfn.TEXTBEFORE(mvtst[[#This Row],[Num Suivis]],"-",,,1)</f>
        <v>OF249946</v>
      </c>
      <c r="J1436" s="36">
        <f>SUMIF(mvtst[QR Suivis],mvtst[[#This Row],[QR Suivis]],mvtst[QTE SORTIS])-SUMIF(mvtst[QR Suivis],mvtst[[#This Row],[QR Suivis]],mvtst[QTE RETOUR])</f>
        <v>0</v>
      </c>
      <c r="K1436" s="35" t="str">
        <f t="shared" si="22"/>
        <v>Usine</v>
      </c>
      <c r="L1436" s="35" t="str">
        <f>_xlfn.XLOOKUP(mvtst[[#This Row],[Sous Traitant]],coordonnee_st[Identification],coordonnee_st[SERVICE],"Non Trouvé")</f>
        <v>Frange</v>
      </c>
      <c r="M1436" s="35" t="str">
        <f>INDEX(_xlfn.TEXTSPLIT(mvtst[[#This Row],[QR Suivis]],"_"),1,2)</f>
        <v>CL00884</v>
      </c>
      <c r="N1436" s="35" t="str">
        <f>INDEX(_xlfn.TEXTSPLIT(mvtst[[#This Row],[QR Suivis]],"_"),1,3)</f>
        <v>CM-FT0120</v>
      </c>
      <c r="O1436" s="35" t="str">
        <f>INDEX(_xlfn.TEXTSPLIT(mvtst[[#This Row],[QR Suivis]],"_"),1,4)</f>
        <v>ST1020-S14-16-17</v>
      </c>
      <c r="P1436" s="35" t="str">
        <f>INDEX(_xlfn.TEXTSPLIT(mvtst[[#This Row],[QR Suivis]],"_"),1,5)</f>
        <v>ST TROPEZ</v>
      </c>
      <c r="Q1436" s="35" t="str">
        <f>_xlfn.TEXTAFTER(mvtst[[#This Row],[QR Suivis]],"_",5)</f>
        <v>1020</v>
      </c>
      <c r="R1436" s="84" t="str">
        <f>IF(
   COUNTIFS($A$2:A1436,A1436,
             $B$2:B1436,B1436,
             $C$2:C1436,C1436,
             $D$2:D1436,D1436,
             $G$2:G1436,G1436)&gt;1,
   "Doublon",
   "Correcte"
)</f>
        <v>Correcte</v>
      </c>
    </row>
    <row r="1437" spans="1:18" x14ac:dyDescent="0.25">
      <c r="A1437" s="104" t="s">
        <v>2089</v>
      </c>
      <c r="B1437" s="35" t="s">
        <v>712</v>
      </c>
      <c r="C1437" s="36">
        <v>5</v>
      </c>
      <c r="D1437" s="36">
        <v>0</v>
      </c>
      <c r="E1437" s="35" t="s">
        <v>699</v>
      </c>
      <c r="F1437" s="35" t="s">
        <v>634</v>
      </c>
      <c r="G1437" s="37">
        <v>45938.660509259258</v>
      </c>
      <c r="H1437" s="37" t="str">
        <f>INDEX(_xlfn.TEXTSPLIT(mvtst[[#This Row],[QR Suivis]],"_"),1,1)</f>
        <v>OF249946-46</v>
      </c>
      <c r="I1437" s="35" t="str">
        <f>_xlfn.TEXTBEFORE(mvtst[[#This Row],[Num Suivis]],"-",,,1)</f>
        <v>OF249946</v>
      </c>
      <c r="J1437" s="36">
        <f>SUMIF(mvtst[QR Suivis],mvtst[[#This Row],[QR Suivis]],mvtst[QTE SORTIS])-SUMIF(mvtst[QR Suivis],mvtst[[#This Row],[QR Suivis]],mvtst[QTE RETOUR])</f>
        <v>0</v>
      </c>
      <c r="K1437" s="35" t="str">
        <f t="shared" si="22"/>
        <v>Usine</v>
      </c>
      <c r="L1437" s="35" t="str">
        <f>_xlfn.XLOOKUP(mvtst[[#This Row],[Sous Traitant]],coordonnee_st[Identification],coordonnee_st[SERVICE],"Non Trouvé")</f>
        <v>Frange</v>
      </c>
      <c r="M1437" s="35" t="str">
        <f>INDEX(_xlfn.TEXTSPLIT(mvtst[[#This Row],[QR Suivis]],"_"),1,2)</f>
        <v>CL00884</v>
      </c>
      <c r="N1437" s="35" t="str">
        <f>INDEX(_xlfn.TEXTSPLIT(mvtst[[#This Row],[QR Suivis]],"_"),1,3)</f>
        <v>CM-FT0120</v>
      </c>
      <c r="O1437" s="35" t="str">
        <f>INDEX(_xlfn.TEXTSPLIT(mvtst[[#This Row],[QR Suivis]],"_"),1,4)</f>
        <v>ST1020-S14-16-17</v>
      </c>
      <c r="P1437" s="35" t="str">
        <f>INDEX(_xlfn.TEXTSPLIT(mvtst[[#This Row],[QR Suivis]],"_"),1,5)</f>
        <v>ST TROPEZ</v>
      </c>
      <c r="Q1437" s="35" t="str">
        <f>_xlfn.TEXTAFTER(mvtst[[#This Row],[QR Suivis]],"_",5)</f>
        <v>1020</v>
      </c>
      <c r="R1437" s="84" t="str">
        <f>IF(
   COUNTIFS($A$2:A1437,A1437,
             $B$2:B1437,B1437,
             $C$2:C1437,C1437,
             $D$2:D1437,D1437,
             $G$2:G1437,G1437)&gt;1,
   "Doublon",
   "Correcte"
)</f>
        <v>Correcte</v>
      </c>
    </row>
    <row r="1438" spans="1:18" x14ac:dyDescent="0.25">
      <c r="A1438" s="104" t="s">
        <v>2090</v>
      </c>
      <c r="B1438" s="35" t="s">
        <v>712</v>
      </c>
      <c r="C1438" s="36">
        <v>5</v>
      </c>
      <c r="D1438" s="36">
        <v>0</v>
      </c>
      <c r="E1438" s="35" t="s">
        <v>699</v>
      </c>
      <c r="F1438" s="35" t="s">
        <v>634</v>
      </c>
      <c r="G1438" s="37">
        <v>45938.660694444443</v>
      </c>
      <c r="H1438" s="37" t="str">
        <f>INDEX(_xlfn.TEXTSPLIT(mvtst[[#This Row],[QR Suivis]],"_"),1,1)</f>
        <v>OF249946-42</v>
      </c>
      <c r="I1438" s="35" t="str">
        <f>_xlfn.TEXTBEFORE(mvtst[[#This Row],[Num Suivis]],"-",,,1)</f>
        <v>OF249946</v>
      </c>
      <c r="J1438" s="36">
        <f>SUMIF(mvtst[QR Suivis],mvtst[[#This Row],[QR Suivis]],mvtst[QTE SORTIS])-SUMIF(mvtst[QR Suivis],mvtst[[#This Row],[QR Suivis]],mvtst[QTE RETOUR])</f>
        <v>0</v>
      </c>
      <c r="K1438" s="35" t="str">
        <f t="shared" si="22"/>
        <v>Usine</v>
      </c>
      <c r="L1438" s="35" t="str">
        <f>_xlfn.XLOOKUP(mvtst[[#This Row],[Sous Traitant]],coordonnee_st[Identification],coordonnee_st[SERVICE],"Non Trouvé")</f>
        <v>Frange</v>
      </c>
      <c r="M1438" s="35" t="str">
        <f>INDEX(_xlfn.TEXTSPLIT(mvtst[[#This Row],[QR Suivis]],"_"),1,2)</f>
        <v>CL00884</v>
      </c>
      <c r="N1438" s="35" t="str">
        <f>INDEX(_xlfn.TEXTSPLIT(mvtst[[#This Row],[QR Suivis]],"_"),1,3)</f>
        <v>CM-FT0120</v>
      </c>
      <c r="O1438" s="35" t="str">
        <f>INDEX(_xlfn.TEXTSPLIT(mvtst[[#This Row],[QR Suivis]],"_"),1,4)</f>
        <v>ST1020-S14-16-17</v>
      </c>
      <c r="P1438" s="35" t="str">
        <f>INDEX(_xlfn.TEXTSPLIT(mvtst[[#This Row],[QR Suivis]],"_"),1,5)</f>
        <v>ST TROPEZ</v>
      </c>
      <c r="Q1438" s="35" t="str">
        <f>_xlfn.TEXTAFTER(mvtst[[#This Row],[QR Suivis]],"_",5)</f>
        <v>1020</v>
      </c>
      <c r="R1438" s="84" t="str">
        <f>IF(
   COUNTIFS($A$2:A1438,A1438,
             $B$2:B1438,B1438,
             $C$2:C1438,C1438,
             $D$2:D1438,D1438,
             $G$2:G1438,G1438)&gt;1,
   "Doublon",
   "Correcte"
)</f>
        <v>Correcte</v>
      </c>
    </row>
    <row r="1439" spans="1:18" x14ac:dyDescent="0.25">
      <c r="A1439" s="104" t="s">
        <v>2091</v>
      </c>
      <c r="B1439" s="35" t="s">
        <v>712</v>
      </c>
      <c r="C1439" s="36">
        <v>5</v>
      </c>
      <c r="D1439" s="36">
        <v>0</v>
      </c>
      <c r="E1439" s="35" t="s">
        <v>699</v>
      </c>
      <c r="F1439" s="35" t="s">
        <v>634</v>
      </c>
      <c r="G1439" s="37">
        <v>45938.660879629628</v>
      </c>
      <c r="H1439" s="37" t="str">
        <f>INDEX(_xlfn.TEXTSPLIT(mvtst[[#This Row],[QR Suivis]],"_"),1,1)</f>
        <v>OF249946-35</v>
      </c>
      <c r="I1439" s="35" t="str">
        <f>_xlfn.TEXTBEFORE(mvtst[[#This Row],[Num Suivis]],"-",,,1)</f>
        <v>OF249946</v>
      </c>
      <c r="J1439" s="36">
        <f>SUMIF(mvtst[QR Suivis],mvtst[[#This Row],[QR Suivis]],mvtst[QTE SORTIS])-SUMIF(mvtst[QR Suivis],mvtst[[#This Row],[QR Suivis]],mvtst[QTE RETOUR])</f>
        <v>0</v>
      </c>
      <c r="K1439" s="35" t="str">
        <f t="shared" si="22"/>
        <v>Usine</v>
      </c>
      <c r="L1439" s="35" t="str">
        <f>_xlfn.XLOOKUP(mvtst[[#This Row],[Sous Traitant]],coordonnee_st[Identification],coordonnee_st[SERVICE],"Non Trouvé")</f>
        <v>Frange</v>
      </c>
      <c r="M1439" s="35" t="str">
        <f>INDEX(_xlfn.TEXTSPLIT(mvtst[[#This Row],[QR Suivis]],"_"),1,2)</f>
        <v>CL00884</v>
      </c>
      <c r="N1439" s="35" t="str">
        <f>INDEX(_xlfn.TEXTSPLIT(mvtst[[#This Row],[QR Suivis]],"_"),1,3)</f>
        <v>CM-FT0120</v>
      </c>
      <c r="O1439" s="35" t="str">
        <f>INDEX(_xlfn.TEXTSPLIT(mvtst[[#This Row],[QR Suivis]],"_"),1,4)</f>
        <v>ST1020-S14-16-17</v>
      </c>
      <c r="P1439" s="35" t="str">
        <f>INDEX(_xlfn.TEXTSPLIT(mvtst[[#This Row],[QR Suivis]],"_"),1,5)</f>
        <v>ST TROPEZ</v>
      </c>
      <c r="Q1439" s="35" t="str">
        <f>_xlfn.TEXTAFTER(mvtst[[#This Row],[QR Suivis]],"_",5)</f>
        <v>1020</v>
      </c>
      <c r="R1439" s="84" t="str">
        <f>IF(
   COUNTIFS($A$2:A1439,A1439,
             $B$2:B1439,B1439,
             $C$2:C1439,C1439,
             $D$2:D1439,D1439,
             $G$2:G1439,G1439)&gt;1,
   "Doublon",
   "Correcte"
)</f>
        <v>Correcte</v>
      </c>
    </row>
    <row r="1440" spans="1:18" x14ac:dyDescent="0.25">
      <c r="A1440" s="104" t="s">
        <v>2092</v>
      </c>
      <c r="B1440" s="35" t="s">
        <v>712</v>
      </c>
      <c r="C1440" s="36">
        <v>5</v>
      </c>
      <c r="D1440" s="36">
        <v>0</v>
      </c>
      <c r="E1440" s="35" t="s">
        <v>699</v>
      </c>
      <c r="F1440" s="35" t="s">
        <v>634</v>
      </c>
      <c r="G1440" s="37">
        <v>45938.661111111112</v>
      </c>
      <c r="H1440" s="37" t="str">
        <f>INDEX(_xlfn.TEXTSPLIT(mvtst[[#This Row],[QR Suivis]],"_"),1,1)</f>
        <v>OF249946-45</v>
      </c>
      <c r="I1440" s="35" t="str">
        <f>_xlfn.TEXTBEFORE(mvtst[[#This Row],[Num Suivis]],"-",,,1)</f>
        <v>OF249946</v>
      </c>
      <c r="J1440" s="36">
        <f>SUMIF(mvtst[QR Suivis],mvtst[[#This Row],[QR Suivis]],mvtst[QTE SORTIS])-SUMIF(mvtst[QR Suivis],mvtst[[#This Row],[QR Suivis]],mvtst[QTE RETOUR])</f>
        <v>0</v>
      </c>
      <c r="K1440" s="35" t="str">
        <f t="shared" si="22"/>
        <v>Usine</v>
      </c>
      <c r="L1440" s="35" t="str">
        <f>_xlfn.XLOOKUP(mvtst[[#This Row],[Sous Traitant]],coordonnee_st[Identification],coordonnee_st[SERVICE],"Non Trouvé")</f>
        <v>Frange</v>
      </c>
      <c r="M1440" s="35" t="str">
        <f>INDEX(_xlfn.TEXTSPLIT(mvtst[[#This Row],[QR Suivis]],"_"),1,2)</f>
        <v>CL00884</v>
      </c>
      <c r="N1440" s="35" t="str">
        <f>INDEX(_xlfn.TEXTSPLIT(mvtst[[#This Row],[QR Suivis]],"_"),1,3)</f>
        <v>CM-FT0120</v>
      </c>
      <c r="O1440" s="35" t="str">
        <f>INDEX(_xlfn.TEXTSPLIT(mvtst[[#This Row],[QR Suivis]],"_"),1,4)</f>
        <v>ST1020-S14-16-17</v>
      </c>
      <c r="P1440" s="35" t="str">
        <f>INDEX(_xlfn.TEXTSPLIT(mvtst[[#This Row],[QR Suivis]],"_"),1,5)</f>
        <v>ST TROPEZ</v>
      </c>
      <c r="Q1440" s="35" t="str">
        <f>_xlfn.TEXTAFTER(mvtst[[#This Row],[QR Suivis]],"_",5)</f>
        <v>1020</v>
      </c>
      <c r="R1440" s="84" t="str">
        <f>IF(
   COUNTIFS($A$2:A1440,A1440,
             $B$2:B1440,B1440,
             $C$2:C1440,C1440,
             $D$2:D1440,D1440,
             $G$2:G1440,G1440)&gt;1,
   "Doublon",
   "Correcte"
)</f>
        <v>Correcte</v>
      </c>
    </row>
    <row r="1441" spans="1:18" x14ac:dyDescent="0.25">
      <c r="A1441" s="104" t="s">
        <v>2093</v>
      </c>
      <c r="B1441" s="35" t="s">
        <v>712</v>
      </c>
      <c r="C1441" s="36">
        <v>5</v>
      </c>
      <c r="D1441" s="36">
        <v>0</v>
      </c>
      <c r="E1441" s="35" t="s">
        <v>699</v>
      </c>
      <c r="F1441" s="35" t="s">
        <v>634</v>
      </c>
      <c r="G1441" s="37">
        <v>45938.661273148151</v>
      </c>
      <c r="H1441" s="37" t="str">
        <f>INDEX(_xlfn.TEXTSPLIT(mvtst[[#This Row],[QR Suivis]],"_"),1,1)</f>
        <v>OF249946-48</v>
      </c>
      <c r="I1441" s="35" t="str">
        <f>_xlfn.TEXTBEFORE(mvtst[[#This Row],[Num Suivis]],"-",,,1)</f>
        <v>OF249946</v>
      </c>
      <c r="J1441" s="36">
        <f>SUMIF(mvtst[QR Suivis],mvtst[[#This Row],[QR Suivis]],mvtst[QTE SORTIS])-SUMIF(mvtst[QR Suivis],mvtst[[#This Row],[QR Suivis]],mvtst[QTE RETOUR])</f>
        <v>0</v>
      </c>
      <c r="K1441" s="35" t="str">
        <f t="shared" si="22"/>
        <v>Usine</v>
      </c>
      <c r="L1441" s="35" t="str">
        <f>_xlfn.XLOOKUP(mvtst[[#This Row],[Sous Traitant]],coordonnee_st[Identification],coordonnee_st[SERVICE],"Non Trouvé")</f>
        <v>Frange</v>
      </c>
      <c r="M1441" s="35" t="str">
        <f>INDEX(_xlfn.TEXTSPLIT(mvtst[[#This Row],[QR Suivis]],"_"),1,2)</f>
        <v>CL00884</v>
      </c>
      <c r="N1441" s="35" t="str">
        <f>INDEX(_xlfn.TEXTSPLIT(mvtst[[#This Row],[QR Suivis]],"_"),1,3)</f>
        <v>CM-FT0120</v>
      </c>
      <c r="O1441" s="35" t="str">
        <f>INDEX(_xlfn.TEXTSPLIT(mvtst[[#This Row],[QR Suivis]],"_"),1,4)</f>
        <v>ST1020-S14-16-17</v>
      </c>
      <c r="P1441" s="35" t="str">
        <f>INDEX(_xlfn.TEXTSPLIT(mvtst[[#This Row],[QR Suivis]],"_"),1,5)</f>
        <v>ST TROPEZ</v>
      </c>
      <c r="Q1441" s="35" t="str">
        <f>_xlfn.TEXTAFTER(mvtst[[#This Row],[QR Suivis]],"_",5)</f>
        <v>1020</v>
      </c>
      <c r="R1441" s="84" t="str">
        <f>IF(
   COUNTIFS($A$2:A1441,A1441,
             $B$2:B1441,B1441,
             $C$2:C1441,C1441,
             $D$2:D1441,D1441,
             $G$2:G1441,G1441)&gt;1,
   "Doublon",
   "Correcte"
)</f>
        <v>Correcte</v>
      </c>
    </row>
    <row r="1442" spans="1:18" x14ac:dyDescent="0.25">
      <c r="A1442" s="104" t="s">
        <v>2094</v>
      </c>
      <c r="B1442" s="35" t="s">
        <v>712</v>
      </c>
      <c r="C1442" s="36">
        <v>5</v>
      </c>
      <c r="D1442" s="36">
        <v>0</v>
      </c>
      <c r="E1442" s="35" t="s">
        <v>699</v>
      </c>
      <c r="F1442" s="35" t="s">
        <v>634</v>
      </c>
      <c r="G1442" s="37">
        <v>45938.661770833336</v>
      </c>
      <c r="H1442" s="37" t="str">
        <f>INDEX(_xlfn.TEXTSPLIT(mvtst[[#This Row],[QR Suivis]],"_"),1,1)</f>
        <v>OF249946-49</v>
      </c>
      <c r="I1442" s="35" t="str">
        <f>_xlfn.TEXTBEFORE(mvtst[[#This Row],[Num Suivis]],"-",,,1)</f>
        <v>OF249946</v>
      </c>
      <c r="J1442" s="36">
        <f>SUMIF(mvtst[QR Suivis],mvtst[[#This Row],[QR Suivis]],mvtst[QTE SORTIS])-SUMIF(mvtst[QR Suivis],mvtst[[#This Row],[QR Suivis]],mvtst[QTE RETOUR])</f>
        <v>0</v>
      </c>
      <c r="K1442" s="35" t="str">
        <f t="shared" si="22"/>
        <v>Usine</v>
      </c>
      <c r="L1442" s="35" t="str">
        <f>_xlfn.XLOOKUP(mvtst[[#This Row],[Sous Traitant]],coordonnee_st[Identification],coordonnee_st[SERVICE],"Non Trouvé")</f>
        <v>Frange</v>
      </c>
      <c r="M1442" s="35" t="str">
        <f>INDEX(_xlfn.TEXTSPLIT(mvtst[[#This Row],[QR Suivis]],"_"),1,2)</f>
        <v>CL00884</v>
      </c>
      <c r="N1442" s="35" t="str">
        <f>INDEX(_xlfn.TEXTSPLIT(mvtst[[#This Row],[QR Suivis]],"_"),1,3)</f>
        <v>CM-FT0120</v>
      </c>
      <c r="O1442" s="35" t="str">
        <f>INDEX(_xlfn.TEXTSPLIT(mvtst[[#This Row],[QR Suivis]],"_"),1,4)</f>
        <v>ST1020-S14-16-17</v>
      </c>
      <c r="P1442" s="35" t="str">
        <f>INDEX(_xlfn.TEXTSPLIT(mvtst[[#This Row],[QR Suivis]],"_"),1,5)</f>
        <v>ST TROPEZ</v>
      </c>
      <c r="Q1442" s="35" t="str">
        <f>_xlfn.TEXTAFTER(mvtst[[#This Row],[QR Suivis]],"_",5)</f>
        <v>1020</v>
      </c>
      <c r="R1442" s="84" t="str">
        <f>IF(
   COUNTIFS($A$2:A1442,A1442,
             $B$2:B1442,B1442,
             $C$2:C1442,C1442,
             $D$2:D1442,D1442,
             $G$2:G1442,G1442)&gt;1,
   "Doublon",
   "Correcte"
)</f>
        <v>Correcte</v>
      </c>
    </row>
    <row r="1443" spans="1:18" x14ac:dyDescent="0.25">
      <c r="A1443" s="104" t="s">
        <v>2095</v>
      </c>
      <c r="B1443" s="35" t="s">
        <v>712</v>
      </c>
      <c r="C1443" s="36">
        <v>5</v>
      </c>
      <c r="D1443" s="36">
        <v>0</v>
      </c>
      <c r="E1443" s="35" t="s">
        <v>699</v>
      </c>
      <c r="F1443" s="35" t="s">
        <v>634</v>
      </c>
      <c r="G1443" s="37">
        <v>45938.661932870367</v>
      </c>
      <c r="H1443" s="37" t="str">
        <f>INDEX(_xlfn.TEXTSPLIT(mvtst[[#This Row],[QR Suivis]],"_"),1,1)</f>
        <v>OF249946-34</v>
      </c>
      <c r="I1443" s="35" t="str">
        <f>_xlfn.TEXTBEFORE(mvtst[[#This Row],[Num Suivis]],"-",,,1)</f>
        <v>OF249946</v>
      </c>
      <c r="J1443" s="36">
        <f>SUMIF(mvtst[QR Suivis],mvtst[[#This Row],[QR Suivis]],mvtst[QTE SORTIS])-SUMIF(mvtst[QR Suivis],mvtst[[#This Row],[QR Suivis]],mvtst[QTE RETOUR])</f>
        <v>0</v>
      </c>
      <c r="K1443" s="35" t="str">
        <f t="shared" si="22"/>
        <v>Usine</v>
      </c>
      <c r="L1443" s="35" t="str">
        <f>_xlfn.XLOOKUP(mvtst[[#This Row],[Sous Traitant]],coordonnee_st[Identification],coordonnee_st[SERVICE],"Non Trouvé")</f>
        <v>Frange</v>
      </c>
      <c r="M1443" s="35" t="str">
        <f>INDEX(_xlfn.TEXTSPLIT(mvtst[[#This Row],[QR Suivis]],"_"),1,2)</f>
        <v>CL00884</v>
      </c>
      <c r="N1443" s="35" t="str">
        <f>INDEX(_xlfn.TEXTSPLIT(mvtst[[#This Row],[QR Suivis]],"_"),1,3)</f>
        <v>CM-FT0120</v>
      </c>
      <c r="O1443" s="35" t="str">
        <f>INDEX(_xlfn.TEXTSPLIT(mvtst[[#This Row],[QR Suivis]],"_"),1,4)</f>
        <v>ST1020-S14-16-17</v>
      </c>
      <c r="P1443" s="35" t="str">
        <f>INDEX(_xlfn.TEXTSPLIT(mvtst[[#This Row],[QR Suivis]],"_"),1,5)</f>
        <v>ST TROPEZ</v>
      </c>
      <c r="Q1443" s="35" t="str">
        <f>_xlfn.TEXTAFTER(mvtst[[#This Row],[QR Suivis]],"_",5)</f>
        <v>1020</v>
      </c>
      <c r="R1443" s="84" t="str">
        <f>IF(
   COUNTIFS($A$2:A1443,A1443,
             $B$2:B1443,B1443,
             $C$2:C1443,C1443,
             $D$2:D1443,D1443,
             $G$2:G1443,G1443)&gt;1,
   "Doublon",
   "Correcte"
)</f>
        <v>Correcte</v>
      </c>
    </row>
    <row r="1444" spans="1:18" x14ac:dyDescent="0.25">
      <c r="A1444" s="104" t="s">
        <v>2096</v>
      </c>
      <c r="B1444" s="35" t="s">
        <v>712</v>
      </c>
      <c r="C1444" s="36">
        <v>5</v>
      </c>
      <c r="D1444" s="36">
        <v>0</v>
      </c>
      <c r="E1444" s="35" t="s">
        <v>699</v>
      </c>
      <c r="F1444" s="35" t="s">
        <v>634</v>
      </c>
      <c r="G1444" s="37">
        <v>45938.662372685183</v>
      </c>
      <c r="H1444" s="37" t="str">
        <f>INDEX(_xlfn.TEXTSPLIT(mvtst[[#This Row],[QR Suivis]],"_"),1,1)</f>
        <v>OF249946-33</v>
      </c>
      <c r="I1444" s="35" t="str">
        <f>_xlfn.TEXTBEFORE(mvtst[[#This Row],[Num Suivis]],"-",,,1)</f>
        <v>OF249946</v>
      </c>
      <c r="J1444" s="36">
        <f>SUMIF(mvtst[QR Suivis],mvtst[[#This Row],[QR Suivis]],mvtst[QTE SORTIS])-SUMIF(mvtst[QR Suivis],mvtst[[#This Row],[QR Suivis]],mvtst[QTE RETOUR])</f>
        <v>0</v>
      </c>
      <c r="K1444" s="35" t="str">
        <f t="shared" si="22"/>
        <v>Usine</v>
      </c>
      <c r="L1444" s="35" t="str">
        <f>_xlfn.XLOOKUP(mvtst[[#This Row],[Sous Traitant]],coordonnee_st[Identification],coordonnee_st[SERVICE],"Non Trouvé")</f>
        <v>Frange</v>
      </c>
      <c r="M1444" s="35" t="str">
        <f>INDEX(_xlfn.TEXTSPLIT(mvtst[[#This Row],[QR Suivis]],"_"),1,2)</f>
        <v>CL00884</v>
      </c>
      <c r="N1444" s="35" t="str">
        <f>INDEX(_xlfn.TEXTSPLIT(mvtst[[#This Row],[QR Suivis]],"_"),1,3)</f>
        <v>CM-FT0120</v>
      </c>
      <c r="O1444" s="35" t="str">
        <f>INDEX(_xlfn.TEXTSPLIT(mvtst[[#This Row],[QR Suivis]],"_"),1,4)</f>
        <v>ST1020-S14-16-17</v>
      </c>
      <c r="P1444" s="35" t="str">
        <f>INDEX(_xlfn.TEXTSPLIT(mvtst[[#This Row],[QR Suivis]],"_"),1,5)</f>
        <v>ST TROPEZ</v>
      </c>
      <c r="Q1444" s="35" t="str">
        <f>_xlfn.TEXTAFTER(mvtst[[#This Row],[QR Suivis]],"_",5)</f>
        <v>1020</v>
      </c>
      <c r="R1444" s="84" t="str">
        <f>IF(
   COUNTIFS($A$2:A1444,A1444,
             $B$2:B1444,B1444,
             $C$2:C1444,C1444,
             $D$2:D1444,D1444,
             $G$2:G1444,G1444)&gt;1,
   "Doublon",
   "Correcte"
)</f>
        <v>Correcte</v>
      </c>
    </row>
    <row r="1445" spans="1:18" x14ac:dyDescent="0.25">
      <c r="A1445" s="104" t="s">
        <v>2097</v>
      </c>
      <c r="B1445" s="35" t="s">
        <v>712</v>
      </c>
      <c r="C1445" s="36">
        <v>5</v>
      </c>
      <c r="D1445" s="36">
        <v>0</v>
      </c>
      <c r="E1445" s="35" t="s">
        <v>699</v>
      </c>
      <c r="F1445" s="35" t="s">
        <v>634</v>
      </c>
      <c r="G1445" s="37">
        <v>45938.662557870368</v>
      </c>
      <c r="H1445" s="37" t="str">
        <f>INDEX(_xlfn.TEXTSPLIT(mvtst[[#This Row],[QR Suivis]],"_"),1,1)</f>
        <v>OF249946-32</v>
      </c>
      <c r="I1445" s="35" t="str">
        <f>_xlfn.TEXTBEFORE(mvtst[[#This Row],[Num Suivis]],"-",,,1)</f>
        <v>OF249946</v>
      </c>
      <c r="J1445" s="36">
        <f>SUMIF(mvtst[QR Suivis],mvtst[[#This Row],[QR Suivis]],mvtst[QTE SORTIS])-SUMIF(mvtst[QR Suivis],mvtst[[#This Row],[QR Suivis]],mvtst[QTE RETOUR])</f>
        <v>0</v>
      </c>
      <c r="K1445" s="35" t="str">
        <f t="shared" si="22"/>
        <v>Usine</v>
      </c>
      <c r="L1445" s="35" t="str">
        <f>_xlfn.XLOOKUP(mvtst[[#This Row],[Sous Traitant]],coordonnee_st[Identification],coordonnee_st[SERVICE],"Non Trouvé")</f>
        <v>Frange</v>
      </c>
      <c r="M1445" s="35" t="str">
        <f>INDEX(_xlfn.TEXTSPLIT(mvtst[[#This Row],[QR Suivis]],"_"),1,2)</f>
        <v>CL00884</v>
      </c>
      <c r="N1445" s="35" t="str">
        <f>INDEX(_xlfn.TEXTSPLIT(mvtst[[#This Row],[QR Suivis]],"_"),1,3)</f>
        <v>CM-FT0120</v>
      </c>
      <c r="O1445" s="35" t="str">
        <f>INDEX(_xlfn.TEXTSPLIT(mvtst[[#This Row],[QR Suivis]],"_"),1,4)</f>
        <v>ST1020-S14-16-17</v>
      </c>
      <c r="P1445" s="35" t="str">
        <f>INDEX(_xlfn.TEXTSPLIT(mvtst[[#This Row],[QR Suivis]],"_"),1,5)</f>
        <v>ST TROPEZ</v>
      </c>
      <c r="Q1445" s="35" t="str">
        <f>_xlfn.TEXTAFTER(mvtst[[#This Row],[QR Suivis]],"_",5)</f>
        <v>1020</v>
      </c>
      <c r="R1445" s="84" t="str">
        <f>IF(
   COUNTIFS($A$2:A1445,A1445,
             $B$2:B1445,B1445,
             $C$2:C1445,C1445,
             $D$2:D1445,D1445,
             $G$2:G1445,G1445)&gt;1,
   "Doublon",
   "Correcte"
)</f>
        <v>Correcte</v>
      </c>
    </row>
    <row r="1446" spans="1:18" x14ac:dyDescent="0.25">
      <c r="A1446" s="104" t="s">
        <v>2098</v>
      </c>
      <c r="B1446" s="35" t="s">
        <v>712</v>
      </c>
      <c r="C1446" s="36">
        <v>5</v>
      </c>
      <c r="D1446" s="36">
        <v>0</v>
      </c>
      <c r="E1446" s="35" t="s">
        <v>699</v>
      </c>
      <c r="F1446" s="35" t="s">
        <v>634</v>
      </c>
      <c r="G1446" s="37">
        <v>45938.662731481483</v>
      </c>
      <c r="H1446" s="37" t="str">
        <f>INDEX(_xlfn.TEXTSPLIT(mvtst[[#This Row],[QR Suivis]],"_"),1,1)</f>
        <v>CA250035-1</v>
      </c>
      <c r="I1446" s="35" t="str">
        <f>_xlfn.TEXTBEFORE(mvtst[[#This Row],[Num Suivis]],"-",,,1)</f>
        <v>CA250035</v>
      </c>
      <c r="J1446" s="36">
        <f>SUMIF(mvtst[QR Suivis],mvtst[[#This Row],[QR Suivis]],mvtst[QTE SORTIS])-SUMIF(mvtst[QR Suivis],mvtst[[#This Row],[QR Suivis]],mvtst[QTE RETOUR])</f>
        <v>0</v>
      </c>
      <c r="K1446" s="35" t="str">
        <f t="shared" si="22"/>
        <v>Usine</v>
      </c>
      <c r="L1446" s="35" t="str">
        <f>_xlfn.XLOOKUP(mvtst[[#This Row],[Sous Traitant]],coordonnee_st[Identification],coordonnee_st[SERVICE],"Non Trouvé")</f>
        <v>Frange</v>
      </c>
      <c r="M1446" s="35" t="str">
        <f>INDEX(_xlfn.TEXTSPLIT(mvtst[[#This Row],[QR Suivis]],"_"),1,2)</f>
        <v>All by Fouta</v>
      </c>
      <c r="N1446" s="35" t="str">
        <f>INDEX(_xlfn.TEXTSPLIT(mvtst[[#This Row],[QR Suivis]],"_"),1,3)</f>
        <v>Stock</v>
      </c>
      <c r="O1446" s="35" t="str">
        <f>INDEX(_xlfn.TEXTSPLIT(mvtst[[#This Row],[QR Suivis]],"_"),1,4)</f>
        <v>UNS2020-26</v>
      </c>
      <c r="P1446" s="35" t="str">
        <f>INDEX(_xlfn.TEXTSPLIT(mvtst[[#This Row],[QR Suivis]],"_"),1,5)</f>
        <v>UNI SURPIQUE</v>
      </c>
      <c r="Q1446" s="35" t="str">
        <f>_xlfn.TEXTAFTER(mvtst[[#This Row],[QR Suivis]],"_",5)</f>
        <v>2020</v>
      </c>
      <c r="R1446" s="84" t="str">
        <f>IF(
   COUNTIFS($A$2:A1446,A1446,
             $B$2:B1446,B1446,
             $C$2:C1446,C1446,
             $D$2:D1446,D1446,
             $G$2:G1446,G1446)&gt;1,
   "Doublon",
   "Correcte"
)</f>
        <v>Correcte</v>
      </c>
    </row>
    <row r="1447" spans="1:18" x14ac:dyDescent="0.25">
      <c r="A1447" s="104" t="s">
        <v>2099</v>
      </c>
      <c r="B1447" s="35" t="s">
        <v>712</v>
      </c>
      <c r="C1447" s="36">
        <v>5</v>
      </c>
      <c r="D1447" s="36">
        <v>0</v>
      </c>
      <c r="E1447" s="35" t="s">
        <v>699</v>
      </c>
      <c r="F1447" s="35" t="s">
        <v>634</v>
      </c>
      <c r="G1447" s="37">
        <v>45938.662951388891</v>
      </c>
      <c r="H1447" s="37" t="str">
        <f>INDEX(_xlfn.TEXTSPLIT(mvtst[[#This Row],[QR Suivis]],"_"),1,1)</f>
        <v>CA250035-2</v>
      </c>
      <c r="I1447" s="35" t="str">
        <f>_xlfn.TEXTBEFORE(mvtst[[#This Row],[Num Suivis]],"-",,,1)</f>
        <v>CA250035</v>
      </c>
      <c r="J1447" s="36">
        <f>SUMIF(mvtst[QR Suivis],mvtst[[#This Row],[QR Suivis]],mvtst[QTE SORTIS])-SUMIF(mvtst[QR Suivis],mvtst[[#This Row],[QR Suivis]],mvtst[QTE RETOUR])</f>
        <v>0</v>
      </c>
      <c r="K1447" s="35" t="str">
        <f t="shared" si="22"/>
        <v>Usine</v>
      </c>
      <c r="L1447" s="35" t="str">
        <f>_xlfn.XLOOKUP(mvtst[[#This Row],[Sous Traitant]],coordonnee_st[Identification],coordonnee_st[SERVICE],"Non Trouvé")</f>
        <v>Frange</v>
      </c>
      <c r="M1447" s="35" t="str">
        <f>INDEX(_xlfn.TEXTSPLIT(mvtst[[#This Row],[QR Suivis]],"_"),1,2)</f>
        <v>All by Fouta</v>
      </c>
      <c r="N1447" s="35" t="str">
        <f>INDEX(_xlfn.TEXTSPLIT(mvtst[[#This Row],[QR Suivis]],"_"),1,3)</f>
        <v>Stock</v>
      </c>
      <c r="O1447" s="35" t="str">
        <f>INDEX(_xlfn.TEXTSPLIT(mvtst[[#This Row],[QR Suivis]],"_"),1,4)</f>
        <v>UNS2020-26</v>
      </c>
      <c r="P1447" s="35" t="str">
        <f>INDEX(_xlfn.TEXTSPLIT(mvtst[[#This Row],[QR Suivis]],"_"),1,5)</f>
        <v>UNI SURPIQUE</v>
      </c>
      <c r="Q1447" s="35" t="str">
        <f>_xlfn.TEXTAFTER(mvtst[[#This Row],[QR Suivis]],"_",5)</f>
        <v>2020</v>
      </c>
      <c r="R1447" s="84" t="str">
        <f>IF(
   COUNTIFS($A$2:A1447,A1447,
             $B$2:B1447,B1447,
             $C$2:C1447,C1447,
             $D$2:D1447,D1447,
             $G$2:G1447,G1447)&gt;1,
   "Doublon",
   "Correcte"
)</f>
        <v>Correcte</v>
      </c>
    </row>
    <row r="1448" spans="1:18" x14ac:dyDescent="0.25">
      <c r="A1448" s="104" t="s">
        <v>2100</v>
      </c>
      <c r="B1448" s="35" t="s">
        <v>712</v>
      </c>
      <c r="C1448" s="36">
        <v>5</v>
      </c>
      <c r="D1448" s="36">
        <v>0</v>
      </c>
      <c r="E1448" s="35" t="s">
        <v>699</v>
      </c>
      <c r="F1448" s="35" t="s">
        <v>634</v>
      </c>
      <c r="G1448" s="37">
        <v>45938.663124999999</v>
      </c>
      <c r="H1448" s="37" t="str">
        <f>INDEX(_xlfn.TEXTSPLIT(mvtst[[#This Row],[QR Suivis]],"_"),1,1)</f>
        <v>CA250035-5</v>
      </c>
      <c r="I1448" s="35" t="str">
        <f>_xlfn.TEXTBEFORE(mvtst[[#This Row],[Num Suivis]],"-",,,1)</f>
        <v>CA250035</v>
      </c>
      <c r="J1448" s="36">
        <f>SUMIF(mvtst[QR Suivis],mvtst[[#This Row],[QR Suivis]],mvtst[QTE SORTIS])-SUMIF(mvtst[QR Suivis],mvtst[[#This Row],[QR Suivis]],mvtst[QTE RETOUR])</f>
        <v>0</v>
      </c>
      <c r="K1448" s="35" t="str">
        <f t="shared" si="22"/>
        <v>Usine</v>
      </c>
      <c r="L1448" s="35" t="str">
        <f>_xlfn.XLOOKUP(mvtst[[#This Row],[Sous Traitant]],coordonnee_st[Identification],coordonnee_st[SERVICE],"Non Trouvé")</f>
        <v>Frange</v>
      </c>
      <c r="M1448" s="35" t="str">
        <f>INDEX(_xlfn.TEXTSPLIT(mvtst[[#This Row],[QR Suivis]],"_"),1,2)</f>
        <v>All by Fouta</v>
      </c>
      <c r="N1448" s="35" t="str">
        <f>INDEX(_xlfn.TEXTSPLIT(mvtst[[#This Row],[QR Suivis]],"_"),1,3)</f>
        <v>Stock</v>
      </c>
      <c r="O1448" s="35" t="str">
        <f>INDEX(_xlfn.TEXTSPLIT(mvtst[[#This Row],[QR Suivis]],"_"),1,4)</f>
        <v>UNS2020-26</v>
      </c>
      <c r="P1448" s="35" t="str">
        <f>INDEX(_xlfn.TEXTSPLIT(mvtst[[#This Row],[QR Suivis]],"_"),1,5)</f>
        <v>UNI SURPIQUE</v>
      </c>
      <c r="Q1448" s="35" t="str">
        <f>_xlfn.TEXTAFTER(mvtst[[#This Row],[QR Suivis]],"_",5)</f>
        <v>2020</v>
      </c>
      <c r="R1448" s="84" t="str">
        <f>IF(
   COUNTIFS($A$2:A1448,A1448,
             $B$2:B1448,B1448,
             $C$2:C1448,C1448,
             $D$2:D1448,D1448,
             $G$2:G1448,G1448)&gt;1,
   "Doublon",
   "Correcte"
)</f>
        <v>Correcte</v>
      </c>
    </row>
    <row r="1449" spans="1:18" x14ac:dyDescent="0.25">
      <c r="A1449" s="104" t="s">
        <v>2101</v>
      </c>
      <c r="B1449" s="35" t="s">
        <v>712</v>
      </c>
      <c r="C1449" s="36">
        <v>5</v>
      </c>
      <c r="D1449" s="36">
        <v>0</v>
      </c>
      <c r="E1449" s="35" t="s">
        <v>699</v>
      </c>
      <c r="F1449" s="35" t="s">
        <v>634</v>
      </c>
      <c r="G1449" s="37">
        <v>45938.663321759261</v>
      </c>
      <c r="H1449" s="37" t="str">
        <f>INDEX(_xlfn.TEXTSPLIT(mvtst[[#This Row],[QR Suivis]],"_"),1,1)</f>
        <v>CA250035-4</v>
      </c>
      <c r="I1449" s="35" t="str">
        <f>_xlfn.TEXTBEFORE(mvtst[[#This Row],[Num Suivis]],"-",,,1)</f>
        <v>CA250035</v>
      </c>
      <c r="J1449" s="36">
        <f>SUMIF(mvtst[QR Suivis],mvtst[[#This Row],[QR Suivis]],mvtst[QTE SORTIS])-SUMIF(mvtst[QR Suivis],mvtst[[#This Row],[QR Suivis]],mvtst[QTE RETOUR])</f>
        <v>0</v>
      </c>
      <c r="K1449" s="35" t="str">
        <f t="shared" si="22"/>
        <v>Usine</v>
      </c>
      <c r="L1449" s="35" t="str">
        <f>_xlfn.XLOOKUP(mvtst[[#This Row],[Sous Traitant]],coordonnee_st[Identification],coordonnee_st[SERVICE],"Non Trouvé")</f>
        <v>Frange</v>
      </c>
      <c r="M1449" s="35" t="str">
        <f>INDEX(_xlfn.TEXTSPLIT(mvtst[[#This Row],[QR Suivis]],"_"),1,2)</f>
        <v>All by Fouta</v>
      </c>
      <c r="N1449" s="35" t="str">
        <f>INDEX(_xlfn.TEXTSPLIT(mvtst[[#This Row],[QR Suivis]],"_"),1,3)</f>
        <v>Stock</v>
      </c>
      <c r="O1449" s="35" t="str">
        <f>INDEX(_xlfn.TEXTSPLIT(mvtst[[#This Row],[QR Suivis]],"_"),1,4)</f>
        <v>UNS2020-26</v>
      </c>
      <c r="P1449" s="35" t="str">
        <f>INDEX(_xlfn.TEXTSPLIT(mvtst[[#This Row],[QR Suivis]],"_"),1,5)</f>
        <v>UNI SURPIQUE</v>
      </c>
      <c r="Q1449" s="35" t="str">
        <f>_xlfn.TEXTAFTER(mvtst[[#This Row],[QR Suivis]],"_",5)</f>
        <v>2020</v>
      </c>
      <c r="R1449" s="84" t="str">
        <f>IF(
   COUNTIFS($A$2:A1449,A1449,
             $B$2:B1449,B1449,
             $C$2:C1449,C1449,
             $D$2:D1449,D1449,
             $G$2:G1449,G1449)&gt;1,
   "Doublon",
   "Correcte"
)</f>
        <v>Correcte</v>
      </c>
    </row>
    <row r="1450" spans="1:18" x14ac:dyDescent="0.25">
      <c r="A1450" s="104" t="s">
        <v>2102</v>
      </c>
      <c r="B1450" s="35" t="s">
        <v>712</v>
      </c>
      <c r="C1450" s="36">
        <v>5</v>
      </c>
      <c r="D1450" s="36">
        <v>0</v>
      </c>
      <c r="E1450" s="35" t="s">
        <v>699</v>
      </c>
      <c r="F1450" s="35" t="s">
        <v>634</v>
      </c>
      <c r="G1450" s="37">
        <v>45938.663495370369</v>
      </c>
      <c r="H1450" s="37" t="str">
        <f>INDEX(_xlfn.TEXTSPLIT(mvtst[[#This Row],[QR Suivis]],"_"),1,1)</f>
        <v>CA250035-6</v>
      </c>
      <c r="I1450" s="35" t="str">
        <f>_xlfn.TEXTBEFORE(mvtst[[#This Row],[Num Suivis]],"-",,,1)</f>
        <v>CA250035</v>
      </c>
      <c r="J1450" s="36">
        <f>SUMIF(mvtst[QR Suivis],mvtst[[#This Row],[QR Suivis]],mvtst[QTE SORTIS])-SUMIF(mvtst[QR Suivis],mvtst[[#This Row],[QR Suivis]],mvtst[QTE RETOUR])</f>
        <v>0</v>
      </c>
      <c r="K1450" s="35" t="str">
        <f t="shared" si="22"/>
        <v>Usine</v>
      </c>
      <c r="L1450" s="35" t="str">
        <f>_xlfn.XLOOKUP(mvtst[[#This Row],[Sous Traitant]],coordonnee_st[Identification],coordonnee_st[SERVICE],"Non Trouvé")</f>
        <v>Frange</v>
      </c>
      <c r="M1450" s="35" t="str">
        <f>INDEX(_xlfn.TEXTSPLIT(mvtst[[#This Row],[QR Suivis]],"_"),1,2)</f>
        <v>All by Fouta</v>
      </c>
      <c r="N1450" s="35" t="str">
        <f>INDEX(_xlfn.TEXTSPLIT(mvtst[[#This Row],[QR Suivis]],"_"),1,3)</f>
        <v>Stock</v>
      </c>
      <c r="O1450" s="35" t="str">
        <f>INDEX(_xlfn.TEXTSPLIT(mvtst[[#This Row],[QR Suivis]],"_"),1,4)</f>
        <v>UNS2020-26</v>
      </c>
      <c r="P1450" s="35" t="str">
        <f>INDEX(_xlfn.TEXTSPLIT(mvtst[[#This Row],[QR Suivis]],"_"),1,5)</f>
        <v>UNI SURPIQUE</v>
      </c>
      <c r="Q1450" s="35" t="str">
        <f>_xlfn.TEXTAFTER(mvtst[[#This Row],[QR Suivis]],"_",5)</f>
        <v>2020</v>
      </c>
      <c r="R1450" s="84" t="str">
        <f>IF(
   COUNTIFS($A$2:A1450,A1450,
             $B$2:B1450,B1450,
             $C$2:C1450,C1450,
             $D$2:D1450,D1450,
             $G$2:G1450,G1450)&gt;1,
   "Doublon",
   "Correcte"
)</f>
        <v>Correcte</v>
      </c>
    </row>
    <row r="1451" spans="1:18" x14ac:dyDescent="0.25">
      <c r="A1451" s="104" t="s">
        <v>2103</v>
      </c>
      <c r="B1451" s="35" t="s">
        <v>712</v>
      </c>
      <c r="C1451" s="36">
        <v>5</v>
      </c>
      <c r="D1451" s="36">
        <v>0</v>
      </c>
      <c r="E1451" s="35" t="s">
        <v>699</v>
      </c>
      <c r="F1451" s="35" t="s">
        <v>634</v>
      </c>
      <c r="G1451" s="37">
        <v>45938.663657407407</v>
      </c>
      <c r="H1451" s="37" t="str">
        <f>INDEX(_xlfn.TEXTSPLIT(mvtst[[#This Row],[QR Suivis]],"_"),1,1)</f>
        <v>CA250035-3</v>
      </c>
      <c r="I1451" s="35" t="str">
        <f>_xlfn.TEXTBEFORE(mvtst[[#This Row],[Num Suivis]],"-",,,1)</f>
        <v>CA250035</v>
      </c>
      <c r="J1451" s="36">
        <f>SUMIF(mvtst[QR Suivis],mvtst[[#This Row],[QR Suivis]],mvtst[QTE SORTIS])-SUMIF(mvtst[QR Suivis],mvtst[[#This Row],[QR Suivis]],mvtst[QTE RETOUR])</f>
        <v>0</v>
      </c>
      <c r="K1451" s="35" t="str">
        <f t="shared" si="22"/>
        <v>Usine</v>
      </c>
      <c r="L1451" s="35" t="str">
        <f>_xlfn.XLOOKUP(mvtst[[#This Row],[Sous Traitant]],coordonnee_st[Identification],coordonnee_st[SERVICE],"Non Trouvé")</f>
        <v>Frange</v>
      </c>
      <c r="M1451" s="35" t="str">
        <f>INDEX(_xlfn.TEXTSPLIT(mvtst[[#This Row],[QR Suivis]],"_"),1,2)</f>
        <v>All by Fouta</v>
      </c>
      <c r="N1451" s="35" t="str">
        <f>INDEX(_xlfn.TEXTSPLIT(mvtst[[#This Row],[QR Suivis]],"_"),1,3)</f>
        <v>Stock</v>
      </c>
      <c r="O1451" s="35" t="str">
        <f>INDEX(_xlfn.TEXTSPLIT(mvtst[[#This Row],[QR Suivis]],"_"),1,4)</f>
        <v>UNS2020-26</v>
      </c>
      <c r="P1451" s="35" t="str">
        <f>INDEX(_xlfn.TEXTSPLIT(mvtst[[#This Row],[QR Suivis]],"_"),1,5)</f>
        <v>UNI SURPIQUE</v>
      </c>
      <c r="Q1451" s="35" t="str">
        <f>_xlfn.TEXTAFTER(mvtst[[#This Row],[QR Suivis]],"_",5)</f>
        <v>2020</v>
      </c>
      <c r="R1451" s="84" t="str">
        <f>IF(
   COUNTIFS($A$2:A1451,A1451,
             $B$2:B1451,B1451,
             $C$2:C1451,C1451,
             $D$2:D1451,D1451,
             $G$2:G1451,G1451)&gt;1,
   "Doublon",
   "Correcte"
)</f>
        <v>Correcte</v>
      </c>
    </row>
    <row r="1452" spans="1:18" x14ac:dyDescent="0.25">
      <c r="A1452" s="104" t="s">
        <v>2104</v>
      </c>
      <c r="B1452" s="35" t="s">
        <v>712</v>
      </c>
      <c r="C1452" s="36">
        <v>1</v>
      </c>
      <c r="D1452" s="36">
        <v>0</v>
      </c>
      <c r="E1452" s="35" t="s">
        <v>699</v>
      </c>
      <c r="F1452" s="35" t="s">
        <v>634</v>
      </c>
      <c r="G1452" s="37">
        <v>45938.663819444446</v>
      </c>
      <c r="H1452" s="37" t="str">
        <f>INDEX(_xlfn.TEXTSPLIT(mvtst[[#This Row],[QR Suivis]],"_"),1,1)</f>
        <v>CA250035-7</v>
      </c>
      <c r="I1452" s="35" t="str">
        <f>_xlfn.TEXTBEFORE(mvtst[[#This Row],[Num Suivis]],"-",,,1)</f>
        <v>CA250035</v>
      </c>
      <c r="J1452" s="36">
        <f>SUMIF(mvtst[QR Suivis],mvtst[[#This Row],[QR Suivis]],mvtst[QTE SORTIS])-SUMIF(mvtst[QR Suivis],mvtst[[#This Row],[QR Suivis]],mvtst[QTE RETOUR])</f>
        <v>0</v>
      </c>
      <c r="K1452" s="35" t="str">
        <f t="shared" si="22"/>
        <v>Usine</v>
      </c>
      <c r="L1452" s="35" t="str">
        <f>_xlfn.XLOOKUP(mvtst[[#This Row],[Sous Traitant]],coordonnee_st[Identification],coordonnee_st[SERVICE],"Non Trouvé")</f>
        <v>Frange</v>
      </c>
      <c r="M1452" s="35" t="str">
        <f>INDEX(_xlfn.TEXTSPLIT(mvtst[[#This Row],[QR Suivis]],"_"),1,2)</f>
        <v>All by Fouta</v>
      </c>
      <c r="N1452" s="35" t="str">
        <f>INDEX(_xlfn.TEXTSPLIT(mvtst[[#This Row],[QR Suivis]],"_"),1,3)</f>
        <v>Stock</v>
      </c>
      <c r="O1452" s="35" t="str">
        <f>INDEX(_xlfn.TEXTSPLIT(mvtst[[#This Row],[QR Suivis]],"_"),1,4)</f>
        <v>UNS2020-26</v>
      </c>
      <c r="P1452" s="35" t="str">
        <f>INDEX(_xlfn.TEXTSPLIT(mvtst[[#This Row],[QR Suivis]],"_"),1,5)</f>
        <v>UNI SURPIQUE</v>
      </c>
      <c r="Q1452" s="35" t="str">
        <f>_xlfn.TEXTAFTER(mvtst[[#This Row],[QR Suivis]],"_",5)</f>
        <v>2020</v>
      </c>
      <c r="R1452" s="84" t="str">
        <f>IF(
   COUNTIFS($A$2:A1452,A1452,
             $B$2:B1452,B1452,
             $C$2:C1452,C1452,
             $D$2:D1452,D1452,
             $G$2:G1452,G1452)&gt;1,
   "Doublon",
   "Correcte"
)</f>
        <v>Correcte</v>
      </c>
    </row>
    <row r="1453" spans="1:18" x14ac:dyDescent="0.25">
      <c r="A1453" s="104" t="s">
        <v>1890</v>
      </c>
      <c r="B1453" s="35" t="s">
        <v>712</v>
      </c>
      <c r="C1453" s="36">
        <v>0</v>
      </c>
      <c r="D1453" s="36">
        <v>5</v>
      </c>
      <c r="E1453" s="35" t="s">
        <v>699</v>
      </c>
      <c r="F1453" s="35" t="s">
        <v>634</v>
      </c>
      <c r="G1453" s="37">
        <v>45938.68408564815</v>
      </c>
      <c r="H1453" s="37" t="str">
        <f>INDEX(_xlfn.TEXTSPLIT(mvtst[[#This Row],[QR Suivis]],"_"),1,1)</f>
        <v>CA250019-6</v>
      </c>
      <c r="I1453" s="35" t="str">
        <f>_xlfn.TEXTBEFORE(mvtst[[#This Row],[Num Suivis]],"-",,,1)</f>
        <v>CA250019</v>
      </c>
      <c r="J1453" s="36">
        <f>SUMIF(mvtst[QR Suivis],mvtst[[#This Row],[QR Suivis]],mvtst[QTE SORTIS])-SUMIF(mvtst[QR Suivis],mvtst[[#This Row],[QR Suivis]],mvtst[QTE RETOUR])</f>
        <v>0</v>
      </c>
      <c r="K1453" s="35" t="str">
        <f t="shared" si="22"/>
        <v>Usine</v>
      </c>
      <c r="L1453" s="35" t="str">
        <f>_xlfn.XLOOKUP(mvtst[[#This Row],[Sous Traitant]],coordonnee_st[Identification],coordonnee_st[SERVICE],"Non Trouvé")</f>
        <v>Frange</v>
      </c>
      <c r="M1453" s="35" t="str">
        <f>INDEX(_xlfn.TEXTSPLIT(mvtst[[#This Row],[QR Suivis]],"_"),1,2)</f>
        <v>All by Fouta</v>
      </c>
      <c r="N1453" s="35" t="str">
        <f>INDEX(_xlfn.TEXTSPLIT(mvtst[[#This Row],[QR Suivis]],"_"),1,3)</f>
        <v>Stock</v>
      </c>
      <c r="O1453" s="35" t="str">
        <f>INDEX(_xlfn.TEXTSPLIT(mvtst[[#This Row],[QR Suivis]],"_"),1,4)</f>
        <v>UNS1020-32</v>
      </c>
      <c r="P1453" s="35" t="str">
        <f>INDEX(_xlfn.TEXTSPLIT(mvtst[[#This Row],[QR Suivis]],"_"),1,5)</f>
        <v>UNI SURPIQUE</v>
      </c>
      <c r="Q1453" s="35" t="str">
        <f>_xlfn.TEXTAFTER(mvtst[[#This Row],[QR Suivis]],"_",5)</f>
        <v>1020</v>
      </c>
      <c r="R1453" s="84" t="str">
        <f>IF(
   COUNTIFS($A$2:A1453,A1453,
             $B$2:B1453,B1453,
             $C$2:C1453,C1453,
             $D$2:D1453,D1453,
             $G$2:G1453,G1453)&gt;1,
   "Doublon",
   "Correcte"
)</f>
        <v>Correcte</v>
      </c>
    </row>
    <row r="1454" spans="1:18" x14ac:dyDescent="0.25">
      <c r="A1454" s="104" t="s">
        <v>1894</v>
      </c>
      <c r="B1454" s="35" t="s">
        <v>712</v>
      </c>
      <c r="C1454" s="36">
        <v>0</v>
      </c>
      <c r="D1454" s="36">
        <v>4</v>
      </c>
      <c r="E1454" s="35" t="s">
        <v>699</v>
      </c>
      <c r="F1454" s="35" t="s">
        <v>634</v>
      </c>
      <c r="G1454" s="37">
        <v>45938.684467592589</v>
      </c>
      <c r="H1454" s="37" t="str">
        <f>INDEX(_xlfn.TEXTSPLIT(mvtst[[#This Row],[QR Suivis]],"_"),1,1)</f>
        <v>CA250051-6</v>
      </c>
      <c r="I1454" s="35" t="str">
        <f>_xlfn.TEXTBEFORE(mvtst[[#This Row],[Num Suivis]],"-",,,1)</f>
        <v>CA250051</v>
      </c>
      <c r="J1454" s="36">
        <f>SUMIF(mvtst[QR Suivis],mvtst[[#This Row],[QR Suivis]],mvtst[QTE SORTIS])-SUMIF(mvtst[QR Suivis],mvtst[[#This Row],[QR Suivis]],mvtst[QTE RETOUR])</f>
        <v>0</v>
      </c>
      <c r="K1454" s="35" t="str">
        <f t="shared" si="22"/>
        <v>Usine</v>
      </c>
      <c r="L1454" s="35" t="str">
        <f>_xlfn.XLOOKUP(mvtst[[#This Row],[Sous Traitant]],coordonnee_st[Identification],coordonnee_st[SERVICE],"Non Trouvé")</f>
        <v>Frange</v>
      </c>
      <c r="M1454" s="35" t="str">
        <f>INDEX(_xlfn.TEXTSPLIT(mvtst[[#This Row],[QR Suivis]],"_"),1,2)</f>
        <v>All by Fouta</v>
      </c>
      <c r="N1454" s="35" t="str">
        <f>INDEX(_xlfn.TEXTSPLIT(mvtst[[#This Row],[QR Suivis]],"_"),1,3)</f>
        <v>Stock</v>
      </c>
      <c r="O1454" s="35" t="str">
        <f>INDEX(_xlfn.TEXTSPLIT(mvtst[[#This Row],[QR Suivis]],"_"),1,4)</f>
        <v>UNS1626-19</v>
      </c>
      <c r="P1454" s="35" t="str">
        <f>INDEX(_xlfn.TEXTSPLIT(mvtst[[#This Row],[QR Suivis]],"_"),1,5)</f>
        <v>UNI SURPIQUE</v>
      </c>
      <c r="Q1454" s="35" t="str">
        <f>_xlfn.TEXTAFTER(mvtst[[#This Row],[QR Suivis]],"_",5)</f>
        <v>1626</v>
      </c>
      <c r="R1454" s="84" t="str">
        <f>IF(
   COUNTIFS($A$2:A1454,A1454,
             $B$2:B1454,B1454,
             $C$2:C1454,C1454,
             $D$2:D1454,D1454,
             $G$2:G1454,G1454)&gt;1,
   "Doublon",
   "Correcte"
)</f>
        <v>Correcte</v>
      </c>
    </row>
    <row r="1455" spans="1:18" x14ac:dyDescent="0.25">
      <c r="A1455" s="104" t="s">
        <v>1892</v>
      </c>
      <c r="B1455" s="35" t="s">
        <v>712</v>
      </c>
      <c r="C1455" s="36">
        <v>0</v>
      </c>
      <c r="D1455" s="36">
        <v>5</v>
      </c>
      <c r="E1455" s="35" t="s">
        <v>699</v>
      </c>
      <c r="F1455" s="35" t="s">
        <v>634</v>
      </c>
      <c r="G1455" s="37">
        <v>45938.68472222222</v>
      </c>
      <c r="H1455" s="37" t="str">
        <f>INDEX(_xlfn.TEXTSPLIT(mvtst[[#This Row],[QR Suivis]],"_"),1,1)</f>
        <v>CA250019-5</v>
      </c>
      <c r="I1455" s="35" t="str">
        <f>_xlfn.TEXTBEFORE(mvtst[[#This Row],[Num Suivis]],"-",,,1)</f>
        <v>CA250019</v>
      </c>
      <c r="J1455" s="36">
        <f>SUMIF(mvtst[QR Suivis],mvtst[[#This Row],[QR Suivis]],mvtst[QTE SORTIS])-SUMIF(mvtst[QR Suivis],mvtst[[#This Row],[QR Suivis]],mvtst[QTE RETOUR])</f>
        <v>0</v>
      </c>
      <c r="K1455" s="35" t="str">
        <f t="shared" si="22"/>
        <v>Usine</v>
      </c>
      <c r="L1455" s="35" t="str">
        <f>_xlfn.XLOOKUP(mvtst[[#This Row],[Sous Traitant]],coordonnee_st[Identification],coordonnee_st[SERVICE],"Non Trouvé")</f>
        <v>Frange</v>
      </c>
      <c r="M1455" s="35" t="str">
        <f>INDEX(_xlfn.TEXTSPLIT(mvtst[[#This Row],[QR Suivis]],"_"),1,2)</f>
        <v>All by Fouta</v>
      </c>
      <c r="N1455" s="35" t="str">
        <f>INDEX(_xlfn.TEXTSPLIT(mvtst[[#This Row],[QR Suivis]],"_"),1,3)</f>
        <v>Stock</v>
      </c>
      <c r="O1455" s="35" t="str">
        <f>INDEX(_xlfn.TEXTSPLIT(mvtst[[#This Row],[QR Suivis]],"_"),1,4)</f>
        <v>UNS1020-32</v>
      </c>
      <c r="P1455" s="35" t="str">
        <f>INDEX(_xlfn.TEXTSPLIT(mvtst[[#This Row],[QR Suivis]],"_"),1,5)</f>
        <v>UNI SURPIQUE</v>
      </c>
      <c r="Q1455" s="35" t="str">
        <f>_xlfn.TEXTAFTER(mvtst[[#This Row],[QR Suivis]],"_",5)</f>
        <v>1020</v>
      </c>
      <c r="R1455" s="84" t="str">
        <f>IF(
   COUNTIFS($A$2:A1455,A1455,
             $B$2:B1455,B1455,
             $C$2:C1455,C1455,
             $D$2:D1455,D1455,
             $G$2:G1455,G1455)&gt;1,
   "Doublon",
   "Correcte"
)</f>
        <v>Correcte</v>
      </c>
    </row>
    <row r="1456" spans="1:18" x14ac:dyDescent="0.25">
      <c r="A1456" s="104" t="s">
        <v>1896</v>
      </c>
      <c r="B1456" s="35" t="s">
        <v>712</v>
      </c>
      <c r="C1456" s="36">
        <v>0</v>
      </c>
      <c r="D1456" s="36">
        <v>3</v>
      </c>
      <c r="E1456" s="35" t="s">
        <v>699</v>
      </c>
      <c r="F1456" s="35" t="s">
        <v>634</v>
      </c>
      <c r="G1456" s="37">
        <v>45938.684918981482</v>
      </c>
      <c r="H1456" s="37" t="str">
        <f>INDEX(_xlfn.TEXTSPLIT(mvtst[[#This Row],[QR Suivis]],"_"),1,1)</f>
        <v>CA250053-3</v>
      </c>
      <c r="I1456" s="35" t="str">
        <f>_xlfn.TEXTBEFORE(mvtst[[#This Row],[Num Suivis]],"-",,,1)</f>
        <v>CA250053</v>
      </c>
      <c r="J1456" s="36">
        <f>SUMIF(mvtst[QR Suivis],mvtst[[#This Row],[QR Suivis]],mvtst[QTE SORTIS])-SUMIF(mvtst[QR Suivis],mvtst[[#This Row],[QR Suivis]],mvtst[QTE RETOUR])</f>
        <v>0</v>
      </c>
      <c r="K1456" s="35" t="str">
        <f t="shared" si="22"/>
        <v>Usine</v>
      </c>
      <c r="L1456" s="35" t="str">
        <f>_xlfn.XLOOKUP(mvtst[[#This Row],[Sous Traitant]],coordonnee_st[Identification],coordonnee_st[SERVICE],"Non Trouvé")</f>
        <v>Frange</v>
      </c>
      <c r="M1456" s="35" t="str">
        <f>INDEX(_xlfn.TEXTSPLIT(mvtst[[#This Row],[QR Suivis]],"_"),1,2)</f>
        <v>All by Fouta</v>
      </c>
      <c r="N1456" s="35" t="str">
        <f>INDEX(_xlfn.TEXTSPLIT(mvtst[[#This Row],[QR Suivis]],"_"),1,3)</f>
        <v>Stock</v>
      </c>
      <c r="O1456" s="35" t="str">
        <f>INDEX(_xlfn.TEXTSPLIT(mvtst[[#This Row],[QR Suivis]],"_"),1,4)</f>
        <v>UNS1626-23</v>
      </c>
      <c r="P1456" s="35" t="str">
        <f>INDEX(_xlfn.TEXTSPLIT(mvtst[[#This Row],[QR Suivis]],"_"),1,5)</f>
        <v>UNI SURPIQUE</v>
      </c>
      <c r="Q1456" s="35" t="str">
        <f>_xlfn.TEXTAFTER(mvtst[[#This Row],[QR Suivis]],"_",5)</f>
        <v>1626</v>
      </c>
      <c r="R1456" s="84" t="str">
        <f>IF(
   COUNTIFS($A$2:A1456,A1456,
             $B$2:B1456,B1456,
             $C$2:C1456,C1456,
             $D$2:D1456,D1456,
             $G$2:G1456,G1456)&gt;1,
   "Doublon",
   "Correcte"
)</f>
        <v>Correcte</v>
      </c>
    </row>
    <row r="1457" spans="1:18" x14ac:dyDescent="0.25">
      <c r="A1457" s="104" t="s">
        <v>1897</v>
      </c>
      <c r="B1457" s="35" t="s">
        <v>712</v>
      </c>
      <c r="C1457" s="36">
        <v>0</v>
      </c>
      <c r="D1457" s="36">
        <v>4</v>
      </c>
      <c r="E1457" s="35" t="s">
        <v>699</v>
      </c>
      <c r="F1457" s="35" t="s">
        <v>634</v>
      </c>
      <c r="G1457" s="37">
        <v>45938.685300925928</v>
      </c>
      <c r="H1457" s="37" t="str">
        <f>INDEX(_xlfn.TEXTSPLIT(mvtst[[#This Row],[QR Suivis]],"_"),1,1)</f>
        <v>CA250024-6</v>
      </c>
      <c r="I1457" s="35" t="str">
        <f>_xlfn.TEXTBEFORE(mvtst[[#This Row],[Num Suivis]],"-",,,1)</f>
        <v>CA250024</v>
      </c>
      <c r="J1457" s="36">
        <f>SUMIF(mvtst[QR Suivis],mvtst[[#This Row],[QR Suivis]],mvtst[QTE SORTIS])-SUMIF(mvtst[QR Suivis],mvtst[[#This Row],[QR Suivis]],mvtst[QTE RETOUR])</f>
        <v>0</v>
      </c>
      <c r="K1457" s="35" t="str">
        <f t="shared" si="22"/>
        <v>Usine</v>
      </c>
      <c r="L1457" s="35" t="str">
        <f>_xlfn.XLOOKUP(mvtst[[#This Row],[Sous Traitant]],coordonnee_st[Identification],coordonnee_st[SERVICE],"Non Trouvé")</f>
        <v>Frange</v>
      </c>
      <c r="M1457" s="35" t="str">
        <f>INDEX(_xlfn.TEXTSPLIT(mvtst[[#This Row],[QR Suivis]],"_"),1,2)</f>
        <v>All by Fouta</v>
      </c>
      <c r="N1457" s="35" t="str">
        <f>INDEX(_xlfn.TEXTSPLIT(mvtst[[#This Row],[QR Suivis]],"_"),1,3)</f>
        <v>Stock</v>
      </c>
      <c r="O1457" s="35" t="str">
        <f>INDEX(_xlfn.TEXTSPLIT(mvtst[[#This Row],[QR Suivis]],"_"),1,4)</f>
        <v>UNS2020-09</v>
      </c>
      <c r="P1457" s="35" t="str">
        <f>INDEX(_xlfn.TEXTSPLIT(mvtst[[#This Row],[QR Suivis]],"_"),1,5)</f>
        <v>UNI SURPIQUE</v>
      </c>
      <c r="Q1457" s="35" t="str">
        <f>_xlfn.TEXTAFTER(mvtst[[#This Row],[QR Suivis]],"_",5)</f>
        <v>2020</v>
      </c>
      <c r="R1457" s="84" t="str">
        <f>IF(
   COUNTIFS($A$2:A1457,A1457,
             $B$2:B1457,B1457,
             $C$2:C1457,C1457,
             $D$2:D1457,D1457,
             $G$2:G1457,G1457)&gt;1,
   "Doublon",
   "Correcte"
)</f>
        <v>Correcte</v>
      </c>
    </row>
    <row r="1458" spans="1:18" x14ac:dyDescent="0.25">
      <c r="A1458" s="104" t="s">
        <v>1895</v>
      </c>
      <c r="B1458" s="35" t="s">
        <v>712</v>
      </c>
      <c r="C1458" s="36">
        <v>0</v>
      </c>
      <c r="D1458" s="36">
        <v>1</v>
      </c>
      <c r="E1458" s="35" t="s">
        <v>699</v>
      </c>
      <c r="F1458" s="35" t="s">
        <v>634</v>
      </c>
      <c r="G1458" s="37">
        <v>45938.685543981483</v>
      </c>
      <c r="H1458" s="37" t="str">
        <f>INDEX(_xlfn.TEXTSPLIT(mvtst[[#This Row],[QR Suivis]],"_"),1,1)</f>
        <v>CA250021-7</v>
      </c>
      <c r="I1458" s="35" t="str">
        <f>_xlfn.TEXTBEFORE(mvtst[[#This Row],[Num Suivis]],"-",,,1)</f>
        <v>CA250021</v>
      </c>
      <c r="J1458" s="36">
        <f>SUMIF(mvtst[QR Suivis],mvtst[[#This Row],[QR Suivis]],mvtst[QTE SORTIS])-SUMIF(mvtst[QR Suivis],mvtst[[#This Row],[QR Suivis]],mvtst[QTE RETOUR])</f>
        <v>0</v>
      </c>
      <c r="K1458" s="35" t="str">
        <f t="shared" si="22"/>
        <v>Usine</v>
      </c>
      <c r="L1458" s="35" t="str">
        <f>_xlfn.XLOOKUP(mvtst[[#This Row],[Sous Traitant]],coordonnee_st[Identification],coordonnee_st[SERVICE],"Non Trouvé")</f>
        <v>Frange</v>
      </c>
      <c r="M1458" s="35" t="str">
        <f>INDEX(_xlfn.TEXTSPLIT(mvtst[[#This Row],[QR Suivis]],"_"),1,2)</f>
        <v>All by Fouta</v>
      </c>
      <c r="N1458" s="35" t="str">
        <f>INDEX(_xlfn.TEXTSPLIT(mvtst[[#This Row],[QR Suivis]],"_"),1,3)</f>
        <v>Stock</v>
      </c>
      <c r="O1458" s="35" t="str">
        <f>INDEX(_xlfn.TEXTSPLIT(mvtst[[#This Row],[QR Suivis]],"_"),1,4)</f>
        <v>UNS2020-03</v>
      </c>
      <c r="P1458" s="35" t="str">
        <f>INDEX(_xlfn.TEXTSPLIT(mvtst[[#This Row],[QR Suivis]],"_"),1,5)</f>
        <v>UNI SURPIQUE</v>
      </c>
      <c r="Q1458" s="35" t="str">
        <f>_xlfn.TEXTAFTER(mvtst[[#This Row],[QR Suivis]],"_",5)</f>
        <v>2020</v>
      </c>
      <c r="R1458" s="84" t="str">
        <f>IF(
   COUNTIFS($A$2:A1458,A1458,
             $B$2:B1458,B1458,
             $C$2:C1458,C1458,
             $D$2:D1458,D1458,
             $G$2:G1458,G1458)&gt;1,
   "Doublon",
   "Correcte"
)</f>
        <v>Correcte</v>
      </c>
    </row>
    <row r="1459" spans="1:18" x14ac:dyDescent="0.25">
      <c r="A1459" s="104" t="s">
        <v>1898</v>
      </c>
      <c r="B1459" s="35" t="s">
        <v>712</v>
      </c>
      <c r="C1459" s="36">
        <v>0</v>
      </c>
      <c r="D1459" s="36">
        <v>4</v>
      </c>
      <c r="E1459" s="35" t="s">
        <v>699</v>
      </c>
      <c r="F1459" s="35" t="s">
        <v>634</v>
      </c>
      <c r="G1459" s="37">
        <v>45938.685937499999</v>
      </c>
      <c r="H1459" s="37" t="str">
        <f>INDEX(_xlfn.TEXTSPLIT(mvtst[[#This Row],[QR Suivis]],"_"),1,1)</f>
        <v>CA250019-12</v>
      </c>
      <c r="I1459" s="35" t="str">
        <f>_xlfn.TEXTBEFORE(mvtst[[#This Row],[Num Suivis]],"-",,,1)</f>
        <v>CA250019</v>
      </c>
      <c r="J1459" s="36">
        <f>SUMIF(mvtst[QR Suivis],mvtst[[#This Row],[QR Suivis]],mvtst[QTE SORTIS])-SUMIF(mvtst[QR Suivis],mvtst[[#This Row],[QR Suivis]],mvtst[QTE RETOUR])</f>
        <v>0</v>
      </c>
      <c r="K1459" s="35" t="str">
        <f t="shared" si="22"/>
        <v>Usine</v>
      </c>
      <c r="L1459" s="35" t="str">
        <f>_xlfn.XLOOKUP(mvtst[[#This Row],[Sous Traitant]],coordonnee_st[Identification],coordonnee_st[SERVICE],"Non Trouvé")</f>
        <v>Frange</v>
      </c>
      <c r="M1459" s="35" t="str">
        <f>INDEX(_xlfn.TEXTSPLIT(mvtst[[#This Row],[QR Suivis]],"_"),1,2)</f>
        <v>All by Fouta</v>
      </c>
      <c r="N1459" s="35" t="str">
        <f>INDEX(_xlfn.TEXTSPLIT(mvtst[[#This Row],[QR Suivis]],"_"),1,3)</f>
        <v>Stock</v>
      </c>
      <c r="O1459" s="35" t="str">
        <f>INDEX(_xlfn.TEXTSPLIT(mvtst[[#This Row],[QR Suivis]],"_"),1,4)</f>
        <v>UNS1020-32</v>
      </c>
      <c r="P1459" s="35" t="str">
        <f>INDEX(_xlfn.TEXTSPLIT(mvtst[[#This Row],[QR Suivis]],"_"),1,5)</f>
        <v>UNI SURPIQUE</v>
      </c>
      <c r="Q1459" s="35" t="str">
        <f>_xlfn.TEXTAFTER(mvtst[[#This Row],[QR Suivis]],"_",5)</f>
        <v>1020</v>
      </c>
      <c r="R1459" s="84" t="str">
        <f>IF(
   COUNTIFS($A$2:A1459,A1459,
             $B$2:B1459,B1459,
             $C$2:C1459,C1459,
             $D$2:D1459,D1459,
             $G$2:G1459,G1459)&gt;1,
   "Doublon",
   "Correcte"
)</f>
        <v>Correcte</v>
      </c>
    </row>
    <row r="1460" spans="1:18" x14ac:dyDescent="0.25">
      <c r="A1460" s="104" t="s">
        <v>1859</v>
      </c>
      <c r="B1460" s="35" t="s">
        <v>646</v>
      </c>
      <c r="C1460" s="36">
        <v>0</v>
      </c>
      <c r="D1460" s="36">
        <v>5</v>
      </c>
      <c r="E1460" s="35" t="s">
        <v>699</v>
      </c>
      <c r="F1460" s="35" t="s">
        <v>634</v>
      </c>
      <c r="G1460" s="37">
        <v>45938.701053240744</v>
      </c>
      <c r="H1460" s="37" t="str">
        <f>INDEX(_xlfn.TEXTSPLIT(mvtst[[#This Row],[QR Suivis]],"_"),1,1)</f>
        <v>OF246544-11</v>
      </c>
      <c r="I1460" s="35" t="str">
        <f>_xlfn.TEXTBEFORE(mvtst[[#This Row],[Num Suivis]],"-",,,1)</f>
        <v>OF246544</v>
      </c>
      <c r="J1460" s="36">
        <f>SUMIF(mvtst[QR Suivis],mvtst[[#This Row],[QR Suivis]],mvtst[QTE SORTIS])-SUMIF(mvtst[QR Suivis],mvtst[[#This Row],[QR Suivis]],mvtst[QTE RETOUR])</f>
        <v>0</v>
      </c>
      <c r="K1460" s="35" t="str">
        <f t="shared" si="22"/>
        <v>Usine</v>
      </c>
      <c r="L1460" s="35" t="str">
        <f>_xlfn.XLOOKUP(mvtst[[#This Row],[Sous Traitant]],coordonnee_st[Identification],coordonnee_st[SERVICE],"Non Trouvé")</f>
        <v>Frange</v>
      </c>
      <c r="M1460" s="35" t="str">
        <f>INDEX(_xlfn.TEXTSPLIT(mvtst[[#This Row],[QR Suivis]],"_"),1,2)</f>
        <v>CL00296</v>
      </c>
      <c r="N1460" s="35" t="str">
        <f>INDEX(_xlfn.TEXTSPLIT(mvtst[[#This Row],[QR Suivis]],"_"),1,3)</f>
        <v>CM-FT0108</v>
      </c>
      <c r="O1460" s="35" t="str">
        <f>INDEX(_xlfn.TEXTSPLIT(mvtst[[#This Row],[QR Suivis]],"_"),1,4)</f>
        <v>EPMA0919-B03-02</v>
      </c>
      <c r="P1460" s="35" t="str">
        <f>INDEX(_xlfn.TEXTSPLIT(mvtst[[#This Row],[QR Suivis]],"_"),1,5)</f>
        <v>MARINIERE</v>
      </c>
      <c r="Q1460" s="35" t="str">
        <f>_xlfn.TEXTAFTER(mvtst[[#This Row],[QR Suivis]],"_",5)</f>
        <v>0919</v>
      </c>
      <c r="R1460" s="84" t="str">
        <f>IF(
   COUNTIFS($A$2:A1460,A1460,
             $B$2:B1460,B1460,
             $C$2:C1460,C1460,
             $D$2:D1460,D1460,
             $G$2:G1460,G1460)&gt;1,
   "Doublon",
   "Correcte"
)</f>
        <v>Correcte</v>
      </c>
    </row>
    <row r="1461" spans="1:18" x14ac:dyDescent="0.25">
      <c r="A1461" s="104" t="s">
        <v>1854</v>
      </c>
      <c r="B1461" s="35" t="s">
        <v>646</v>
      </c>
      <c r="C1461" s="36">
        <v>0</v>
      </c>
      <c r="D1461" s="36">
        <v>5</v>
      </c>
      <c r="E1461" s="35" t="s">
        <v>699</v>
      </c>
      <c r="F1461" s="35" t="s">
        <v>634</v>
      </c>
      <c r="G1461" s="37">
        <v>45938.701215277775</v>
      </c>
      <c r="H1461" s="37" t="str">
        <f>INDEX(_xlfn.TEXTSPLIT(mvtst[[#This Row],[QR Suivis]],"_"),1,1)</f>
        <v>OF246535-1</v>
      </c>
      <c r="I1461" s="35" t="str">
        <f>_xlfn.TEXTBEFORE(mvtst[[#This Row],[Num Suivis]],"-",,,1)</f>
        <v>OF246535</v>
      </c>
      <c r="J1461" s="36">
        <f>SUMIF(mvtst[QR Suivis],mvtst[[#This Row],[QR Suivis]],mvtst[QTE SORTIS])-SUMIF(mvtst[QR Suivis],mvtst[[#This Row],[QR Suivis]],mvtst[QTE RETOUR])</f>
        <v>0</v>
      </c>
      <c r="K1461" s="35" t="str">
        <f t="shared" si="22"/>
        <v>Usine</v>
      </c>
      <c r="L1461" s="35" t="str">
        <f>_xlfn.XLOOKUP(mvtst[[#This Row],[Sous Traitant]],coordonnee_st[Identification],coordonnee_st[SERVICE],"Non Trouvé")</f>
        <v>Frange</v>
      </c>
      <c r="M1461" s="35" t="str">
        <f>INDEX(_xlfn.TEXTSPLIT(mvtst[[#This Row],[QR Suivis]],"_"),1,2)</f>
        <v>CL00296</v>
      </c>
      <c r="N1461" s="35" t="str">
        <f>INDEX(_xlfn.TEXTSPLIT(mvtst[[#This Row],[QR Suivis]],"_"),1,3)</f>
        <v>CM-FT0108</v>
      </c>
      <c r="O1461" s="35" t="str">
        <f>INDEX(_xlfn.TEXTSPLIT(mvtst[[#This Row],[QR Suivis]],"_"),1,4)</f>
        <v>EPMA0919-B03-02</v>
      </c>
      <c r="P1461" s="35" t="str">
        <f>INDEX(_xlfn.TEXTSPLIT(mvtst[[#This Row],[QR Suivis]],"_"),1,5)</f>
        <v>MARINIERE</v>
      </c>
      <c r="Q1461" s="35" t="str">
        <f>_xlfn.TEXTAFTER(mvtst[[#This Row],[QR Suivis]],"_",5)</f>
        <v>0919</v>
      </c>
      <c r="R1461" s="84" t="str">
        <f>IF(
   COUNTIFS($A$2:A1461,A1461,
             $B$2:B1461,B1461,
             $C$2:C1461,C1461,
             $D$2:D1461,D1461,
             $G$2:G1461,G1461)&gt;1,
   "Doublon",
   "Correcte"
)</f>
        <v>Correcte</v>
      </c>
    </row>
    <row r="1462" spans="1:18" x14ac:dyDescent="0.25">
      <c r="A1462" s="104" t="s">
        <v>1855</v>
      </c>
      <c r="B1462" s="35" t="s">
        <v>646</v>
      </c>
      <c r="C1462" s="36">
        <v>0</v>
      </c>
      <c r="D1462" s="36">
        <v>5</v>
      </c>
      <c r="E1462" s="35" t="s">
        <v>699</v>
      </c>
      <c r="F1462" s="35" t="s">
        <v>634</v>
      </c>
      <c r="G1462" s="37">
        <v>45938.701377314814</v>
      </c>
      <c r="H1462" s="37" t="str">
        <f>INDEX(_xlfn.TEXTSPLIT(mvtst[[#This Row],[QR Suivis]],"_"),1,1)</f>
        <v>OF246544-12</v>
      </c>
      <c r="I1462" s="35" t="str">
        <f>_xlfn.TEXTBEFORE(mvtst[[#This Row],[Num Suivis]],"-",,,1)</f>
        <v>OF246544</v>
      </c>
      <c r="J1462" s="36">
        <f>SUMIF(mvtst[QR Suivis],mvtst[[#This Row],[QR Suivis]],mvtst[QTE SORTIS])-SUMIF(mvtst[QR Suivis],mvtst[[#This Row],[QR Suivis]],mvtst[QTE RETOUR])</f>
        <v>0</v>
      </c>
      <c r="K1462" s="35" t="str">
        <f t="shared" si="22"/>
        <v>Usine</v>
      </c>
      <c r="L1462" s="35" t="str">
        <f>_xlfn.XLOOKUP(mvtst[[#This Row],[Sous Traitant]],coordonnee_st[Identification],coordonnee_st[SERVICE],"Non Trouvé")</f>
        <v>Frange</v>
      </c>
      <c r="M1462" s="35" t="str">
        <f>INDEX(_xlfn.TEXTSPLIT(mvtst[[#This Row],[QR Suivis]],"_"),1,2)</f>
        <v>CL00296</v>
      </c>
      <c r="N1462" s="35" t="str">
        <f>INDEX(_xlfn.TEXTSPLIT(mvtst[[#This Row],[QR Suivis]],"_"),1,3)</f>
        <v>CM-FT0108</v>
      </c>
      <c r="O1462" s="35" t="str">
        <f>INDEX(_xlfn.TEXTSPLIT(mvtst[[#This Row],[QR Suivis]],"_"),1,4)</f>
        <v>EPMA0919-B03-02</v>
      </c>
      <c r="P1462" s="35" t="str">
        <f>INDEX(_xlfn.TEXTSPLIT(mvtst[[#This Row],[QR Suivis]],"_"),1,5)</f>
        <v>MARINIERE</v>
      </c>
      <c r="Q1462" s="35" t="str">
        <f>_xlfn.TEXTAFTER(mvtst[[#This Row],[QR Suivis]],"_",5)</f>
        <v>0919</v>
      </c>
      <c r="R1462" s="84" t="str">
        <f>IF(
   COUNTIFS($A$2:A1462,A1462,
             $B$2:B1462,B1462,
             $C$2:C1462,C1462,
             $D$2:D1462,D1462,
             $G$2:G1462,G1462)&gt;1,
   "Doublon",
   "Correcte"
)</f>
        <v>Correcte</v>
      </c>
    </row>
    <row r="1463" spans="1:18" x14ac:dyDescent="0.25">
      <c r="A1463" s="104" t="s">
        <v>1878</v>
      </c>
      <c r="B1463" s="35" t="s">
        <v>649</v>
      </c>
      <c r="C1463" s="36">
        <v>0</v>
      </c>
      <c r="D1463" s="36">
        <v>5</v>
      </c>
      <c r="E1463" s="35" t="s">
        <v>699</v>
      </c>
      <c r="F1463" s="35" t="s">
        <v>634</v>
      </c>
      <c r="G1463" s="37">
        <v>45938.709016203706</v>
      </c>
      <c r="H1463" s="37" t="str">
        <f>INDEX(_xlfn.TEXTSPLIT(mvtst[[#This Row],[QR Suivis]],"_"),1,1)</f>
        <v>CA250635-5</v>
      </c>
      <c r="I1463" s="35" t="str">
        <f>_xlfn.TEXTBEFORE(mvtst[[#This Row],[Num Suivis]],"-",,,1)</f>
        <v>CA250635</v>
      </c>
      <c r="J1463" s="36">
        <f>SUMIF(mvtst[QR Suivis],mvtst[[#This Row],[QR Suivis]],mvtst[QTE SORTIS])-SUMIF(mvtst[QR Suivis],mvtst[[#This Row],[QR Suivis]],mvtst[QTE RETOUR])</f>
        <v>0</v>
      </c>
      <c r="K1463" s="35" t="str">
        <f t="shared" si="22"/>
        <v>Usine</v>
      </c>
      <c r="L1463" s="35" t="str">
        <f>_xlfn.XLOOKUP(mvtst[[#This Row],[Sous Traitant]],coordonnee_st[Identification],coordonnee_st[SERVICE],"Non Trouvé")</f>
        <v>Frange</v>
      </c>
      <c r="M1463" s="35" t="str">
        <f>INDEX(_xlfn.TEXTSPLIT(mvtst[[#This Row],[QR Suivis]],"_"),1,2)</f>
        <v>All by Fouta</v>
      </c>
      <c r="N1463" s="35" t="str">
        <f>INDEX(_xlfn.TEXTSPLIT(mvtst[[#This Row],[QR Suivis]],"_"),1,3)</f>
        <v>Stock</v>
      </c>
      <c r="O1463" s="35" t="str">
        <f>INDEX(_xlfn.TEXTSPLIT(mvtst[[#This Row],[QR Suivis]],"_"),1,4)</f>
        <v>EPMA0919-B11-02</v>
      </c>
      <c r="P1463" s="35" t="str">
        <f>INDEX(_xlfn.TEXTSPLIT(mvtst[[#This Row],[QR Suivis]],"_"),1,5)</f>
        <v>MARINIERE</v>
      </c>
      <c r="Q1463" s="35" t="str">
        <f>_xlfn.TEXTAFTER(mvtst[[#This Row],[QR Suivis]],"_",5)</f>
        <v>0919</v>
      </c>
      <c r="R1463" s="84" t="str">
        <f>IF(
   COUNTIFS($A$2:A1463,A1463,
             $B$2:B1463,B1463,
             $C$2:C1463,C1463,
             $D$2:D1463,D1463,
             $G$2:G1463,G1463)&gt;1,
   "Doublon",
   "Correcte"
)</f>
        <v>Correcte</v>
      </c>
    </row>
    <row r="1464" spans="1:18" x14ac:dyDescent="0.25">
      <c r="A1464" s="104" t="s">
        <v>1870</v>
      </c>
      <c r="B1464" s="35" t="s">
        <v>649</v>
      </c>
      <c r="C1464" s="36">
        <v>0</v>
      </c>
      <c r="D1464" s="36">
        <v>5</v>
      </c>
      <c r="E1464" s="35" t="s">
        <v>699</v>
      </c>
      <c r="F1464" s="35" t="s">
        <v>634</v>
      </c>
      <c r="G1464" s="37">
        <v>45938.709699074076</v>
      </c>
      <c r="H1464" s="37" t="str">
        <f>INDEX(_xlfn.TEXTSPLIT(mvtst[[#This Row],[QR Suivis]],"_"),1,1)</f>
        <v>CA250635-6</v>
      </c>
      <c r="I1464" s="35" t="str">
        <f>_xlfn.TEXTBEFORE(mvtst[[#This Row],[Num Suivis]],"-",,,1)</f>
        <v>CA250635</v>
      </c>
      <c r="J1464" s="36">
        <f>SUMIF(mvtst[QR Suivis],mvtst[[#This Row],[QR Suivis]],mvtst[QTE SORTIS])-SUMIF(mvtst[QR Suivis],mvtst[[#This Row],[QR Suivis]],mvtst[QTE RETOUR])</f>
        <v>0</v>
      </c>
      <c r="K1464" s="35" t="str">
        <f t="shared" si="22"/>
        <v>Usine</v>
      </c>
      <c r="L1464" s="35" t="str">
        <f>_xlfn.XLOOKUP(mvtst[[#This Row],[Sous Traitant]],coordonnee_st[Identification],coordonnee_st[SERVICE],"Non Trouvé")</f>
        <v>Frange</v>
      </c>
      <c r="M1464" s="35" t="str">
        <f>INDEX(_xlfn.TEXTSPLIT(mvtst[[#This Row],[QR Suivis]],"_"),1,2)</f>
        <v>All by Fouta</v>
      </c>
      <c r="N1464" s="35" t="str">
        <f>INDEX(_xlfn.TEXTSPLIT(mvtst[[#This Row],[QR Suivis]],"_"),1,3)</f>
        <v>Stock</v>
      </c>
      <c r="O1464" s="35" t="str">
        <f>INDEX(_xlfn.TEXTSPLIT(mvtst[[#This Row],[QR Suivis]],"_"),1,4)</f>
        <v>EPMA0919-B11-02</v>
      </c>
      <c r="P1464" s="35" t="str">
        <f>INDEX(_xlfn.TEXTSPLIT(mvtst[[#This Row],[QR Suivis]],"_"),1,5)</f>
        <v>MARINIERE</v>
      </c>
      <c r="Q1464" s="35" t="str">
        <f>_xlfn.TEXTAFTER(mvtst[[#This Row],[QR Suivis]],"_",5)</f>
        <v>0919</v>
      </c>
      <c r="R1464" s="84" t="str">
        <f>IF(
   COUNTIFS($A$2:A1464,A1464,
             $B$2:B1464,B1464,
             $C$2:C1464,C1464,
             $D$2:D1464,D1464,
             $G$2:G1464,G1464)&gt;1,
   "Doublon",
   "Correcte"
)</f>
        <v>Correcte</v>
      </c>
    </row>
    <row r="1465" spans="1:18" x14ac:dyDescent="0.25">
      <c r="A1465" s="104" t="s">
        <v>1873</v>
      </c>
      <c r="B1465" s="35" t="s">
        <v>649</v>
      </c>
      <c r="C1465" s="36">
        <v>0</v>
      </c>
      <c r="D1465" s="36">
        <v>5</v>
      </c>
      <c r="E1465" s="35" t="s">
        <v>699</v>
      </c>
      <c r="F1465" s="35" t="s">
        <v>634</v>
      </c>
      <c r="G1465" s="37">
        <v>45938.71</v>
      </c>
      <c r="H1465" s="37" t="str">
        <f>INDEX(_xlfn.TEXTSPLIT(mvtst[[#This Row],[QR Suivis]],"_"),1,1)</f>
        <v>CA250635-13</v>
      </c>
      <c r="I1465" s="35" t="str">
        <f>_xlfn.TEXTBEFORE(mvtst[[#This Row],[Num Suivis]],"-",,,1)</f>
        <v>CA250635</v>
      </c>
      <c r="J1465" s="36">
        <f>SUMIF(mvtst[QR Suivis],mvtst[[#This Row],[QR Suivis]],mvtst[QTE SORTIS])-SUMIF(mvtst[QR Suivis],mvtst[[#This Row],[QR Suivis]],mvtst[QTE RETOUR])</f>
        <v>0</v>
      </c>
      <c r="K1465" s="35" t="str">
        <f t="shared" si="22"/>
        <v>Usine</v>
      </c>
      <c r="L1465" s="35" t="str">
        <f>_xlfn.XLOOKUP(mvtst[[#This Row],[Sous Traitant]],coordonnee_st[Identification],coordonnee_st[SERVICE],"Non Trouvé")</f>
        <v>Frange</v>
      </c>
      <c r="M1465" s="35" t="str">
        <f>INDEX(_xlfn.TEXTSPLIT(mvtst[[#This Row],[QR Suivis]],"_"),1,2)</f>
        <v>All by Fouta</v>
      </c>
      <c r="N1465" s="35" t="str">
        <f>INDEX(_xlfn.TEXTSPLIT(mvtst[[#This Row],[QR Suivis]],"_"),1,3)</f>
        <v>Stock</v>
      </c>
      <c r="O1465" s="35" t="str">
        <f>INDEX(_xlfn.TEXTSPLIT(mvtst[[#This Row],[QR Suivis]],"_"),1,4)</f>
        <v>EPMA0919-B11-02</v>
      </c>
      <c r="P1465" s="35" t="str">
        <f>INDEX(_xlfn.TEXTSPLIT(mvtst[[#This Row],[QR Suivis]],"_"),1,5)</f>
        <v>MARINIERE</v>
      </c>
      <c r="Q1465" s="35" t="str">
        <f>_xlfn.TEXTAFTER(mvtst[[#This Row],[QR Suivis]],"_",5)</f>
        <v>0919</v>
      </c>
      <c r="R1465" s="84" t="str">
        <f>IF(
   COUNTIFS($A$2:A1465,A1465,
             $B$2:B1465,B1465,
             $C$2:C1465,C1465,
             $D$2:D1465,D1465,
             $G$2:G1465,G1465)&gt;1,
   "Doublon",
   "Correcte"
)</f>
        <v>Correcte</v>
      </c>
    </row>
    <row r="1466" spans="1:18" x14ac:dyDescent="0.25">
      <c r="A1466" s="104" t="s">
        <v>1868</v>
      </c>
      <c r="B1466" s="35" t="s">
        <v>649</v>
      </c>
      <c r="C1466" s="36">
        <v>0</v>
      </c>
      <c r="D1466" s="36">
        <v>5</v>
      </c>
      <c r="E1466" s="35" t="s">
        <v>699</v>
      </c>
      <c r="F1466" s="35" t="s">
        <v>634</v>
      </c>
      <c r="G1466" s="37">
        <v>45938.710150462961</v>
      </c>
      <c r="H1466" s="37" t="str">
        <f>INDEX(_xlfn.TEXTSPLIT(mvtst[[#This Row],[QR Suivis]],"_"),1,1)</f>
        <v>CA250635-10</v>
      </c>
      <c r="I1466" s="35" t="str">
        <f>_xlfn.TEXTBEFORE(mvtst[[#This Row],[Num Suivis]],"-",,,1)</f>
        <v>CA250635</v>
      </c>
      <c r="J1466" s="36">
        <f>SUMIF(mvtst[QR Suivis],mvtst[[#This Row],[QR Suivis]],mvtst[QTE SORTIS])-SUMIF(mvtst[QR Suivis],mvtst[[#This Row],[QR Suivis]],mvtst[QTE RETOUR])</f>
        <v>0</v>
      </c>
      <c r="K1466" s="35" t="str">
        <f t="shared" si="22"/>
        <v>Usine</v>
      </c>
      <c r="L1466" s="35" t="str">
        <f>_xlfn.XLOOKUP(mvtst[[#This Row],[Sous Traitant]],coordonnee_st[Identification],coordonnee_st[SERVICE],"Non Trouvé")</f>
        <v>Frange</v>
      </c>
      <c r="M1466" s="35" t="str">
        <f>INDEX(_xlfn.TEXTSPLIT(mvtst[[#This Row],[QR Suivis]],"_"),1,2)</f>
        <v>All by Fouta</v>
      </c>
      <c r="N1466" s="35" t="str">
        <f>INDEX(_xlfn.TEXTSPLIT(mvtst[[#This Row],[QR Suivis]],"_"),1,3)</f>
        <v>Stock</v>
      </c>
      <c r="O1466" s="35" t="str">
        <f>INDEX(_xlfn.TEXTSPLIT(mvtst[[#This Row],[QR Suivis]],"_"),1,4)</f>
        <v>EPMA0919-B11-02</v>
      </c>
      <c r="P1466" s="35" t="str">
        <f>INDEX(_xlfn.TEXTSPLIT(mvtst[[#This Row],[QR Suivis]],"_"),1,5)</f>
        <v>MARINIERE</v>
      </c>
      <c r="Q1466" s="35" t="str">
        <f>_xlfn.TEXTAFTER(mvtst[[#This Row],[QR Suivis]],"_",5)</f>
        <v>0919</v>
      </c>
      <c r="R1466" s="84" t="str">
        <f>IF(
   COUNTIFS($A$2:A1466,A1466,
             $B$2:B1466,B1466,
             $C$2:C1466,C1466,
             $D$2:D1466,D1466,
             $G$2:G1466,G1466)&gt;1,
   "Doublon",
   "Correcte"
)</f>
        <v>Correcte</v>
      </c>
    </row>
    <row r="1467" spans="1:18" x14ac:dyDescent="0.25">
      <c r="A1467" s="104" t="s">
        <v>1867</v>
      </c>
      <c r="B1467" s="35" t="s">
        <v>649</v>
      </c>
      <c r="C1467" s="36">
        <v>0</v>
      </c>
      <c r="D1467" s="36">
        <v>5</v>
      </c>
      <c r="E1467" s="35" t="s">
        <v>699</v>
      </c>
      <c r="F1467" s="35" t="s">
        <v>634</v>
      </c>
      <c r="G1467" s="37">
        <v>45938.710509259261</v>
      </c>
      <c r="H1467" s="37" t="str">
        <f>INDEX(_xlfn.TEXTSPLIT(mvtst[[#This Row],[QR Suivis]],"_"),1,1)</f>
        <v>CA250635-7</v>
      </c>
      <c r="I1467" s="35" t="str">
        <f>_xlfn.TEXTBEFORE(mvtst[[#This Row],[Num Suivis]],"-",,,1)</f>
        <v>CA250635</v>
      </c>
      <c r="J1467" s="36">
        <f>SUMIF(mvtst[QR Suivis],mvtst[[#This Row],[QR Suivis]],mvtst[QTE SORTIS])-SUMIF(mvtst[QR Suivis],mvtst[[#This Row],[QR Suivis]],mvtst[QTE RETOUR])</f>
        <v>0</v>
      </c>
      <c r="K1467" s="35" t="str">
        <f t="shared" si="22"/>
        <v>Usine</v>
      </c>
      <c r="L1467" s="35" t="str">
        <f>_xlfn.XLOOKUP(mvtst[[#This Row],[Sous Traitant]],coordonnee_st[Identification],coordonnee_st[SERVICE],"Non Trouvé")</f>
        <v>Frange</v>
      </c>
      <c r="M1467" s="35" t="str">
        <f>INDEX(_xlfn.TEXTSPLIT(mvtst[[#This Row],[QR Suivis]],"_"),1,2)</f>
        <v>All by Fouta</v>
      </c>
      <c r="N1467" s="35" t="str">
        <f>INDEX(_xlfn.TEXTSPLIT(mvtst[[#This Row],[QR Suivis]],"_"),1,3)</f>
        <v>Stock</v>
      </c>
      <c r="O1467" s="35" t="str">
        <f>INDEX(_xlfn.TEXTSPLIT(mvtst[[#This Row],[QR Suivis]],"_"),1,4)</f>
        <v>EPMA0919-B11-02</v>
      </c>
      <c r="P1467" s="35" t="str">
        <f>INDEX(_xlfn.TEXTSPLIT(mvtst[[#This Row],[QR Suivis]],"_"),1,5)</f>
        <v>MARINIERE</v>
      </c>
      <c r="Q1467" s="35" t="str">
        <f>_xlfn.TEXTAFTER(mvtst[[#This Row],[QR Suivis]],"_",5)</f>
        <v>0919</v>
      </c>
      <c r="R1467" s="84" t="str">
        <f>IF(
   COUNTIFS($A$2:A1467,A1467,
             $B$2:B1467,B1467,
             $C$2:C1467,C1467,
             $D$2:D1467,D1467,
             $G$2:G1467,G1467)&gt;1,
   "Doublon",
   "Correcte"
)</f>
        <v>Correcte</v>
      </c>
    </row>
    <row r="1468" spans="1:18" x14ac:dyDescent="0.25">
      <c r="A1468" s="104" t="s">
        <v>1919</v>
      </c>
      <c r="B1468" s="35" t="s">
        <v>649</v>
      </c>
      <c r="C1468" s="36">
        <v>0</v>
      </c>
      <c r="D1468" s="36">
        <v>5</v>
      </c>
      <c r="E1468" s="35" t="s">
        <v>699</v>
      </c>
      <c r="F1468" s="35" t="s">
        <v>634</v>
      </c>
      <c r="G1468" s="37">
        <v>45938.71125</v>
      </c>
      <c r="H1468" s="37" t="str">
        <f>INDEX(_xlfn.TEXTSPLIT(mvtst[[#This Row],[QR Suivis]],"_"),1,1)</f>
        <v>OF249868-10</v>
      </c>
      <c r="I1468" s="35" t="str">
        <f>_xlfn.TEXTBEFORE(mvtst[[#This Row],[Num Suivis]],"-",,,1)</f>
        <v>OF249868</v>
      </c>
      <c r="J1468" s="36">
        <f>SUMIF(mvtst[QR Suivis],mvtst[[#This Row],[QR Suivis]],mvtst[QTE SORTIS])-SUMIF(mvtst[QR Suivis],mvtst[[#This Row],[QR Suivis]],mvtst[QTE RETOUR])</f>
        <v>0</v>
      </c>
      <c r="K1468" s="35" t="str">
        <f t="shared" si="22"/>
        <v>Usine</v>
      </c>
      <c r="L1468" s="35" t="str">
        <f>_xlfn.XLOOKUP(mvtst[[#This Row],[Sous Traitant]],coordonnee_st[Identification],coordonnee_st[SERVICE],"Non Trouvé")</f>
        <v>Frange</v>
      </c>
      <c r="M1468" s="35" t="str">
        <f>INDEX(_xlfn.TEXTSPLIT(mvtst[[#This Row],[QR Suivis]],"_"),1,2)</f>
        <v>CL00884</v>
      </c>
      <c r="N1468" s="35" t="str">
        <f>INDEX(_xlfn.TEXTSPLIT(mvtst[[#This Row],[QR Suivis]],"_"),1,3)</f>
        <v>CM-FT0119</v>
      </c>
      <c r="O1468" s="35" t="str">
        <f>INDEX(_xlfn.TEXTSPLIT(mvtst[[#This Row],[QR Suivis]],"_"),1,4)</f>
        <v>EPMA0919-B24-02</v>
      </c>
      <c r="P1468" s="35" t="str">
        <f>INDEX(_xlfn.TEXTSPLIT(mvtst[[#This Row],[QR Suivis]],"_"),1,5)</f>
        <v>MARINIERE</v>
      </c>
      <c r="Q1468" s="35" t="str">
        <f>_xlfn.TEXTAFTER(mvtst[[#This Row],[QR Suivis]],"_",5)</f>
        <v>0919</v>
      </c>
      <c r="R1468" s="84" t="str">
        <f>IF(
   COUNTIFS($A$2:A1468,A1468,
             $B$2:B1468,B1468,
             $C$2:C1468,C1468,
             $D$2:D1468,D1468,
             $G$2:G1468,G1468)&gt;1,
   "Doublon",
   "Correcte"
)</f>
        <v>Correcte</v>
      </c>
    </row>
    <row r="1469" spans="1:18" x14ac:dyDescent="0.25">
      <c r="A1469" s="104" t="s">
        <v>1916</v>
      </c>
      <c r="B1469" s="35" t="s">
        <v>649</v>
      </c>
      <c r="C1469" s="36">
        <v>0</v>
      </c>
      <c r="D1469" s="36">
        <v>5</v>
      </c>
      <c r="E1469" s="35" t="s">
        <v>699</v>
      </c>
      <c r="F1469" s="35" t="s">
        <v>634</v>
      </c>
      <c r="G1469" s="37">
        <v>45938.711550925924</v>
      </c>
      <c r="H1469" s="37" t="str">
        <f>INDEX(_xlfn.TEXTSPLIT(mvtst[[#This Row],[QR Suivis]],"_"),1,1)</f>
        <v>OF249868-9</v>
      </c>
      <c r="I1469" s="35" t="str">
        <f>_xlfn.TEXTBEFORE(mvtst[[#This Row],[Num Suivis]],"-",,,1)</f>
        <v>OF249868</v>
      </c>
      <c r="J1469" s="36">
        <f>SUMIF(mvtst[QR Suivis],mvtst[[#This Row],[QR Suivis]],mvtst[QTE SORTIS])-SUMIF(mvtst[QR Suivis],mvtst[[#This Row],[QR Suivis]],mvtst[QTE RETOUR])</f>
        <v>0</v>
      </c>
      <c r="K1469" s="35" t="str">
        <f t="shared" si="22"/>
        <v>Usine</v>
      </c>
      <c r="L1469" s="35" t="str">
        <f>_xlfn.XLOOKUP(mvtst[[#This Row],[Sous Traitant]],coordonnee_st[Identification],coordonnee_st[SERVICE],"Non Trouvé")</f>
        <v>Frange</v>
      </c>
      <c r="M1469" s="35" t="str">
        <f>INDEX(_xlfn.TEXTSPLIT(mvtst[[#This Row],[QR Suivis]],"_"),1,2)</f>
        <v>CL00884</v>
      </c>
      <c r="N1469" s="35" t="str">
        <f>INDEX(_xlfn.TEXTSPLIT(mvtst[[#This Row],[QR Suivis]],"_"),1,3)</f>
        <v>CM-FT0119</v>
      </c>
      <c r="O1469" s="35" t="str">
        <f>INDEX(_xlfn.TEXTSPLIT(mvtst[[#This Row],[QR Suivis]],"_"),1,4)</f>
        <v>EPMA0919-B24-02</v>
      </c>
      <c r="P1469" s="35" t="str">
        <f>INDEX(_xlfn.TEXTSPLIT(mvtst[[#This Row],[QR Suivis]],"_"),1,5)</f>
        <v>MARINIERE</v>
      </c>
      <c r="Q1469" s="35" t="str">
        <f>_xlfn.TEXTAFTER(mvtst[[#This Row],[QR Suivis]],"_",5)</f>
        <v>0919</v>
      </c>
      <c r="R1469" s="84" t="str">
        <f>IF(
   COUNTIFS($A$2:A1469,A1469,
             $B$2:B1469,B1469,
             $C$2:C1469,C1469,
             $D$2:D1469,D1469,
             $G$2:G1469,G1469)&gt;1,
   "Doublon",
   "Correcte"
)</f>
        <v>Correcte</v>
      </c>
    </row>
    <row r="1470" spans="1:18" x14ac:dyDescent="0.25">
      <c r="A1470" s="104" t="s">
        <v>1915</v>
      </c>
      <c r="B1470" s="35" t="s">
        <v>649</v>
      </c>
      <c r="C1470" s="36">
        <v>0</v>
      </c>
      <c r="D1470" s="36">
        <v>5</v>
      </c>
      <c r="E1470" s="35" t="s">
        <v>699</v>
      </c>
      <c r="F1470" s="35" t="s">
        <v>634</v>
      </c>
      <c r="G1470" s="37">
        <v>45938.71166666667</v>
      </c>
      <c r="H1470" s="37" t="str">
        <f>INDEX(_xlfn.TEXTSPLIT(mvtst[[#This Row],[QR Suivis]],"_"),1,1)</f>
        <v>OF249868-17</v>
      </c>
      <c r="I1470" s="35" t="str">
        <f>_xlfn.TEXTBEFORE(mvtst[[#This Row],[Num Suivis]],"-",,,1)</f>
        <v>OF249868</v>
      </c>
      <c r="J1470" s="36">
        <f>SUMIF(mvtst[QR Suivis],mvtst[[#This Row],[QR Suivis]],mvtst[QTE SORTIS])-SUMIF(mvtst[QR Suivis],mvtst[[#This Row],[QR Suivis]],mvtst[QTE RETOUR])</f>
        <v>0</v>
      </c>
      <c r="K1470" s="35" t="str">
        <f t="shared" si="22"/>
        <v>Usine</v>
      </c>
      <c r="L1470" s="35" t="str">
        <f>_xlfn.XLOOKUP(mvtst[[#This Row],[Sous Traitant]],coordonnee_st[Identification],coordonnee_st[SERVICE],"Non Trouvé")</f>
        <v>Frange</v>
      </c>
      <c r="M1470" s="35" t="str">
        <f>INDEX(_xlfn.TEXTSPLIT(mvtst[[#This Row],[QR Suivis]],"_"),1,2)</f>
        <v>CL00884</v>
      </c>
      <c r="N1470" s="35" t="str">
        <f>INDEX(_xlfn.TEXTSPLIT(mvtst[[#This Row],[QR Suivis]],"_"),1,3)</f>
        <v>CM-FT0119</v>
      </c>
      <c r="O1470" s="35" t="str">
        <f>INDEX(_xlfn.TEXTSPLIT(mvtst[[#This Row],[QR Suivis]],"_"),1,4)</f>
        <v>EPMA0919-B24-02</v>
      </c>
      <c r="P1470" s="35" t="str">
        <f>INDEX(_xlfn.TEXTSPLIT(mvtst[[#This Row],[QR Suivis]],"_"),1,5)</f>
        <v>MARINIERE</v>
      </c>
      <c r="Q1470" s="35" t="str">
        <f>_xlfn.TEXTAFTER(mvtst[[#This Row],[QR Suivis]],"_",5)</f>
        <v>0919</v>
      </c>
      <c r="R1470" s="84" t="str">
        <f>IF(
   COUNTIFS($A$2:A1470,A1470,
             $B$2:B1470,B1470,
             $C$2:C1470,C1470,
             $D$2:D1470,D1470,
             $G$2:G1470,G1470)&gt;1,
   "Doublon",
   "Correcte"
)</f>
        <v>Correcte</v>
      </c>
    </row>
    <row r="1471" spans="1:18" x14ac:dyDescent="0.25">
      <c r="A1471" s="104" t="s">
        <v>2105</v>
      </c>
      <c r="B1471" s="35" t="s">
        <v>712</v>
      </c>
      <c r="C1471" s="36">
        <v>5</v>
      </c>
      <c r="D1471" s="36">
        <v>0</v>
      </c>
      <c r="E1471" s="35" t="s">
        <v>699</v>
      </c>
      <c r="F1471" s="35" t="s">
        <v>634</v>
      </c>
      <c r="G1471" s="37">
        <v>45939.592002314814</v>
      </c>
      <c r="H1471" s="37" t="str">
        <f>INDEX(_xlfn.TEXTSPLIT(mvtst[[#This Row],[QR Suivis]],"_"),1,1)</f>
        <v>OF249848-23</v>
      </c>
      <c r="I1471" s="35" t="str">
        <f>_xlfn.TEXTBEFORE(mvtst[[#This Row],[Num Suivis]],"-",,,1)</f>
        <v>OF249848</v>
      </c>
      <c r="J1471" s="36">
        <f>SUMIF(mvtst[QR Suivis],mvtst[[#This Row],[QR Suivis]],mvtst[QTE SORTIS])-SUMIF(mvtst[QR Suivis],mvtst[[#This Row],[QR Suivis]],mvtst[QTE RETOUR])</f>
        <v>0</v>
      </c>
      <c r="K1471" s="35" t="str">
        <f t="shared" si="22"/>
        <v>Usine</v>
      </c>
      <c r="L1471" s="35" t="str">
        <f>_xlfn.XLOOKUP(mvtst[[#This Row],[Sous Traitant]],coordonnee_st[Identification],coordonnee_st[SERVICE],"Non Trouvé")</f>
        <v>Frange</v>
      </c>
      <c r="M1471" s="35" t="str">
        <f>INDEX(_xlfn.TEXTSPLIT(mvtst[[#This Row],[QR Suivis]],"_"),1,2)</f>
        <v>CL00884</v>
      </c>
      <c r="N1471" s="35" t="str">
        <f>INDEX(_xlfn.TEXTSPLIT(mvtst[[#This Row],[QR Suivis]],"_"),1,3)</f>
        <v>CM-FT0119</v>
      </c>
      <c r="O1471" s="35" t="str">
        <f>INDEX(_xlfn.TEXTSPLIT(mvtst[[#This Row],[QR Suivis]],"_"),1,4)</f>
        <v>ST1020-S14-16-17</v>
      </c>
      <c r="P1471" s="35" t="str">
        <f>INDEX(_xlfn.TEXTSPLIT(mvtst[[#This Row],[QR Suivis]],"_"),1,5)</f>
        <v>ST TROPEZ</v>
      </c>
      <c r="Q1471" s="35" t="str">
        <f>_xlfn.TEXTAFTER(mvtst[[#This Row],[QR Suivis]],"_",5)</f>
        <v>1020</v>
      </c>
      <c r="R1471" s="84" t="str">
        <f>IF(
   COUNTIFS($A$2:A1471,A1471,
             $B$2:B1471,B1471,
             $C$2:C1471,C1471,
             $D$2:D1471,D1471,
             $G$2:G1471,G1471)&gt;1,
   "Doublon",
   "Correcte"
)</f>
        <v>Correcte</v>
      </c>
    </row>
    <row r="1472" spans="1:18" x14ac:dyDescent="0.25">
      <c r="A1472" s="104" t="s">
        <v>2106</v>
      </c>
      <c r="B1472" s="35" t="s">
        <v>712</v>
      </c>
      <c r="C1472" s="36">
        <v>5</v>
      </c>
      <c r="D1472" s="36">
        <v>0</v>
      </c>
      <c r="E1472" s="35" t="s">
        <v>699</v>
      </c>
      <c r="F1472" s="35" t="s">
        <v>634</v>
      </c>
      <c r="G1472" s="37">
        <v>45939.592199074075</v>
      </c>
      <c r="H1472" s="37" t="str">
        <f>INDEX(_xlfn.TEXTSPLIT(mvtst[[#This Row],[QR Suivis]],"_"),1,1)</f>
        <v>OF249848-22</v>
      </c>
      <c r="I1472" s="35" t="str">
        <f>_xlfn.TEXTBEFORE(mvtst[[#This Row],[Num Suivis]],"-",,,1)</f>
        <v>OF249848</v>
      </c>
      <c r="J1472" s="36">
        <f>SUMIF(mvtst[QR Suivis],mvtst[[#This Row],[QR Suivis]],mvtst[QTE SORTIS])-SUMIF(mvtst[QR Suivis],mvtst[[#This Row],[QR Suivis]],mvtst[QTE RETOUR])</f>
        <v>0</v>
      </c>
      <c r="K1472" s="35" t="str">
        <f t="shared" si="22"/>
        <v>Usine</v>
      </c>
      <c r="L1472" s="35" t="str">
        <f>_xlfn.XLOOKUP(mvtst[[#This Row],[Sous Traitant]],coordonnee_st[Identification],coordonnee_st[SERVICE],"Non Trouvé")</f>
        <v>Frange</v>
      </c>
      <c r="M1472" s="35" t="str">
        <f>INDEX(_xlfn.TEXTSPLIT(mvtst[[#This Row],[QR Suivis]],"_"),1,2)</f>
        <v>CL00884</v>
      </c>
      <c r="N1472" s="35" t="str">
        <f>INDEX(_xlfn.TEXTSPLIT(mvtst[[#This Row],[QR Suivis]],"_"),1,3)</f>
        <v>CM-FT0119</v>
      </c>
      <c r="O1472" s="35" t="str">
        <f>INDEX(_xlfn.TEXTSPLIT(mvtst[[#This Row],[QR Suivis]],"_"),1,4)</f>
        <v>ST1020-S14-16-17</v>
      </c>
      <c r="P1472" s="35" t="str">
        <f>INDEX(_xlfn.TEXTSPLIT(mvtst[[#This Row],[QR Suivis]],"_"),1,5)</f>
        <v>ST TROPEZ</v>
      </c>
      <c r="Q1472" s="35" t="str">
        <f>_xlfn.TEXTAFTER(mvtst[[#This Row],[QR Suivis]],"_",5)</f>
        <v>1020</v>
      </c>
      <c r="R1472" s="84" t="str">
        <f>IF(
   COUNTIFS($A$2:A1472,A1472,
             $B$2:B1472,B1472,
             $C$2:C1472,C1472,
             $D$2:D1472,D1472,
             $G$2:G1472,G1472)&gt;1,
   "Doublon",
   "Correcte"
)</f>
        <v>Correcte</v>
      </c>
    </row>
    <row r="1473" spans="1:18" x14ac:dyDescent="0.25">
      <c r="A1473" s="104" t="s">
        <v>2107</v>
      </c>
      <c r="B1473" s="35" t="s">
        <v>712</v>
      </c>
      <c r="C1473" s="36">
        <v>5</v>
      </c>
      <c r="D1473" s="36">
        <v>0</v>
      </c>
      <c r="E1473" s="35" t="s">
        <v>699</v>
      </c>
      <c r="F1473" s="35" t="s">
        <v>634</v>
      </c>
      <c r="G1473" s="37">
        <v>45939.592442129629</v>
      </c>
      <c r="H1473" s="37" t="str">
        <f>INDEX(_xlfn.TEXTSPLIT(mvtst[[#This Row],[QR Suivis]],"_"),1,1)</f>
        <v>OF249848-35</v>
      </c>
      <c r="I1473" s="35" t="str">
        <f>_xlfn.TEXTBEFORE(mvtst[[#This Row],[Num Suivis]],"-",,,1)</f>
        <v>OF249848</v>
      </c>
      <c r="J1473" s="36">
        <f>SUMIF(mvtst[QR Suivis],mvtst[[#This Row],[QR Suivis]],mvtst[QTE SORTIS])-SUMIF(mvtst[QR Suivis],mvtst[[#This Row],[QR Suivis]],mvtst[QTE RETOUR])</f>
        <v>0</v>
      </c>
      <c r="K1473" s="35" t="str">
        <f t="shared" si="22"/>
        <v>Usine</v>
      </c>
      <c r="L1473" s="35" t="str">
        <f>_xlfn.XLOOKUP(mvtst[[#This Row],[Sous Traitant]],coordonnee_st[Identification],coordonnee_st[SERVICE],"Non Trouvé")</f>
        <v>Frange</v>
      </c>
      <c r="M1473" s="35" t="str">
        <f>INDEX(_xlfn.TEXTSPLIT(mvtst[[#This Row],[QR Suivis]],"_"),1,2)</f>
        <v>CL00884</v>
      </c>
      <c r="N1473" s="35" t="str">
        <f>INDEX(_xlfn.TEXTSPLIT(mvtst[[#This Row],[QR Suivis]],"_"),1,3)</f>
        <v>CM-FT0119</v>
      </c>
      <c r="O1473" s="35" t="str">
        <f>INDEX(_xlfn.TEXTSPLIT(mvtst[[#This Row],[QR Suivis]],"_"),1,4)</f>
        <v>ST1020-S14-16-17</v>
      </c>
      <c r="P1473" s="35" t="str">
        <f>INDEX(_xlfn.TEXTSPLIT(mvtst[[#This Row],[QR Suivis]],"_"),1,5)</f>
        <v>ST TROPEZ</v>
      </c>
      <c r="Q1473" s="35" t="str">
        <f>_xlfn.TEXTAFTER(mvtst[[#This Row],[QR Suivis]],"_",5)</f>
        <v>1020</v>
      </c>
      <c r="R1473" s="84" t="str">
        <f>IF(
   COUNTIFS($A$2:A1473,A1473,
             $B$2:B1473,B1473,
             $C$2:C1473,C1473,
             $D$2:D1473,D1473,
             $G$2:G1473,G1473)&gt;1,
   "Doublon",
   "Correcte"
)</f>
        <v>Correcte</v>
      </c>
    </row>
    <row r="1474" spans="1:18" x14ac:dyDescent="0.25">
      <c r="A1474" s="104" t="s">
        <v>2108</v>
      </c>
      <c r="B1474" s="35" t="s">
        <v>712</v>
      </c>
      <c r="C1474" s="36">
        <v>5</v>
      </c>
      <c r="D1474" s="36">
        <v>0</v>
      </c>
      <c r="E1474" s="35" t="s">
        <v>699</v>
      </c>
      <c r="F1474" s="35" t="s">
        <v>634</v>
      </c>
      <c r="G1474" s="37">
        <v>45939.592604166668</v>
      </c>
      <c r="H1474" s="37" t="str">
        <f>INDEX(_xlfn.TEXTSPLIT(mvtst[[#This Row],[QR Suivis]],"_"),1,1)</f>
        <v>OF249848-39</v>
      </c>
      <c r="I1474" s="35" t="str">
        <f>_xlfn.TEXTBEFORE(mvtst[[#This Row],[Num Suivis]],"-",,,1)</f>
        <v>OF249848</v>
      </c>
      <c r="J1474" s="36">
        <f>SUMIF(mvtst[QR Suivis],mvtst[[#This Row],[QR Suivis]],mvtst[QTE SORTIS])-SUMIF(mvtst[QR Suivis],mvtst[[#This Row],[QR Suivis]],mvtst[QTE RETOUR])</f>
        <v>0</v>
      </c>
      <c r="K1474" s="35" t="str">
        <f t="shared" si="22"/>
        <v>Usine</v>
      </c>
      <c r="L1474" s="35" t="str">
        <f>_xlfn.XLOOKUP(mvtst[[#This Row],[Sous Traitant]],coordonnee_st[Identification],coordonnee_st[SERVICE],"Non Trouvé")</f>
        <v>Frange</v>
      </c>
      <c r="M1474" s="35" t="str">
        <f>INDEX(_xlfn.TEXTSPLIT(mvtst[[#This Row],[QR Suivis]],"_"),1,2)</f>
        <v>CL00884</v>
      </c>
      <c r="N1474" s="35" t="str">
        <f>INDEX(_xlfn.TEXTSPLIT(mvtst[[#This Row],[QR Suivis]],"_"),1,3)</f>
        <v>CM-FT0119</v>
      </c>
      <c r="O1474" s="35" t="str">
        <f>INDEX(_xlfn.TEXTSPLIT(mvtst[[#This Row],[QR Suivis]],"_"),1,4)</f>
        <v>ST1020-S14-16-17</v>
      </c>
      <c r="P1474" s="35" t="str">
        <f>INDEX(_xlfn.TEXTSPLIT(mvtst[[#This Row],[QR Suivis]],"_"),1,5)</f>
        <v>ST TROPEZ</v>
      </c>
      <c r="Q1474" s="35" t="str">
        <f>_xlfn.TEXTAFTER(mvtst[[#This Row],[QR Suivis]],"_",5)</f>
        <v>1020</v>
      </c>
      <c r="R1474" s="84" t="str">
        <f>IF(
   COUNTIFS($A$2:A1474,A1474,
             $B$2:B1474,B1474,
             $C$2:C1474,C1474,
             $D$2:D1474,D1474,
             $G$2:G1474,G1474)&gt;1,
   "Doublon",
   "Correcte"
)</f>
        <v>Correcte</v>
      </c>
    </row>
    <row r="1475" spans="1:18" x14ac:dyDescent="0.25">
      <c r="A1475" s="104" t="s">
        <v>2109</v>
      </c>
      <c r="B1475" s="35" t="s">
        <v>712</v>
      </c>
      <c r="C1475" s="36">
        <v>5</v>
      </c>
      <c r="D1475" s="36">
        <v>0</v>
      </c>
      <c r="E1475" s="35" t="s">
        <v>699</v>
      </c>
      <c r="F1475" s="35" t="s">
        <v>634</v>
      </c>
      <c r="G1475" s="37">
        <v>45939.592812499999</v>
      </c>
      <c r="H1475" s="37" t="str">
        <f>INDEX(_xlfn.TEXTSPLIT(mvtst[[#This Row],[QR Suivis]],"_"),1,1)</f>
        <v>OF249848-38</v>
      </c>
      <c r="I1475" s="35" t="str">
        <f>_xlfn.TEXTBEFORE(mvtst[[#This Row],[Num Suivis]],"-",,,1)</f>
        <v>OF249848</v>
      </c>
      <c r="J1475" s="36">
        <f>SUMIF(mvtst[QR Suivis],mvtst[[#This Row],[QR Suivis]],mvtst[QTE SORTIS])-SUMIF(mvtst[QR Suivis],mvtst[[#This Row],[QR Suivis]],mvtst[QTE RETOUR])</f>
        <v>0</v>
      </c>
      <c r="K1475" s="35" t="str">
        <f t="shared" ref="K1475:K1538" si="23">"Usine"</f>
        <v>Usine</v>
      </c>
      <c r="L1475" s="35" t="str">
        <f>_xlfn.XLOOKUP(mvtst[[#This Row],[Sous Traitant]],coordonnee_st[Identification],coordonnee_st[SERVICE],"Non Trouvé")</f>
        <v>Frange</v>
      </c>
      <c r="M1475" s="35" t="str">
        <f>INDEX(_xlfn.TEXTSPLIT(mvtst[[#This Row],[QR Suivis]],"_"),1,2)</f>
        <v>CL00884</v>
      </c>
      <c r="N1475" s="35" t="str">
        <f>INDEX(_xlfn.TEXTSPLIT(mvtst[[#This Row],[QR Suivis]],"_"),1,3)</f>
        <v>CM-FT0119</v>
      </c>
      <c r="O1475" s="35" t="str">
        <f>INDEX(_xlfn.TEXTSPLIT(mvtst[[#This Row],[QR Suivis]],"_"),1,4)</f>
        <v>ST1020-S14-16-17</v>
      </c>
      <c r="P1475" s="35" t="str">
        <f>INDEX(_xlfn.TEXTSPLIT(mvtst[[#This Row],[QR Suivis]],"_"),1,5)</f>
        <v>ST TROPEZ</v>
      </c>
      <c r="Q1475" s="35" t="str">
        <f>_xlfn.TEXTAFTER(mvtst[[#This Row],[QR Suivis]],"_",5)</f>
        <v>1020</v>
      </c>
      <c r="R1475" s="84" t="str">
        <f>IF(
   COUNTIFS($A$2:A1475,A1475,
             $B$2:B1475,B1475,
             $C$2:C1475,C1475,
             $D$2:D1475,D1475,
             $G$2:G1475,G1475)&gt;1,
   "Doublon",
   "Correcte"
)</f>
        <v>Correcte</v>
      </c>
    </row>
    <row r="1476" spans="1:18" x14ac:dyDescent="0.25">
      <c r="A1476" s="104" t="s">
        <v>2110</v>
      </c>
      <c r="B1476" s="35" t="s">
        <v>712</v>
      </c>
      <c r="C1476" s="36">
        <v>5</v>
      </c>
      <c r="D1476" s="36">
        <v>0</v>
      </c>
      <c r="E1476" s="35" t="s">
        <v>699</v>
      </c>
      <c r="F1476" s="35" t="s">
        <v>634</v>
      </c>
      <c r="G1476" s="37">
        <v>45939.593032407407</v>
      </c>
      <c r="H1476" s="37" t="str">
        <f>INDEX(_xlfn.TEXTSPLIT(mvtst[[#This Row],[QR Suivis]],"_"),1,1)</f>
        <v>OF249848-34</v>
      </c>
      <c r="I1476" s="35" t="str">
        <f>_xlfn.TEXTBEFORE(mvtst[[#This Row],[Num Suivis]],"-",,,1)</f>
        <v>OF249848</v>
      </c>
      <c r="J1476" s="36">
        <f>SUMIF(mvtst[QR Suivis],mvtst[[#This Row],[QR Suivis]],mvtst[QTE SORTIS])-SUMIF(mvtst[QR Suivis],mvtst[[#This Row],[QR Suivis]],mvtst[QTE RETOUR])</f>
        <v>0</v>
      </c>
      <c r="K1476" s="35" t="str">
        <f t="shared" si="23"/>
        <v>Usine</v>
      </c>
      <c r="L1476" s="35" t="str">
        <f>_xlfn.XLOOKUP(mvtst[[#This Row],[Sous Traitant]],coordonnee_st[Identification],coordonnee_st[SERVICE],"Non Trouvé")</f>
        <v>Frange</v>
      </c>
      <c r="M1476" s="35" t="str">
        <f>INDEX(_xlfn.TEXTSPLIT(mvtst[[#This Row],[QR Suivis]],"_"),1,2)</f>
        <v>CL00884</v>
      </c>
      <c r="N1476" s="35" t="str">
        <f>INDEX(_xlfn.TEXTSPLIT(mvtst[[#This Row],[QR Suivis]],"_"),1,3)</f>
        <v>CM-FT0119</v>
      </c>
      <c r="O1476" s="35" t="str">
        <f>INDEX(_xlfn.TEXTSPLIT(mvtst[[#This Row],[QR Suivis]],"_"),1,4)</f>
        <v>ST1020-S14-16-17</v>
      </c>
      <c r="P1476" s="35" t="str">
        <f>INDEX(_xlfn.TEXTSPLIT(mvtst[[#This Row],[QR Suivis]],"_"),1,5)</f>
        <v>ST TROPEZ</v>
      </c>
      <c r="Q1476" s="35" t="str">
        <f>_xlfn.TEXTAFTER(mvtst[[#This Row],[QR Suivis]],"_",5)</f>
        <v>1020</v>
      </c>
      <c r="R1476" s="84" t="str">
        <f>IF(
   COUNTIFS($A$2:A1476,A1476,
             $B$2:B1476,B1476,
             $C$2:C1476,C1476,
             $D$2:D1476,D1476,
             $G$2:G1476,G1476)&gt;1,
   "Doublon",
   "Correcte"
)</f>
        <v>Correcte</v>
      </c>
    </row>
    <row r="1477" spans="1:18" x14ac:dyDescent="0.25">
      <c r="A1477" s="104" t="s">
        <v>2111</v>
      </c>
      <c r="B1477" s="35" t="s">
        <v>712</v>
      </c>
      <c r="C1477" s="36">
        <v>5</v>
      </c>
      <c r="D1477" s="36">
        <v>0</v>
      </c>
      <c r="E1477" s="35" t="s">
        <v>699</v>
      </c>
      <c r="F1477" s="35" t="s">
        <v>634</v>
      </c>
      <c r="G1477" s="37">
        <v>45939.593194444446</v>
      </c>
      <c r="H1477" s="37" t="str">
        <f>INDEX(_xlfn.TEXTSPLIT(mvtst[[#This Row],[QR Suivis]],"_"),1,1)</f>
        <v>OF249848-42</v>
      </c>
      <c r="I1477" s="35" t="str">
        <f>_xlfn.TEXTBEFORE(mvtst[[#This Row],[Num Suivis]],"-",,,1)</f>
        <v>OF249848</v>
      </c>
      <c r="J1477" s="36">
        <f>SUMIF(mvtst[QR Suivis],mvtst[[#This Row],[QR Suivis]],mvtst[QTE SORTIS])-SUMIF(mvtst[QR Suivis],mvtst[[#This Row],[QR Suivis]],mvtst[QTE RETOUR])</f>
        <v>0</v>
      </c>
      <c r="K1477" s="35" t="str">
        <f t="shared" si="23"/>
        <v>Usine</v>
      </c>
      <c r="L1477" s="35" t="str">
        <f>_xlfn.XLOOKUP(mvtst[[#This Row],[Sous Traitant]],coordonnee_st[Identification],coordonnee_st[SERVICE],"Non Trouvé")</f>
        <v>Frange</v>
      </c>
      <c r="M1477" s="35" t="str">
        <f>INDEX(_xlfn.TEXTSPLIT(mvtst[[#This Row],[QR Suivis]],"_"),1,2)</f>
        <v>CL00884</v>
      </c>
      <c r="N1477" s="35" t="str">
        <f>INDEX(_xlfn.TEXTSPLIT(mvtst[[#This Row],[QR Suivis]],"_"),1,3)</f>
        <v>CM-FT0119</v>
      </c>
      <c r="O1477" s="35" t="str">
        <f>INDEX(_xlfn.TEXTSPLIT(mvtst[[#This Row],[QR Suivis]],"_"),1,4)</f>
        <v>ST1020-S14-16-17</v>
      </c>
      <c r="P1477" s="35" t="str">
        <f>INDEX(_xlfn.TEXTSPLIT(mvtst[[#This Row],[QR Suivis]],"_"),1,5)</f>
        <v>ST TROPEZ</v>
      </c>
      <c r="Q1477" s="35" t="str">
        <f>_xlfn.TEXTAFTER(mvtst[[#This Row],[QR Suivis]],"_",5)</f>
        <v>1020</v>
      </c>
      <c r="R1477" s="84" t="str">
        <f>IF(
   COUNTIFS($A$2:A1477,A1477,
             $B$2:B1477,B1477,
             $C$2:C1477,C1477,
             $D$2:D1477,D1477,
             $G$2:G1477,G1477)&gt;1,
   "Doublon",
   "Correcte"
)</f>
        <v>Correcte</v>
      </c>
    </row>
    <row r="1478" spans="1:18" x14ac:dyDescent="0.25">
      <c r="A1478" s="104" t="s">
        <v>2112</v>
      </c>
      <c r="B1478" s="35" t="s">
        <v>712</v>
      </c>
      <c r="C1478" s="36">
        <v>5</v>
      </c>
      <c r="D1478" s="36">
        <v>0</v>
      </c>
      <c r="E1478" s="35" t="s">
        <v>699</v>
      </c>
      <c r="F1478" s="35" t="s">
        <v>634</v>
      </c>
      <c r="G1478" s="37">
        <v>45939.593518518515</v>
      </c>
      <c r="H1478" s="37" t="str">
        <f>INDEX(_xlfn.TEXTSPLIT(mvtst[[#This Row],[QR Suivis]],"_"),1,1)</f>
        <v>OF249848-33</v>
      </c>
      <c r="I1478" s="35" t="str">
        <f>_xlfn.TEXTBEFORE(mvtst[[#This Row],[Num Suivis]],"-",,,1)</f>
        <v>OF249848</v>
      </c>
      <c r="J1478" s="36">
        <f>SUMIF(mvtst[QR Suivis],mvtst[[#This Row],[QR Suivis]],mvtst[QTE SORTIS])-SUMIF(mvtst[QR Suivis],mvtst[[#This Row],[QR Suivis]],mvtst[QTE RETOUR])</f>
        <v>0</v>
      </c>
      <c r="K1478" s="35" t="str">
        <f t="shared" si="23"/>
        <v>Usine</v>
      </c>
      <c r="L1478" s="35" t="str">
        <f>_xlfn.XLOOKUP(mvtst[[#This Row],[Sous Traitant]],coordonnee_st[Identification],coordonnee_st[SERVICE],"Non Trouvé")</f>
        <v>Frange</v>
      </c>
      <c r="M1478" s="35" t="str">
        <f>INDEX(_xlfn.TEXTSPLIT(mvtst[[#This Row],[QR Suivis]],"_"),1,2)</f>
        <v>CL00884</v>
      </c>
      <c r="N1478" s="35" t="str">
        <f>INDEX(_xlfn.TEXTSPLIT(mvtst[[#This Row],[QR Suivis]],"_"),1,3)</f>
        <v>CM-FT0119</v>
      </c>
      <c r="O1478" s="35" t="str">
        <f>INDEX(_xlfn.TEXTSPLIT(mvtst[[#This Row],[QR Suivis]],"_"),1,4)</f>
        <v>ST1020-S14-16-17</v>
      </c>
      <c r="P1478" s="35" t="str">
        <f>INDEX(_xlfn.TEXTSPLIT(mvtst[[#This Row],[QR Suivis]],"_"),1,5)</f>
        <v>ST TROPEZ</v>
      </c>
      <c r="Q1478" s="35" t="str">
        <f>_xlfn.TEXTAFTER(mvtst[[#This Row],[QR Suivis]],"_",5)</f>
        <v>1020</v>
      </c>
      <c r="R1478" s="84" t="str">
        <f>IF(
   COUNTIFS($A$2:A1478,A1478,
             $B$2:B1478,B1478,
             $C$2:C1478,C1478,
             $D$2:D1478,D1478,
             $G$2:G1478,G1478)&gt;1,
   "Doublon",
   "Correcte"
)</f>
        <v>Correcte</v>
      </c>
    </row>
    <row r="1479" spans="1:18" x14ac:dyDescent="0.25">
      <c r="A1479" s="104" t="s">
        <v>2113</v>
      </c>
      <c r="B1479" s="35" t="s">
        <v>712</v>
      </c>
      <c r="C1479" s="36">
        <v>5</v>
      </c>
      <c r="D1479" s="36">
        <v>0</v>
      </c>
      <c r="E1479" s="35" t="s">
        <v>699</v>
      </c>
      <c r="F1479" s="35" t="s">
        <v>634</v>
      </c>
      <c r="G1479" s="37">
        <v>45939.593819444446</v>
      </c>
      <c r="H1479" s="37" t="str">
        <f>INDEX(_xlfn.TEXTSPLIT(mvtst[[#This Row],[QR Suivis]],"_"),1,1)</f>
        <v>OF249848-37</v>
      </c>
      <c r="I1479" s="35" t="str">
        <f>_xlfn.TEXTBEFORE(mvtst[[#This Row],[Num Suivis]],"-",,,1)</f>
        <v>OF249848</v>
      </c>
      <c r="J1479" s="36">
        <f>SUMIF(mvtst[QR Suivis],mvtst[[#This Row],[QR Suivis]],mvtst[QTE SORTIS])-SUMIF(mvtst[QR Suivis],mvtst[[#This Row],[QR Suivis]],mvtst[QTE RETOUR])</f>
        <v>0</v>
      </c>
      <c r="K1479" s="35" t="str">
        <f t="shared" si="23"/>
        <v>Usine</v>
      </c>
      <c r="L1479" s="35" t="str">
        <f>_xlfn.XLOOKUP(mvtst[[#This Row],[Sous Traitant]],coordonnee_st[Identification],coordonnee_st[SERVICE],"Non Trouvé")</f>
        <v>Frange</v>
      </c>
      <c r="M1479" s="35" t="str">
        <f>INDEX(_xlfn.TEXTSPLIT(mvtst[[#This Row],[QR Suivis]],"_"),1,2)</f>
        <v>CL00884</v>
      </c>
      <c r="N1479" s="35" t="str">
        <f>INDEX(_xlfn.TEXTSPLIT(mvtst[[#This Row],[QR Suivis]],"_"),1,3)</f>
        <v>CM-FT0119</v>
      </c>
      <c r="O1479" s="35" t="str">
        <f>INDEX(_xlfn.TEXTSPLIT(mvtst[[#This Row],[QR Suivis]],"_"),1,4)</f>
        <v>ST1020-S14-16-17</v>
      </c>
      <c r="P1479" s="35" t="str">
        <f>INDEX(_xlfn.TEXTSPLIT(mvtst[[#This Row],[QR Suivis]],"_"),1,5)</f>
        <v>ST TROPEZ</v>
      </c>
      <c r="Q1479" s="35" t="str">
        <f>_xlfn.TEXTAFTER(mvtst[[#This Row],[QR Suivis]],"_",5)</f>
        <v>1020</v>
      </c>
      <c r="R1479" s="84" t="str">
        <f>IF(
   COUNTIFS($A$2:A1479,A1479,
             $B$2:B1479,B1479,
             $C$2:C1479,C1479,
             $D$2:D1479,D1479,
             $G$2:G1479,G1479)&gt;1,
   "Doublon",
   "Correcte"
)</f>
        <v>Correcte</v>
      </c>
    </row>
    <row r="1480" spans="1:18" x14ac:dyDescent="0.25">
      <c r="A1480" s="104" t="s">
        <v>2114</v>
      </c>
      <c r="B1480" s="35" t="s">
        <v>712</v>
      </c>
      <c r="C1480" s="36">
        <v>5</v>
      </c>
      <c r="D1480" s="36">
        <v>0</v>
      </c>
      <c r="E1480" s="35" t="s">
        <v>699</v>
      </c>
      <c r="F1480" s="35" t="s">
        <v>634</v>
      </c>
      <c r="G1480" s="37">
        <v>45939.594050925924</v>
      </c>
      <c r="H1480" s="37" t="str">
        <f>INDEX(_xlfn.TEXTSPLIT(mvtst[[#This Row],[QR Suivis]],"_"),1,1)</f>
        <v>OF249848-36</v>
      </c>
      <c r="I1480" s="35" t="str">
        <f>_xlfn.TEXTBEFORE(mvtst[[#This Row],[Num Suivis]],"-",,,1)</f>
        <v>OF249848</v>
      </c>
      <c r="J1480" s="36">
        <f>SUMIF(mvtst[QR Suivis],mvtst[[#This Row],[QR Suivis]],mvtst[QTE SORTIS])-SUMIF(mvtst[QR Suivis],mvtst[[#This Row],[QR Suivis]],mvtst[QTE RETOUR])</f>
        <v>0</v>
      </c>
      <c r="K1480" s="35" t="str">
        <f t="shared" si="23"/>
        <v>Usine</v>
      </c>
      <c r="L1480" s="35" t="str">
        <f>_xlfn.XLOOKUP(mvtst[[#This Row],[Sous Traitant]],coordonnee_st[Identification],coordonnee_st[SERVICE],"Non Trouvé")</f>
        <v>Frange</v>
      </c>
      <c r="M1480" s="35" t="str">
        <f>INDEX(_xlfn.TEXTSPLIT(mvtst[[#This Row],[QR Suivis]],"_"),1,2)</f>
        <v>CL00884</v>
      </c>
      <c r="N1480" s="35" t="str">
        <f>INDEX(_xlfn.TEXTSPLIT(mvtst[[#This Row],[QR Suivis]],"_"),1,3)</f>
        <v>CM-FT0119</v>
      </c>
      <c r="O1480" s="35" t="str">
        <f>INDEX(_xlfn.TEXTSPLIT(mvtst[[#This Row],[QR Suivis]],"_"),1,4)</f>
        <v>ST1020-S14-16-17</v>
      </c>
      <c r="P1480" s="35" t="str">
        <f>INDEX(_xlfn.TEXTSPLIT(mvtst[[#This Row],[QR Suivis]],"_"),1,5)</f>
        <v>ST TROPEZ</v>
      </c>
      <c r="Q1480" s="35" t="str">
        <f>_xlfn.TEXTAFTER(mvtst[[#This Row],[QR Suivis]],"_",5)</f>
        <v>1020</v>
      </c>
      <c r="R1480" s="84" t="str">
        <f>IF(
   COUNTIFS($A$2:A1480,A1480,
             $B$2:B1480,B1480,
             $C$2:C1480,C1480,
             $D$2:D1480,D1480,
             $G$2:G1480,G1480)&gt;1,
   "Doublon",
   "Correcte"
)</f>
        <v>Correcte</v>
      </c>
    </row>
    <row r="1481" spans="1:18" x14ac:dyDescent="0.25">
      <c r="A1481" s="104" t="s">
        <v>2115</v>
      </c>
      <c r="B1481" s="35" t="s">
        <v>712</v>
      </c>
      <c r="C1481" s="36">
        <v>4</v>
      </c>
      <c r="D1481" s="36">
        <v>0</v>
      </c>
      <c r="E1481" s="35" t="s">
        <v>699</v>
      </c>
      <c r="F1481" s="35" t="s">
        <v>634</v>
      </c>
      <c r="G1481" s="37">
        <v>45939.594293981485</v>
      </c>
      <c r="H1481" s="37" t="str">
        <f>INDEX(_xlfn.TEXTSPLIT(mvtst[[#This Row],[QR Suivis]],"_"),1,1)</f>
        <v>OF249858-16</v>
      </c>
      <c r="I1481" s="35" t="str">
        <f>_xlfn.TEXTBEFORE(mvtst[[#This Row],[Num Suivis]],"-",,,1)</f>
        <v>OF249858</v>
      </c>
      <c r="J1481" s="36">
        <f>SUMIF(mvtst[QR Suivis],mvtst[[#This Row],[QR Suivis]],mvtst[QTE SORTIS])-SUMIF(mvtst[QR Suivis],mvtst[[#This Row],[QR Suivis]],mvtst[QTE RETOUR])</f>
        <v>0</v>
      </c>
      <c r="K1481" s="35" t="str">
        <f t="shared" si="23"/>
        <v>Usine</v>
      </c>
      <c r="L1481" s="35" t="str">
        <f>_xlfn.XLOOKUP(mvtst[[#This Row],[Sous Traitant]],coordonnee_st[Identification],coordonnee_st[SERVICE],"Non Trouvé")</f>
        <v>Frange</v>
      </c>
      <c r="M1481" s="35" t="str">
        <f>INDEX(_xlfn.TEXTSPLIT(mvtst[[#This Row],[QR Suivis]],"_"),1,2)</f>
        <v>CL00884</v>
      </c>
      <c r="N1481" s="35" t="str">
        <f>INDEX(_xlfn.TEXTSPLIT(mvtst[[#This Row],[QR Suivis]],"_"),1,3)</f>
        <v>CM-FT0119</v>
      </c>
      <c r="O1481" s="35" t="str">
        <f>INDEX(_xlfn.TEXTSPLIT(mvtst[[#This Row],[QR Suivis]],"_"),1,4)</f>
        <v>AR2020-B23-01</v>
      </c>
      <c r="P1481" s="35" t="str">
        <f>INDEX(_xlfn.TEXTSPLIT(mvtst[[#This Row],[QR Suivis]],"_"),1,5)</f>
        <v>ARTHUR</v>
      </c>
      <c r="Q1481" s="35" t="str">
        <f>_xlfn.TEXTAFTER(mvtst[[#This Row],[QR Suivis]],"_",5)</f>
        <v>2020</v>
      </c>
      <c r="R1481" s="84" t="str">
        <f>IF(
   COUNTIFS($A$2:A1481,A1481,
             $B$2:B1481,B1481,
             $C$2:C1481,C1481,
             $D$2:D1481,D1481,
             $G$2:G1481,G1481)&gt;1,
   "Doublon",
   "Correcte"
)</f>
        <v>Correcte</v>
      </c>
    </row>
    <row r="1482" spans="1:18" x14ac:dyDescent="0.25">
      <c r="A1482" s="104" t="s">
        <v>2116</v>
      </c>
      <c r="B1482" s="35" t="s">
        <v>712</v>
      </c>
      <c r="C1482" s="36">
        <v>5</v>
      </c>
      <c r="D1482" s="36">
        <v>0</v>
      </c>
      <c r="E1482" s="35" t="s">
        <v>699</v>
      </c>
      <c r="F1482" s="35" t="s">
        <v>634</v>
      </c>
      <c r="G1482" s="37">
        <v>45939.594594907408</v>
      </c>
      <c r="H1482" s="37" t="str">
        <f>INDEX(_xlfn.TEXTSPLIT(mvtst[[#This Row],[QR Suivis]],"_"),1,1)</f>
        <v>OF249848-41</v>
      </c>
      <c r="I1482" s="35" t="str">
        <f>_xlfn.TEXTBEFORE(mvtst[[#This Row],[Num Suivis]],"-",,,1)</f>
        <v>OF249848</v>
      </c>
      <c r="J1482" s="36">
        <f>SUMIF(mvtst[QR Suivis],mvtst[[#This Row],[QR Suivis]],mvtst[QTE SORTIS])-SUMIF(mvtst[QR Suivis],mvtst[[#This Row],[QR Suivis]],mvtst[QTE RETOUR])</f>
        <v>0</v>
      </c>
      <c r="K1482" s="35" t="str">
        <f t="shared" si="23"/>
        <v>Usine</v>
      </c>
      <c r="L1482" s="35" t="str">
        <f>_xlfn.XLOOKUP(mvtst[[#This Row],[Sous Traitant]],coordonnee_st[Identification],coordonnee_st[SERVICE],"Non Trouvé")</f>
        <v>Frange</v>
      </c>
      <c r="M1482" s="35" t="str">
        <f>INDEX(_xlfn.TEXTSPLIT(mvtst[[#This Row],[QR Suivis]],"_"),1,2)</f>
        <v>CL00884</v>
      </c>
      <c r="N1482" s="35" t="str">
        <f>INDEX(_xlfn.TEXTSPLIT(mvtst[[#This Row],[QR Suivis]],"_"),1,3)</f>
        <v>CM-FT0119</v>
      </c>
      <c r="O1482" s="35" t="str">
        <f>INDEX(_xlfn.TEXTSPLIT(mvtst[[#This Row],[QR Suivis]],"_"),1,4)</f>
        <v>ST1020-S14-16-17</v>
      </c>
      <c r="P1482" s="35" t="str">
        <f>INDEX(_xlfn.TEXTSPLIT(mvtst[[#This Row],[QR Suivis]],"_"),1,5)</f>
        <v>ST TROPEZ</v>
      </c>
      <c r="Q1482" s="35" t="str">
        <f>_xlfn.TEXTAFTER(mvtst[[#This Row],[QR Suivis]],"_",5)</f>
        <v>1020</v>
      </c>
      <c r="R1482" s="84" t="str">
        <f>IF(
   COUNTIFS($A$2:A1482,A1482,
             $B$2:B1482,B1482,
             $C$2:C1482,C1482,
             $D$2:D1482,D1482,
             $G$2:G1482,G1482)&gt;1,
   "Doublon",
   "Correcte"
)</f>
        <v>Correcte</v>
      </c>
    </row>
    <row r="1483" spans="1:18" x14ac:dyDescent="0.25">
      <c r="A1483" s="104" t="s">
        <v>2117</v>
      </c>
      <c r="B1483" s="35" t="s">
        <v>712</v>
      </c>
      <c r="C1483" s="36">
        <v>5</v>
      </c>
      <c r="D1483" s="36">
        <v>0</v>
      </c>
      <c r="E1483" s="35" t="s">
        <v>699</v>
      </c>
      <c r="F1483" s="35" t="s">
        <v>634</v>
      </c>
      <c r="G1483" s="37">
        <v>45939.594756944447</v>
      </c>
      <c r="H1483" s="37" t="str">
        <f>INDEX(_xlfn.TEXTSPLIT(mvtst[[#This Row],[QR Suivis]],"_"),1,1)</f>
        <v>OF249848-40</v>
      </c>
      <c r="I1483" s="35" t="str">
        <f>_xlfn.TEXTBEFORE(mvtst[[#This Row],[Num Suivis]],"-",,,1)</f>
        <v>OF249848</v>
      </c>
      <c r="J1483" s="36">
        <f>SUMIF(mvtst[QR Suivis],mvtst[[#This Row],[QR Suivis]],mvtst[QTE SORTIS])-SUMIF(mvtst[QR Suivis],mvtst[[#This Row],[QR Suivis]],mvtst[QTE RETOUR])</f>
        <v>0</v>
      </c>
      <c r="K1483" s="35" t="str">
        <f t="shared" si="23"/>
        <v>Usine</v>
      </c>
      <c r="L1483" s="35" t="str">
        <f>_xlfn.XLOOKUP(mvtst[[#This Row],[Sous Traitant]],coordonnee_st[Identification],coordonnee_st[SERVICE],"Non Trouvé")</f>
        <v>Frange</v>
      </c>
      <c r="M1483" s="35" t="str">
        <f>INDEX(_xlfn.TEXTSPLIT(mvtst[[#This Row],[QR Suivis]],"_"),1,2)</f>
        <v>CL00884</v>
      </c>
      <c r="N1483" s="35" t="str">
        <f>INDEX(_xlfn.TEXTSPLIT(mvtst[[#This Row],[QR Suivis]],"_"),1,3)</f>
        <v>CM-FT0119</v>
      </c>
      <c r="O1483" s="35" t="str">
        <f>INDEX(_xlfn.TEXTSPLIT(mvtst[[#This Row],[QR Suivis]],"_"),1,4)</f>
        <v>ST1020-S14-16-17</v>
      </c>
      <c r="P1483" s="35" t="str">
        <f>INDEX(_xlfn.TEXTSPLIT(mvtst[[#This Row],[QR Suivis]],"_"),1,5)</f>
        <v>ST TROPEZ</v>
      </c>
      <c r="Q1483" s="35" t="str">
        <f>_xlfn.TEXTAFTER(mvtst[[#This Row],[QR Suivis]],"_",5)</f>
        <v>1020</v>
      </c>
      <c r="R1483" s="84" t="str">
        <f>IF(
   COUNTIFS($A$2:A1483,A1483,
             $B$2:B1483,B1483,
             $C$2:C1483,C1483,
             $D$2:D1483,D1483,
             $G$2:G1483,G1483)&gt;1,
   "Doublon",
   "Correcte"
)</f>
        <v>Correcte</v>
      </c>
    </row>
    <row r="1484" spans="1:18" x14ac:dyDescent="0.25">
      <c r="A1484" s="104" t="s">
        <v>2118</v>
      </c>
      <c r="B1484" s="35" t="s">
        <v>712</v>
      </c>
      <c r="C1484" s="36">
        <v>5</v>
      </c>
      <c r="D1484" s="36">
        <v>0</v>
      </c>
      <c r="E1484" s="35" t="s">
        <v>699</v>
      </c>
      <c r="F1484" s="35" t="s">
        <v>634</v>
      </c>
      <c r="G1484" s="37">
        <v>45939.595069444447</v>
      </c>
      <c r="H1484" s="37" t="str">
        <f>INDEX(_xlfn.TEXTSPLIT(mvtst[[#This Row],[QR Suivis]],"_"),1,1)</f>
        <v>OF249848-29</v>
      </c>
      <c r="I1484" s="35" t="str">
        <f>_xlfn.TEXTBEFORE(mvtst[[#This Row],[Num Suivis]],"-",,,1)</f>
        <v>OF249848</v>
      </c>
      <c r="J1484" s="36">
        <f>SUMIF(mvtst[QR Suivis],mvtst[[#This Row],[QR Suivis]],mvtst[QTE SORTIS])-SUMIF(mvtst[QR Suivis],mvtst[[#This Row],[QR Suivis]],mvtst[QTE RETOUR])</f>
        <v>0</v>
      </c>
      <c r="K1484" s="35" t="str">
        <f t="shared" si="23"/>
        <v>Usine</v>
      </c>
      <c r="L1484" s="35" t="str">
        <f>_xlfn.XLOOKUP(mvtst[[#This Row],[Sous Traitant]],coordonnee_st[Identification],coordonnee_st[SERVICE],"Non Trouvé")</f>
        <v>Frange</v>
      </c>
      <c r="M1484" s="35" t="str">
        <f>INDEX(_xlfn.TEXTSPLIT(mvtst[[#This Row],[QR Suivis]],"_"),1,2)</f>
        <v>CL00884</v>
      </c>
      <c r="N1484" s="35" t="str">
        <f>INDEX(_xlfn.TEXTSPLIT(mvtst[[#This Row],[QR Suivis]],"_"),1,3)</f>
        <v>CM-FT0119</v>
      </c>
      <c r="O1484" s="35" t="str">
        <f>INDEX(_xlfn.TEXTSPLIT(mvtst[[#This Row],[QR Suivis]],"_"),1,4)</f>
        <v>ST1020-S14-16-17</v>
      </c>
      <c r="P1484" s="35" t="str">
        <f>INDEX(_xlfn.TEXTSPLIT(mvtst[[#This Row],[QR Suivis]],"_"),1,5)</f>
        <v>ST TROPEZ</v>
      </c>
      <c r="Q1484" s="35" t="str">
        <f>_xlfn.TEXTAFTER(mvtst[[#This Row],[QR Suivis]],"_",5)</f>
        <v>1020</v>
      </c>
      <c r="R1484" s="84" t="str">
        <f>IF(
   COUNTIFS($A$2:A1484,A1484,
             $B$2:B1484,B1484,
             $C$2:C1484,C1484,
             $D$2:D1484,D1484,
             $G$2:G1484,G1484)&gt;1,
   "Doublon",
   "Correcte"
)</f>
        <v>Correcte</v>
      </c>
    </row>
    <row r="1485" spans="1:18" x14ac:dyDescent="0.25">
      <c r="A1485" s="104" t="s">
        <v>2119</v>
      </c>
      <c r="B1485" s="35" t="s">
        <v>712</v>
      </c>
      <c r="C1485" s="36">
        <v>5</v>
      </c>
      <c r="D1485" s="36">
        <v>0</v>
      </c>
      <c r="E1485" s="35" t="s">
        <v>699</v>
      </c>
      <c r="F1485" s="35" t="s">
        <v>634</v>
      </c>
      <c r="G1485" s="37">
        <v>45939.595254629632</v>
      </c>
      <c r="H1485" s="37" t="str">
        <f>INDEX(_xlfn.TEXTSPLIT(mvtst[[#This Row],[QR Suivis]],"_"),1,1)</f>
        <v>OF249848-21</v>
      </c>
      <c r="I1485" s="35" t="str">
        <f>_xlfn.TEXTBEFORE(mvtst[[#This Row],[Num Suivis]],"-",,,1)</f>
        <v>OF249848</v>
      </c>
      <c r="J1485" s="36">
        <f>SUMIF(mvtst[QR Suivis],mvtst[[#This Row],[QR Suivis]],mvtst[QTE SORTIS])-SUMIF(mvtst[QR Suivis],mvtst[[#This Row],[QR Suivis]],mvtst[QTE RETOUR])</f>
        <v>0</v>
      </c>
      <c r="K1485" s="35" t="str">
        <f t="shared" si="23"/>
        <v>Usine</v>
      </c>
      <c r="L1485" s="35" t="str">
        <f>_xlfn.XLOOKUP(mvtst[[#This Row],[Sous Traitant]],coordonnee_st[Identification],coordonnee_st[SERVICE],"Non Trouvé")</f>
        <v>Frange</v>
      </c>
      <c r="M1485" s="35" t="str">
        <f>INDEX(_xlfn.TEXTSPLIT(mvtst[[#This Row],[QR Suivis]],"_"),1,2)</f>
        <v>CL00884</v>
      </c>
      <c r="N1485" s="35" t="str">
        <f>INDEX(_xlfn.TEXTSPLIT(mvtst[[#This Row],[QR Suivis]],"_"),1,3)</f>
        <v>CM-FT0119</v>
      </c>
      <c r="O1485" s="35" t="str">
        <f>INDEX(_xlfn.TEXTSPLIT(mvtst[[#This Row],[QR Suivis]],"_"),1,4)</f>
        <v>ST1020-S14-16-17</v>
      </c>
      <c r="P1485" s="35" t="str">
        <f>INDEX(_xlfn.TEXTSPLIT(mvtst[[#This Row],[QR Suivis]],"_"),1,5)</f>
        <v>ST TROPEZ</v>
      </c>
      <c r="Q1485" s="35" t="str">
        <f>_xlfn.TEXTAFTER(mvtst[[#This Row],[QR Suivis]],"_",5)</f>
        <v>1020</v>
      </c>
      <c r="R1485" s="84" t="str">
        <f>IF(
   COUNTIFS($A$2:A1485,A1485,
             $B$2:B1485,B1485,
             $C$2:C1485,C1485,
             $D$2:D1485,D1485,
             $G$2:G1485,G1485)&gt;1,
   "Doublon",
   "Correcte"
)</f>
        <v>Correcte</v>
      </c>
    </row>
    <row r="1486" spans="1:18" x14ac:dyDescent="0.25">
      <c r="A1486" s="104" t="s">
        <v>2120</v>
      </c>
      <c r="B1486" s="35" t="s">
        <v>712</v>
      </c>
      <c r="C1486" s="36">
        <v>5</v>
      </c>
      <c r="D1486" s="36">
        <v>0</v>
      </c>
      <c r="E1486" s="35" t="s">
        <v>699</v>
      </c>
      <c r="F1486" s="35" t="s">
        <v>634</v>
      </c>
      <c r="G1486" s="37">
        <v>45939.595462962963</v>
      </c>
      <c r="H1486" s="37" t="str">
        <f>INDEX(_xlfn.TEXTSPLIT(mvtst[[#This Row],[QR Suivis]],"_"),1,1)</f>
        <v>OF249848-28</v>
      </c>
      <c r="I1486" s="35" t="str">
        <f>_xlfn.TEXTBEFORE(mvtst[[#This Row],[Num Suivis]],"-",,,1)</f>
        <v>OF249848</v>
      </c>
      <c r="J1486" s="36">
        <f>SUMIF(mvtst[QR Suivis],mvtst[[#This Row],[QR Suivis]],mvtst[QTE SORTIS])-SUMIF(mvtst[QR Suivis],mvtst[[#This Row],[QR Suivis]],mvtst[QTE RETOUR])</f>
        <v>0</v>
      </c>
      <c r="K1486" s="35" t="str">
        <f t="shared" si="23"/>
        <v>Usine</v>
      </c>
      <c r="L1486" s="35" t="str">
        <f>_xlfn.XLOOKUP(mvtst[[#This Row],[Sous Traitant]],coordonnee_st[Identification],coordonnee_st[SERVICE],"Non Trouvé")</f>
        <v>Frange</v>
      </c>
      <c r="M1486" s="35" t="str">
        <f>INDEX(_xlfn.TEXTSPLIT(mvtst[[#This Row],[QR Suivis]],"_"),1,2)</f>
        <v>CL00884</v>
      </c>
      <c r="N1486" s="35" t="str">
        <f>INDEX(_xlfn.TEXTSPLIT(mvtst[[#This Row],[QR Suivis]],"_"),1,3)</f>
        <v>CM-FT0119</v>
      </c>
      <c r="O1486" s="35" t="str">
        <f>INDEX(_xlfn.TEXTSPLIT(mvtst[[#This Row],[QR Suivis]],"_"),1,4)</f>
        <v>ST1020-S14-16-17</v>
      </c>
      <c r="P1486" s="35" t="str">
        <f>INDEX(_xlfn.TEXTSPLIT(mvtst[[#This Row],[QR Suivis]],"_"),1,5)</f>
        <v>ST TROPEZ</v>
      </c>
      <c r="Q1486" s="35" t="str">
        <f>_xlfn.TEXTAFTER(mvtst[[#This Row],[QR Suivis]],"_",5)</f>
        <v>1020</v>
      </c>
      <c r="R1486" s="84" t="str">
        <f>IF(
   COUNTIFS($A$2:A1486,A1486,
             $B$2:B1486,B1486,
             $C$2:C1486,C1486,
             $D$2:D1486,D1486,
             $G$2:G1486,G1486)&gt;1,
   "Doublon",
   "Correcte"
)</f>
        <v>Correcte</v>
      </c>
    </row>
    <row r="1487" spans="1:18" x14ac:dyDescent="0.25">
      <c r="A1487" s="104" t="s">
        <v>2121</v>
      </c>
      <c r="B1487" s="35" t="s">
        <v>712</v>
      </c>
      <c r="C1487" s="36">
        <v>5</v>
      </c>
      <c r="D1487" s="36">
        <v>0</v>
      </c>
      <c r="E1487" s="35" t="s">
        <v>699</v>
      </c>
      <c r="F1487" s="35" t="s">
        <v>634</v>
      </c>
      <c r="G1487" s="37">
        <v>45939.59574074074</v>
      </c>
      <c r="H1487" s="37" t="str">
        <f>INDEX(_xlfn.TEXTSPLIT(mvtst[[#This Row],[QR Suivis]],"_"),1,1)</f>
        <v>OF249848-27</v>
      </c>
      <c r="I1487" s="35" t="str">
        <f>_xlfn.TEXTBEFORE(mvtst[[#This Row],[Num Suivis]],"-",,,1)</f>
        <v>OF249848</v>
      </c>
      <c r="J1487" s="36">
        <f>SUMIF(mvtst[QR Suivis],mvtst[[#This Row],[QR Suivis]],mvtst[QTE SORTIS])-SUMIF(mvtst[QR Suivis],mvtst[[#This Row],[QR Suivis]],mvtst[QTE RETOUR])</f>
        <v>0</v>
      </c>
      <c r="K1487" s="35" t="str">
        <f t="shared" si="23"/>
        <v>Usine</v>
      </c>
      <c r="L1487" s="35" t="str">
        <f>_xlfn.XLOOKUP(mvtst[[#This Row],[Sous Traitant]],coordonnee_st[Identification],coordonnee_st[SERVICE],"Non Trouvé")</f>
        <v>Frange</v>
      </c>
      <c r="M1487" s="35" t="str">
        <f>INDEX(_xlfn.TEXTSPLIT(mvtst[[#This Row],[QR Suivis]],"_"),1,2)</f>
        <v>CL00884</v>
      </c>
      <c r="N1487" s="35" t="str">
        <f>INDEX(_xlfn.TEXTSPLIT(mvtst[[#This Row],[QR Suivis]],"_"),1,3)</f>
        <v>CM-FT0119</v>
      </c>
      <c r="O1487" s="35" t="str">
        <f>INDEX(_xlfn.TEXTSPLIT(mvtst[[#This Row],[QR Suivis]],"_"),1,4)</f>
        <v>ST1020-S14-16-17</v>
      </c>
      <c r="P1487" s="35" t="str">
        <f>INDEX(_xlfn.TEXTSPLIT(mvtst[[#This Row],[QR Suivis]],"_"),1,5)</f>
        <v>ST TROPEZ</v>
      </c>
      <c r="Q1487" s="35" t="str">
        <f>_xlfn.TEXTAFTER(mvtst[[#This Row],[QR Suivis]],"_",5)</f>
        <v>1020</v>
      </c>
      <c r="R1487" s="84" t="str">
        <f>IF(
   COUNTIFS($A$2:A1487,A1487,
             $B$2:B1487,B1487,
             $C$2:C1487,C1487,
             $D$2:D1487,D1487,
             $G$2:G1487,G1487)&gt;1,
   "Doublon",
   "Correcte"
)</f>
        <v>Correcte</v>
      </c>
    </row>
    <row r="1488" spans="1:18" x14ac:dyDescent="0.25">
      <c r="A1488" s="104" t="s">
        <v>2122</v>
      </c>
      <c r="B1488" s="35" t="s">
        <v>712</v>
      </c>
      <c r="C1488" s="36">
        <v>5</v>
      </c>
      <c r="D1488" s="36">
        <v>0</v>
      </c>
      <c r="E1488" s="35" t="s">
        <v>699</v>
      </c>
      <c r="F1488" s="35" t="s">
        <v>634</v>
      </c>
      <c r="G1488" s="37">
        <v>45939.595902777779</v>
      </c>
      <c r="H1488" s="37" t="str">
        <f>INDEX(_xlfn.TEXTSPLIT(mvtst[[#This Row],[QR Suivis]],"_"),1,1)</f>
        <v>OF249848-26</v>
      </c>
      <c r="I1488" s="35" t="str">
        <f>_xlfn.TEXTBEFORE(mvtst[[#This Row],[Num Suivis]],"-",,,1)</f>
        <v>OF249848</v>
      </c>
      <c r="J1488" s="36">
        <f>SUMIF(mvtst[QR Suivis],mvtst[[#This Row],[QR Suivis]],mvtst[QTE SORTIS])-SUMIF(mvtst[QR Suivis],mvtst[[#This Row],[QR Suivis]],mvtst[QTE RETOUR])</f>
        <v>0</v>
      </c>
      <c r="K1488" s="35" t="str">
        <f t="shared" si="23"/>
        <v>Usine</v>
      </c>
      <c r="L1488" s="35" t="str">
        <f>_xlfn.XLOOKUP(mvtst[[#This Row],[Sous Traitant]],coordonnee_st[Identification],coordonnee_st[SERVICE],"Non Trouvé")</f>
        <v>Frange</v>
      </c>
      <c r="M1488" s="35" t="str">
        <f>INDEX(_xlfn.TEXTSPLIT(mvtst[[#This Row],[QR Suivis]],"_"),1,2)</f>
        <v>CL00884</v>
      </c>
      <c r="N1488" s="35" t="str">
        <f>INDEX(_xlfn.TEXTSPLIT(mvtst[[#This Row],[QR Suivis]],"_"),1,3)</f>
        <v>CM-FT0119</v>
      </c>
      <c r="O1488" s="35" t="str">
        <f>INDEX(_xlfn.TEXTSPLIT(mvtst[[#This Row],[QR Suivis]],"_"),1,4)</f>
        <v>ST1020-S14-16-17</v>
      </c>
      <c r="P1488" s="35" t="str">
        <f>INDEX(_xlfn.TEXTSPLIT(mvtst[[#This Row],[QR Suivis]],"_"),1,5)</f>
        <v>ST TROPEZ</v>
      </c>
      <c r="Q1488" s="35" t="str">
        <f>_xlfn.TEXTAFTER(mvtst[[#This Row],[QR Suivis]],"_",5)</f>
        <v>1020</v>
      </c>
      <c r="R1488" s="84" t="str">
        <f>IF(
   COUNTIFS($A$2:A1488,A1488,
             $B$2:B1488,B1488,
             $C$2:C1488,C1488,
             $D$2:D1488,D1488,
             $G$2:G1488,G1488)&gt;1,
   "Doublon",
   "Correcte"
)</f>
        <v>Correcte</v>
      </c>
    </row>
    <row r="1489" spans="1:18" x14ac:dyDescent="0.25">
      <c r="A1489" s="104" t="s">
        <v>2123</v>
      </c>
      <c r="B1489" s="35" t="s">
        <v>712</v>
      </c>
      <c r="C1489" s="36">
        <v>5</v>
      </c>
      <c r="D1489" s="36">
        <v>0</v>
      </c>
      <c r="E1489" s="35" t="s">
        <v>699</v>
      </c>
      <c r="F1489" s="35" t="s">
        <v>634</v>
      </c>
      <c r="G1489" s="37">
        <v>45939.596365740741</v>
      </c>
      <c r="H1489" s="37" t="str">
        <f>INDEX(_xlfn.TEXTSPLIT(mvtst[[#This Row],[QR Suivis]],"_"),1,1)</f>
        <v>OF249848-25</v>
      </c>
      <c r="I1489" s="35" t="str">
        <f>_xlfn.TEXTBEFORE(mvtst[[#This Row],[Num Suivis]],"-",,,1)</f>
        <v>OF249848</v>
      </c>
      <c r="J1489" s="36">
        <f>SUMIF(mvtst[QR Suivis],mvtst[[#This Row],[QR Suivis]],mvtst[QTE SORTIS])-SUMIF(mvtst[QR Suivis],mvtst[[#This Row],[QR Suivis]],mvtst[QTE RETOUR])</f>
        <v>0</v>
      </c>
      <c r="K1489" s="35" t="str">
        <f t="shared" si="23"/>
        <v>Usine</v>
      </c>
      <c r="L1489" s="35" t="str">
        <f>_xlfn.XLOOKUP(mvtst[[#This Row],[Sous Traitant]],coordonnee_st[Identification],coordonnee_st[SERVICE],"Non Trouvé")</f>
        <v>Frange</v>
      </c>
      <c r="M1489" s="35" t="str">
        <f>INDEX(_xlfn.TEXTSPLIT(mvtst[[#This Row],[QR Suivis]],"_"),1,2)</f>
        <v>CL00884</v>
      </c>
      <c r="N1489" s="35" t="str">
        <f>INDEX(_xlfn.TEXTSPLIT(mvtst[[#This Row],[QR Suivis]],"_"),1,3)</f>
        <v>CM-FT0119</v>
      </c>
      <c r="O1489" s="35" t="str">
        <f>INDEX(_xlfn.TEXTSPLIT(mvtst[[#This Row],[QR Suivis]],"_"),1,4)</f>
        <v>ST1020-S14-16-17</v>
      </c>
      <c r="P1489" s="35" t="str">
        <f>INDEX(_xlfn.TEXTSPLIT(mvtst[[#This Row],[QR Suivis]],"_"),1,5)</f>
        <v>ST TROPEZ</v>
      </c>
      <c r="Q1489" s="35" t="str">
        <f>_xlfn.TEXTAFTER(mvtst[[#This Row],[QR Suivis]],"_",5)</f>
        <v>1020</v>
      </c>
      <c r="R1489" s="84" t="str">
        <f>IF(
   COUNTIFS($A$2:A1489,A1489,
             $B$2:B1489,B1489,
             $C$2:C1489,C1489,
             $D$2:D1489,D1489,
             $G$2:G1489,G1489)&gt;1,
   "Doublon",
   "Correcte"
)</f>
        <v>Correcte</v>
      </c>
    </row>
    <row r="1490" spans="1:18" x14ac:dyDescent="0.25">
      <c r="A1490" s="104" t="s">
        <v>2124</v>
      </c>
      <c r="B1490" s="35" t="s">
        <v>712</v>
      </c>
      <c r="C1490" s="36">
        <v>5</v>
      </c>
      <c r="D1490" s="36">
        <v>0</v>
      </c>
      <c r="E1490" s="35" t="s">
        <v>699</v>
      </c>
      <c r="F1490" s="35" t="s">
        <v>634</v>
      </c>
      <c r="G1490" s="37">
        <v>45939.596562500003</v>
      </c>
      <c r="H1490" s="37" t="str">
        <f>INDEX(_xlfn.TEXTSPLIT(mvtst[[#This Row],[QR Suivis]],"_"),1,1)</f>
        <v>OF249848-24</v>
      </c>
      <c r="I1490" s="35" t="str">
        <f>_xlfn.TEXTBEFORE(mvtst[[#This Row],[Num Suivis]],"-",,,1)</f>
        <v>OF249848</v>
      </c>
      <c r="J1490" s="36">
        <f>SUMIF(mvtst[QR Suivis],mvtst[[#This Row],[QR Suivis]],mvtst[QTE SORTIS])-SUMIF(mvtst[QR Suivis],mvtst[[#This Row],[QR Suivis]],mvtst[QTE RETOUR])</f>
        <v>0</v>
      </c>
      <c r="K1490" s="35" t="str">
        <f t="shared" si="23"/>
        <v>Usine</v>
      </c>
      <c r="L1490" s="35" t="str">
        <f>_xlfn.XLOOKUP(mvtst[[#This Row],[Sous Traitant]],coordonnee_st[Identification],coordonnee_st[SERVICE],"Non Trouvé")</f>
        <v>Frange</v>
      </c>
      <c r="M1490" s="35" t="str">
        <f>INDEX(_xlfn.TEXTSPLIT(mvtst[[#This Row],[QR Suivis]],"_"),1,2)</f>
        <v>CL00884</v>
      </c>
      <c r="N1490" s="35" t="str">
        <f>INDEX(_xlfn.TEXTSPLIT(mvtst[[#This Row],[QR Suivis]],"_"),1,3)</f>
        <v>CM-FT0119</v>
      </c>
      <c r="O1490" s="35" t="str">
        <f>INDEX(_xlfn.TEXTSPLIT(mvtst[[#This Row],[QR Suivis]],"_"),1,4)</f>
        <v>ST1020-S14-16-17</v>
      </c>
      <c r="P1490" s="35" t="str">
        <f>INDEX(_xlfn.TEXTSPLIT(mvtst[[#This Row],[QR Suivis]],"_"),1,5)</f>
        <v>ST TROPEZ</v>
      </c>
      <c r="Q1490" s="35" t="str">
        <f>_xlfn.TEXTAFTER(mvtst[[#This Row],[QR Suivis]],"_",5)</f>
        <v>1020</v>
      </c>
      <c r="R1490" s="84" t="str">
        <f>IF(
   COUNTIFS($A$2:A1490,A1490,
             $B$2:B1490,B1490,
             $C$2:C1490,C1490,
             $D$2:D1490,D1490,
             $G$2:G1490,G1490)&gt;1,
   "Doublon",
   "Correcte"
)</f>
        <v>Correcte</v>
      </c>
    </row>
    <row r="1491" spans="1:18" x14ac:dyDescent="0.25">
      <c r="A1491" s="104" t="s">
        <v>2125</v>
      </c>
      <c r="B1491" s="35" t="s">
        <v>712</v>
      </c>
      <c r="C1491" s="36">
        <v>5</v>
      </c>
      <c r="D1491" s="36">
        <v>0</v>
      </c>
      <c r="E1491" s="35" t="s">
        <v>699</v>
      </c>
      <c r="F1491" s="35" t="s">
        <v>634</v>
      </c>
      <c r="G1491" s="37">
        <v>45939.596770833334</v>
      </c>
      <c r="H1491" s="37" t="str">
        <f>INDEX(_xlfn.TEXTSPLIT(mvtst[[#This Row],[QR Suivis]],"_"),1,1)</f>
        <v>OF249848-20</v>
      </c>
      <c r="I1491" s="35" t="str">
        <f>_xlfn.TEXTBEFORE(mvtst[[#This Row],[Num Suivis]],"-",,,1)</f>
        <v>OF249848</v>
      </c>
      <c r="J1491" s="36">
        <f>SUMIF(mvtst[QR Suivis],mvtst[[#This Row],[QR Suivis]],mvtst[QTE SORTIS])-SUMIF(mvtst[QR Suivis],mvtst[[#This Row],[QR Suivis]],mvtst[QTE RETOUR])</f>
        <v>0</v>
      </c>
      <c r="K1491" s="35" t="str">
        <f t="shared" si="23"/>
        <v>Usine</v>
      </c>
      <c r="L1491" s="35" t="str">
        <f>_xlfn.XLOOKUP(mvtst[[#This Row],[Sous Traitant]],coordonnee_st[Identification],coordonnee_st[SERVICE],"Non Trouvé")</f>
        <v>Frange</v>
      </c>
      <c r="M1491" s="35" t="str">
        <f>INDEX(_xlfn.TEXTSPLIT(mvtst[[#This Row],[QR Suivis]],"_"),1,2)</f>
        <v>CL00884</v>
      </c>
      <c r="N1491" s="35" t="str">
        <f>INDEX(_xlfn.TEXTSPLIT(mvtst[[#This Row],[QR Suivis]],"_"),1,3)</f>
        <v>CM-FT0119</v>
      </c>
      <c r="O1491" s="35" t="str">
        <f>INDEX(_xlfn.TEXTSPLIT(mvtst[[#This Row],[QR Suivis]],"_"),1,4)</f>
        <v>ST1020-S14-16-17</v>
      </c>
      <c r="P1491" s="35" t="str">
        <f>INDEX(_xlfn.TEXTSPLIT(mvtst[[#This Row],[QR Suivis]],"_"),1,5)</f>
        <v>ST TROPEZ</v>
      </c>
      <c r="Q1491" s="35" t="str">
        <f>_xlfn.TEXTAFTER(mvtst[[#This Row],[QR Suivis]],"_",5)</f>
        <v>1020</v>
      </c>
      <c r="R1491" s="84" t="str">
        <f>IF(
   COUNTIFS($A$2:A1491,A1491,
             $B$2:B1491,B1491,
             $C$2:C1491,C1491,
             $D$2:D1491,D1491,
             $G$2:G1491,G1491)&gt;1,
   "Doublon",
   "Correcte"
)</f>
        <v>Correcte</v>
      </c>
    </row>
    <row r="1492" spans="1:18" x14ac:dyDescent="0.25">
      <c r="A1492" s="104" t="s">
        <v>2126</v>
      </c>
      <c r="B1492" s="35" t="s">
        <v>712</v>
      </c>
      <c r="C1492" s="36">
        <v>5</v>
      </c>
      <c r="D1492" s="36">
        <v>0</v>
      </c>
      <c r="E1492" s="35" t="s">
        <v>699</v>
      </c>
      <c r="F1492" s="35" t="s">
        <v>634</v>
      </c>
      <c r="G1492" s="37">
        <v>45939.596956018519</v>
      </c>
      <c r="H1492" s="37" t="str">
        <f>INDEX(_xlfn.TEXTSPLIT(mvtst[[#This Row],[QR Suivis]],"_"),1,1)</f>
        <v>OF249848-19</v>
      </c>
      <c r="I1492" s="35" t="str">
        <f>_xlfn.TEXTBEFORE(mvtst[[#This Row],[Num Suivis]],"-",,,1)</f>
        <v>OF249848</v>
      </c>
      <c r="J1492" s="36">
        <f>SUMIF(mvtst[QR Suivis],mvtst[[#This Row],[QR Suivis]],mvtst[QTE SORTIS])-SUMIF(mvtst[QR Suivis],mvtst[[#This Row],[QR Suivis]],mvtst[QTE RETOUR])</f>
        <v>0</v>
      </c>
      <c r="K1492" s="35" t="str">
        <f t="shared" si="23"/>
        <v>Usine</v>
      </c>
      <c r="L1492" s="35" t="str">
        <f>_xlfn.XLOOKUP(mvtst[[#This Row],[Sous Traitant]],coordonnee_st[Identification],coordonnee_st[SERVICE],"Non Trouvé")</f>
        <v>Frange</v>
      </c>
      <c r="M1492" s="35" t="str">
        <f>INDEX(_xlfn.TEXTSPLIT(mvtst[[#This Row],[QR Suivis]],"_"),1,2)</f>
        <v>CL00884</v>
      </c>
      <c r="N1492" s="35" t="str">
        <f>INDEX(_xlfn.TEXTSPLIT(mvtst[[#This Row],[QR Suivis]],"_"),1,3)</f>
        <v>CM-FT0119</v>
      </c>
      <c r="O1492" s="35" t="str">
        <f>INDEX(_xlfn.TEXTSPLIT(mvtst[[#This Row],[QR Suivis]],"_"),1,4)</f>
        <v>ST1020-S14-16-17</v>
      </c>
      <c r="P1492" s="35" t="str">
        <f>INDEX(_xlfn.TEXTSPLIT(mvtst[[#This Row],[QR Suivis]],"_"),1,5)</f>
        <v>ST TROPEZ</v>
      </c>
      <c r="Q1492" s="35" t="str">
        <f>_xlfn.TEXTAFTER(mvtst[[#This Row],[QR Suivis]],"_",5)</f>
        <v>1020</v>
      </c>
      <c r="R1492" s="84" t="str">
        <f>IF(
   COUNTIFS($A$2:A1492,A1492,
             $B$2:B1492,B1492,
             $C$2:C1492,C1492,
             $D$2:D1492,D1492,
             $G$2:G1492,G1492)&gt;1,
   "Doublon",
   "Correcte"
)</f>
        <v>Correcte</v>
      </c>
    </row>
    <row r="1493" spans="1:18" x14ac:dyDescent="0.25">
      <c r="A1493" s="104" t="s">
        <v>2127</v>
      </c>
      <c r="B1493" s="35" t="s">
        <v>712</v>
      </c>
      <c r="C1493" s="36">
        <v>5</v>
      </c>
      <c r="D1493" s="36">
        <v>0</v>
      </c>
      <c r="E1493" s="35" t="s">
        <v>699</v>
      </c>
      <c r="F1493" s="35" t="s">
        <v>634</v>
      </c>
      <c r="G1493" s="37">
        <v>45939.601331018515</v>
      </c>
      <c r="H1493" s="37" t="str">
        <f>INDEX(_xlfn.TEXTSPLIT(mvtst[[#This Row],[QR Suivis]],"_"),1,1)</f>
        <v>OF249946-2</v>
      </c>
      <c r="I1493" s="35" t="str">
        <f>_xlfn.TEXTBEFORE(mvtst[[#This Row],[Num Suivis]],"-",,,1)</f>
        <v>OF249946</v>
      </c>
      <c r="J1493" s="36">
        <f>SUMIF(mvtst[QR Suivis],mvtst[[#This Row],[QR Suivis]],mvtst[QTE SORTIS])-SUMIF(mvtst[QR Suivis],mvtst[[#This Row],[QR Suivis]],mvtst[QTE RETOUR])</f>
        <v>0</v>
      </c>
      <c r="K1493" s="35" t="str">
        <f t="shared" si="23"/>
        <v>Usine</v>
      </c>
      <c r="L1493" s="35" t="str">
        <f>_xlfn.XLOOKUP(mvtst[[#This Row],[Sous Traitant]],coordonnee_st[Identification],coordonnee_st[SERVICE],"Non Trouvé")</f>
        <v>Frange</v>
      </c>
      <c r="M1493" s="35" t="str">
        <f>INDEX(_xlfn.TEXTSPLIT(mvtst[[#This Row],[QR Suivis]],"_"),1,2)</f>
        <v>CL00884</v>
      </c>
      <c r="N1493" s="35" t="str">
        <f>INDEX(_xlfn.TEXTSPLIT(mvtst[[#This Row],[QR Suivis]],"_"),1,3)</f>
        <v>CM-FT0120</v>
      </c>
      <c r="O1493" s="35" t="str">
        <f>INDEX(_xlfn.TEXTSPLIT(mvtst[[#This Row],[QR Suivis]],"_"),1,4)</f>
        <v>ST1020-S14-16-17</v>
      </c>
      <c r="P1493" s="35" t="str">
        <f>INDEX(_xlfn.TEXTSPLIT(mvtst[[#This Row],[QR Suivis]],"_"),1,5)</f>
        <v>ST TROPEZ</v>
      </c>
      <c r="Q1493" s="35" t="str">
        <f>_xlfn.TEXTAFTER(mvtst[[#This Row],[QR Suivis]],"_",5)</f>
        <v>1020</v>
      </c>
      <c r="R1493" s="84" t="str">
        <f>IF(
   COUNTIFS($A$2:A1493,A1493,
             $B$2:B1493,B1493,
             $C$2:C1493,C1493,
             $D$2:D1493,D1493,
             $G$2:G1493,G1493)&gt;1,
   "Doublon",
   "Correcte"
)</f>
        <v>Correcte</v>
      </c>
    </row>
    <row r="1494" spans="1:18" x14ac:dyDescent="0.25">
      <c r="A1494" s="104" t="s">
        <v>2128</v>
      </c>
      <c r="B1494" s="35" t="s">
        <v>712</v>
      </c>
      <c r="C1494" s="36">
        <v>5</v>
      </c>
      <c r="D1494" s="36">
        <v>0</v>
      </c>
      <c r="E1494" s="35" t="s">
        <v>699</v>
      </c>
      <c r="F1494" s="35" t="s">
        <v>634</v>
      </c>
      <c r="G1494" s="37">
        <v>45939.601678240739</v>
      </c>
      <c r="H1494" s="37" t="str">
        <f>INDEX(_xlfn.TEXTSPLIT(mvtst[[#This Row],[QR Suivis]],"_"),1,1)</f>
        <v>OF249946-19</v>
      </c>
      <c r="I1494" s="35" t="str">
        <f>_xlfn.TEXTBEFORE(mvtst[[#This Row],[Num Suivis]],"-",,,1)</f>
        <v>OF249946</v>
      </c>
      <c r="J1494" s="36">
        <f>SUMIF(mvtst[QR Suivis],mvtst[[#This Row],[QR Suivis]],mvtst[QTE SORTIS])-SUMIF(mvtst[QR Suivis],mvtst[[#This Row],[QR Suivis]],mvtst[QTE RETOUR])</f>
        <v>0</v>
      </c>
      <c r="K1494" s="35" t="str">
        <f t="shared" si="23"/>
        <v>Usine</v>
      </c>
      <c r="L1494" s="35" t="str">
        <f>_xlfn.XLOOKUP(mvtst[[#This Row],[Sous Traitant]],coordonnee_st[Identification],coordonnee_st[SERVICE],"Non Trouvé")</f>
        <v>Frange</v>
      </c>
      <c r="M1494" s="35" t="str">
        <f>INDEX(_xlfn.TEXTSPLIT(mvtst[[#This Row],[QR Suivis]],"_"),1,2)</f>
        <v>CL00884</v>
      </c>
      <c r="N1494" s="35" t="str">
        <f>INDEX(_xlfn.TEXTSPLIT(mvtst[[#This Row],[QR Suivis]],"_"),1,3)</f>
        <v>CM-FT0120</v>
      </c>
      <c r="O1494" s="35" t="str">
        <f>INDEX(_xlfn.TEXTSPLIT(mvtst[[#This Row],[QR Suivis]],"_"),1,4)</f>
        <v>ST1020-S14-16-17</v>
      </c>
      <c r="P1494" s="35" t="str">
        <f>INDEX(_xlfn.TEXTSPLIT(mvtst[[#This Row],[QR Suivis]],"_"),1,5)</f>
        <v>ST TROPEZ</v>
      </c>
      <c r="Q1494" s="35" t="str">
        <f>_xlfn.TEXTAFTER(mvtst[[#This Row],[QR Suivis]],"_",5)</f>
        <v>1020</v>
      </c>
      <c r="R1494" s="84" t="str">
        <f>IF(
   COUNTIFS($A$2:A1494,A1494,
             $B$2:B1494,B1494,
             $C$2:C1494,C1494,
             $D$2:D1494,D1494,
             $G$2:G1494,G1494)&gt;1,
   "Doublon",
   "Correcte"
)</f>
        <v>Correcte</v>
      </c>
    </row>
    <row r="1495" spans="1:18" x14ac:dyDescent="0.25">
      <c r="A1495" s="104" t="s">
        <v>2129</v>
      </c>
      <c r="B1495" s="35" t="s">
        <v>712</v>
      </c>
      <c r="C1495" s="36">
        <v>5</v>
      </c>
      <c r="D1495" s="36">
        <v>0</v>
      </c>
      <c r="E1495" s="35" t="s">
        <v>699</v>
      </c>
      <c r="F1495" s="35" t="s">
        <v>634</v>
      </c>
      <c r="G1495" s="37">
        <v>45939.6018287037</v>
      </c>
      <c r="H1495" s="37" t="str">
        <f>INDEX(_xlfn.TEXTSPLIT(mvtst[[#This Row],[QR Suivis]],"_"),1,1)</f>
        <v>OF249946-20</v>
      </c>
      <c r="I1495" s="35" t="str">
        <f>_xlfn.TEXTBEFORE(mvtst[[#This Row],[Num Suivis]],"-",,,1)</f>
        <v>OF249946</v>
      </c>
      <c r="J1495" s="36">
        <f>SUMIF(mvtst[QR Suivis],mvtst[[#This Row],[QR Suivis]],mvtst[QTE SORTIS])-SUMIF(mvtst[QR Suivis],mvtst[[#This Row],[QR Suivis]],mvtst[QTE RETOUR])</f>
        <v>0</v>
      </c>
      <c r="K1495" s="35" t="str">
        <f t="shared" si="23"/>
        <v>Usine</v>
      </c>
      <c r="L1495" s="35" t="str">
        <f>_xlfn.XLOOKUP(mvtst[[#This Row],[Sous Traitant]],coordonnee_st[Identification],coordonnee_st[SERVICE],"Non Trouvé")</f>
        <v>Frange</v>
      </c>
      <c r="M1495" s="35" t="str">
        <f>INDEX(_xlfn.TEXTSPLIT(mvtst[[#This Row],[QR Suivis]],"_"),1,2)</f>
        <v>CL00884</v>
      </c>
      <c r="N1495" s="35" t="str">
        <f>INDEX(_xlfn.TEXTSPLIT(mvtst[[#This Row],[QR Suivis]],"_"),1,3)</f>
        <v>CM-FT0120</v>
      </c>
      <c r="O1495" s="35" t="str">
        <f>INDEX(_xlfn.TEXTSPLIT(mvtst[[#This Row],[QR Suivis]],"_"),1,4)</f>
        <v>ST1020-S14-16-17</v>
      </c>
      <c r="P1495" s="35" t="str">
        <f>INDEX(_xlfn.TEXTSPLIT(mvtst[[#This Row],[QR Suivis]],"_"),1,5)</f>
        <v>ST TROPEZ</v>
      </c>
      <c r="Q1495" s="35" t="str">
        <f>_xlfn.TEXTAFTER(mvtst[[#This Row],[QR Suivis]],"_",5)</f>
        <v>1020</v>
      </c>
      <c r="R1495" s="84" t="str">
        <f>IF(
   COUNTIFS($A$2:A1495,A1495,
             $B$2:B1495,B1495,
             $C$2:C1495,C1495,
             $D$2:D1495,D1495,
             $G$2:G1495,G1495)&gt;1,
   "Doublon",
   "Correcte"
)</f>
        <v>Correcte</v>
      </c>
    </row>
    <row r="1496" spans="1:18" x14ac:dyDescent="0.25">
      <c r="A1496" s="104" t="s">
        <v>2130</v>
      </c>
      <c r="B1496" s="35" t="s">
        <v>712</v>
      </c>
      <c r="C1496" s="36">
        <v>5</v>
      </c>
      <c r="D1496" s="36">
        <v>0</v>
      </c>
      <c r="E1496" s="35" t="s">
        <v>699</v>
      </c>
      <c r="F1496" s="35" t="s">
        <v>634</v>
      </c>
      <c r="G1496" s="37">
        <v>45939.602060185185</v>
      </c>
      <c r="H1496" s="37" t="str">
        <f>INDEX(_xlfn.TEXTSPLIT(mvtst[[#This Row],[QR Suivis]],"_"),1,1)</f>
        <v>OF249946-18</v>
      </c>
      <c r="I1496" s="35" t="str">
        <f>_xlfn.TEXTBEFORE(mvtst[[#This Row],[Num Suivis]],"-",,,1)</f>
        <v>OF249946</v>
      </c>
      <c r="J1496" s="36">
        <f>SUMIF(mvtst[QR Suivis],mvtst[[#This Row],[QR Suivis]],mvtst[QTE SORTIS])-SUMIF(mvtst[QR Suivis],mvtst[[#This Row],[QR Suivis]],mvtst[QTE RETOUR])</f>
        <v>0</v>
      </c>
      <c r="K1496" s="35" t="str">
        <f t="shared" si="23"/>
        <v>Usine</v>
      </c>
      <c r="L1496" s="35" t="str">
        <f>_xlfn.XLOOKUP(mvtst[[#This Row],[Sous Traitant]],coordonnee_st[Identification],coordonnee_st[SERVICE],"Non Trouvé")</f>
        <v>Frange</v>
      </c>
      <c r="M1496" s="35" t="str">
        <f>INDEX(_xlfn.TEXTSPLIT(mvtst[[#This Row],[QR Suivis]],"_"),1,2)</f>
        <v>CL00884</v>
      </c>
      <c r="N1496" s="35" t="str">
        <f>INDEX(_xlfn.TEXTSPLIT(mvtst[[#This Row],[QR Suivis]],"_"),1,3)</f>
        <v>CM-FT0120</v>
      </c>
      <c r="O1496" s="35" t="str">
        <f>INDEX(_xlfn.TEXTSPLIT(mvtst[[#This Row],[QR Suivis]],"_"),1,4)</f>
        <v>ST1020-S14-16-17</v>
      </c>
      <c r="P1496" s="35" t="str">
        <f>INDEX(_xlfn.TEXTSPLIT(mvtst[[#This Row],[QR Suivis]],"_"),1,5)</f>
        <v>ST TROPEZ</v>
      </c>
      <c r="Q1496" s="35" t="str">
        <f>_xlfn.TEXTAFTER(mvtst[[#This Row],[QR Suivis]],"_",5)</f>
        <v>1020</v>
      </c>
      <c r="R1496" s="84" t="str">
        <f>IF(
   COUNTIFS($A$2:A1496,A1496,
             $B$2:B1496,B1496,
             $C$2:C1496,C1496,
             $D$2:D1496,D1496,
             $G$2:G1496,G1496)&gt;1,
   "Doublon",
   "Correcte"
)</f>
        <v>Correcte</v>
      </c>
    </row>
    <row r="1497" spans="1:18" x14ac:dyDescent="0.25">
      <c r="A1497" s="104" t="s">
        <v>2131</v>
      </c>
      <c r="B1497" s="35" t="s">
        <v>712</v>
      </c>
      <c r="C1497" s="36">
        <v>5</v>
      </c>
      <c r="D1497" s="36">
        <v>0</v>
      </c>
      <c r="E1497" s="35" t="s">
        <v>699</v>
      </c>
      <c r="F1497" s="35" t="s">
        <v>634</v>
      </c>
      <c r="G1497" s="37">
        <v>45939.602222222224</v>
      </c>
      <c r="H1497" s="37" t="str">
        <f>INDEX(_xlfn.TEXTSPLIT(mvtst[[#This Row],[QR Suivis]],"_"),1,1)</f>
        <v>OF249946-11</v>
      </c>
      <c r="I1497" s="35" t="str">
        <f>_xlfn.TEXTBEFORE(mvtst[[#This Row],[Num Suivis]],"-",,,1)</f>
        <v>OF249946</v>
      </c>
      <c r="J1497" s="36">
        <f>SUMIF(mvtst[QR Suivis],mvtst[[#This Row],[QR Suivis]],mvtst[QTE SORTIS])-SUMIF(mvtst[QR Suivis],mvtst[[#This Row],[QR Suivis]],mvtst[QTE RETOUR])</f>
        <v>0</v>
      </c>
      <c r="K1497" s="35" t="str">
        <f t="shared" si="23"/>
        <v>Usine</v>
      </c>
      <c r="L1497" s="35" t="str">
        <f>_xlfn.XLOOKUP(mvtst[[#This Row],[Sous Traitant]],coordonnee_st[Identification],coordonnee_st[SERVICE],"Non Trouvé")</f>
        <v>Frange</v>
      </c>
      <c r="M1497" s="35" t="str">
        <f>INDEX(_xlfn.TEXTSPLIT(mvtst[[#This Row],[QR Suivis]],"_"),1,2)</f>
        <v>CL00884</v>
      </c>
      <c r="N1497" s="35" t="str">
        <f>INDEX(_xlfn.TEXTSPLIT(mvtst[[#This Row],[QR Suivis]],"_"),1,3)</f>
        <v>CM-FT0120</v>
      </c>
      <c r="O1497" s="35" t="str">
        <f>INDEX(_xlfn.TEXTSPLIT(mvtst[[#This Row],[QR Suivis]],"_"),1,4)</f>
        <v>ST1020-S14-16-17</v>
      </c>
      <c r="P1497" s="35" t="str">
        <f>INDEX(_xlfn.TEXTSPLIT(mvtst[[#This Row],[QR Suivis]],"_"),1,5)</f>
        <v>ST TROPEZ</v>
      </c>
      <c r="Q1497" s="35" t="str">
        <f>_xlfn.TEXTAFTER(mvtst[[#This Row],[QR Suivis]],"_",5)</f>
        <v>1020</v>
      </c>
      <c r="R1497" s="84" t="str">
        <f>IF(
   COUNTIFS($A$2:A1497,A1497,
             $B$2:B1497,B1497,
             $C$2:C1497,C1497,
             $D$2:D1497,D1497,
             $G$2:G1497,G1497)&gt;1,
   "Doublon",
   "Correcte"
)</f>
        <v>Correcte</v>
      </c>
    </row>
    <row r="1498" spans="1:18" x14ac:dyDescent="0.25">
      <c r="A1498" s="104" t="s">
        <v>2132</v>
      </c>
      <c r="B1498" s="35" t="s">
        <v>712</v>
      </c>
      <c r="C1498" s="36">
        <v>5</v>
      </c>
      <c r="D1498" s="36">
        <v>0</v>
      </c>
      <c r="E1498" s="35" t="s">
        <v>699</v>
      </c>
      <c r="F1498" s="35" t="s">
        <v>634</v>
      </c>
      <c r="G1498" s="37">
        <v>45939.602453703701</v>
      </c>
      <c r="H1498" s="37" t="str">
        <f>INDEX(_xlfn.TEXTSPLIT(mvtst[[#This Row],[QR Suivis]],"_"),1,1)</f>
        <v>OF249946-8</v>
      </c>
      <c r="I1498" s="35" t="str">
        <f>_xlfn.TEXTBEFORE(mvtst[[#This Row],[Num Suivis]],"-",,,1)</f>
        <v>OF249946</v>
      </c>
      <c r="J1498" s="36">
        <f>SUMIF(mvtst[QR Suivis],mvtst[[#This Row],[QR Suivis]],mvtst[QTE SORTIS])-SUMIF(mvtst[QR Suivis],mvtst[[#This Row],[QR Suivis]],mvtst[QTE RETOUR])</f>
        <v>0</v>
      </c>
      <c r="K1498" s="35" t="str">
        <f t="shared" si="23"/>
        <v>Usine</v>
      </c>
      <c r="L1498" s="35" t="str">
        <f>_xlfn.XLOOKUP(mvtst[[#This Row],[Sous Traitant]],coordonnee_st[Identification],coordonnee_st[SERVICE],"Non Trouvé")</f>
        <v>Frange</v>
      </c>
      <c r="M1498" s="35" t="str">
        <f>INDEX(_xlfn.TEXTSPLIT(mvtst[[#This Row],[QR Suivis]],"_"),1,2)</f>
        <v>CL00884</v>
      </c>
      <c r="N1498" s="35" t="str">
        <f>INDEX(_xlfn.TEXTSPLIT(mvtst[[#This Row],[QR Suivis]],"_"),1,3)</f>
        <v>CM-FT0120</v>
      </c>
      <c r="O1498" s="35" t="str">
        <f>INDEX(_xlfn.TEXTSPLIT(mvtst[[#This Row],[QR Suivis]],"_"),1,4)</f>
        <v>ST1020-S14-16-17</v>
      </c>
      <c r="P1498" s="35" t="str">
        <f>INDEX(_xlfn.TEXTSPLIT(mvtst[[#This Row],[QR Suivis]],"_"),1,5)</f>
        <v>ST TROPEZ</v>
      </c>
      <c r="Q1498" s="35" t="str">
        <f>_xlfn.TEXTAFTER(mvtst[[#This Row],[QR Suivis]],"_",5)</f>
        <v>1020</v>
      </c>
      <c r="R1498" s="84" t="str">
        <f>IF(
   COUNTIFS($A$2:A1498,A1498,
             $B$2:B1498,B1498,
             $C$2:C1498,C1498,
             $D$2:D1498,D1498,
             $G$2:G1498,G1498)&gt;1,
   "Doublon",
   "Correcte"
)</f>
        <v>Correcte</v>
      </c>
    </row>
    <row r="1499" spans="1:18" x14ac:dyDescent="0.25">
      <c r="A1499" s="104" t="s">
        <v>2133</v>
      </c>
      <c r="B1499" s="35" t="s">
        <v>712</v>
      </c>
      <c r="C1499" s="36">
        <v>5</v>
      </c>
      <c r="D1499" s="36">
        <v>0</v>
      </c>
      <c r="E1499" s="35" t="s">
        <v>699</v>
      </c>
      <c r="F1499" s="35" t="s">
        <v>634</v>
      </c>
      <c r="G1499" s="37">
        <v>45939.60260416667</v>
      </c>
      <c r="H1499" s="37" t="str">
        <f>INDEX(_xlfn.TEXTSPLIT(mvtst[[#This Row],[QR Suivis]],"_"),1,1)</f>
        <v>OF249946-9</v>
      </c>
      <c r="I1499" s="35" t="str">
        <f>_xlfn.TEXTBEFORE(mvtst[[#This Row],[Num Suivis]],"-",,,1)</f>
        <v>OF249946</v>
      </c>
      <c r="J1499" s="36">
        <f>SUMIF(mvtst[QR Suivis],mvtst[[#This Row],[QR Suivis]],mvtst[QTE SORTIS])-SUMIF(mvtst[QR Suivis],mvtst[[#This Row],[QR Suivis]],mvtst[QTE RETOUR])</f>
        <v>0</v>
      </c>
      <c r="K1499" s="35" t="str">
        <f t="shared" si="23"/>
        <v>Usine</v>
      </c>
      <c r="L1499" s="35" t="str">
        <f>_xlfn.XLOOKUP(mvtst[[#This Row],[Sous Traitant]],coordonnee_st[Identification],coordonnee_st[SERVICE],"Non Trouvé")</f>
        <v>Frange</v>
      </c>
      <c r="M1499" s="35" t="str">
        <f>INDEX(_xlfn.TEXTSPLIT(mvtst[[#This Row],[QR Suivis]],"_"),1,2)</f>
        <v>CL00884</v>
      </c>
      <c r="N1499" s="35" t="str">
        <f>INDEX(_xlfn.TEXTSPLIT(mvtst[[#This Row],[QR Suivis]],"_"),1,3)</f>
        <v>CM-FT0120</v>
      </c>
      <c r="O1499" s="35" t="str">
        <f>INDEX(_xlfn.TEXTSPLIT(mvtst[[#This Row],[QR Suivis]],"_"),1,4)</f>
        <v>ST1020-S14-16-17</v>
      </c>
      <c r="P1499" s="35" t="str">
        <f>INDEX(_xlfn.TEXTSPLIT(mvtst[[#This Row],[QR Suivis]],"_"),1,5)</f>
        <v>ST TROPEZ</v>
      </c>
      <c r="Q1499" s="35" t="str">
        <f>_xlfn.TEXTAFTER(mvtst[[#This Row],[QR Suivis]],"_",5)</f>
        <v>1020</v>
      </c>
      <c r="R1499" s="84" t="str">
        <f>IF(
   COUNTIFS($A$2:A1499,A1499,
             $B$2:B1499,B1499,
             $C$2:C1499,C1499,
             $D$2:D1499,D1499,
             $G$2:G1499,G1499)&gt;1,
   "Doublon",
   "Correcte"
)</f>
        <v>Correcte</v>
      </c>
    </row>
    <row r="1500" spans="1:18" x14ac:dyDescent="0.25">
      <c r="A1500" s="104" t="s">
        <v>2134</v>
      </c>
      <c r="B1500" s="35" t="s">
        <v>712</v>
      </c>
      <c r="C1500" s="36">
        <v>5</v>
      </c>
      <c r="D1500" s="36">
        <v>0</v>
      </c>
      <c r="E1500" s="35" t="s">
        <v>699</v>
      </c>
      <c r="F1500" s="35" t="s">
        <v>634</v>
      </c>
      <c r="G1500" s="37">
        <v>45939.602743055555</v>
      </c>
      <c r="H1500" s="37" t="str">
        <f>INDEX(_xlfn.TEXTSPLIT(mvtst[[#This Row],[QR Suivis]],"_"),1,1)</f>
        <v>OF249946-10</v>
      </c>
      <c r="I1500" s="35" t="str">
        <f>_xlfn.TEXTBEFORE(mvtst[[#This Row],[Num Suivis]],"-",,,1)</f>
        <v>OF249946</v>
      </c>
      <c r="J1500" s="36">
        <f>SUMIF(mvtst[QR Suivis],mvtst[[#This Row],[QR Suivis]],mvtst[QTE SORTIS])-SUMIF(mvtst[QR Suivis],mvtst[[#This Row],[QR Suivis]],mvtst[QTE RETOUR])</f>
        <v>0</v>
      </c>
      <c r="K1500" s="35" t="str">
        <f t="shared" si="23"/>
        <v>Usine</v>
      </c>
      <c r="L1500" s="35" t="str">
        <f>_xlfn.XLOOKUP(mvtst[[#This Row],[Sous Traitant]],coordonnee_st[Identification],coordonnee_st[SERVICE],"Non Trouvé")</f>
        <v>Frange</v>
      </c>
      <c r="M1500" s="35" t="str">
        <f>INDEX(_xlfn.TEXTSPLIT(mvtst[[#This Row],[QR Suivis]],"_"),1,2)</f>
        <v>CL00884</v>
      </c>
      <c r="N1500" s="35" t="str">
        <f>INDEX(_xlfn.TEXTSPLIT(mvtst[[#This Row],[QR Suivis]],"_"),1,3)</f>
        <v>CM-FT0120</v>
      </c>
      <c r="O1500" s="35" t="str">
        <f>INDEX(_xlfn.TEXTSPLIT(mvtst[[#This Row],[QR Suivis]],"_"),1,4)</f>
        <v>ST1020-S14-16-17</v>
      </c>
      <c r="P1500" s="35" t="str">
        <f>INDEX(_xlfn.TEXTSPLIT(mvtst[[#This Row],[QR Suivis]],"_"),1,5)</f>
        <v>ST TROPEZ</v>
      </c>
      <c r="Q1500" s="35" t="str">
        <f>_xlfn.TEXTAFTER(mvtst[[#This Row],[QR Suivis]],"_",5)</f>
        <v>1020</v>
      </c>
      <c r="R1500" s="84" t="str">
        <f>IF(
   COUNTIFS($A$2:A1500,A1500,
             $B$2:B1500,B1500,
             $C$2:C1500,C1500,
             $D$2:D1500,D1500,
             $G$2:G1500,G1500)&gt;1,
   "Doublon",
   "Correcte"
)</f>
        <v>Correcte</v>
      </c>
    </row>
    <row r="1501" spans="1:18" x14ac:dyDescent="0.25">
      <c r="A1501" s="104" t="s">
        <v>2135</v>
      </c>
      <c r="B1501" s="35" t="s">
        <v>712</v>
      </c>
      <c r="C1501" s="36">
        <v>5</v>
      </c>
      <c r="D1501" s="36">
        <v>0</v>
      </c>
      <c r="E1501" s="35" t="s">
        <v>699</v>
      </c>
      <c r="F1501" s="35" t="s">
        <v>634</v>
      </c>
      <c r="G1501" s="37">
        <v>45939.602905092594</v>
      </c>
      <c r="H1501" s="37" t="str">
        <f>INDEX(_xlfn.TEXTSPLIT(mvtst[[#This Row],[QR Suivis]],"_"),1,1)</f>
        <v>OF249946-28</v>
      </c>
      <c r="I1501" s="35" t="str">
        <f>_xlfn.TEXTBEFORE(mvtst[[#This Row],[Num Suivis]],"-",,,1)</f>
        <v>OF249946</v>
      </c>
      <c r="J1501" s="36">
        <f>SUMIF(mvtst[QR Suivis],mvtst[[#This Row],[QR Suivis]],mvtst[QTE SORTIS])-SUMIF(mvtst[QR Suivis],mvtst[[#This Row],[QR Suivis]],mvtst[QTE RETOUR])</f>
        <v>0</v>
      </c>
      <c r="K1501" s="35" t="str">
        <f t="shared" si="23"/>
        <v>Usine</v>
      </c>
      <c r="L1501" s="35" t="str">
        <f>_xlfn.XLOOKUP(mvtst[[#This Row],[Sous Traitant]],coordonnee_st[Identification],coordonnee_st[SERVICE],"Non Trouvé")</f>
        <v>Frange</v>
      </c>
      <c r="M1501" s="35" t="str">
        <f>INDEX(_xlfn.TEXTSPLIT(mvtst[[#This Row],[QR Suivis]],"_"),1,2)</f>
        <v>CL00884</v>
      </c>
      <c r="N1501" s="35" t="str">
        <f>INDEX(_xlfn.TEXTSPLIT(mvtst[[#This Row],[QR Suivis]],"_"),1,3)</f>
        <v>CM-FT0120</v>
      </c>
      <c r="O1501" s="35" t="str">
        <f>INDEX(_xlfn.TEXTSPLIT(mvtst[[#This Row],[QR Suivis]],"_"),1,4)</f>
        <v>ST1020-S14-16-17</v>
      </c>
      <c r="P1501" s="35" t="str">
        <f>INDEX(_xlfn.TEXTSPLIT(mvtst[[#This Row],[QR Suivis]],"_"),1,5)</f>
        <v>ST TROPEZ</v>
      </c>
      <c r="Q1501" s="35" t="str">
        <f>_xlfn.TEXTAFTER(mvtst[[#This Row],[QR Suivis]],"_",5)</f>
        <v>1020</v>
      </c>
      <c r="R1501" s="84" t="str">
        <f>IF(
   COUNTIFS($A$2:A1501,A1501,
             $B$2:B1501,B1501,
             $C$2:C1501,C1501,
             $D$2:D1501,D1501,
             $G$2:G1501,G1501)&gt;1,
   "Doublon",
   "Correcte"
)</f>
        <v>Correcte</v>
      </c>
    </row>
    <row r="1502" spans="1:18" x14ac:dyDescent="0.25">
      <c r="A1502" s="104" t="s">
        <v>2136</v>
      </c>
      <c r="B1502" s="35" t="s">
        <v>712</v>
      </c>
      <c r="C1502" s="36">
        <v>5</v>
      </c>
      <c r="D1502" s="36">
        <v>0</v>
      </c>
      <c r="E1502" s="35" t="s">
        <v>699</v>
      </c>
      <c r="F1502" s="35" t="s">
        <v>634</v>
      </c>
      <c r="G1502" s="37">
        <v>45939.603136574071</v>
      </c>
      <c r="H1502" s="37" t="str">
        <f>INDEX(_xlfn.TEXTSPLIT(mvtst[[#This Row],[QR Suivis]],"_"),1,1)</f>
        <v>OF249946-1</v>
      </c>
      <c r="I1502" s="35" t="str">
        <f>_xlfn.TEXTBEFORE(mvtst[[#This Row],[Num Suivis]],"-",,,1)</f>
        <v>OF249946</v>
      </c>
      <c r="J1502" s="36">
        <f>SUMIF(mvtst[QR Suivis],mvtst[[#This Row],[QR Suivis]],mvtst[QTE SORTIS])-SUMIF(mvtst[QR Suivis],mvtst[[#This Row],[QR Suivis]],mvtst[QTE RETOUR])</f>
        <v>0</v>
      </c>
      <c r="K1502" s="35" t="str">
        <f t="shared" si="23"/>
        <v>Usine</v>
      </c>
      <c r="L1502" s="35" t="str">
        <f>_xlfn.XLOOKUP(mvtst[[#This Row],[Sous Traitant]],coordonnee_st[Identification],coordonnee_st[SERVICE],"Non Trouvé")</f>
        <v>Frange</v>
      </c>
      <c r="M1502" s="35" t="str">
        <f>INDEX(_xlfn.TEXTSPLIT(mvtst[[#This Row],[QR Suivis]],"_"),1,2)</f>
        <v>CL00884</v>
      </c>
      <c r="N1502" s="35" t="str">
        <f>INDEX(_xlfn.TEXTSPLIT(mvtst[[#This Row],[QR Suivis]],"_"),1,3)</f>
        <v>CM-FT0120</v>
      </c>
      <c r="O1502" s="35" t="str">
        <f>INDEX(_xlfn.TEXTSPLIT(mvtst[[#This Row],[QR Suivis]],"_"),1,4)</f>
        <v>ST1020-S14-16-17</v>
      </c>
      <c r="P1502" s="35" t="str">
        <f>INDEX(_xlfn.TEXTSPLIT(mvtst[[#This Row],[QR Suivis]],"_"),1,5)</f>
        <v>ST TROPEZ</v>
      </c>
      <c r="Q1502" s="35" t="str">
        <f>_xlfn.TEXTAFTER(mvtst[[#This Row],[QR Suivis]],"_",5)</f>
        <v>1020</v>
      </c>
      <c r="R1502" s="84" t="str">
        <f>IF(
   COUNTIFS($A$2:A1502,A1502,
             $B$2:B1502,B1502,
             $C$2:C1502,C1502,
             $D$2:D1502,D1502,
             $G$2:G1502,G1502)&gt;1,
   "Doublon",
   "Correcte"
)</f>
        <v>Correcte</v>
      </c>
    </row>
    <row r="1503" spans="1:18" x14ac:dyDescent="0.25">
      <c r="A1503" s="104" t="s">
        <v>2137</v>
      </c>
      <c r="B1503" s="35" t="s">
        <v>712</v>
      </c>
      <c r="C1503" s="36">
        <v>5</v>
      </c>
      <c r="D1503" s="36">
        <v>0</v>
      </c>
      <c r="E1503" s="35" t="s">
        <v>699</v>
      </c>
      <c r="F1503" s="35" t="s">
        <v>634</v>
      </c>
      <c r="G1503" s="37">
        <v>45939.603356481479</v>
      </c>
      <c r="H1503" s="37" t="str">
        <f>INDEX(_xlfn.TEXTSPLIT(mvtst[[#This Row],[QR Suivis]],"_"),1,1)</f>
        <v>OF249946-4</v>
      </c>
      <c r="I1503" s="35" t="str">
        <f>_xlfn.TEXTBEFORE(mvtst[[#This Row],[Num Suivis]],"-",,,1)</f>
        <v>OF249946</v>
      </c>
      <c r="J1503" s="36">
        <f>SUMIF(mvtst[QR Suivis],mvtst[[#This Row],[QR Suivis]],mvtst[QTE SORTIS])-SUMIF(mvtst[QR Suivis],mvtst[[#This Row],[QR Suivis]],mvtst[QTE RETOUR])</f>
        <v>0</v>
      </c>
      <c r="K1503" s="35" t="str">
        <f t="shared" si="23"/>
        <v>Usine</v>
      </c>
      <c r="L1503" s="35" t="str">
        <f>_xlfn.XLOOKUP(mvtst[[#This Row],[Sous Traitant]],coordonnee_st[Identification],coordonnee_st[SERVICE],"Non Trouvé")</f>
        <v>Frange</v>
      </c>
      <c r="M1503" s="35" t="str">
        <f>INDEX(_xlfn.TEXTSPLIT(mvtst[[#This Row],[QR Suivis]],"_"),1,2)</f>
        <v>CL00884</v>
      </c>
      <c r="N1503" s="35" t="str">
        <f>INDEX(_xlfn.TEXTSPLIT(mvtst[[#This Row],[QR Suivis]],"_"),1,3)</f>
        <v>CM-FT0120</v>
      </c>
      <c r="O1503" s="35" t="str">
        <f>INDEX(_xlfn.TEXTSPLIT(mvtst[[#This Row],[QR Suivis]],"_"),1,4)</f>
        <v>ST1020-S14-16-17</v>
      </c>
      <c r="P1503" s="35" t="str">
        <f>INDEX(_xlfn.TEXTSPLIT(mvtst[[#This Row],[QR Suivis]],"_"),1,5)</f>
        <v>ST TROPEZ</v>
      </c>
      <c r="Q1503" s="35" t="str">
        <f>_xlfn.TEXTAFTER(mvtst[[#This Row],[QR Suivis]],"_",5)</f>
        <v>1020</v>
      </c>
      <c r="R1503" s="84" t="str">
        <f>IF(
   COUNTIFS($A$2:A1503,A1503,
             $B$2:B1503,B1503,
             $C$2:C1503,C1503,
             $D$2:D1503,D1503,
             $G$2:G1503,G1503)&gt;1,
   "Doublon",
   "Correcte"
)</f>
        <v>Correcte</v>
      </c>
    </row>
    <row r="1504" spans="1:18" x14ac:dyDescent="0.25">
      <c r="A1504" s="104" t="s">
        <v>2138</v>
      </c>
      <c r="B1504" s="35" t="s">
        <v>712</v>
      </c>
      <c r="C1504" s="36">
        <v>5</v>
      </c>
      <c r="D1504" s="36">
        <v>0</v>
      </c>
      <c r="E1504" s="35" t="s">
        <v>699</v>
      </c>
      <c r="F1504" s="35" t="s">
        <v>634</v>
      </c>
      <c r="G1504" s="37">
        <v>45939.603506944448</v>
      </c>
      <c r="H1504" s="37" t="str">
        <f>INDEX(_xlfn.TEXTSPLIT(mvtst[[#This Row],[QR Suivis]],"_"),1,1)</f>
        <v>OF249946-16</v>
      </c>
      <c r="I1504" s="35" t="str">
        <f>_xlfn.TEXTBEFORE(mvtst[[#This Row],[Num Suivis]],"-",,,1)</f>
        <v>OF249946</v>
      </c>
      <c r="J1504" s="36">
        <f>SUMIF(mvtst[QR Suivis],mvtst[[#This Row],[QR Suivis]],mvtst[QTE SORTIS])-SUMIF(mvtst[QR Suivis],mvtst[[#This Row],[QR Suivis]],mvtst[QTE RETOUR])</f>
        <v>0</v>
      </c>
      <c r="K1504" s="35" t="str">
        <f t="shared" si="23"/>
        <v>Usine</v>
      </c>
      <c r="L1504" s="35" t="str">
        <f>_xlfn.XLOOKUP(mvtst[[#This Row],[Sous Traitant]],coordonnee_st[Identification],coordonnee_st[SERVICE],"Non Trouvé")</f>
        <v>Frange</v>
      </c>
      <c r="M1504" s="35" t="str">
        <f>INDEX(_xlfn.TEXTSPLIT(mvtst[[#This Row],[QR Suivis]],"_"),1,2)</f>
        <v>CL00884</v>
      </c>
      <c r="N1504" s="35" t="str">
        <f>INDEX(_xlfn.TEXTSPLIT(mvtst[[#This Row],[QR Suivis]],"_"),1,3)</f>
        <v>CM-FT0120</v>
      </c>
      <c r="O1504" s="35" t="str">
        <f>INDEX(_xlfn.TEXTSPLIT(mvtst[[#This Row],[QR Suivis]],"_"),1,4)</f>
        <v>ST1020-S14-16-17</v>
      </c>
      <c r="P1504" s="35" t="str">
        <f>INDEX(_xlfn.TEXTSPLIT(mvtst[[#This Row],[QR Suivis]],"_"),1,5)</f>
        <v>ST TROPEZ</v>
      </c>
      <c r="Q1504" s="35" t="str">
        <f>_xlfn.TEXTAFTER(mvtst[[#This Row],[QR Suivis]],"_",5)</f>
        <v>1020</v>
      </c>
      <c r="R1504" s="84" t="str">
        <f>IF(
   COUNTIFS($A$2:A1504,A1504,
             $B$2:B1504,B1504,
             $C$2:C1504,C1504,
             $D$2:D1504,D1504,
             $G$2:G1504,G1504)&gt;1,
   "Doublon",
   "Correcte"
)</f>
        <v>Correcte</v>
      </c>
    </row>
    <row r="1505" spans="1:18" x14ac:dyDescent="0.25">
      <c r="A1505" s="104" t="s">
        <v>2139</v>
      </c>
      <c r="B1505" s="35" t="s">
        <v>712</v>
      </c>
      <c r="C1505" s="36">
        <v>5</v>
      </c>
      <c r="D1505" s="36">
        <v>0</v>
      </c>
      <c r="E1505" s="35" t="s">
        <v>699</v>
      </c>
      <c r="F1505" s="35" t="s">
        <v>634</v>
      </c>
      <c r="G1505" s="37">
        <v>45939.603668981479</v>
      </c>
      <c r="H1505" s="37" t="str">
        <f>INDEX(_xlfn.TEXTSPLIT(mvtst[[#This Row],[QR Suivis]],"_"),1,1)</f>
        <v>OF249946-17</v>
      </c>
      <c r="I1505" s="35" t="str">
        <f>_xlfn.TEXTBEFORE(mvtst[[#This Row],[Num Suivis]],"-",,,1)</f>
        <v>OF249946</v>
      </c>
      <c r="J1505" s="36">
        <f>SUMIF(mvtst[QR Suivis],mvtst[[#This Row],[QR Suivis]],mvtst[QTE SORTIS])-SUMIF(mvtst[QR Suivis],mvtst[[#This Row],[QR Suivis]],mvtst[QTE RETOUR])</f>
        <v>0</v>
      </c>
      <c r="K1505" s="35" t="str">
        <f t="shared" si="23"/>
        <v>Usine</v>
      </c>
      <c r="L1505" s="35" t="str">
        <f>_xlfn.XLOOKUP(mvtst[[#This Row],[Sous Traitant]],coordonnee_st[Identification],coordonnee_st[SERVICE],"Non Trouvé")</f>
        <v>Frange</v>
      </c>
      <c r="M1505" s="35" t="str">
        <f>INDEX(_xlfn.TEXTSPLIT(mvtst[[#This Row],[QR Suivis]],"_"),1,2)</f>
        <v>CL00884</v>
      </c>
      <c r="N1505" s="35" t="str">
        <f>INDEX(_xlfn.TEXTSPLIT(mvtst[[#This Row],[QR Suivis]],"_"),1,3)</f>
        <v>CM-FT0120</v>
      </c>
      <c r="O1505" s="35" t="str">
        <f>INDEX(_xlfn.TEXTSPLIT(mvtst[[#This Row],[QR Suivis]],"_"),1,4)</f>
        <v>ST1020-S14-16-17</v>
      </c>
      <c r="P1505" s="35" t="str">
        <f>INDEX(_xlfn.TEXTSPLIT(mvtst[[#This Row],[QR Suivis]],"_"),1,5)</f>
        <v>ST TROPEZ</v>
      </c>
      <c r="Q1505" s="35" t="str">
        <f>_xlfn.TEXTAFTER(mvtst[[#This Row],[QR Suivis]],"_",5)</f>
        <v>1020</v>
      </c>
      <c r="R1505" s="84" t="str">
        <f>IF(
   COUNTIFS($A$2:A1505,A1505,
             $B$2:B1505,B1505,
             $C$2:C1505,C1505,
             $D$2:D1505,D1505,
             $G$2:G1505,G1505)&gt;1,
   "Doublon",
   "Correcte"
)</f>
        <v>Correcte</v>
      </c>
    </row>
    <row r="1506" spans="1:18" x14ac:dyDescent="0.25">
      <c r="A1506" s="104" t="s">
        <v>2140</v>
      </c>
      <c r="B1506" s="35" t="s">
        <v>712</v>
      </c>
      <c r="C1506" s="36">
        <v>5</v>
      </c>
      <c r="D1506" s="36">
        <v>0</v>
      </c>
      <c r="E1506" s="35" t="s">
        <v>699</v>
      </c>
      <c r="F1506" s="35" t="s">
        <v>634</v>
      </c>
      <c r="G1506" s="37">
        <v>45939.603865740741</v>
      </c>
      <c r="H1506" s="37" t="str">
        <f>INDEX(_xlfn.TEXTSPLIT(mvtst[[#This Row],[QR Suivis]],"_"),1,1)</f>
        <v>OF249946-22</v>
      </c>
      <c r="I1506" s="35" t="str">
        <f>_xlfn.TEXTBEFORE(mvtst[[#This Row],[Num Suivis]],"-",,,1)</f>
        <v>OF249946</v>
      </c>
      <c r="J1506" s="36">
        <f>SUMIF(mvtst[QR Suivis],mvtst[[#This Row],[QR Suivis]],mvtst[QTE SORTIS])-SUMIF(mvtst[QR Suivis],mvtst[[#This Row],[QR Suivis]],mvtst[QTE RETOUR])</f>
        <v>0</v>
      </c>
      <c r="K1506" s="35" t="str">
        <f t="shared" si="23"/>
        <v>Usine</v>
      </c>
      <c r="L1506" s="35" t="str">
        <f>_xlfn.XLOOKUP(mvtst[[#This Row],[Sous Traitant]],coordonnee_st[Identification],coordonnee_st[SERVICE],"Non Trouvé")</f>
        <v>Frange</v>
      </c>
      <c r="M1506" s="35" t="str">
        <f>INDEX(_xlfn.TEXTSPLIT(mvtst[[#This Row],[QR Suivis]],"_"),1,2)</f>
        <v>CL00884</v>
      </c>
      <c r="N1506" s="35" t="str">
        <f>INDEX(_xlfn.TEXTSPLIT(mvtst[[#This Row],[QR Suivis]],"_"),1,3)</f>
        <v>CM-FT0120</v>
      </c>
      <c r="O1506" s="35" t="str">
        <f>INDEX(_xlfn.TEXTSPLIT(mvtst[[#This Row],[QR Suivis]],"_"),1,4)</f>
        <v>ST1020-S14-16-17</v>
      </c>
      <c r="P1506" s="35" t="str">
        <f>INDEX(_xlfn.TEXTSPLIT(mvtst[[#This Row],[QR Suivis]],"_"),1,5)</f>
        <v>ST TROPEZ</v>
      </c>
      <c r="Q1506" s="35" t="str">
        <f>_xlfn.TEXTAFTER(mvtst[[#This Row],[QR Suivis]],"_",5)</f>
        <v>1020</v>
      </c>
      <c r="R1506" s="84" t="str">
        <f>IF(
   COUNTIFS($A$2:A1506,A1506,
             $B$2:B1506,B1506,
             $C$2:C1506,C1506,
             $D$2:D1506,D1506,
             $G$2:G1506,G1506)&gt;1,
   "Doublon",
   "Correcte"
)</f>
        <v>Correcte</v>
      </c>
    </row>
    <row r="1507" spans="1:18" x14ac:dyDescent="0.25">
      <c r="A1507" s="104" t="s">
        <v>2141</v>
      </c>
      <c r="B1507" s="35" t="s">
        <v>712</v>
      </c>
      <c r="C1507" s="36">
        <v>5</v>
      </c>
      <c r="D1507" s="36">
        <v>0</v>
      </c>
      <c r="E1507" s="35" t="s">
        <v>699</v>
      </c>
      <c r="F1507" s="35" t="s">
        <v>634</v>
      </c>
      <c r="G1507" s="37">
        <v>45939.604039351849</v>
      </c>
      <c r="H1507" s="37" t="str">
        <f>INDEX(_xlfn.TEXTSPLIT(mvtst[[#This Row],[QR Suivis]],"_"),1,1)</f>
        <v>OF249946-31</v>
      </c>
      <c r="I1507" s="35" t="str">
        <f>_xlfn.TEXTBEFORE(mvtst[[#This Row],[Num Suivis]],"-",,,1)</f>
        <v>OF249946</v>
      </c>
      <c r="J1507" s="36">
        <f>SUMIF(mvtst[QR Suivis],mvtst[[#This Row],[QR Suivis]],mvtst[QTE SORTIS])-SUMIF(mvtst[QR Suivis],mvtst[[#This Row],[QR Suivis]],mvtst[QTE RETOUR])</f>
        <v>0</v>
      </c>
      <c r="K1507" s="35" t="str">
        <f t="shared" si="23"/>
        <v>Usine</v>
      </c>
      <c r="L1507" s="35" t="str">
        <f>_xlfn.XLOOKUP(mvtst[[#This Row],[Sous Traitant]],coordonnee_st[Identification],coordonnee_st[SERVICE],"Non Trouvé")</f>
        <v>Frange</v>
      </c>
      <c r="M1507" s="35" t="str">
        <f>INDEX(_xlfn.TEXTSPLIT(mvtst[[#This Row],[QR Suivis]],"_"),1,2)</f>
        <v>CL00884</v>
      </c>
      <c r="N1507" s="35" t="str">
        <f>INDEX(_xlfn.TEXTSPLIT(mvtst[[#This Row],[QR Suivis]],"_"),1,3)</f>
        <v>CM-FT0120</v>
      </c>
      <c r="O1507" s="35" t="str">
        <f>INDEX(_xlfn.TEXTSPLIT(mvtst[[#This Row],[QR Suivis]],"_"),1,4)</f>
        <v>ST1020-S14-16-17</v>
      </c>
      <c r="P1507" s="35" t="str">
        <f>INDEX(_xlfn.TEXTSPLIT(mvtst[[#This Row],[QR Suivis]],"_"),1,5)</f>
        <v>ST TROPEZ</v>
      </c>
      <c r="Q1507" s="35" t="str">
        <f>_xlfn.TEXTAFTER(mvtst[[#This Row],[QR Suivis]],"_",5)</f>
        <v>1020</v>
      </c>
      <c r="R1507" s="84" t="str">
        <f>IF(
   COUNTIFS($A$2:A1507,A1507,
             $B$2:B1507,B1507,
             $C$2:C1507,C1507,
             $D$2:D1507,D1507,
             $G$2:G1507,G1507)&gt;1,
   "Doublon",
   "Correcte"
)</f>
        <v>Correcte</v>
      </c>
    </row>
    <row r="1508" spans="1:18" x14ac:dyDescent="0.25">
      <c r="A1508" s="104" t="s">
        <v>2142</v>
      </c>
      <c r="B1508" s="35" t="s">
        <v>712</v>
      </c>
      <c r="C1508" s="36">
        <v>5</v>
      </c>
      <c r="D1508" s="36">
        <v>0</v>
      </c>
      <c r="E1508" s="35" t="s">
        <v>699</v>
      </c>
      <c r="F1508" s="35" t="s">
        <v>634</v>
      </c>
      <c r="G1508" s="37">
        <v>45939.604224537034</v>
      </c>
      <c r="H1508" s="37" t="str">
        <f>INDEX(_xlfn.TEXTSPLIT(mvtst[[#This Row],[QR Suivis]],"_"),1,1)</f>
        <v>OF249946-7</v>
      </c>
      <c r="I1508" s="35" t="str">
        <f>_xlfn.TEXTBEFORE(mvtst[[#This Row],[Num Suivis]],"-",,,1)</f>
        <v>OF249946</v>
      </c>
      <c r="J1508" s="36">
        <f>SUMIF(mvtst[QR Suivis],mvtst[[#This Row],[QR Suivis]],mvtst[QTE SORTIS])-SUMIF(mvtst[QR Suivis],mvtst[[#This Row],[QR Suivis]],mvtst[QTE RETOUR])</f>
        <v>0</v>
      </c>
      <c r="K1508" s="35" t="str">
        <f t="shared" si="23"/>
        <v>Usine</v>
      </c>
      <c r="L1508" s="35" t="str">
        <f>_xlfn.XLOOKUP(mvtst[[#This Row],[Sous Traitant]],coordonnee_st[Identification],coordonnee_st[SERVICE],"Non Trouvé")</f>
        <v>Frange</v>
      </c>
      <c r="M1508" s="35" t="str">
        <f>INDEX(_xlfn.TEXTSPLIT(mvtst[[#This Row],[QR Suivis]],"_"),1,2)</f>
        <v>CL00884</v>
      </c>
      <c r="N1508" s="35" t="str">
        <f>INDEX(_xlfn.TEXTSPLIT(mvtst[[#This Row],[QR Suivis]],"_"),1,3)</f>
        <v>CM-FT0120</v>
      </c>
      <c r="O1508" s="35" t="str">
        <f>INDEX(_xlfn.TEXTSPLIT(mvtst[[#This Row],[QR Suivis]],"_"),1,4)</f>
        <v>ST1020-S14-16-17</v>
      </c>
      <c r="P1508" s="35" t="str">
        <f>INDEX(_xlfn.TEXTSPLIT(mvtst[[#This Row],[QR Suivis]],"_"),1,5)</f>
        <v>ST TROPEZ</v>
      </c>
      <c r="Q1508" s="35" t="str">
        <f>_xlfn.TEXTAFTER(mvtst[[#This Row],[QR Suivis]],"_",5)</f>
        <v>1020</v>
      </c>
      <c r="R1508" s="84" t="str">
        <f>IF(
   COUNTIFS($A$2:A1508,A1508,
             $B$2:B1508,B1508,
             $C$2:C1508,C1508,
             $D$2:D1508,D1508,
             $G$2:G1508,G1508)&gt;1,
   "Doublon",
   "Correcte"
)</f>
        <v>Correcte</v>
      </c>
    </row>
    <row r="1509" spans="1:18" x14ac:dyDescent="0.25">
      <c r="A1509" s="104" t="s">
        <v>2143</v>
      </c>
      <c r="B1509" s="35" t="s">
        <v>712</v>
      </c>
      <c r="C1509" s="36">
        <v>5</v>
      </c>
      <c r="D1509" s="36">
        <v>0</v>
      </c>
      <c r="E1509" s="35" t="s">
        <v>699</v>
      </c>
      <c r="F1509" s="35" t="s">
        <v>634</v>
      </c>
      <c r="G1509" s="37">
        <v>45939.604421296295</v>
      </c>
      <c r="H1509" s="37" t="str">
        <f>INDEX(_xlfn.TEXTSPLIT(mvtst[[#This Row],[QR Suivis]],"_"),1,1)</f>
        <v>OF249946-21</v>
      </c>
      <c r="I1509" s="35" t="str">
        <f>_xlfn.TEXTBEFORE(mvtst[[#This Row],[Num Suivis]],"-",,,1)</f>
        <v>OF249946</v>
      </c>
      <c r="J1509" s="36">
        <f>SUMIF(mvtst[QR Suivis],mvtst[[#This Row],[QR Suivis]],mvtst[QTE SORTIS])-SUMIF(mvtst[QR Suivis],mvtst[[#This Row],[QR Suivis]],mvtst[QTE RETOUR])</f>
        <v>0</v>
      </c>
      <c r="K1509" s="35" t="str">
        <f t="shared" si="23"/>
        <v>Usine</v>
      </c>
      <c r="L1509" s="35" t="str">
        <f>_xlfn.XLOOKUP(mvtst[[#This Row],[Sous Traitant]],coordonnee_st[Identification],coordonnee_st[SERVICE],"Non Trouvé")</f>
        <v>Frange</v>
      </c>
      <c r="M1509" s="35" t="str">
        <f>INDEX(_xlfn.TEXTSPLIT(mvtst[[#This Row],[QR Suivis]],"_"),1,2)</f>
        <v>CL00884</v>
      </c>
      <c r="N1509" s="35" t="str">
        <f>INDEX(_xlfn.TEXTSPLIT(mvtst[[#This Row],[QR Suivis]],"_"),1,3)</f>
        <v>CM-FT0120</v>
      </c>
      <c r="O1509" s="35" t="str">
        <f>INDEX(_xlfn.TEXTSPLIT(mvtst[[#This Row],[QR Suivis]],"_"),1,4)</f>
        <v>ST1020-S14-16-17</v>
      </c>
      <c r="P1509" s="35" t="str">
        <f>INDEX(_xlfn.TEXTSPLIT(mvtst[[#This Row],[QR Suivis]],"_"),1,5)</f>
        <v>ST TROPEZ</v>
      </c>
      <c r="Q1509" s="35" t="str">
        <f>_xlfn.TEXTAFTER(mvtst[[#This Row],[QR Suivis]],"_",5)</f>
        <v>1020</v>
      </c>
      <c r="R1509" s="84" t="str">
        <f>IF(
   COUNTIFS($A$2:A1509,A1509,
             $B$2:B1509,B1509,
             $C$2:C1509,C1509,
             $D$2:D1509,D1509,
             $G$2:G1509,G1509)&gt;1,
   "Doublon",
   "Correcte"
)</f>
        <v>Correcte</v>
      </c>
    </row>
    <row r="1510" spans="1:18" x14ac:dyDescent="0.25">
      <c r="A1510" s="104" t="s">
        <v>2144</v>
      </c>
      <c r="B1510" s="35" t="s">
        <v>712</v>
      </c>
      <c r="C1510" s="36">
        <v>5</v>
      </c>
      <c r="D1510" s="36">
        <v>0</v>
      </c>
      <c r="E1510" s="35" t="s">
        <v>699</v>
      </c>
      <c r="F1510" s="35" t="s">
        <v>634</v>
      </c>
      <c r="G1510" s="37">
        <v>45939.604756944442</v>
      </c>
      <c r="H1510" s="37" t="str">
        <f>INDEX(_xlfn.TEXTSPLIT(mvtst[[#This Row],[QR Suivis]],"_"),1,1)</f>
        <v>OF249946-27</v>
      </c>
      <c r="I1510" s="35" t="str">
        <f>_xlfn.TEXTBEFORE(mvtst[[#This Row],[Num Suivis]],"-",,,1)</f>
        <v>OF249946</v>
      </c>
      <c r="J1510" s="36">
        <f>SUMIF(mvtst[QR Suivis],mvtst[[#This Row],[QR Suivis]],mvtst[QTE SORTIS])-SUMIF(mvtst[QR Suivis],mvtst[[#This Row],[QR Suivis]],mvtst[QTE RETOUR])</f>
        <v>0</v>
      </c>
      <c r="K1510" s="35" t="str">
        <f t="shared" si="23"/>
        <v>Usine</v>
      </c>
      <c r="L1510" s="35" t="str">
        <f>_xlfn.XLOOKUP(mvtst[[#This Row],[Sous Traitant]],coordonnee_st[Identification],coordonnee_st[SERVICE],"Non Trouvé")</f>
        <v>Frange</v>
      </c>
      <c r="M1510" s="35" t="str">
        <f>INDEX(_xlfn.TEXTSPLIT(mvtst[[#This Row],[QR Suivis]],"_"),1,2)</f>
        <v>CL00884</v>
      </c>
      <c r="N1510" s="35" t="str">
        <f>INDEX(_xlfn.TEXTSPLIT(mvtst[[#This Row],[QR Suivis]],"_"),1,3)</f>
        <v>CM-FT0120</v>
      </c>
      <c r="O1510" s="35" t="str">
        <f>INDEX(_xlfn.TEXTSPLIT(mvtst[[#This Row],[QR Suivis]],"_"),1,4)</f>
        <v>ST1020-S14-16-17</v>
      </c>
      <c r="P1510" s="35" t="str">
        <f>INDEX(_xlfn.TEXTSPLIT(mvtst[[#This Row],[QR Suivis]],"_"),1,5)</f>
        <v>ST TROPEZ</v>
      </c>
      <c r="Q1510" s="35" t="str">
        <f>_xlfn.TEXTAFTER(mvtst[[#This Row],[QR Suivis]],"_",5)</f>
        <v>1020</v>
      </c>
      <c r="R1510" s="84" t="str">
        <f>IF(
   COUNTIFS($A$2:A1510,A1510,
             $B$2:B1510,B1510,
             $C$2:C1510,C1510,
             $D$2:D1510,D1510,
             $G$2:G1510,G1510)&gt;1,
   "Doublon",
   "Correcte"
)</f>
        <v>Correcte</v>
      </c>
    </row>
    <row r="1511" spans="1:18" x14ac:dyDescent="0.25">
      <c r="A1511" s="104" t="s">
        <v>2145</v>
      </c>
      <c r="B1511" s="35" t="s">
        <v>712</v>
      </c>
      <c r="C1511" s="36">
        <v>5</v>
      </c>
      <c r="D1511" s="36">
        <v>0</v>
      </c>
      <c r="E1511" s="35" t="s">
        <v>699</v>
      </c>
      <c r="F1511" s="35" t="s">
        <v>634</v>
      </c>
      <c r="G1511" s="37">
        <v>45939.60491898148</v>
      </c>
      <c r="H1511" s="37" t="str">
        <f>INDEX(_xlfn.TEXTSPLIT(mvtst[[#This Row],[QR Suivis]],"_"),1,1)</f>
        <v>OF249946-12</v>
      </c>
      <c r="I1511" s="35" t="str">
        <f>_xlfn.TEXTBEFORE(mvtst[[#This Row],[Num Suivis]],"-",,,1)</f>
        <v>OF249946</v>
      </c>
      <c r="J1511" s="36">
        <f>SUMIF(mvtst[QR Suivis],mvtst[[#This Row],[QR Suivis]],mvtst[QTE SORTIS])-SUMIF(mvtst[QR Suivis],mvtst[[#This Row],[QR Suivis]],mvtst[QTE RETOUR])</f>
        <v>0</v>
      </c>
      <c r="K1511" s="35" t="str">
        <f t="shared" si="23"/>
        <v>Usine</v>
      </c>
      <c r="L1511" s="35" t="str">
        <f>_xlfn.XLOOKUP(mvtst[[#This Row],[Sous Traitant]],coordonnee_st[Identification],coordonnee_st[SERVICE],"Non Trouvé")</f>
        <v>Frange</v>
      </c>
      <c r="M1511" s="35" t="str">
        <f>INDEX(_xlfn.TEXTSPLIT(mvtst[[#This Row],[QR Suivis]],"_"),1,2)</f>
        <v>CL00884</v>
      </c>
      <c r="N1511" s="35" t="str">
        <f>INDEX(_xlfn.TEXTSPLIT(mvtst[[#This Row],[QR Suivis]],"_"),1,3)</f>
        <v>CM-FT0120</v>
      </c>
      <c r="O1511" s="35" t="str">
        <f>INDEX(_xlfn.TEXTSPLIT(mvtst[[#This Row],[QR Suivis]],"_"),1,4)</f>
        <v>ST1020-S14-16-17</v>
      </c>
      <c r="P1511" s="35" t="str">
        <f>INDEX(_xlfn.TEXTSPLIT(mvtst[[#This Row],[QR Suivis]],"_"),1,5)</f>
        <v>ST TROPEZ</v>
      </c>
      <c r="Q1511" s="35" t="str">
        <f>_xlfn.TEXTAFTER(mvtst[[#This Row],[QR Suivis]],"_",5)</f>
        <v>1020</v>
      </c>
      <c r="R1511" s="84" t="str">
        <f>IF(
   COUNTIFS($A$2:A1511,A1511,
             $B$2:B1511,B1511,
             $C$2:C1511,C1511,
             $D$2:D1511,D1511,
             $G$2:G1511,G1511)&gt;1,
   "Doublon",
   "Correcte"
)</f>
        <v>Correcte</v>
      </c>
    </row>
    <row r="1512" spans="1:18" x14ac:dyDescent="0.25">
      <c r="A1512" s="104" t="s">
        <v>2146</v>
      </c>
      <c r="B1512" s="35" t="s">
        <v>712</v>
      </c>
      <c r="C1512" s="36">
        <v>5</v>
      </c>
      <c r="D1512" s="36">
        <v>0</v>
      </c>
      <c r="E1512" s="35" t="s">
        <v>699</v>
      </c>
      <c r="F1512" s="35" t="s">
        <v>634</v>
      </c>
      <c r="G1512" s="37">
        <v>45939.605104166665</v>
      </c>
      <c r="H1512" s="37" t="str">
        <f>INDEX(_xlfn.TEXTSPLIT(mvtst[[#This Row],[QR Suivis]],"_"),1,1)</f>
        <v>OF249946-3</v>
      </c>
      <c r="I1512" s="35" t="str">
        <f>_xlfn.TEXTBEFORE(mvtst[[#This Row],[Num Suivis]],"-",,,1)</f>
        <v>OF249946</v>
      </c>
      <c r="J1512" s="36">
        <f>SUMIF(mvtst[QR Suivis],mvtst[[#This Row],[QR Suivis]],mvtst[QTE SORTIS])-SUMIF(mvtst[QR Suivis],mvtst[[#This Row],[QR Suivis]],mvtst[QTE RETOUR])</f>
        <v>0</v>
      </c>
      <c r="K1512" s="35" t="str">
        <f t="shared" si="23"/>
        <v>Usine</v>
      </c>
      <c r="L1512" s="35" t="str">
        <f>_xlfn.XLOOKUP(mvtst[[#This Row],[Sous Traitant]],coordonnee_st[Identification],coordonnee_st[SERVICE],"Non Trouvé")</f>
        <v>Frange</v>
      </c>
      <c r="M1512" s="35" t="str">
        <f>INDEX(_xlfn.TEXTSPLIT(mvtst[[#This Row],[QR Suivis]],"_"),1,2)</f>
        <v>CL00884</v>
      </c>
      <c r="N1512" s="35" t="str">
        <f>INDEX(_xlfn.TEXTSPLIT(mvtst[[#This Row],[QR Suivis]],"_"),1,3)</f>
        <v>CM-FT0120</v>
      </c>
      <c r="O1512" s="35" t="str">
        <f>INDEX(_xlfn.TEXTSPLIT(mvtst[[#This Row],[QR Suivis]],"_"),1,4)</f>
        <v>ST1020-S14-16-17</v>
      </c>
      <c r="P1512" s="35" t="str">
        <f>INDEX(_xlfn.TEXTSPLIT(mvtst[[#This Row],[QR Suivis]],"_"),1,5)</f>
        <v>ST TROPEZ</v>
      </c>
      <c r="Q1512" s="35" t="str">
        <f>_xlfn.TEXTAFTER(mvtst[[#This Row],[QR Suivis]],"_",5)</f>
        <v>1020</v>
      </c>
      <c r="R1512" s="84" t="str">
        <f>IF(
   COUNTIFS($A$2:A1512,A1512,
             $B$2:B1512,B1512,
             $C$2:C1512,C1512,
             $D$2:D1512,D1512,
             $G$2:G1512,G1512)&gt;1,
   "Doublon",
   "Correcte"
)</f>
        <v>Correcte</v>
      </c>
    </row>
    <row r="1513" spans="1:18" x14ac:dyDescent="0.25">
      <c r="A1513" s="104" t="s">
        <v>2147</v>
      </c>
      <c r="B1513" s="35" t="s">
        <v>712</v>
      </c>
      <c r="C1513" s="36">
        <v>5</v>
      </c>
      <c r="D1513" s="36">
        <v>0</v>
      </c>
      <c r="E1513" s="35" t="s">
        <v>699</v>
      </c>
      <c r="F1513" s="35" t="s">
        <v>634</v>
      </c>
      <c r="G1513" s="37">
        <v>45939.60527777778</v>
      </c>
      <c r="H1513" s="37" t="str">
        <f>INDEX(_xlfn.TEXTSPLIT(mvtst[[#This Row],[QR Suivis]],"_"),1,1)</f>
        <v>OF249946-5</v>
      </c>
      <c r="I1513" s="35" t="str">
        <f>_xlfn.TEXTBEFORE(mvtst[[#This Row],[Num Suivis]],"-",,,1)</f>
        <v>OF249946</v>
      </c>
      <c r="J1513" s="36">
        <f>SUMIF(mvtst[QR Suivis],mvtst[[#This Row],[QR Suivis]],mvtst[QTE SORTIS])-SUMIF(mvtst[QR Suivis],mvtst[[#This Row],[QR Suivis]],mvtst[QTE RETOUR])</f>
        <v>0</v>
      </c>
      <c r="K1513" s="35" t="str">
        <f t="shared" si="23"/>
        <v>Usine</v>
      </c>
      <c r="L1513" s="35" t="str">
        <f>_xlfn.XLOOKUP(mvtst[[#This Row],[Sous Traitant]],coordonnee_st[Identification],coordonnee_st[SERVICE],"Non Trouvé")</f>
        <v>Frange</v>
      </c>
      <c r="M1513" s="35" t="str">
        <f>INDEX(_xlfn.TEXTSPLIT(mvtst[[#This Row],[QR Suivis]],"_"),1,2)</f>
        <v>CL00884</v>
      </c>
      <c r="N1513" s="35" t="str">
        <f>INDEX(_xlfn.TEXTSPLIT(mvtst[[#This Row],[QR Suivis]],"_"),1,3)</f>
        <v>CM-FT0120</v>
      </c>
      <c r="O1513" s="35" t="str">
        <f>INDEX(_xlfn.TEXTSPLIT(mvtst[[#This Row],[QR Suivis]],"_"),1,4)</f>
        <v>ST1020-S14-16-17</v>
      </c>
      <c r="P1513" s="35" t="str">
        <f>INDEX(_xlfn.TEXTSPLIT(mvtst[[#This Row],[QR Suivis]],"_"),1,5)</f>
        <v>ST TROPEZ</v>
      </c>
      <c r="Q1513" s="35" t="str">
        <f>_xlfn.TEXTAFTER(mvtst[[#This Row],[QR Suivis]],"_",5)</f>
        <v>1020</v>
      </c>
      <c r="R1513" s="84" t="str">
        <f>IF(
   COUNTIFS($A$2:A1513,A1513,
             $B$2:B1513,B1513,
             $C$2:C1513,C1513,
             $D$2:D1513,D1513,
             $G$2:G1513,G1513)&gt;1,
   "Doublon",
   "Correcte"
)</f>
        <v>Correcte</v>
      </c>
    </row>
    <row r="1514" spans="1:18" x14ac:dyDescent="0.25">
      <c r="A1514" s="104" t="s">
        <v>2148</v>
      </c>
      <c r="B1514" s="35" t="s">
        <v>712</v>
      </c>
      <c r="C1514" s="36">
        <v>5</v>
      </c>
      <c r="D1514" s="36">
        <v>0</v>
      </c>
      <c r="E1514" s="35" t="s">
        <v>699</v>
      </c>
      <c r="F1514" s="35" t="s">
        <v>634</v>
      </c>
      <c r="G1514" s="37">
        <v>45939.605497685188</v>
      </c>
      <c r="H1514" s="37" t="str">
        <f>INDEX(_xlfn.TEXTSPLIT(mvtst[[#This Row],[QR Suivis]],"_"),1,1)</f>
        <v>OF249946-6</v>
      </c>
      <c r="I1514" s="35" t="str">
        <f>_xlfn.TEXTBEFORE(mvtst[[#This Row],[Num Suivis]],"-",,,1)</f>
        <v>OF249946</v>
      </c>
      <c r="J1514" s="36">
        <f>SUMIF(mvtst[QR Suivis],mvtst[[#This Row],[QR Suivis]],mvtst[QTE SORTIS])-SUMIF(mvtst[QR Suivis],mvtst[[#This Row],[QR Suivis]],mvtst[QTE RETOUR])</f>
        <v>0</v>
      </c>
      <c r="K1514" s="35" t="str">
        <f t="shared" si="23"/>
        <v>Usine</v>
      </c>
      <c r="L1514" s="35" t="str">
        <f>_xlfn.XLOOKUP(mvtst[[#This Row],[Sous Traitant]],coordonnee_st[Identification],coordonnee_st[SERVICE],"Non Trouvé")</f>
        <v>Frange</v>
      </c>
      <c r="M1514" s="35" t="str">
        <f>INDEX(_xlfn.TEXTSPLIT(mvtst[[#This Row],[QR Suivis]],"_"),1,2)</f>
        <v>CL00884</v>
      </c>
      <c r="N1514" s="35" t="str">
        <f>INDEX(_xlfn.TEXTSPLIT(mvtst[[#This Row],[QR Suivis]],"_"),1,3)</f>
        <v>CM-FT0120</v>
      </c>
      <c r="O1514" s="35" t="str">
        <f>INDEX(_xlfn.TEXTSPLIT(mvtst[[#This Row],[QR Suivis]],"_"),1,4)</f>
        <v>ST1020-S14-16-17</v>
      </c>
      <c r="P1514" s="35" t="str">
        <f>INDEX(_xlfn.TEXTSPLIT(mvtst[[#This Row],[QR Suivis]],"_"),1,5)</f>
        <v>ST TROPEZ</v>
      </c>
      <c r="Q1514" s="35" t="str">
        <f>_xlfn.TEXTAFTER(mvtst[[#This Row],[QR Suivis]],"_",5)</f>
        <v>1020</v>
      </c>
      <c r="R1514" s="84" t="str">
        <f>IF(
   COUNTIFS($A$2:A1514,A1514,
             $B$2:B1514,B1514,
             $C$2:C1514,C1514,
             $D$2:D1514,D1514,
             $G$2:G1514,G1514)&gt;1,
   "Doublon",
   "Correcte"
)</f>
        <v>Correcte</v>
      </c>
    </row>
    <row r="1515" spans="1:18" x14ac:dyDescent="0.25">
      <c r="A1515" s="104" t="s">
        <v>2149</v>
      </c>
      <c r="B1515" s="35" t="s">
        <v>712</v>
      </c>
      <c r="C1515" s="36">
        <v>5</v>
      </c>
      <c r="D1515" s="36">
        <v>0</v>
      </c>
      <c r="E1515" s="35" t="s">
        <v>699</v>
      </c>
      <c r="F1515" s="35" t="s">
        <v>634</v>
      </c>
      <c r="G1515" s="37">
        <v>45939.60564814815</v>
      </c>
      <c r="H1515" s="37" t="str">
        <f>INDEX(_xlfn.TEXTSPLIT(mvtst[[#This Row],[QR Suivis]],"_"),1,1)</f>
        <v>OF249946-13</v>
      </c>
      <c r="I1515" s="35" t="str">
        <f>_xlfn.TEXTBEFORE(mvtst[[#This Row],[Num Suivis]],"-",,,1)</f>
        <v>OF249946</v>
      </c>
      <c r="J1515" s="36">
        <f>SUMIF(mvtst[QR Suivis],mvtst[[#This Row],[QR Suivis]],mvtst[QTE SORTIS])-SUMIF(mvtst[QR Suivis],mvtst[[#This Row],[QR Suivis]],mvtst[QTE RETOUR])</f>
        <v>0</v>
      </c>
      <c r="K1515" s="35" t="str">
        <f t="shared" si="23"/>
        <v>Usine</v>
      </c>
      <c r="L1515" s="35" t="str">
        <f>_xlfn.XLOOKUP(mvtst[[#This Row],[Sous Traitant]],coordonnee_st[Identification],coordonnee_st[SERVICE],"Non Trouvé")</f>
        <v>Frange</v>
      </c>
      <c r="M1515" s="35" t="str">
        <f>INDEX(_xlfn.TEXTSPLIT(mvtst[[#This Row],[QR Suivis]],"_"),1,2)</f>
        <v>CL00884</v>
      </c>
      <c r="N1515" s="35" t="str">
        <f>INDEX(_xlfn.TEXTSPLIT(mvtst[[#This Row],[QR Suivis]],"_"),1,3)</f>
        <v>CM-FT0120</v>
      </c>
      <c r="O1515" s="35" t="str">
        <f>INDEX(_xlfn.TEXTSPLIT(mvtst[[#This Row],[QR Suivis]],"_"),1,4)</f>
        <v>ST1020-S14-16-17</v>
      </c>
      <c r="P1515" s="35" t="str">
        <f>INDEX(_xlfn.TEXTSPLIT(mvtst[[#This Row],[QR Suivis]],"_"),1,5)</f>
        <v>ST TROPEZ</v>
      </c>
      <c r="Q1515" s="35" t="str">
        <f>_xlfn.TEXTAFTER(mvtst[[#This Row],[QR Suivis]],"_",5)</f>
        <v>1020</v>
      </c>
      <c r="R1515" s="84" t="str">
        <f>IF(
   COUNTIFS($A$2:A1515,A1515,
             $B$2:B1515,B1515,
             $C$2:C1515,C1515,
             $D$2:D1515,D1515,
             $G$2:G1515,G1515)&gt;1,
   "Doublon",
   "Correcte"
)</f>
        <v>Correcte</v>
      </c>
    </row>
    <row r="1516" spans="1:18" x14ac:dyDescent="0.25">
      <c r="A1516" s="104" t="s">
        <v>2150</v>
      </c>
      <c r="B1516" s="35" t="s">
        <v>712</v>
      </c>
      <c r="C1516" s="36">
        <v>5</v>
      </c>
      <c r="D1516" s="36">
        <v>0</v>
      </c>
      <c r="E1516" s="35" t="s">
        <v>699</v>
      </c>
      <c r="F1516" s="35" t="s">
        <v>634</v>
      </c>
      <c r="G1516" s="37">
        <v>45939.605787037035</v>
      </c>
      <c r="H1516" s="37" t="str">
        <f>INDEX(_xlfn.TEXTSPLIT(mvtst[[#This Row],[QR Suivis]],"_"),1,1)</f>
        <v>OF249946-15</v>
      </c>
      <c r="I1516" s="35" t="str">
        <f>_xlfn.TEXTBEFORE(mvtst[[#This Row],[Num Suivis]],"-",,,1)</f>
        <v>OF249946</v>
      </c>
      <c r="J1516" s="36">
        <f>SUMIF(mvtst[QR Suivis],mvtst[[#This Row],[QR Suivis]],mvtst[QTE SORTIS])-SUMIF(mvtst[QR Suivis],mvtst[[#This Row],[QR Suivis]],mvtst[QTE RETOUR])</f>
        <v>0</v>
      </c>
      <c r="K1516" s="35" t="str">
        <f t="shared" si="23"/>
        <v>Usine</v>
      </c>
      <c r="L1516" s="35" t="str">
        <f>_xlfn.XLOOKUP(mvtst[[#This Row],[Sous Traitant]],coordonnee_st[Identification],coordonnee_st[SERVICE],"Non Trouvé")</f>
        <v>Frange</v>
      </c>
      <c r="M1516" s="35" t="str">
        <f>INDEX(_xlfn.TEXTSPLIT(mvtst[[#This Row],[QR Suivis]],"_"),1,2)</f>
        <v>CL00884</v>
      </c>
      <c r="N1516" s="35" t="str">
        <f>INDEX(_xlfn.TEXTSPLIT(mvtst[[#This Row],[QR Suivis]],"_"),1,3)</f>
        <v>CM-FT0120</v>
      </c>
      <c r="O1516" s="35" t="str">
        <f>INDEX(_xlfn.TEXTSPLIT(mvtst[[#This Row],[QR Suivis]],"_"),1,4)</f>
        <v>ST1020-S14-16-17</v>
      </c>
      <c r="P1516" s="35" t="str">
        <f>INDEX(_xlfn.TEXTSPLIT(mvtst[[#This Row],[QR Suivis]],"_"),1,5)</f>
        <v>ST TROPEZ</v>
      </c>
      <c r="Q1516" s="35" t="str">
        <f>_xlfn.TEXTAFTER(mvtst[[#This Row],[QR Suivis]],"_",5)</f>
        <v>1020</v>
      </c>
      <c r="R1516" s="84" t="str">
        <f>IF(
   COUNTIFS($A$2:A1516,A1516,
             $B$2:B1516,B1516,
             $C$2:C1516,C1516,
             $D$2:D1516,D1516,
             $G$2:G1516,G1516)&gt;1,
   "Doublon",
   "Correcte"
)</f>
        <v>Correcte</v>
      </c>
    </row>
    <row r="1517" spans="1:18" x14ac:dyDescent="0.25">
      <c r="A1517" s="104" t="s">
        <v>2151</v>
      </c>
      <c r="B1517" s="35" t="s">
        <v>712</v>
      </c>
      <c r="C1517" s="36">
        <v>5</v>
      </c>
      <c r="D1517" s="36">
        <v>0</v>
      </c>
      <c r="E1517" s="35" t="s">
        <v>699</v>
      </c>
      <c r="F1517" s="35" t="s">
        <v>634</v>
      </c>
      <c r="G1517" s="37">
        <v>45939.60597222222</v>
      </c>
      <c r="H1517" s="37" t="str">
        <f>INDEX(_xlfn.TEXTSPLIT(mvtst[[#This Row],[QR Suivis]],"_"),1,1)</f>
        <v>OF249946-25</v>
      </c>
      <c r="I1517" s="35" t="str">
        <f>_xlfn.TEXTBEFORE(mvtst[[#This Row],[Num Suivis]],"-",,,1)</f>
        <v>OF249946</v>
      </c>
      <c r="J1517" s="36">
        <f>SUMIF(mvtst[QR Suivis],mvtst[[#This Row],[QR Suivis]],mvtst[QTE SORTIS])-SUMIF(mvtst[QR Suivis],mvtst[[#This Row],[QR Suivis]],mvtst[QTE RETOUR])</f>
        <v>0</v>
      </c>
      <c r="K1517" s="35" t="str">
        <f t="shared" si="23"/>
        <v>Usine</v>
      </c>
      <c r="L1517" s="35" t="str">
        <f>_xlfn.XLOOKUP(mvtst[[#This Row],[Sous Traitant]],coordonnee_st[Identification],coordonnee_st[SERVICE],"Non Trouvé")</f>
        <v>Frange</v>
      </c>
      <c r="M1517" s="35" t="str">
        <f>INDEX(_xlfn.TEXTSPLIT(mvtst[[#This Row],[QR Suivis]],"_"),1,2)</f>
        <v>CL00884</v>
      </c>
      <c r="N1517" s="35" t="str">
        <f>INDEX(_xlfn.TEXTSPLIT(mvtst[[#This Row],[QR Suivis]],"_"),1,3)</f>
        <v>CM-FT0120</v>
      </c>
      <c r="O1517" s="35" t="str">
        <f>INDEX(_xlfn.TEXTSPLIT(mvtst[[#This Row],[QR Suivis]],"_"),1,4)</f>
        <v>ST1020-S14-16-17</v>
      </c>
      <c r="P1517" s="35" t="str">
        <f>INDEX(_xlfn.TEXTSPLIT(mvtst[[#This Row],[QR Suivis]],"_"),1,5)</f>
        <v>ST TROPEZ</v>
      </c>
      <c r="Q1517" s="35" t="str">
        <f>_xlfn.TEXTAFTER(mvtst[[#This Row],[QR Suivis]],"_",5)</f>
        <v>1020</v>
      </c>
      <c r="R1517" s="84" t="str">
        <f>IF(
   COUNTIFS($A$2:A1517,A1517,
             $B$2:B1517,B1517,
             $C$2:C1517,C1517,
             $D$2:D1517,D1517,
             $G$2:G1517,G1517)&gt;1,
   "Doublon",
   "Correcte"
)</f>
        <v>Correcte</v>
      </c>
    </row>
    <row r="1518" spans="1:18" x14ac:dyDescent="0.25">
      <c r="A1518" s="104" t="s">
        <v>2152</v>
      </c>
      <c r="B1518" s="35" t="s">
        <v>712</v>
      </c>
      <c r="C1518" s="36">
        <v>5</v>
      </c>
      <c r="D1518" s="36">
        <v>0</v>
      </c>
      <c r="E1518" s="35" t="s">
        <v>699</v>
      </c>
      <c r="F1518" s="35" t="s">
        <v>634</v>
      </c>
      <c r="G1518" s="37">
        <v>45939.606458333335</v>
      </c>
      <c r="H1518" s="37" t="str">
        <f>INDEX(_xlfn.TEXTSPLIT(mvtst[[#This Row],[QR Suivis]],"_"),1,1)</f>
        <v>OF249946-23</v>
      </c>
      <c r="I1518" s="35" t="str">
        <f>_xlfn.TEXTBEFORE(mvtst[[#This Row],[Num Suivis]],"-",,,1)</f>
        <v>OF249946</v>
      </c>
      <c r="J1518" s="36">
        <f>SUMIF(mvtst[QR Suivis],mvtst[[#This Row],[QR Suivis]],mvtst[QTE SORTIS])-SUMIF(mvtst[QR Suivis],mvtst[[#This Row],[QR Suivis]],mvtst[QTE RETOUR])</f>
        <v>0</v>
      </c>
      <c r="K1518" s="35" t="str">
        <f t="shared" si="23"/>
        <v>Usine</v>
      </c>
      <c r="L1518" s="35" t="str">
        <f>_xlfn.XLOOKUP(mvtst[[#This Row],[Sous Traitant]],coordonnee_st[Identification],coordonnee_st[SERVICE],"Non Trouvé")</f>
        <v>Frange</v>
      </c>
      <c r="M1518" s="35" t="str">
        <f>INDEX(_xlfn.TEXTSPLIT(mvtst[[#This Row],[QR Suivis]],"_"),1,2)</f>
        <v>CL00884</v>
      </c>
      <c r="N1518" s="35" t="str">
        <f>INDEX(_xlfn.TEXTSPLIT(mvtst[[#This Row],[QR Suivis]],"_"),1,3)</f>
        <v>CM-FT0120</v>
      </c>
      <c r="O1518" s="35" t="str">
        <f>INDEX(_xlfn.TEXTSPLIT(mvtst[[#This Row],[QR Suivis]],"_"),1,4)</f>
        <v>ST1020-S14-16-17</v>
      </c>
      <c r="P1518" s="35" t="str">
        <f>INDEX(_xlfn.TEXTSPLIT(mvtst[[#This Row],[QR Suivis]],"_"),1,5)</f>
        <v>ST TROPEZ</v>
      </c>
      <c r="Q1518" s="35" t="str">
        <f>_xlfn.TEXTAFTER(mvtst[[#This Row],[QR Suivis]],"_",5)</f>
        <v>1020</v>
      </c>
      <c r="R1518" s="84" t="str">
        <f>IF(
   COUNTIFS($A$2:A1518,A1518,
             $B$2:B1518,B1518,
             $C$2:C1518,C1518,
             $D$2:D1518,D1518,
             $G$2:G1518,G1518)&gt;1,
   "Doublon",
   "Correcte"
)</f>
        <v>Correcte</v>
      </c>
    </row>
    <row r="1519" spans="1:18" x14ac:dyDescent="0.25">
      <c r="A1519" s="104" t="s">
        <v>2153</v>
      </c>
      <c r="B1519" s="35" t="s">
        <v>712</v>
      </c>
      <c r="C1519" s="36">
        <v>5</v>
      </c>
      <c r="D1519" s="36">
        <v>0</v>
      </c>
      <c r="E1519" s="35" t="s">
        <v>699</v>
      </c>
      <c r="F1519" s="35" t="s">
        <v>634</v>
      </c>
      <c r="G1519" s="37">
        <v>45939.606747685182</v>
      </c>
      <c r="H1519" s="37" t="str">
        <f>INDEX(_xlfn.TEXTSPLIT(mvtst[[#This Row],[QR Suivis]],"_"),1,1)</f>
        <v>OF249946-30</v>
      </c>
      <c r="I1519" s="35" t="str">
        <f>_xlfn.TEXTBEFORE(mvtst[[#This Row],[Num Suivis]],"-",,,1)</f>
        <v>OF249946</v>
      </c>
      <c r="J1519" s="36">
        <f>SUMIF(mvtst[QR Suivis],mvtst[[#This Row],[QR Suivis]],mvtst[QTE SORTIS])-SUMIF(mvtst[QR Suivis],mvtst[[#This Row],[QR Suivis]],mvtst[QTE RETOUR])</f>
        <v>0</v>
      </c>
      <c r="K1519" s="35" t="str">
        <f t="shared" si="23"/>
        <v>Usine</v>
      </c>
      <c r="L1519" s="35" t="str">
        <f>_xlfn.XLOOKUP(mvtst[[#This Row],[Sous Traitant]],coordonnee_st[Identification],coordonnee_st[SERVICE],"Non Trouvé")</f>
        <v>Frange</v>
      </c>
      <c r="M1519" s="35" t="str">
        <f>INDEX(_xlfn.TEXTSPLIT(mvtst[[#This Row],[QR Suivis]],"_"),1,2)</f>
        <v>CL00884</v>
      </c>
      <c r="N1519" s="35" t="str">
        <f>INDEX(_xlfn.TEXTSPLIT(mvtst[[#This Row],[QR Suivis]],"_"),1,3)</f>
        <v>CM-FT0120</v>
      </c>
      <c r="O1519" s="35" t="str">
        <f>INDEX(_xlfn.TEXTSPLIT(mvtst[[#This Row],[QR Suivis]],"_"),1,4)</f>
        <v>ST1020-S14-16-17</v>
      </c>
      <c r="P1519" s="35" t="str">
        <f>INDEX(_xlfn.TEXTSPLIT(mvtst[[#This Row],[QR Suivis]],"_"),1,5)</f>
        <v>ST TROPEZ</v>
      </c>
      <c r="Q1519" s="35" t="str">
        <f>_xlfn.TEXTAFTER(mvtst[[#This Row],[QR Suivis]],"_",5)</f>
        <v>1020</v>
      </c>
      <c r="R1519" s="84" t="str">
        <f>IF(
   COUNTIFS($A$2:A1519,A1519,
             $B$2:B1519,B1519,
             $C$2:C1519,C1519,
             $D$2:D1519,D1519,
             $G$2:G1519,G1519)&gt;1,
   "Doublon",
   "Correcte"
)</f>
        <v>Correcte</v>
      </c>
    </row>
    <row r="1520" spans="1:18" x14ac:dyDescent="0.25">
      <c r="A1520" s="104" t="s">
        <v>2154</v>
      </c>
      <c r="B1520" s="35" t="s">
        <v>712</v>
      </c>
      <c r="C1520" s="36">
        <v>5</v>
      </c>
      <c r="D1520" s="36">
        <v>0</v>
      </c>
      <c r="E1520" s="35" t="s">
        <v>699</v>
      </c>
      <c r="F1520" s="35" t="s">
        <v>634</v>
      </c>
      <c r="G1520" s="37">
        <v>45939.606979166667</v>
      </c>
      <c r="H1520" s="37" t="str">
        <f>INDEX(_xlfn.TEXTSPLIT(mvtst[[#This Row],[QR Suivis]],"_"),1,1)</f>
        <v>OF249946-26</v>
      </c>
      <c r="I1520" s="35" t="str">
        <f>_xlfn.TEXTBEFORE(mvtst[[#This Row],[Num Suivis]],"-",,,1)</f>
        <v>OF249946</v>
      </c>
      <c r="J1520" s="36">
        <f>SUMIF(mvtst[QR Suivis],mvtst[[#This Row],[QR Suivis]],mvtst[QTE SORTIS])-SUMIF(mvtst[QR Suivis],mvtst[[#This Row],[QR Suivis]],mvtst[QTE RETOUR])</f>
        <v>0</v>
      </c>
      <c r="K1520" s="35" t="str">
        <f t="shared" si="23"/>
        <v>Usine</v>
      </c>
      <c r="L1520" s="35" t="str">
        <f>_xlfn.XLOOKUP(mvtst[[#This Row],[Sous Traitant]],coordonnee_st[Identification],coordonnee_st[SERVICE],"Non Trouvé")</f>
        <v>Frange</v>
      </c>
      <c r="M1520" s="35" t="str">
        <f>INDEX(_xlfn.TEXTSPLIT(mvtst[[#This Row],[QR Suivis]],"_"),1,2)</f>
        <v>CL00884</v>
      </c>
      <c r="N1520" s="35" t="str">
        <f>INDEX(_xlfn.TEXTSPLIT(mvtst[[#This Row],[QR Suivis]],"_"),1,3)</f>
        <v>CM-FT0120</v>
      </c>
      <c r="O1520" s="35" t="str">
        <f>INDEX(_xlfn.TEXTSPLIT(mvtst[[#This Row],[QR Suivis]],"_"),1,4)</f>
        <v>ST1020-S14-16-17</v>
      </c>
      <c r="P1520" s="35" t="str">
        <f>INDEX(_xlfn.TEXTSPLIT(mvtst[[#This Row],[QR Suivis]],"_"),1,5)</f>
        <v>ST TROPEZ</v>
      </c>
      <c r="Q1520" s="35" t="str">
        <f>_xlfn.TEXTAFTER(mvtst[[#This Row],[QR Suivis]],"_",5)</f>
        <v>1020</v>
      </c>
      <c r="R1520" s="84" t="str">
        <f>IF(
   COUNTIFS($A$2:A1520,A1520,
             $B$2:B1520,B1520,
             $C$2:C1520,C1520,
             $D$2:D1520,D1520,
             $G$2:G1520,G1520)&gt;1,
   "Doublon",
   "Correcte"
)</f>
        <v>Correcte</v>
      </c>
    </row>
    <row r="1521" spans="1:18" x14ac:dyDescent="0.25">
      <c r="A1521" s="104" t="s">
        <v>2155</v>
      </c>
      <c r="B1521" s="35" t="s">
        <v>712</v>
      </c>
      <c r="C1521" s="36">
        <v>5</v>
      </c>
      <c r="D1521" s="36">
        <v>0</v>
      </c>
      <c r="E1521" s="35" t="s">
        <v>699</v>
      </c>
      <c r="F1521" s="35" t="s">
        <v>634</v>
      </c>
      <c r="G1521" s="37">
        <v>45939.607199074075</v>
      </c>
      <c r="H1521" s="37" t="str">
        <f>INDEX(_xlfn.TEXTSPLIT(mvtst[[#This Row],[QR Suivis]],"_"),1,1)</f>
        <v>OF249946-24</v>
      </c>
      <c r="I1521" s="35" t="str">
        <f>_xlfn.TEXTBEFORE(mvtst[[#This Row],[Num Suivis]],"-",,,1)</f>
        <v>OF249946</v>
      </c>
      <c r="J1521" s="36">
        <f>SUMIF(mvtst[QR Suivis],mvtst[[#This Row],[QR Suivis]],mvtst[QTE SORTIS])-SUMIF(mvtst[QR Suivis],mvtst[[#This Row],[QR Suivis]],mvtst[QTE RETOUR])</f>
        <v>0</v>
      </c>
      <c r="K1521" s="35" t="str">
        <f t="shared" si="23"/>
        <v>Usine</v>
      </c>
      <c r="L1521" s="35" t="str">
        <f>_xlfn.XLOOKUP(mvtst[[#This Row],[Sous Traitant]],coordonnee_st[Identification],coordonnee_st[SERVICE],"Non Trouvé")</f>
        <v>Frange</v>
      </c>
      <c r="M1521" s="35" t="str">
        <f>INDEX(_xlfn.TEXTSPLIT(mvtst[[#This Row],[QR Suivis]],"_"),1,2)</f>
        <v>CL00884</v>
      </c>
      <c r="N1521" s="35" t="str">
        <f>INDEX(_xlfn.TEXTSPLIT(mvtst[[#This Row],[QR Suivis]],"_"),1,3)</f>
        <v>CM-FT0120</v>
      </c>
      <c r="O1521" s="35" t="str">
        <f>INDEX(_xlfn.TEXTSPLIT(mvtst[[#This Row],[QR Suivis]],"_"),1,4)</f>
        <v>ST1020-S14-16-17</v>
      </c>
      <c r="P1521" s="35" t="str">
        <f>INDEX(_xlfn.TEXTSPLIT(mvtst[[#This Row],[QR Suivis]],"_"),1,5)</f>
        <v>ST TROPEZ</v>
      </c>
      <c r="Q1521" s="35" t="str">
        <f>_xlfn.TEXTAFTER(mvtst[[#This Row],[QR Suivis]],"_",5)</f>
        <v>1020</v>
      </c>
      <c r="R1521" s="84" t="str">
        <f>IF(
   COUNTIFS($A$2:A1521,A1521,
             $B$2:B1521,B1521,
             $C$2:C1521,C1521,
             $D$2:D1521,D1521,
             $G$2:G1521,G1521)&gt;1,
   "Doublon",
   "Correcte"
)</f>
        <v>Correcte</v>
      </c>
    </row>
    <row r="1522" spans="1:18" x14ac:dyDescent="0.25">
      <c r="A1522" s="104" t="s">
        <v>2156</v>
      </c>
      <c r="B1522" s="35" t="s">
        <v>712</v>
      </c>
      <c r="C1522" s="36">
        <v>5</v>
      </c>
      <c r="D1522" s="36">
        <v>0</v>
      </c>
      <c r="E1522" s="35" t="s">
        <v>699</v>
      </c>
      <c r="F1522" s="35" t="s">
        <v>634</v>
      </c>
      <c r="G1522" s="37">
        <v>45939.607361111113</v>
      </c>
      <c r="H1522" s="37" t="str">
        <f>INDEX(_xlfn.TEXTSPLIT(mvtst[[#This Row],[QR Suivis]],"_"),1,1)</f>
        <v>OF249946-14</v>
      </c>
      <c r="I1522" s="35" t="str">
        <f>_xlfn.TEXTBEFORE(mvtst[[#This Row],[Num Suivis]],"-",,,1)</f>
        <v>OF249946</v>
      </c>
      <c r="J1522" s="36">
        <f>SUMIF(mvtst[QR Suivis],mvtst[[#This Row],[QR Suivis]],mvtst[QTE SORTIS])-SUMIF(mvtst[QR Suivis],mvtst[[#This Row],[QR Suivis]],mvtst[QTE RETOUR])</f>
        <v>0</v>
      </c>
      <c r="K1522" s="35" t="str">
        <f t="shared" si="23"/>
        <v>Usine</v>
      </c>
      <c r="L1522" s="35" t="str">
        <f>_xlfn.XLOOKUP(mvtst[[#This Row],[Sous Traitant]],coordonnee_st[Identification],coordonnee_st[SERVICE],"Non Trouvé")</f>
        <v>Frange</v>
      </c>
      <c r="M1522" s="35" t="str">
        <f>INDEX(_xlfn.TEXTSPLIT(mvtst[[#This Row],[QR Suivis]],"_"),1,2)</f>
        <v>CL00884</v>
      </c>
      <c r="N1522" s="35" t="str">
        <f>INDEX(_xlfn.TEXTSPLIT(mvtst[[#This Row],[QR Suivis]],"_"),1,3)</f>
        <v>CM-FT0120</v>
      </c>
      <c r="O1522" s="35" t="str">
        <f>INDEX(_xlfn.TEXTSPLIT(mvtst[[#This Row],[QR Suivis]],"_"),1,4)</f>
        <v>ST1020-S14-16-17</v>
      </c>
      <c r="P1522" s="35" t="str">
        <f>INDEX(_xlfn.TEXTSPLIT(mvtst[[#This Row],[QR Suivis]],"_"),1,5)</f>
        <v>ST TROPEZ</v>
      </c>
      <c r="Q1522" s="35" t="str">
        <f>_xlfn.TEXTAFTER(mvtst[[#This Row],[QR Suivis]],"_",5)</f>
        <v>1020</v>
      </c>
      <c r="R1522" s="84" t="str">
        <f>IF(
   COUNTIFS($A$2:A1522,A1522,
             $B$2:B1522,B1522,
             $C$2:C1522,C1522,
             $D$2:D1522,D1522,
             $G$2:G1522,G1522)&gt;1,
   "Doublon",
   "Correcte"
)</f>
        <v>Correcte</v>
      </c>
    </row>
    <row r="1523" spans="1:18" x14ac:dyDescent="0.25">
      <c r="A1523" s="104" t="s">
        <v>2157</v>
      </c>
      <c r="B1523" s="35" t="s">
        <v>712</v>
      </c>
      <c r="C1523" s="36">
        <v>5</v>
      </c>
      <c r="D1523" s="36">
        <v>0</v>
      </c>
      <c r="E1523" s="35" t="s">
        <v>699</v>
      </c>
      <c r="F1523" s="35" t="s">
        <v>634</v>
      </c>
      <c r="G1523" s="37">
        <v>45939.607534722221</v>
      </c>
      <c r="H1523" s="37" t="str">
        <f>INDEX(_xlfn.TEXTSPLIT(mvtst[[#This Row],[QR Suivis]],"_"),1,1)</f>
        <v>OF249946-29</v>
      </c>
      <c r="I1523" s="35" t="str">
        <f>_xlfn.TEXTBEFORE(mvtst[[#This Row],[Num Suivis]],"-",,,1)</f>
        <v>OF249946</v>
      </c>
      <c r="J1523" s="36">
        <f>SUMIF(mvtst[QR Suivis],mvtst[[#This Row],[QR Suivis]],mvtst[QTE SORTIS])-SUMIF(mvtst[QR Suivis],mvtst[[#This Row],[QR Suivis]],mvtst[QTE RETOUR])</f>
        <v>0</v>
      </c>
      <c r="K1523" s="35" t="str">
        <f t="shared" si="23"/>
        <v>Usine</v>
      </c>
      <c r="L1523" s="35" t="str">
        <f>_xlfn.XLOOKUP(mvtst[[#This Row],[Sous Traitant]],coordonnee_st[Identification],coordonnee_st[SERVICE],"Non Trouvé")</f>
        <v>Frange</v>
      </c>
      <c r="M1523" s="35" t="str">
        <f>INDEX(_xlfn.TEXTSPLIT(mvtst[[#This Row],[QR Suivis]],"_"),1,2)</f>
        <v>CL00884</v>
      </c>
      <c r="N1523" s="35" t="str">
        <f>INDEX(_xlfn.TEXTSPLIT(mvtst[[#This Row],[QR Suivis]],"_"),1,3)</f>
        <v>CM-FT0120</v>
      </c>
      <c r="O1523" s="35" t="str">
        <f>INDEX(_xlfn.TEXTSPLIT(mvtst[[#This Row],[QR Suivis]],"_"),1,4)</f>
        <v>ST1020-S14-16-17</v>
      </c>
      <c r="P1523" s="35" t="str">
        <f>INDEX(_xlfn.TEXTSPLIT(mvtst[[#This Row],[QR Suivis]],"_"),1,5)</f>
        <v>ST TROPEZ</v>
      </c>
      <c r="Q1523" s="35" t="str">
        <f>_xlfn.TEXTAFTER(mvtst[[#This Row],[QR Suivis]],"_",5)</f>
        <v>1020</v>
      </c>
      <c r="R1523" s="84" t="str">
        <f>IF(
   COUNTIFS($A$2:A1523,A1523,
             $B$2:B1523,B1523,
             $C$2:C1523,C1523,
             $D$2:D1523,D1523,
             $G$2:G1523,G1523)&gt;1,
   "Doublon",
   "Correcte"
)</f>
        <v>Correcte</v>
      </c>
    </row>
    <row r="1524" spans="1:18" x14ac:dyDescent="0.25">
      <c r="A1524" s="104" t="s">
        <v>2158</v>
      </c>
      <c r="B1524" s="35" t="s">
        <v>712</v>
      </c>
      <c r="C1524" s="36">
        <v>5</v>
      </c>
      <c r="D1524" s="36">
        <v>0</v>
      </c>
      <c r="E1524" s="35" t="s">
        <v>699</v>
      </c>
      <c r="F1524" s="35" t="s">
        <v>634</v>
      </c>
      <c r="G1524" s="37">
        <v>45939.609039351853</v>
      </c>
      <c r="H1524" s="37" t="str">
        <f>INDEX(_xlfn.TEXTSPLIT(mvtst[[#This Row],[QR Suivis]],"_"),1,1)</f>
        <v>OF249859-16</v>
      </c>
      <c r="I1524" s="35" t="str">
        <f>_xlfn.TEXTBEFORE(mvtst[[#This Row],[Num Suivis]],"-",,,1)</f>
        <v>OF249859</v>
      </c>
      <c r="J1524" s="36">
        <f>SUMIF(mvtst[QR Suivis],mvtst[[#This Row],[QR Suivis]],mvtst[QTE SORTIS])-SUMIF(mvtst[QR Suivis],mvtst[[#This Row],[QR Suivis]],mvtst[QTE RETOUR])</f>
        <v>0</v>
      </c>
      <c r="K1524" s="35" t="str">
        <f t="shared" si="23"/>
        <v>Usine</v>
      </c>
      <c r="L1524" s="35" t="str">
        <f>_xlfn.XLOOKUP(mvtst[[#This Row],[Sous Traitant]],coordonnee_st[Identification],coordonnee_st[SERVICE],"Non Trouvé")</f>
        <v>Frange</v>
      </c>
      <c r="M1524" s="35" t="str">
        <f>INDEX(_xlfn.TEXTSPLIT(mvtst[[#This Row],[QR Suivis]],"_"),1,2)</f>
        <v>CL00884</v>
      </c>
      <c r="N1524" s="35" t="str">
        <f>INDEX(_xlfn.TEXTSPLIT(mvtst[[#This Row],[QR Suivis]],"_"),1,3)</f>
        <v>CM-FT0119</v>
      </c>
      <c r="O1524" s="35" t="str">
        <f>INDEX(_xlfn.TEXTSPLIT(mvtst[[#This Row],[QR Suivis]],"_"),1,4)</f>
        <v>AR2020-B29-01</v>
      </c>
      <c r="P1524" s="35" t="str">
        <f>INDEX(_xlfn.TEXTSPLIT(mvtst[[#This Row],[QR Suivis]],"_"),1,5)</f>
        <v>ARTHUR</v>
      </c>
      <c r="Q1524" s="35" t="str">
        <f>_xlfn.TEXTAFTER(mvtst[[#This Row],[QR Suivis]],"_",5)</f>
        <v>2020</v>
      </c>
      <c r="R1524" s="84" t="str">
        <f>IF(
   COUNTIFS($A$2:A1524,A1524,
             $B$2:B1524,B1524,
             $C$2:C1524,C1524,
             $D$2:D1524,D1524,
             $G$2:G1524,G1524)&gt;1,
   "Doublon",
   "Correcte"
)</f>
        <v>Correcte</v>
      </c>
    </row>
    <row r="1525" spans="1:18" x14ac:dyDescent="0.25">
      <c r="A1525" s="104" t="s">
        <v>2159</v>
      </c>
      <c r="B1525" s="35" t="s">
        <v>712</v>
      </c>
      <c r="C1525" s="36">
        <v>5</v>
      </c>
      <c r="D1525" s="36">
        <v>0</v>
      </c>
      <c r="E1525" s="35" t="s">
        <v>699</v>
      </c>
      <c r="F1525" s="35" t="s">
        <v>634</v>
      </c>
      <c r="G1525" s="37">
        <v>45939.609212962961</v>
      </c>
      <c r="H1525" s="37" t="str">
        <f>INDEX(_xlfn.TEXTSPLIT(mvtst[[#This Row],[QR Suivis]],"_"),1,1)</f>
        <v>OF249858-14</v>
      </c>
      <c r="I1525" s="35" t="str">
        <f>_xlfn.TEXTBEFORE(mvtst[[#This Row],[Num Suivis]],"-",,,1)</f>
        <v>OF249858</v>
      </c>
      <c r="J1525" s="36">
        <f>SUMIF(mvtst[QR Suivis],mvtst[[#This Row],[QR Suivis]],mvtst[QTE SORTIS])-SUMIF(mvtst[QR Suivis],mvtst[[#This Row],[QR Suivis]],mvtst[QTE RETOUR])</f>
        <v>0</v>
      </c>
      <c r="K1525" s="35" t="str">
        <f t="shared" si="23"/>
        <v>Usine</v>
      </c>
      <c r="L1525" s="35" t="str">
        <f>_xlfn.XLOOKUP(mvtst[[#This Row],[Sous Traitant]],coordonnee_st[Identification],coordonnee_st[SERVICE],"Non Trouvé")</f>
        <v>Frange</v>
      </c>
      <c r="M1525" s="35" t="str">
        <f>INDEX(_xlfn.TEXTSPLIT(mvtst[[#This Row],[QR Suivis]],"_"),1,2)</f>
        <v>CL00884</v>
      </c>
      <c r="N1525" s="35" t="str">
        <f>INDEX(_xlfn.TEXTSPLIT(mvtst[[#This Row],[QR Suivis]],"_"),1,3)</f>
        <v>CM-FT0119</v>
      </c>
      <c r="O1525" s="35" t="str">
        <f>INDEX(_xlfn.TEXTSPLIT(mvtst[[#This Row],[QR Suivis]],"_"),1,4)</f>
        <v>AR2020-B23-01</v>
      </c>
      <c r="P1525" s="35" t="str">
        <f>INDEX(_xlfn.TEXTSPLIT(mvtst[[#This Row],[QR Suivis]],"_"),1,5)</f>
        <v>ARTHUR</v>
      </c>
      <c r="Q1525" s="35" t="str">
        <f>_xlfn.TEXTAFTER(mvtst[[#This Row],[QR Suivis]],"_",5)</f>
        <v>2020</v>
      </c>
      <c r="R1525" s="84" t="str">
        <f>IF(
   COUNTIFS($A$2:A1525,A1525,
             $B$2:B1525,B1525,
             $C$2:C1525,C1525,
             $D$2:D1525,D1525,
             $G$2:G1525,G1525)&gt;1,
   "Doublon",
   "Correcte"
)</f>
        <v>Correcte</v>
      </c>
    </row>
    <row r="1526" spans="1:18" x14ac:dyDescent="0.25">
      <c r="A1526" s="104" t="s">
        <v>2160</v>
      </c>
      <c r="B1526" s="35" t="s">
        <v>712</v>
      </c>
      <c r="C1526" s="36">
        <v>5</v>
      </c>
      <c r="D1526" s="36">
        <v>0</v>
      </c>
      <c r="E1526" s="35" t="s">
        <v>699</v>
      </c>
      <c r="F1526" s="35" t="s">
        <v>634</v>
      </c>
      <c r="G1526" s="37">
        <v>45939.609490740739</v>
      </c>
      <c r="H1526" s="37" t="str">
        <f>INDEX(_xlfn.TEXTSPLIT(mvtst[[#This Row],[QR Suivis]],"_"),1,1)</f>
        <v>OF249858-13</v>
      </c>
      <c r="I1526" s="35" t="str">
        <f>_xlfn.TEXTBEFORE(mvtst[[#This Row],[Num Suivis]],"-",,,1)</f>
        <v>OF249858</v>
      </c>
      <c r="J1526" s="36">
        <f>SUMIF(mvtst[QR Suivis],mvtst[[#This Row],[QR Suivis]],mvtst[QTE SORTIS])-SUMIF(mvtst[QR Suivis],mvtst[[#This Row],[QR Suivis]],mvtst[QTE RETOUR])</f>
        <v>0</v>
      </c>
      <c r="K1526" s="35" t="str">
        <f t="shared" si="23"/>
        <v>Usine</v>
      </c>
      <c r="L1526" s="35" t="str">
        <f>_xlfn.XLOOKUP(mvtst[[#This Row],[Sous Traitant]],coordonnee_st[Identification],coordonnee_st[SERVICE],"Non Trouvé")</f>
        <v>Frange</v>
      </c>
      <c r="M1526" s="35" t="str">
        <f>INDEX(_xlfn.TEXTSPLIT(mvtst[[#This Row],[QR Suivis]],"_"),1,2)</f>
        <v>CL00884</v>
      </c>
      <c r="N1526" s="35" t="str">
        <f>INDEX(_xlfn.TEXTSPLIT(mvtst[[#This Row],[QR Suivis]],"_"),1,3)</f>
        <v>CM-FT0119</v>
      </c>
      <c r="O1526" s="35" t="str">
        <f>INDEX(_xlfn.TEXTSPLIT(mvtst[[#This Row],[QR Suivis]],"_"),1,4)</f>
        <v>AR2020-B23-01</v>
      </c>
      <c r="P1526" s="35" t="str">
        <f>INDEX(_xlfn.TEXTSPLIT(mvtst[[#This Row],[QR Suivis]],"_"),1,5)</f>
        <v>ARTHUR</v>
      </c>
      <c r="Q1526" s="35" t="str">
        <f>_xlfn.TEXTAFTER(mvtst[[#This Row],[QR Suivis]],"_",5)</f>
        <v>2020</v>
      </c>
      <c r="R1526" s="84" t="str">
        <f>IF(
   COUNTIFS($A$2:A1526,A1526,
             $B$2:B1526,B1526,
             $C$2:C1526,C1526,
             $D$2:D1526,D1526,
             $G$2:G1526,G1526)&gt;1,
   "Doublon",
   "Correcte"
)</f>
        <v>Correcte</v>
      </c>
    </row>
    <row r="1527" spans="1:18" x14ac:dyDescent="0.25">
      <c r="A1527" s="104" t="s">
        <v>2161</v>
      </c>
      <c r="B1527" s="35" t="s">
        <v>712</v>
      </c>
      <c r="C1527" s="36">
        <v>5</v>
      </c>
      <c r="D1527" s="36">
        <v>0</v>
      </c>
      <c r="E1527" s="35" t="s">
        <v>699</v>
      </c>
      <c r="F1527" s="35" t="s">
        <v>634</v>
      </c>
      <c r="G1527" s="37">
        <v>45939.609780092593</v>
      </c>
      <c r="H1527" s="37" t="str">
        <f>INDEX(_xlfn.TEXTSPLIT(mvtst[[#This Row],[QR Suivis]],"_"),1,1)</f>
        <v>OF249859-13</v>
      </c>
      <c r="I1527" s="35" t="str">
        <f>_xlfn.TEXTBEFORE(mvtst[[#This Row],[Num Suivis]],"-",,,1)</f>
        <v>OF249859</v>
      </c>
      <c r="J1527" s="36">
        <f>SUMIF(mvtst[QR Suivis],mvtst[[#This Row],[QR Suivis]],mvtst[QTE SORTIS])-SUMIF(mvtst[QR Suivis],mvtst[[#This Row],[QR Suivis]],mvtst[QTE RETOUR])</f>
        <v>0</v>
      </c>
      <c r="K1527" s="35" t="str">
        <f t="shared" si="23"/>
        <v>Usine</v>
      </c>
      <c r="L1527" s="35" t="str">
        <f>_xlfn.XLOOKUP(mvtst[[#This Row],[Sous Traitant]],coordonnee_st[Identification],coordonnee_st[SERVICE],"Non Trouvé")</f>
        <v>Frange</v>
      </c>
      <c r="M1527" s="35" t="str">
        <f>INDEX(_xlfn.TEXTSPLIT(mvtst[[#This Row],[QR Suivis]],"_"),1,2)</f>
        <v>CL00884</v>
      </c>
      <c r="N1527" s="35" t="str">
        <f>INDEX(_xlfn.TEXTSPLIT(mvtst[[#This Row],[QR Suivis]],"_"),1,3)</f>
        <v>CM-FT0119</v>
      </c>
      <c r="O1527" s="35" t="str">
        <f>INDEX(_xlfn.TEXTSPLIT(mvtst[[#This Row],[QR Suivis]],"_"),1,4)</f>
        <v>AR2020-B29-01</v>
      </c>
      <c r="P1527" s="35" t="str">
        <f>INDEX(_xlfn.TEXTSPLIT(mvtst[[#This Row],[QR Suivis]],"_"),1,5)</f>
        <v>ARTHUR</v>
      </c>
      <c r="Q1527" s="35" t="str">
        <f>_xlfn.TEXTAFTER(mvtst[[#This Row],[QR Suivis]],"_",5)</f>
        <v>2020</v>
      </c>
      <c r="R1527" s="84" t="str">
        <f>IF(
   COUNTIFS($A$2:A1527,A1527,
             $B$2:B1527,B1527,
             $C$2:C1527,C1527,
             $D$2:D1527,D1527,
             $G$2:G1527,G1527)&gt;1,
   "Doublon",
   "Correcte"
)</f>
        <v>Correcte</v>
      </c>
    </row>
    <row r="1528" spans="1:18" x14ac:dyDescent="0.25">
      <c r="A1528" s="104" t="s">
        <v>2162</v>
      </c>
      <c r="B1528" s="35" t="s">
        <v>712</v>
      </c>
      <c r="C1528" s="36">
        <v>5</v>
      </c>
      <c r="D1528" s="36">
        <v>0</v>
      </c>
      <c r="E1528" s="35" t="s">
        <v>699</v>
      </c>
      <c r="F1528" s="35" t="s">
        <v>634</v>
      </c>
      <c r="G1528" s="37">
        <v>45939.609953703701</v>
      </c>
      <c r="H1528" s="37" t="str">
        <f>INDEX(_xlfn.TEXTSPLIT(mvtst[[#This Row],[QR Suivis]],"_"),1,1)</f>
        <v>OF249858-15</v>
      </c>
      <c r="I1528" s="35" t="str">
        <f>_xlfn.TEXTBEFORE(mvtst[[#This Row],[Num Suivis]],"-",,,1)</f>
        <v>OF249858</v>
      </c>
      <c r="J1528" s="36">
        <f>SUMIF(mvtst[QR Suivis],mvtst[[#This Row],[QR Suivis]],mvtst[QTE SORTIS])-SUMIF(mvtst[QR Suivis],mvtst[[#This Row],[QR Suivis]],mvtst[QTE RETOUR])</f>
        <v>0</v>
      </c>
      <c r="K1528" s="35" t="str">
        <f t="shared" si="23"/>
        <v>Usine</v>
      </c>
      <c r="L1528" s="35" t="str">
        <f>_xlfn.XLOOKUP(mvtst[[#This Row],[Sous Traitant]],coordonnee_st[Identification],coordonnee_st[SERVICE],"Non Trouvé")</f>
        <v>Frange</v>
      </c>
      <c r="M1528" s="35" t="str">
        <f>INDEX(_xlfn.TEXTSPLIT(mvtst[[#This Row],[QR Suivis]],"_"),1,2)</f>
        <v>CL00884</v>
      </c>
      <c r="N1528" s="35" t="str">
        <f>INDEX(_xlfn.TEXTSPLIT(mvtst[[#This Row],[QR Suivis]],"_"),1,3)</f>
        <v>CM-FT0119</v>
      </c>
      <c r="O1528" s="35" t="str">
        <f>INDEX(_xlfn.TEXTSPLIT(mvtst[[#This Row],[QR Suivis]],"_"),1,4)</f>
        <v>AR2020-B23-01</v>
      </c>
      <c r="P1528" s="35" t="str">
        <f>INDEX(_xlfn.TEXTSPLIT(mvtst[[#This Row],[QR Suivis]],"_"),1,5)</f>
        <v>ARTHUR</v>
      </c>
      <c r="Q1528" s="35" t="str">
        <f>_xlfn.TEXTAFTER(mvtst[[#This Row],[QR Suivis]],"_",5)</f>
        <v>2020</v>
      </c>
      <c r="R1528" s="84" t="str">
        <f>IF(
   COUNTIFS($A$2:A1528,A1528,
             $B$2:B1528,B1528,
             $C$2:C1528,C1528,
             $D$2:D1528,D1528,
             $G$2:G1528,G1528)&gt;1,
   "Doublon",
   "Correcte"
)</f>
        <v>Correcte</v>
      </c>
    </row>
    <row r="1529" spans="1:18" x14ac:dyDescent="0.25">
      <c r="A1529" s="104" t="s">
        <v>2163</v>
      </c>
      <c r="B1529" s="35" t="s">
        <v>712</v>
      </c>
      <c r="C1529" s="36">
        <v>5</v>
      </c>
      <c r="D1529" s="36">
        <v>0</v>
      </c>
      <c r="E1529" s="35" t="s">
        <v>699</v>
      </c>
      <c r="F1529" s="35" t="s">
        <v>634</v>
      </c>
      <c r="G1529" s="37">
        <v>45939.610185185185</v>
      </c>
      <c r="H1529" s="37" t="str">
        <f>INDEX(_xlfn.TEXTSPLIT(mvtst[[#This Row],[QR Suivis]],"_"),1,1)</f>
        <v>OF249859-14</v>
      </c>
      <c r="I1529" s="35" t="str">
        <f>_xlfn.TEXTBEFORE(mvtst[[#This Row],[Num Suivis]],"-",,,1)</f>
        <v>OF249859</v>
      </c>
      <c r="J1529" s="36">
        <f>SUMIF(mvtst[QR Suivis],mvtst[[#This Row],[QR Suivis]],mvtst[QTE SORTIS])-SUMIF(mvtst[QR Suivis],mvtst[[#This Row],[QR Suivis]],mvtst[QTE RETOUR])</f>
        <v>0</v>
      </c>
      <c r="K1529" s="35" t="str">
        <f t="shared" si="23"/>
        <v>Usine</v>
      </c>
      <c r="L1529" s="35" t="str">
        <f>_xlfn.XLOOKUP(mvtst[[#This Row],[Sous Traitant]],coordonnee_st[Identification],coordonnee_st[SERVICE],"Non Trouvé")</f>
        <v>Frange</v>
      </c>
      <c r="M1529" s="35" t="str">
        <f>INDEX(_xlfn.TEXTSPLIT(mvtst[[#This Row],[QR Suivis]],"_"),1,2)</f>
        <v>CL00884</v>
      </c>
      <c r="N1529" s="35" t="str">
        <f>INDEX(_xlfn.TEXTSPLIT(mvtst[[#This Row],[QR Suivis]],"_"),1,3)</f>
        <v>CM-FT0119</v>
      </c>
      <c r="O1529" s="35" t="str">
        <f>INDEX(_xlfn.TEXTSPLIT(mvtst[[#This Row],[QR Suivis]],"_"),1,4)</f>
        <v>AR2020-B29-01</v>
      </c>
      <c r="P1529" s="35" t="str">
        <f>INDEX(_xlfn.TEXTSPLIT(mvtst[[#This Row],[QR Suivis]],"_"),1,5)</f>
        <v>ARTHUR</v>
      </c>
      <c r="Q1529" s="35" t="str">
        <f>_xlfn.TEXTAFTER(mvtst[[#This Row],[QR Suivis]],"_",5)</f>
        <v>2020</v>
      </c>
      <c r="R1529" s="84" t="str">
        <f>IF(
   COUNTIFS($A$2:A1529,A1529,
             $B$2:B1529,B1529,
             $C$2:C1529,C1529,
             $D$2:D1529,D1529,
             $G$2:G1529,G1529)&gt;1,
   "Doublon",
   "Correcte"
)</f>
        <v>Correcte</v>
      </c>
    </row>
    <row r="1530" spans="1:18" x14ac:dyDescent="0.25">
      <c r="A1530" s="104" t="s">
        <v>2164</v>
      </c>
      <c r="B1530" s="35" t="s">
        <v>712</v>
      </c>
      <c r="C1530" s="36">
        <v>5</v>
      </c>
      <c r="D1530" s="36">
        <v>0</v>
      </c>
      <c r="E1530" s="35" t="s">
        <v>699</v>
      </c>
      <c r="F1530" s="35" t="s">
        <v>634</v>
      </c>
      <c r="G1530" s="37">
        <v>45939.610682870371</v>
      </c>
      <c r="H1530" s="37" t="str">
        <f>INDEX(_xlfn.TEXTSPLIT(mvtst[[#This Row],[QR Suivis]],"_"),1,1)</f>
        <v>OF249859-12</v>
      </c>
      <c r="I1530" s="35" t="str">
        <f>_xlfn.TEXTBEFORE(mvtst[[#This Row],[Num Suivis]],"-",,,1)</f>
        <v>OF249859</v>
      </c>
      <c r="J1530" s="36">
        <f>SUMIF(mvtst[QR Suivis],mvtst[[#This Row],[QR Suivis]],mvtst[QTE SORTIS])-SUMIF(mvtst[QR Suivis],mvtst[[#This Row],[QR Suivis]],mvtst[QTE RETOUR])</f>
        <v>0</v>
      </c>
      <c r="K1530" s="35" t="str">
        <f t="shared" si="23"/>
        <v>Usine</v>
      </c>
      <c r="L1530" s="35" t="str">
        <f>_xlfn.XLOOKUP(mvtst[[#This Row],[Sous Traitant]],coordonnee_st[Identification],coordonnee_st[SERVICE],"Non Trouvé")</f>
        <v>Frange</v>
      </c>
      <c r="M1530" s="35" t="str">
        <f>INDEX(_xlfn.TEXTSPLIT(mvtst[[#This Row],[QR Suivis]],"_"),1,2)</f>
        <v>CL00884</v>
      </c>
      <c r="N1530" s="35" t="str">
        <f>INDEX(_xlfn.TEXTSPLIT(mvtst[[#This Row],[QR Suivis]],"_"),1,3)</f>
        <v>CM-FT0119</v>
      </c>
      <c r="O1530" s="35" t="str">
        <f>INDEX(_xlfn.TEXTSPLIT(mvtst[[#This Row],[QR Suivis]],"_"),1,4)</f>
        <v>AR2020-B29-01</v>
      </c>
      <c r="P1530" s="35" t="str">
        <f>INDEX(_xlfn.TEXTSPLIT(mvtst[[#This Row],[QR Suivis]],"_"),1,5)</f>
        <v>ARTHUR</v>
      </c>
      <c r="Q1530" s="35" t="str">
        <f>_xlfn.TEXTAFTER(mvtst[[#This Row],[QR Suivis]],"_",5)</f>
        <v>2020</v>
      </c>
      <c r="R1530" s="84" t="str">
        <f>IF(
   COUNTIFS($A$2:A1530,A1530,
             $B$2:B1530,B1530,
             $C$2:C1530,C1530,
             $D$2:D1530,D1530,
             $G$2:G1530,G1530)&gt;1,
   "Doublon",
   "Correcte"
)</f>
        <v>Correcte</v>
      </c>
    </row>
    <row r="1531" spans="1:18" x14ac:dyDescent="0.25">
      <c r="A1531" s="104" t="s">
        <v>2165</v>
      </c>
      <c r="B1531" s="35" t="s">
        <v>712</v>
      </c>
      <c r="C1531" s="36">
        <v>5</v>
      </c>
      <c r="D1531" s="36">
        <v>0</v>
      </c>
      <c r="E1531" s="35" t="s">
        <v>699</v>
      </c>
      <c r="F1531" s="35" t="s">
        <v>634</v>
      </c>
      <c r="G1531" s="37">
        <v>45939.611168981479</v>
      </c>
      <c r="H1531" s="37" t="str">
        <f>INDEX(_xlfn.TEXTSPLIT(mvtst[[#This Row],[QR Suivis]],"_"),1,1)</f>
        <v>OF249859-11</v>
      </c>
      <c r="I1531" s="35" t="str">
        <f>_xlfn.TEXTBEFORE(mvtst[[#This Row],[Num Suivis]],"-",,,1)</f>
        <v>OF249859</v>
      </c>
      <c r="J1531" s="36">
        <f>SUMIF(mvtst[QR Suivis],mvtst[[#This Row],[QR Suivis]],mvtst[QTE SORTIS])-SUMIF(mvtst[QR Suivis],mvtst[[#This Row],[QR Suivis]],mvtst[QTE RETOUR])</f>
        <v>0</v>
      </c>
      <c r="K1531" s="35" t="str">
        <f t="shared" si="23"/>
        <v>Usine</v>
      </c>
      <c r="L1531" s="35" t="str">
        <f>_xlfn.XLOOKUP(mvtst[[#This Row],[Sous Traitant]],coordonnee_st[Identification],coordonnee_st[SERVICE],"Non Trouvé")</f>
        <v>Frange</v>
      </c>
      <c r="M1531" s="35" t="str">
        <f>INDEX(_xlfn.TEXTSPLIT(mvtst[[#This Row],[QR Suivis]],"_"),1,2)</f>
        <v>CL00884</v>
      </c>
      <c r="N1531" s="35" t="str">
        <f>INDEX(_xlfn.TEXTSPLIT(mvtst[[#This Row],[QR Suivis]],"_"),1,3)</f>
        <v>CM-FT0119</v>
      </c>
      <c r="O1531" s="35" t="str">
        <f>INDEX(_xlfn.TEXTSPLIT(mvtst[[#This Row],[QR Suivis]],"_"),1,4)</f>
        <v>AR2020-B29-01</v>
      </c>
      <c r="P1531" s="35" t="str">
        <f>INDEX(_xlfn.TEXTSPLIT(mvtst[[#This Row],[QR Suivis]],"_"),1,5)</f>
        <v>ARTHUR</v>
      </c>
      <c r="Q1531" s="35" t="str">
        <f>_xlfn.TEXTAFTER(mvtst[[#This Row],[QR Suivis]],"_",5)</f>
        <v>2020</v>
      </c>
      <c r="R1531" s="84" t="str">
        <f>IF(
   COUNTIFS($A$2:A1531,A1531,
             $B$2:B1531,B1531,
             $C$2:C1531,C1531,
             $D$2:D1531,D1531,
             $G$2:G1531,G1531)&gt;1,
   "Doublon",
   "Correcte"
)</f>
        <v>Correcte</v>
      </c>
    </row>
    <row r="1532" spans="1:18" x14ac:dyDescent="0.25">
      <c r="A1532" s="104" t="s">
        <v>2166</v>
      </c>
      <c r="B1532" s="35" t="s">
        <v>712</v>
      </c>
      <c r="C1532" s="36">
        <v>5</v>
      </c>
      <c r="D1532" s="36">
        <v>0</v>
      </c>
      <c r="E1532" s="35" t="s">
        <v>699</v>
      </c>
      <c r="F1532" s="35" t="s">
        <v>634</v>
      </c>
      <c r="G1532" s="37">
        <v>45939.611342592594</v>
      </c>
      <c r="H1532" s="37" t="str">
        <f>INDEX(_xlfn.TEXTSPLIT(mvtst[[#This Row],[QR Suivis]],"_"),1,1)</f>
        <v>OF249859-15</v>
      </c>
      <c r="I1532" s="35" t="str">
        <f>_xlfn.TEXTBEFORE(mvtst[[#This Row],[Num Suivis]],"-",,,1)</f>
        <v>OF249859</v>
      </c>
      <c r="J1532" s="36">
        <f>SUMIF(mvtst[QR Suivis],mvtst[[#This Row],[QR Suivis]],mvtst[QTE SORTIS])-SUMIF(mvtst[QR Suivis],mvtst[[#This Row],[QR Suivis]],mvtst[QTE RETOUR])</f>
        <v>0</v>
      </c>
      <c r="K1532" s="35" t="str">
        <f t="shared" si="23"/>
        <v>Usine</v>
      </c>
      <c r="L1532" s="35" t="str">
        <f>_xlfn.XLOOKUP(mvtst[[#This Row],[Sous Traitant]],coordonnee_st[Identification],coordonnee_st[SERVICE],"Non Trouvé")</f>
        <v>Frange</v>
      </c>
      <c r="M1532" s="35" t="str">
        <f>INDEX(_xlfn.TEXTSPLIT(mvtst[[#This Row],[QR Suivis]],"_"),1,2)</f>
        <v>CL00884</v>
      </c>
      <c r="N1532" s="35" t="str">
        <f>INDEX(_xlfn.TEXTSPLIT(mvtst[[#This Row],[QR Suivis]],"_"),1,3)</f>
        <v>CM-FT0119</v>
      </c>
      <c r="O1532" s="35" t="str">
        <f>INDEX(_xlfn.TEXTSPLIT(mvtst[[#This Row],[QR Suivis]],"_"),1,4)</f>
        <v>AR2020-B29-01</v>
      </c>
      <c r="P1532" s="35" t="str">
        <f>INDEX(_xlfn.TEXTSPLIT(mvtst[[#This Row],[QR Suivis]],"_"),1,5)</f>
        <v>ARTHUR</v>
      </c>
      <c r="Q1532" s="35" t="str">
        <f>_xlfn.TEXTAFTER(mvtst[[#This Row],[QR Suivis]],"_",5)</f>
        <v>2020</v>
      </c>
      <c r="R1532" s="84" t="str">
        <f>IF(
   COUNTIFS($A$2:A1532,A1532,
             $B$2:B1532,B1532,
             $C$2:C1532,C1532,
             $D$2:D1532,D1532,
             $G$2:G1532,G1532)&gt;1,
   "Doublon",
   "Correcte"
)</f>
        <v>Correcte</v>
      </c>
    </row>
    <row r="1533" spans="1:18" x14ac:dyDescent="0.25">
      <c r="A1533" s="104" t="s">
        <v>2167</v>
      </c>
      <c r="B1533" s="35" t="s">
        <v>712</v>
      </c>
      <c r="C1533" s="36">
        <v>5</v>
      </c>
      <c r="D1533" s="36">
        <v>0</v>
      </c>
      <c r="E1533" s="35" t="s">
        <v>699</v>
      </c>
      <c r="F1533" s="35" t="s">
        <v>634</v>
      </c>
      <c r="G1533" s="37">
        <v>45939.611620370371</v>
      </c>
      <c r="H1533" s="37" t="str">
        <f>INDEX(_xlfn.TEXTSPLIT(mvtst[[#This Row],[QR Suivis]],"_"),1,1)</f>
        <v>OF249858-1</v>
      </c>
      <c r="I1533" s="35" t="str">
        <f>_xlfn.TEXTBEFORE(mvtst[[#This Row],[Num Suivis]],"-",,,1)</f>
        <v>OF249858</v>
      </c>
      <c r="J1533" s="36">
        <f>SUMIF(mvtst[QR Suivis],mvtst[[#This Row],[QR Suivis]],mvtst[QTE SORTIS])-SUMIF(mvtst[QR Suivis],mvtst[[#This Row],[QR Suivis]],mvtst[QTE RETOUR])</f>
        <v>0</v>
      </c>
      <c r="K1533" s="35" t="str">
        <f t="shared" si="23"/>
        <v>Usine</v>
      </c>
      <c r="L1533" s="35" t="str">
        <f>_xlfn.XLOOKUP(mvtst[[#This Row],[Sous Traitant]],coordonnee_st[Identification],coordonnee_st[SERVICE],"Non Trouvé")</f>
        <v>Frange</v>
      </c>
      <c r="M1533" s="35" t="str">
        <f>INDEX(_xlfn.TEXTSPLIT(mvtst[[#This Row],[QR Suivis]],"_"),1,2)</f>
        <v>CL00884</v>
      </c>
      <c r="N1533" s="35" t="str">
        <f>INDEX(_xlfn.TEXTSPLIT(mvtst[[#This Row],[QR Suivis]],"_"),1,3)</f>
        <v>CM-FT0119</v>
      </c>
      <c r="O1533" s="35" t="str">
        <f>INDEX(_xlfn.TEXTSPLIT(mvtst[[#This Row],[QR Suivis]],"_"),1,4)</f>
        <v>AR2020-B23-01</v>
      </c>
      <c r="P1533" s="35" t="str">
        <f>INDEX(_xlfn.TEXTSPLIT(mvtst[[#This Row],[QR Suivis]],"_"),1,5)</f>
        <v>ARTHUR</v>
      </c>
      <c r="Q1533" s="35" t="str">
        <f>_xlfn.TEXTAFTER(mvtst[[#This Row],[QR Suivis]],"_",5)</f>
        <v>2020</v>
      </c>
      <c r="R1533" s="84" t="str">
        <f>IF(
   COUNTIFS($A$2:A1533,A1533,
             $B$2:B1533,B1533,
             $C$2:C1533,C1533,
             $D$2:D1533,D1533,
             $G$2:G1533,G1533)&gt;1,
   "Doublon",
   "Correcte"
)</f>
        <v>Correcte</v>
      </c>
    </row>
    <row r="1534" spans="1:18" x14ac:dyDescent="0.25">
      <c r="A1534" s="104" t="s">
        <v>2168</v>
      </c>
      <c r="B1534" s="35" t="s">
        <v>712</v>
      </c>
      <c r="C1534" s="36">
        <v>5</v>
      </c>
      <c r="D1534" s="36">
        <v>0</v>
      </c>
      <c r="E1534" s="35" t="s">
        <v>699</v>
      </c>
      <c r="F1534" s="35" t="s">
        <v>634</v>
      </c>
      <c r="G1534" s="37">
        <v>45939.611875000002</v>
      </c>
      <c r="H1534" s="37" t="str">
        <f>INDEX(_xlfn.TEXTSPLIT(mvtst[[#This Row],[QR Suivis]],"_"),1,1)</f>
        <v>OF249858-4</v>
      </c>
      <c r="I1534" s="35" t="str">
        <f>_xlfn.TEXTBEFORE(mvtst[[#This Row],[Num Suivis]],"-",,,1)</f>
        <v>OF249858</v>
      </c>
      <c r="J1534" s="36">
        <f>SUMIF(mvtst[QR Suivis],mvtst[[#This Row],[QR Suivis]],mvtst[QTE SORTIS])-SUMIF(mvtst[QR Suivis],mvtst[[#This Row],[QR Suivis]],mvtst[QTE RETOUR])</f>
        <v>0</v>
      </c>
      <c r="K1534" s="35" t="str">
        <f t="shared" si="23"/>
        <v>Usine</v>
      </c>
      <c r="L1534" s="35" t="str">
        <f>_xlfn.XLOOKUP(mvtst[[#This Row],[Sous Traitant]],coordonnee_st[Identification],coordonnee_st[SERVICE],"Non Trouvé")</f>
        <v>Frange</v>
      </c>
      <c r="M1534" s="35" t="str">
        <f>INDEX(_xlfn.TEXTSPLIT(mvtst[[#This Row],[QR Suivis]],"_"),1,2)</f>
        <v>CL00884</v>
      </c>
      <c r="N1534" s="35" t="str">
        <f>INDEX(_xlfn.TEXTSPLIT(mvtst[[#This Row],[QR Suivis]],"_"),1,3)</f>
        <v>CM-FT0119</v>
      </c>
      <c r="O1534" s="35" t="str">
        <f>INDEX(_xlfn.TEXTSPLIT(mvtst[[#This Row],[QR Suivis]],"_"),1,4)</f>
        <v>AR2020-B23-01</v>
      </c>
      <c r="P1534" s="35" t="str">
        <f>INDEX(_xlfn.TEXTSPLIT(mvtst[[#This Row],[QR Suivis]],"_"),1,5)</f>
        <v>ARTHUR</v>
      </c>
      <c r="Q1534" s="35" t="str">
        <f>_xlfn.TEXTAFTER(mvtst[[#This Row],[QR Suivis]],"_",5)</f>
        <v>2020</v>
      </c>
      <c r="R1534" s="84" t="str">
        <f>IF(
   COUNTIFS($A$2:A1534,A1534,
             $B$2:B1534,B1534,
             $C$2:C1534,C1534,
             $D$2:D1534,D1534,
             $G$2:G1534,G1534)&gt;1,
   "Doublon",
   "Correcte"
)</f>
        <v>Correcte</v>
      </c>
    </row>
    <row r="1535" spans="1:18" x14ac:dyDescent="0.25">
      <c r="A1535" s="104" t="s">
        <v>2169</v>
      </c>
      <c r="B1535" s="35" t="s">
        <v>712</v>
      </c>
      <c r="C1535" s="36">
        <v>5</v>
      </c>
      <c r="D1535" s="36">
        <v>0</v>
      </c>
      <c r="E1535" s="35" t="s">
        <v>699</v>
      </c>
      <c r="F1535" s="35" t="s">
        <v>634</v>
      </c>
      <c r="G1535" s="37">
        <v>45939.61209490741</v>
      </c>
      <c r="H1535" s="37" t="str">
        <f>INDEX(_xlfn.TEXTSPLIT(mvtst[[#This Row],[QR Suivis]],"_"),1,1)</f>
        <v>OF249858-2</v>
      </c>
      <c r="I1535" s="35" t="str">
        <f>_xlfn.TEXTBEFORE(mvtst[[#This Row],[Num Suivis]],"-",,,1)</f>
        <v>OF249858</v>
      </c>
      <c r="J1535" s="36">
        <f>SUMIF(mvtst[QR Suivis],mvtst[[#This Row],[QR Suivis]],mvtst[QTE SORTIS])-SUMIF(mvtst[QR Suivis],mvtst[[#This Row],[QR Suivis]],mvtst[QTE RETOUR])</f>
        <v>0</v>
      </c>
      <c r="K1535" s="35" t="str">
        <f t="shared" si="23"/>
        <v>Usine</v>
      </c>
      <c r="L1535" s="35" t="str">
        <f>_xlfn.XLOOKUP(mvtst[[#This Row],[Sous Traitant]],coordonnee_st[Identification],coordonnee_st[SERVICE],"Non Trouvé")</f>
        <v>Frange</v>
      </c>
      <c r="M1535" s="35" t="str">
        <f>INDEX(_xlfn.TEXTSPLIT(mvtst[[#This Row],[QR Suivis]],"_"),1,2)</f>
        <v>CL00884</v>
      </c>
      <c r="N1535" s="35" t="str">
        <f>INDEX(_xlfn.TEXTSPLIT(mvtst[[#This Row],[QR Suivis]],"_"),1,3)</f>
        <v>CM-FT0119</v>
      </c>
      <c r="O1535" s="35" t="str">
        <f>INDEX(_xlfn.TEXTSPLIT(mvtst[[#This Row],[QR Suivis]],"_"),1,4)</f>
        <v>AR2020-B23-01</v>
      </c>
      <c r="P1535" s="35" t="str">
        <f>INDEX(_xlfn.TEXTSPLIT(mvtst[[#This Row],[QR Suivis]],"_"),1,5)</f>
        <v>ARTHUR</v>
      </c>
      <c r="Q1535" s="35" t="str">
        <f>_xlfn.TEXTAFTER(mvtst[[#This Row],[QR Suivis]],"_",5)</f>
        <v>2020</v>
      </c>
      <c r="R1535" s="84" t="str">
        <f>IF(
   COUNTIFS($A$2:A1535,A1535,
             $B$2:B1535,B1535,
             $C$2:C1535,C1535,
             $D$2:D1535,D1535,
             $G$2:G1535,G1535)&gt;1,
   "Doublon",
   "Correcte"
)</f>
        <v>Correcte</v>
      </c>
    </row>
    <row r="1536" spans="1:18" x14ac:dyDescent="0.25">
      <c r="A1536" s="104" t="s">
        <v>2170</v>
      </c>
      <c r="B1536" s="35" t="s">
        <v>712</v>
      </c>
      <c r="C1536" s="36">
        <v>5</v>
      </c>
      <c r="D1536" s="36">
        <v>0</v>
      </c>
      <c r="E1536" s="35" t="s">
        <v>699</v>
      </c>
      <c r="F1536" s="35" t="s">
        <v>634</v>
      </c>
      <c r="G1536" s="37">
        <v>45939.612268518518</v>
      </c>
      <c r="H1536" s="37" t="str">
        <f>INDEX(_xlfn.TEXTSPLIT(mvtst[[#This Row],[QR Suivis]],"_"),1,1)</f>
        <v>OF249858-5</v>
      </c>
      <c r="I1536" s="35" t="str">
        <f>_xlfn.TEXTBEFORE(mvtst[[#This Row],[Num Suivis]],"-",,,1)</f>
        <v>OF249858</v>
      </c>
      <c r="J1536" s="36">
        <f>SUMIF(mvtst[QR Suivis],mvtst[[#This Row],[QR Suivis]],mvtst[QTE SORTIS])-SUMIF(mvtst[QR Suivis],mvtst[[#This Row],[QR Suivis]],mvtst[QTE RETOUR])</f>
        <v>0</v>
      </c>
      <c r="K1536" s="35" t="str">
        <f t="shared" si="23"/>
        <v>Usine</v>
      </c>
      <c r="L1536" s="35" t="str">
        <f>_xlfn.XLOOKUP(mvtst[[#This Row],[Sous Traitant]],coordonnee_st[Identification],coordonnee_st[SERVICE],"Non Trouvé")</f>
        <v>Frange</v>
      </c>
      <c r="M1536" s="35" t="str">
        <f>INDEX(_xlfn.TEXTSPLIT(mvtst[[#This Row],[QR Suivis]],"_"),1,2)</f>
        <v>CL00884</v>
      </c>
      <c r="N1536" s="35" t="str">
        <f>INDEX(_xlfn.TEXTSPLIT(mvtst[[#This Row],[QR Suivis]],"_"),1,3)</f>
        <v>CM-FT0119</v>
      </c>
      <c r="O1536" s="35" t="str">
        <f>INDEX(_xlfn.TEXTSPLIT(mvtst[[#This Row],[QR Suivis]],"_"),1,4)</f>
        <v>AR2020-B23-01</v>
      </c>
      <c r="P1536" s="35" t="str">
        <f>INDEX(_xlfn.TEXTSPLIT(mvtst[[#This Row],[QR Suivis]],"_"),1,5)</f>
        <v>ARTHUR</v>
      </c>
      <c r="Q1536" s="35" t="str">
        <f>_xlfn.TEXTAFTER(mvtst[[#This Row],[QR Suivis]],"_",5)</f>
        <v>2020</v>
      </c>
      <c r="R1536" s="84" t="str">
        <f>IF(
   COUNTIFS($A$2:A1536,A1536,
             $B$2:B1536,B1536,
             $C$2:C1536,C1536,
             $D$2:D1536,D1536,
             $G$2:G1536,G1536)&gt;1,
   "Doublon",
   "Correcte"
)</f>
        <v>Correcte</v>
      </c>
    </row>
    <row r="1537" spans="1:18" x14ac:dyDescent="0.25">
      <c r="A1537" s="104" t="s">
        <v>2171</v>
      </c>
      <c r="B1537" s="35" t="s">
        <v>712</v>
      </c>
      <c r="C1537" s="36">
        <v>5</v>
      </c>
      <c r="D1537" s="36">
        <v>0</v>
      </c>
      <c r="E1537" s="35" t="s">
        <v>699</v>
      </c>
      <c r="F1537" s="35" t="s">
        <v>634</v>
      </c>
      <c r="G1537" s="37">
        <v>45939.612523148149</v>
      </c>
      <c r="H1537" s="37" t="str">
        <f>INDEX(_xlfn.TEXTSPLIT(mvtst[[#This Row],[QR Suivis]],"_"),1,1)</f>
        <v>OF249858-3</v>
      </c>
      <c r="I1537" s="35" t="str">
        <f>_xlfn.TEXTBEFORE(mvtst[[#This Row],[Num Suivis]],"-",,,1)</f>
        <v>OF249858</v>
      </c>
      <c r="J1537" s="36">
        <f>SUMIF(mvtst[QR Suivis],mvtst[[#This Row],[QR Suivis]],mvtst[QTE SORTIS])-SUMIF(mvtst[QR Suivis],mvtst[[#This Row],[QR Suivis]],mvtst[QTE RETOUR])</f>
        <v>0</v>
      </c>
      <c r="K1537" s="35" t="str">
        <f t="shared" si="23"/>
        <v>Usine</v>
      </c>
      <c r="L1537" s="35" t="str">
        <f>_xlfn.XLOOKUP(mvtst[[#This Row],[Sous Traitant]],coordonnee_st[Identification],coordonnee_st[SERVICE],"Non Trouvé")</f>
        <v>Frange</v>
      </c>
      <c r="M1537" s="35" t="str">
        <f>INDEX(_xlfn.TEXTSPLIT(mvtst[[#This Row],[QR Suivis]],"_"),1,2)</f>
        <v>CL00884</v>
      </c>
      <c r="N1537" s="35" t="str">
        <f>INDEX(_xlfn.TEXTSPLIT(mvtst[[#This Row],[QR Suivis]],"_"),1,3)</f>
        <v>CM-FT0119</v>
      </c>
      <c r="O1537" s="35" t="str">
        <f>INDEX(_xlfn.TEXTSPLIT(mvtst[[#This Row],[QR Suivis]],"_"),1,4)</f>
        <v>AR2020-B23-01</v>
      </c>
      <c r="P1537" s="35" t="str">
        <f>INDEX(_xlfn.TEXTSPLIT(mvtst[[#This Row],[QR Suivis]],"_"),1,5)</f>
        <v>ARTHUR</v>
      </c>
      <c r="Q1537" s="35" t="str">
        <f>_xlfn.TEXTAFTER(mvtst[[#This Row],[QR Suivis]],"_",5)</f>
        <v>2020</v>
      </c>
      <c r="R1537" s="84" t="str">
        <f>IF(
   COUNTIFS($A$2:A1537,A1537,
             $B$2:B1537,B1537,
             $C$2:C1537,C1537,
             $D$2:D1537,D1537,
             $G$2:G1537,G1537)&gt;1,
   "Doublon",
   "Correcte"
)</f>
        <v>Correcte</v>
      </c>
    </row>
    <row r="1538" spans="1:18" x14ac:dyDescent="0.25">
      <c r="A1538" s="104" t="s">
        <v>2172</v>
      </c>
      <c r="B1538" s="35" t="s">
        <v>712</v>
      </c>
      <c r="C1538" s="36">
        <v>5</v>
      </c>
      <c r="D1538" s="36">
        <v>0</v>
      </c>
      <c r="E1538" s="35" t="s">
        <v>699</v>
      </c>
      <c r="F1538" s="35" t="s">
        <v>634</v>
      </c>
      <c r="G1538" s="37">
        <v>45939.612662037034</v>
      </c>
      <c r="H1538" s="37" t="str">
        <f>INDEX(_xlfn.TEXTSPLIT(mvtst[[#This Row],[QR Suivis]],"_"),1,1)</f>
        <v>OF249858-7</v>
      </c>
      <c r="I1538" s="35" t="str">
        <f>_xlfn.TEXTBEFORE(mvtst[[#This Row],[Num Suivis]],"-",,,1)</f>
        <v>OF249858</v>
      </c>
      <c r="J1538" s="36">
        <f>SUMIF(mvtst[QR Suivis],mvtst[[#This Row],[QR Suivis]],mvtst[QTE SORTIS])-SUMIF(mvtst[QR Suivis],mvtst[[#This Row],[QR Suivis]],mvtst[QTE RETOUR])</f>
        <v>0</v>
      </c>
      <c r="K1538" s="35" t="str">
        <f t="shared" si="23"/>
        <v>Usine</v>
      </c>
      <c r="L1538" s="35" t="str">
        <f>_xlfn.XLOOKUP(mvtst[[#This Row],[Sous Traitant]],coordonnee_st[Identification],coordonnee_st[SERVICE],"Non Trouvé")</f>
        <v>Frange</v>
      </c>
      <c r="M1538" s="35" t="str">
        <f>INDEX(_xlfn.TEXTSPLIT(mvtst[[#This Row],[QR Suivis]],"_"),1,2)</f>
        <v>CL00884</v>
      </c>
      <c r="N1538" s="35" t="str">
        <f>INDEX(_xlfn.TEXTSPLIT(mvtst[[#This Row],[QR Suivis]],"_"),1,3)</f>
        <v>CM-FT0119</v>
      </c>
      <c r="O1538" s="35" t="str">
        <f>INDEX(_xlfn.TEXTSPLIT(mvtst[[#This Row],[QR Suivis]],"_"),1,4)</f>
        <v>AR2020-B23-01</v>
      </c>
      <c r="P1538" s="35" t="str">
        <f>INDEX(_xlfn.TEXTSPLIT(mvtst[[#This Row],[QR Suivis]],"_"),1,5)</f>
        <v>ARTHUR</v>
      </c>
      <c r="Q1538" s="35" t="str">
        <f>_xlfn.TEXTAFTER(mvtst[[#This Row],[QR Suivis]],"_",5)</f>
        <v>2020</v>
      </c>
      <c r="R1538" s="84" t="str">
        <f>IF(
   COUNTIFS($A$2:A1538,A1538,
             $B$2:B1538,B1538,
             $C$2:C1538,C1538,
             $D$2:D1538,D1538,
             $G$2:G1538,G1538)&gt;1,
   "Doublon",
   "Correcte"
)</f>
        <v>Correcte</v>
      </c>
    </row>
    <row r="1539" spans="1:18" x14ac:dyDescent="0.25">
      <c r="A1539" s="104" t="s">
        <v>2173</v>
      </c>
      <c r="B1539" s="35" t="s">
        <v>712</v>
      </c>
      <c r="C1539" s="36">
        <v>5</v>
      </c>
      <c r="D1539" s="36">
        <v>0</v>
      </c>
      <c r="E1539" s="35" t="s">
        <v>699</v>
      </c>
      <c r="F1539" s="35" t="s">
        <v>634</v>
      </c>
      <c r="G1539" s="37">
        <v>45939.612928240742</v>
      </c>
      <c r="H1539" s="37" t="str">
        <f>INDEX(_xlfn.TEXTSPLIT(mvtst[[#This Row],[QR Suivis]],"_"),1,1)</f>
        <v>OF249858-6</v>
      </c>
      <c r="I1539" s="35" t="str">
        <f>_xlfn.TEXTBEFORE(mvtst[[#This Row],[Num Suivis]],"-",,,1)</f>
        <v>OF249858</v>
      </c>
      <c r="J1539" s="36">
        <f>SUMIF(mvtst[QR Suivis],mvtst[[#This Row],[QR Suivis]],mvtst[QTE SORTIS])-SUMIF(mvtst[QR Suivis],mvtst[[#This Row],[QR Suivis]],mvtst[QTE RETOUR])</f>
        <v>0</v>
      </c>
      <c r="K1539" s="35" t="str">
        <f t="shared" ref="K1539:K1595" si="24">"Usine"</f>
        <v>Usine</v>
      </c>
      <c r="L1539" s="35" t="str">
        <f>_xlfn.XLOOKUP(mvtst[[#This Row],[Sous Traitant]],coordonnee_st[Identification],coordonnee_st[SERVICE],"Non Trouvé")</f>
        <v>Frange</v>
      </c>
      <c r="M1539" s="35" t="str">
        <f>INDEX(_xlfn.TEXTSPLIT(mvtst[[#This Row],[QR Suivis]],"_"),1,2)</f>
        <v>CL00884</v>
      </c>
      <c r="N1539" s="35" t="str">
        <f>INDEX(_xlfn.TEXTSPLIT(mvtst[[#This Row],[QR Suivis]],"_"),1,3)</f>
        <v>CM-FT0119</v>
      </c>
      <c r="O1539" s="35" t="str">
        <f>INDEX(_xlfn.TEXTSPLIT(mvtst[[#This Row],[QR Suivis]],"_"),1,4)</f>
        <v>AR2020-B23-01</v>
      </c>
      <c r="P1539" s="35" t="str">
        <f>INDEX(_xlfn.TEXTSPLIT(mvtst[[#This Row],[QR Suivis]],"_"),1,5)</f>
        <v>ARTHUR</v>
      </c>
      <c r="Q1539" s="35" t="str">
        <f>_xlfn.TEXTAFTER(mvtst[[#This Row],[QR Suivis]],"_",5)</f>
        <v>2020</v>
      </c>
      <c r="R1539" s="84" t="str">
        <f>IF(
   COUNTIFS($A$2:A1539,A1539,
             $B$2:B1539,B1539,
             $C$2:C1539,C1539,
             $D$2:D1539,D1539,
             $G$2:G1539,G1539)&gt;1,
   "Doublon",
   "Correcte"
)</f>
        <v>Correcte</v>
      </c>
    </row>
    <row r="1540" spans="1:18" x14ac:dyDescent="0.25">
      <c r="A1540" s="104" t="s">
        <v>2174</v>
      </c>
      <c r="B1540" s="35" t="s">
        <v>712</v>
      </c>
      <c r="C1540" s="36">
        <v>5</v>
      </c>
      <c r="D1540" s="36">
        <v>0</v>
      </c>
      <c r="E1540" s="35" t="s">
        <v>699</v>
      </c>
      <c r="F1540" s="35" t="s">
        <v>634</v>
      </c>
      <c r="G1540" s="37">
        <v>45939.61314814815</v>
      </c>
      <c r="H1540" s="37" t="str">
        <f>INDEX(_xlfn.TEXTSPLIT(mvtst[[#This Row],[QR Suivis]],"_"),1,1)</f>
        <v>OF249859-6</v>
      </c>
      <c r="I1540" s="35" t="str">
        <f>_xlfn.TEXTBEFORE(mvtst[[#This Row],[Num Suivis]],"-",,,1)</f>
        <v>OF249859</v>
      </c>
      <c r="J1540" s="36">
        <f>SUMIF(mvtst[QR Suivis],mvtst[[#This Row],[QR Suivis]],mvtst[QTE SORTIS])-SUMIF(mvtst[QR Suivis],mvtst[[#This Row],[QR Suivis]],mvtst[QTE RETOUR])</f>
        <v>0</v>
      </c>
      <c r="K1540" s="35" t="str">
        <f t="shared" si="24"/>
        <v>Usine</v>
      </c>
      <c r="L1540" s="35" t="str">
        <f>_xlfn.XLOOKUP(mvtst[[#This Row],[Sous Traitant]],coordonnee_st[Identification],coordonnee_st[SERVICE],"Non Trouvé")</f>
        <v>Frange</v>
      </c>
      <c r="M1540" s="35" t="str">
        <f>INDEX(_xlfn.TEXTSPLIT(mvtst[[#This Row],[QR Suivis]],"_"),1,2)</f>
        <v>CL00884</v>
      </c>
      <c r="N1540" s="35" t="str">
        <f>INDEX(_xlfn.TEXTSPLIT(mvtst[[#This Row],[QR Suivis]],"_"),1,3)</f>
        <v>CM-FT0119</v>
      </c>
      <c r="O1540" s="35" t="str">
        <f>INDEX(_xlfn.TEXTSPLIT(mvtst[[#This Row],[QR Suivis]],"_"),1,4)</f>
        <v>AR2020-B29-01</v>
      </c>
      <c r="P1540" s="35" t="str">
        <f>INDEX(_xlfn.TEXTSPLIT(mvtst[[#This Row],[QR Suivis]],"_"),1,5)</f>
        <v>ARTHUR</v>
      </c>
      <c r="Q1540" s="35" t="str">
        <f>_xlfn.TEXTAFTER(mvtst[[#This Row],[QR Suivis]],"_",5)</f>
        <v>2020</v>
      </c>
      <c r="R1540" s="84" t="str">
        <f>IF(
   COUNTIFS($A$2:A1540,A1540,
             $B$2:B1540,B1540,
             $C$2:C1540,C1540,
             $D$2:D1540,D1540,
             $G$2:G1540,G1540)&gt;1,
   "Doublon",
   "Correcte"
)</f>
        <v>Correcte</v>
      </c>
    </row>
    <row r="1541" spans="1:18" x14ac:dyDescent="0.25">
      <c r="A1541" s="104" t="s">
        <v>2175</v>
      </c>
      <c r="B1541" s="35" t="s">
        <v>712</v>
      </c>
      <c r="C1541" s="36">
        <v>5</v>
      </c>
      <c r="D1541" s="36">
        <v>0</v>
      </c>
      <c r="E1541" s="35" t="s">
        <v>699</v>
      </c>
      <c r="F1541" s="35" t="s">
        <v>634</v>
      </c>
      <c r="G1541" s="37">
        <v>45939.613287037035</v>
      </c>
      <c r="H1541" s="37" t="str">
        <f>INDEX(_xlfn.TEXTSPLIT(mvtst[[#This Row],[QR Suivis]],"_"),1,1)</f>
        <v>OF249858-12</v>
      </c>
      <c r="I1541" s="35" t="str">
        <f>_xlfn.TEXTBEFORE(mvtst[[#This Row],[Num Suivis]],"-",,,1)</f>
        <v>OF249858</v>
      </c>
      <c r="J1541" s="36">
        <f>SUMIF(mvtst[QR Suivis],mvtst[[#This Row],[QR Suivis]],mvtst[QTE SORTIS])-SUMIF(mvtst[QR Suivis],mvtst[[#This Row],[QR Suivis]],mvtst[QTE RETOUR])</f>
        <v>0</v>
      </c>
      <c r="K1541" s="35" t="str">
        <f t="shared" si="24"/>
        <v>Usine</v>
      </c>
      <c r="L1541" s="35" t="str">
        <f>_xlfn.XLOOKUP(mvtst[[#This Row],[Sous Traitant]],coordonnee_st[Identification],coordonnee_st[SERVICE],"Non Trouvé")</f>
        <v>Frange</v>
      </c>
      <c r="M1541" s="35" t="str">
        <f>INDEX(_xlfn.TEXTSPLIT(mvtst[[#This Row],[QR Suivis]],"_"),1,2)</f>
        <v>CL00884</v>
      </c>
      <c r="N1541" s="35" t="str">
        <f>INDEX(_xlfn.TEXTSPLIT(mvtst[[#This Row],[QR Suivis]],"_"),1,3)</f>
        <v>CM-FT0119</v>
      </c>
      <c r="O1541" s="35" t="str">
        <f>INDEX(_xlfn.TEXTSPLIT(mvtst[[#This Row],[QR Suivis]],"_"),1,4)</f>
        <v>AR2020-B23-01</v>
      </c>
      <c r="P1541" s="35" t="str">
        <f>INDEX(_xlfn.TEXTSPLIT(mvtst[[#This Row],[QR Suivis]],"_"),1,5)</f>
        <v>ARTHUR</v>
      </c>
      <c r="Q1541" s="35" t="str">
        <f>_xlfn.TEXTAFTER(mvtst[[#This Row],[QR Suivis]],"_",5)</f>
        <v>2020</v>
      </c>
      <c r="R1541" s="84" t="str">
        <f>IF(
   COUNTIFS($A$2:A1541,A1541,
             $B$2:B1541,B1541,
             $C$2:C1541,C1541,
             $D$2:D1541,D1541,
             $G$2:G1541,G1541)&gt;1,
   "Doublon",
   "Correcte"
)</f>
        <v>Correcte</v>
      </c>
    </row>
    <row r="1542" spans="1:18" x14ac:dyDescent="0.25">
      <c r="A1542" s="104" t="s">
        <v>2176</v>
      </c>
      <c r="B1542" s="35" t="s">
        <v>712</v>
      </c>
      <c r="C1542" s="36">
        <v>5</v>
      </c>
      <c r="D1542" s="36">
        <v>0</v>
      </c>
      <c r="E1542" s="35" t="s">
        <v>699</v>
      </c>
      <c r="F1542" s="35" t="s">
        <v>634</v>
      </c>
      <c r="G1542" s="37">
        <v>45939.613657407404</v>
      </c>
      <c r="H1542" s="37" t="str">
        <f>INDEX(_xlfn.TEXTSPLIT(mvtst[[#This Row],[QR Suivis]],"_"),1,1)</f>
        <v>OF249858-11</v>
      </c>
      <c r="I1542" s="35" t="str">
        <f>_xlfn.TEXTBEFORE(mvtst[[#This Row],[Num Suivis]],"-",,,1)</f>
        <v>OF249858</v>
      </c>
      <c r="J1542" s="36">
        <f>SUMIF(mvtst[QR Suivis],mvtst[[#This Row],[QR Suivis]],mvtst[QTE SORTIS])-SUMIF(mvtst[QR Suivis],mvtst[[#This Row],[QR Suivis]],mvtst[QTE RETOUR])</f>
        <v>0</v>
      </c>
      <c r="K1542" s="35" t="str">
        <f t="shared" si="24"/>
        <v>Usine</v>
      </c>
      <c r="L1542" s="35" t="str">
        <f>_xlfn.XLOOKUP(mvtst[[#This Row],[Sous Traitant]],coordonnee_st[Identification],coordonnee_st[SERVICE],"Non Trouvé")</f>
        <v>Frange</v>
      </c>
      <c r="M1542" s="35" t="str">
        <f>INDEX(_xlfn.TEXTSPLIT(mvtst[[#This Row],[QR Suivis]],"_"),1,2)</f>
        <v>CL00884</v>
      </c>
      <c r="N1542" s="35" t="str">
        <f>INDEX(_xlfn.TEXTSPLIT(mvtst[[#This Row],[QR Suivis]],"_"),1,3)</f>
        <v>CM-FT0119</v>
      </c>
      <c r="O1542" s="35" t="str">
        <f>INDEX(_xlfn.TEXTSPLIT(mvtst[[#This Row],[QR Suivis]],"_"),1,4)</f>
        <v>AR2020-B23-01</v>
      </c>
      <c r="P1542" s="35" t="str">
        <f>INDEX(_xlfn.TEXTSPLIT(mvtst[[#This Row],[QR Suivis]],"_"),1,5)</f>
        <v>ARTHUR</v>
      </c>
      <c r="Q1542" s="35" t="str">
        <f>_xlfn.TEXTAFTER(mvtst[[#This Row],[QR Suivis]],"_",5)</f>
        <v>2020</v>
      </c>
      <c r="R1542" s="84" t="str">
        <f>IF(
   COUNTIFS($A$2:A1542,A1542,
             $B$2:B1542,B1542,
             $C$2:C1542,C1542,
             $D$2:D1542,D1542,
             $G$2:G1542,G1542)&gt;1,
   "Doublon",
   "Correcte"
)</f>
        <v>Correcte</v>
      </c>
    </row>
    <row r="1543" spans="1:18" x14ac:dyDescent="0.25">
      <c r="A1543" s="104" t="s">
        <v>2177</v>
      </c>
      <c r="B1543" s="35" t="s">
        <v>712</v>
      </c>
      <c r="C1543" s="36">
        <v>5</v>
      </c>
      <c r="D1543" s="36">
        <v>0</v>
      </c>
      <c r="E1543" s="35" t="s">
        <v>699</v>
      </c>
      <c r="F1543" s="35" t="s">
        <v>634</v>
      </c>
      <c r="G1543" s="37">
        <v>45939.613993055558</v>
      </c>
      <c r="H1543" s="37" t="str">
        <f>INDEX(_xlfn.TEXTSPLIT(mvtst[[#This Row],[QR Suivis]],"_"),1,1)</f>
        <v>OF249858-10</v>
      </c>
      <c r="I1543" s="35" t="str">
        <f>_xlfn.TEXTBEFORE(mvtst[[#This Row],[Num Suivis]],"-",,,1)</f>
        <v>OF249858</v>
      </c>
      <c r="J1543" s="36">
        <f>SUMIF(mvtst[QR Suivis],mvtst[[#This Row],[QR Suivis]],mvtst[QTE SORTIS])-SUMIF(mvtst[QR Suivis],mvtst[[#This Row],[QR Suivis]],mvtst[QTE RETOUR])</f>
        <v>0</v>
      </c>
      <c r="K1543" s="35" t="str">
        <f t="shared" si="24"/>
        <v>Usine</v>
      </c>
      <c r="L1543" s="35" t="str">
        <f>_xlfn.XLOOKUP(mvtst[[#This Row],[Sous Traitant]],coordonnee_st[Identification],coordonnee_st[SERVICE],"Non Trouvé")</f>
        <v>Frange</v>
      </c>
      <c r="M1543" s="35" t="str">
        <f>INDEX(_xlfn.TEXTSPLIT(mvtst[[#This Row],[QR Suivis]],"_"),1,2)</f>
        <v>CL00884</v>
      </c>
      <c r="N1543" s="35" t="str">
        <f>INDEX(_xlfn.TEXTSPLIT(mvtst[[#This Row],[QR Suivis]],"_"),1,3)</f>
        <v>CM-FT0119</v>
      </c>
      <c r="O1543" s="35" t="str">
        <f>INDEX(_xlfn.TEXTSPLIT(mvtst[[#This Row],[QR Suivis]],"_"),1,4)</f>
        <v>AR2020-B23-01</v>
      </c>
      <c r="P1543" s="35" t="str">
        <f>INDEX(_xlfn.TEXTSPLIT(mvtst[[#This Row],[QR Suivis]],"_"),1,5)</f>
        <v>ARTHUR</v>
      </c>
      <c r="Q1543" s="35" t="str">
        <f>_xlfn.TEXTAFTER(mvtst[[#This Row],[QR Suivis]],"_",5)</f>
        <v>2020</v>
      </c>
      <c r="R1543" s="84" t="str">
        <f>IF(
   COUNTIFS($A$2:A1543,A1543,
             $B$2:B1543,B1543,
             $C$2:C1543,C1543,
             $D$2:D1543,D1543,
             $G$2:G1543,G1543)&gt;1,
   "Doublon",
   "Correcte"
)</f>
        <v>Correcte</v>
      </c>
    </row>
    <row r="1544" spans="1:18" x14ac:dyDescent="0.25">
      <c r="A1544" s="104" t="s">
        <v>2178</v>
      </c>
      <c r="B1544" s="35" t="s">
        <v>712</v>
      </c>
      <c r="C1544" s="36">
        <v>5</v>
      </c>
      <c r="D1544" s="36">
        <v>0</v>
      </c>
      <c r="E1544" s="35" t="s">
        <v>699</v>
      </c>
      <c r="F1544" s="35" t="s">
        <v>634</v>
      </c>
      <c r="G1544" s="37">
        <v>45939.61414351852</v>
      </c>
      <c r="H1544" s="37" t="str">
        <f>INDEX(_xlfn.TEXTSPLIT(mvtst[[#This Row],[QR Suivis]],"_"),1,1)</f>
        <v>OF249858-8</v>
      </c>
      <c r="I1544" s="35" t="str">
        <f>_xlfn.TEXTBEFORE(mvtst[[#This Row],[Num Suivis]],"-",,,1)</f>
        <v>OF249858</v>
      </c>
      <c r="J1544" s="36">
        <f>SUMIF(mvtst[QR Suivis],mvtst[[#This Row],[QR Suivis]],mvtst[QTE SORTIS])-SUMIF(mvtst[QR Suivis],mvtst[[#This Row],[QR Suivis]],mvtst[QTE RETOUR])</f>
        <v>0</v>
      </c>
      <c r="K1544" s="35" t="str">
        <f t="shared" si="24"/>
        <v>Usine</v>
      </c>
      <c r="L1544" s="35" t="str">
        <f>_xlfn.XLOOKUP(mvtst[[#This Row],[Sous Traitant]],coordonnee_st[Identification],coordonnee_st[SERVICE],"Non Trouvé")</f>
        <v>Frange</v>
      </c>
      <c r="M1544" s="35" t="str">
        <f>INDEX(_xlfn.TEXTSPLIT(mvtst[[#This Row],[QR Suivis]],"_"),1,2)</f>
        <v>CL00884</v>
      </c>
      <c r="N1544" s="35" t="str">
        <f>INDEX(_xlfn.TEXTSPLIT(mvtst[[#This Row],[QR Suivis]],"_"),1,3)</f>
        <v>CM-FT0119</v>
      </c>
      <c r="O1544" s="35" t="str">
        <f>INDEX(_xlfn.TEXTSPLIT(mvtst[[#This Row],[QR Suivis]],"_"),1,4)</f>
        <v>AR2020-B23-01</v>
      </c>
      <c r="P1544" s="35" t="str">
        <f>INDEX(_xlfn.TEXTSPLIT(mvtst[[#This Row],[QR Suivis]],"_"),1,5)</f>
        <v>ARTHUR</v>
      </c>
      <c r="Q1544" s="35" t="str">
        <f>_xlfn.TEXTAFTER(mvtst[[#This Row],[QR Suivis]],"_",5)</f>
        <v>2020</v>
      </c>
      <c r="R1544" s="84" t="str">
        <f>IF(
   COUNTIFS($A$2:A1544,A1544,
             $B$2:B1544,B1544,
             $C$2:C1544,C1544,
             $D$2:D1544,D1544,
             $G$2:G1544,G1544)&gt;1,
   "Doublon",
   "Correcte"
)</f>
        <v>Correcte</v>
      </c>
    </row>
    <row r="1545" spans="1:18" x14ac:dyDescent="0.25">
      <c r="A1545" s="104" t="s">
        <v>2179</v>
      </c>
      <c r="B1545" s="35" t="s">
        <v>712</v>
      </c>
      <c r="C1545" s="36">
        <v>5</v>
      </c>
      <c r="D1545" s="36">
        <v>0</v>
      </c>
      <c r="E1545" s="35" t="s">
        <v>699</v>
      </c>
      <c r="F1545" s="35" t="s">
        <v>634</v>
      </c>
      <c r="G1545" s="37">
        <v>45939.614386574074</v>
      </c>
      <c r="H1545" s="37" t="str">
        <f>INDEX(_xlfn.TEXTSPLIT(mvtst[[#This Row],[QR Suivis]],"_"),1,1)</f>
        <v>OF249859-4</v>
      </c>
      <c r="I1545" s="35" t="str">
        <f>_xlfn.TEXTBEFORE(mvtst[[#This Row],[Num Suivis]],"-",,,1)</f>
        <v>OF249859</v>
      </c>
      <c r="J1545" s="36">
        <f>SUMIF(mvtst[QR Suivis],mvtst[[#This Row],[QR Suivis]],mvtst[QTE SORTIS])-SUMIF(mvtst[QR Suivis],mvtst[[#This Row],[QR Suivis]],mvtst[QTE RETOUR])</f>
        <v>0</v>
      </c>
      <c r="K1545" s="35" t="str">
        <f t="shared" si="24"/>
        <v>Usine</v>
      </c>
      <c r="L1545" s="35" t="str">
        <f>_xlfn.XLOOKUP(mvtst[[#This Row],[Sous Traitant]],coordonnee_st[Identification],coordonnee_st[SERVICE],"Non Trouvé")</f>
        <v>Frange</v>
      </c>
      <c r="M1545" s="35" t="str">
        <f>INDEX(_xlfn.TEXTSPLIT(mvtst[[#This Row],[QR Suivis]],"_"),1,2)</f>
        <v>CL00884</v>
      </c>
      <c r="N1545" s="35" t="str">
        <f>INDEX(_xlfn.TEXTSPLIT(mvtst[[#This Row],[QR Suivis]],"_"),1,3)</f>
        <v>CM-FT0119</v>
      </c>
      <c r="O1545" s="35" t="str">
        <f>INDEX(_xlfn.TEXTSPLIT(mvtst[[#This Row],[QR Suivis]],"_"),1,4)</f>
        <v>AR2020-B29-01</v>
      </c>
      <c r="P1545" s="35" t="str">
        <f>INDEX(_xlfn.TEXTSPLIT(mvtst[[#This Row],[QR Suivis]],"_"),1,5)</f>
        <v>ARTHUR</v>
      </c>
      <c r="Q1545" s="35" t="str">
        <f>_xlfn.TEXTAFTER(mvtst[[#This Row],[QR Suivis]],"_",5)</f>
        <v>2020</v>
      </c>
      <c r="R1545" s="84" t="str">
        <f>IF(
   COUNTIFS($A$2:A1545,A1545,
             $B$2:B1545,B1545,
             $C$2:C1545,C1545,
             $D$2:D1545,D1545,
             $G$2:G1545,G1545)&gt;1,
   "Doublon",
   "Correcte"
)</f>
        <v>Correcte</v>
      </c>
    </row>
    <row r="1546" spans="1:18" x14ac:dyDescent="0.25">
      <c r="A1546" s="104" t="s">
        <v>2180</v>
      </c>
      <c r="B1546" s="35" t="s">
        <v>712</v>
      </c>
      <c r="C1546" s="36">
        <v>5</v>
      </c>
      <c r="D1546" s="36">
        <v>0</v>
      </c>
      <c r="E1546" s="35" t="s">
        <v>699</v>
      </c>
      <c r="F1546" s="35" t="s">
        <v>634</v>
      </c>
      <c r="G1546" s="37">
        <v>45939.614594907405</v>
      </c>
      <c r="H1546" s="37" t="str">
        <f>INDEX(_xlfn.TEXTSPLIT(mvtst[[#This Row],[QR Suivis]],"_"),1,1)</f>
        <v>OF249859-10</v>
      </c>
      <c r="I1546" s="35" t="str">
        <f>_xlfn.TEXTBEFORE(mvtst[[#This Row],[Num Suivis]],"-",,,1)</f>
        <v>OF249859</v>
      </c>
      <c r="J1546" s="36">
        <f>SUMIF(mvtst[QR Suivis],mvtst[[#This Row],[QR Suivis]],mvtst[QTE SORTIS])-SUMIF(mvtst[QR Suivis],mvtst[[#This Row],[QR Suivis]],mvtst[QTE RETOUR])</f>
        <v>0</v>
      </c>
      <c r="K1546" s="35" t="str">
        <f t="shared" si="24"/>
        <v>Usine</v>
      </c>
      <c r="L1546" s="35" t="str">
        <f>_xlfn.XLOOKUP(mvtst[[#This Row],[Sous Traitant]],coordonnee_st[Identification],coordonnee_st[SERVICE],"Non Trouvé")</f>
        <v>Frange</v>
      </c>
      <c r="M1546" s="35" t="str">
        <f>INDEX(_xlfn.TEXTSPLIT(mvtst[[#This Row],[QR Suivis]],"_"),1,2)</f>
        <v>CL00884</v>
      </c>
      <c r="N1546" s="35" t="str">
        <f>INDEX(_xlfn.TEXTSPLIT(mvtst[[#This Row],[QR Suivis]],"_"),1,3)</f>
        <v>CM-FT0119</v>
      </c>
      <c r="O1546" s="35" t="str">
        <f>INDEX(_xlfn.TEXTSPLIT(mvtst[[#This Row],[QR Suivis]],"_"),1,4)</f>
        <v>AR2020-B29-01</v>
      </c>
      <c r="P1546" s="35" t="str">
        <f>INDEX(_xlfn.TEXTSPLIT(mvtst[[#This Row],[QR Suivis]],"_"),1,5)</f>
        <v>ARTHUR</v>
      </c>
      <c r="Q1546" s="35" t="str">
        <f>_xlfn.TEXTAFTER(mvtst[[#This Row],[QR Suivis]],"_",5)</f>
        <v>2020</v>
      </c>
      <c r="R1546" s="84" t="str">
        <f>IF(
   COUNTIFS($A$2:A1546,A1546,
             $B$2:B1546,B1546,
             $C$2:C1546,C1546,
             $D$2:D1546,D1546,
             $G$2:G1546,G1546)&gt;1,
   "Doublon",
   "Correcte"
)</f>
        <v>Correcte</v>
      </c>
    </row>
    <row r="1547" spans="1:18" x14ac:dyDescent="0.25">
      <c r="A1547" s="104" t="s">
        <v>2181</v>
      </c>
      <c r="B1547" s="35" t="s">
        <v>712</v>
      </c>
      <c r="C1547" s="36">
        <v>5</v>
      </c>
      <c r="D1547" s="36">
        <v>0</v>
      </c>
      <c r="E1547" s="35" t="s">
        <v>699</v>
      </c>
      <c r="F1547" s="35" t="s">
        <v>634</v>
      </c>
      <c r="G1547" s="37">
        <v>45939.614895833336</v>
      </c>
      <c r="H1547" s="37" t="str">
        <f>INDEX(_xlfn.TEXTSPLIT(mvtst[[#This Row],[QR Suivis]],"_"),1,1)</f>
        <v>OF249859-1</v>
      </c>
      <c r="I1547" s="35" t="str">
        <f>_xlfn.TEXTBEFORE(mvtst[[#This Row],[Num Suivis]],"-",,,1)</f>
        <v>OF249859</v>
      </c>
      <c r="J1547" s="36">
        <f>SUMIF(mvtst[QR Suivis],mvtst[[#This Row],[QR Suivis]],mvtst[QTE SORTIS])-SUMIF(mvtst[QR Suivis],mvtst[[#This Row],[QR Suivis]],mvtst[QTE RETOUR])</f>
        <v>0</v>
      </c>
      <c r="K1547" s="35" t="str">
        <f t="shared" si="24"/>
        <v>Usine</v>
      </c>
      <c r="L1547" s="35" t="str">
        <f>_xlfn.XLOOKUP(mvtst[[#This Row],[Sous Traitant]],coordonnee_st[Identification],coordonnee_st[SERVICE],"Non Trouvé")</f>
        <v>Frange</v>
      </c>
      <c r="M1547" s="35" t="str">
        <f>INDEX(_xlfn.TEXTSPLIT(mvtst[[#This Row],[QR Suivis]],"_"),1,2)</f>
        <v>CL00884</v>
      </c>
      <c r="N1547" s="35" t="str">
        <f>INDEX(_xlfn.TEXTSPLIT(mvtst[[#This Row],[QR Suivis]],"_"),1,3)</f>
        <v>CM-FT0119</v>
      </c>
      <c r="O1547" s="35" t="str">
        <f>INDEX(_xlfn.TEXTSPLIT(mvtst[[#This Row],[QR Suivis]],"_"),1,4)</f>
        <v>AR2020-B29-01</v>
      </c>
      <c r="P1547" s="35" t="str">
        <f>INDEX(_xlfn.TEXTSPLIT(mvtst[[#This Row],[QR Suivis]],"_"),1,5)</f>
        <v>ARTHUR</v>
      </c>
      <c r="Q1547" s="35" t="str">
        <f>_xlfn.TEXTAFTER(mvtst[[#This Row],[QR Suivis]],"_",5)</f>
        <v>2020</v>
      </c>
      <c r="R1547" s="84" t="str">
        <f>IF(
   COUNTIFS($A$2:A1547,A1547,
             $B$2:B1547,B1547,
             $C$2:C1547,C1547,
             $D$2:D1547,D1547,
             $G$2:G1547,G1547)&gt;1,
   "Doublon",
   "Correcte"
)</f>
        <v>Correcte</v>
      </c>
    </row>
    <row r="1548" spans="1:18" x14ac:dyDescent="0.25">
      <c r="A1548" s="104" t="s">
        <v>2182</v>
      </c>
      <c r="B1548" s="35" t="s">
        <v>712</v>
      </c>
      <c r="C1548" s="36">
        <v>5</v>
      </c>
      <c r="D1548" s="36">
        <v>0</v>
      </c>
      <c r="E1548" s="35" t="s">
        <v>699</v>
      </c>
      <c r="F1548" s="35" t="s">
        <v>634</v>
      </c>
      <c r="G1548" s="37">
        <v>45939.61513888889</v>
      </c>
      <c r="H1548" s="37" t="str">
        <f>INDEX(_xlfn.TEXTSPLIT(mvtst[[#This Row],[QR Suivis]],"_"),1,1)</f>
        <v>OF249859-9</v>
      </c>
      <c r="I1548" s="35" t="str">
        <f>_xlfn.TEXTBEFORE(mvtst[[#This Row],[Num Suivis]],"-",,,1)</f>
        <v>OF249859</v>
      </c>
      <c r="J1548" s="36">
        <f>SUMIF(mvtst[QR Suivis],mvtst[[#This Row],[QR Suivis]],mvtst[QTE SORTIS])-SUMIF(mvtst[QR Suivis],mvtst[[#This Row],[QR Suivis]],mvtst[QTE RETOUR])</f>
        <v>0</v>
      </c>
      <c r="K1548" s="35" t="str">
        <f t="shared" si="24"/>
        <v>Usine</v>
      </c>
      <c r="L1548" s="35" t="str">
        <f>_xlfn.XLOOKUP(mvtst[[#This Row],[Sous Traitant]],coordonnee_st[Identification],coordonnee_st[SERVICE],"Non Trouvé")</f>
        <v>Frange</v>
      </c>
      <c r="M1548" s="35" t="str">
        <f>INDEX(_xlfn.TEXTSPLIT(mvtst[[#This Row],[QR Suivis]],"_"),1,2)</f>
        <v>CL00884</v>
      </c>
      <c r="N1548" s="35" t="str">
        <f>INDEX(_xlfn.TEXTSPLIT(mvtst[[#This Row],[QR Suivis]],"_"),1,3)</f>
        <v>CM-FT0119</v>
      </c>
      <c r="O1548" s="35" t="str">
        <f>INDEX(_xlfn.TEXTSPLIT(mvtst[[#This Row],[QR Suivis]],"_"),1,4)</f>
        <v>AR2020-B29-01</v>
      </c>
      <c r="P1548" s="35" t="str">
        <f>INDEX(_xlfn.TEXTSPLIT(mvtst[[#This Row],[QR Suivis]],"_"),1,5)</f>
        <v>ARTHUR</v>
      </c>
      <c r="Q1548" s="35" t="str">
        <f>_xlfn.TEXTAFTER(mvtst[[#This Row],[QR Suivis]],"_",5)</f>
        <v>2020</v>
      </c>
      <c r="R1548" s="84" t="str">
        <f>IF(
   COUNTIFS($A$2:A1548,A1548,
             $B$2:B1548,B1548,
             $C$2:C1548,C1548,
             $D$2:D1548,D1548,
             $G$2:G1548,G1548)&gt;1,
   "Doublon",
   "Correcte"
)</f>
        <v>Correcte</v>
      </c>
    </row>
    <row r="1549" spans="1:18" x14ac:dyDescent="0.25">
      <c r="A1549" s="104" t="s">
        <v>2183</v>
      </c>
      <c r="B1549" s="35" t="s">
        <v>712</v>
      </c>
      <c r="C1549" s="36">
        <v>5</v>
      </c>
      <c r="D1549" s="36">
        <v>0</v>
      </c>
      <c r="E1549" s="35" t="s">
        <v>699</v>
      </c>
      <c r="F1549" s="35" t="s">
        <v>634</v>
      </c>
      <c r="G1549" s="37">
        <v>45939.615324074075</v>
      </c>
      <c r="H1549" s="37" t="str">
        <f>INDEX(_xlfn.TEXTSPLIT(mvtst[[#This Row],[QR Suivis]],"_"),1,1)</f>
        <v>OF249858-9</v>
      </c>
      <c r="I1549" s="35" t="str">
        <f>_xlfn.TEXTBEFORE(mvtst[[#This Row],[Num Suivis]],"-",,,1)</f>
        <v>OF249858</v>
      </c>
      <c r="J1549" s="36">
        <f>SUMIF(mvtst[QR Suivis],mvtst[[#This Row],[QR Suivis]],mvtst[QTE SORTIS])-SUMIF(mvtst[QR Suivis],mvtst[[#This Row],[QR Suivis]],mvtst[QTE RETOUR])</f>
        <v>0</v>
      </c>
      <c r="K1549" s="35" t="str">
        <f t="shared" si="24"/>
        <v>Usine</v>
      </c>
      <c r="L1549" s="35" t="str">
        <f>_xlfn.XLOOKUP(mvtst[[#This Row],[Sous Traitant]],coordonnee_st[Identification],coordonnee_st[SERVICE],"Non Trouvé")</f>
        <v>Frange</v>
      </c>
      <c r="M1549" s="35" t="str">
        <f>INDEX(_xlfn.TEXTSPLIT(mvtst[[#This Row],[QR Suivis]],"_"),1,2)</f>
        <v>CL00884</v>
      </c>
      <c r="N1549" s="35" t="str">
        <f>INDEX(_xlfn.TEXTSPLIT(mvtst[[#This Row],[QR Suivis]],"_"),1,3)</f>
        <v>CM-FT0119</v>
      </c>
      <c r="O1549" s="35" t="str">
        <f>INDEX(_xlfn.TEXTSPLIT(mvtst[[#This Row],[QR Suivis]],"_"),1,4)</f>
        <v>AR2020-B23-01</v>
      </c>
      <c r="P1549" s="35" t="str">
        <f>INDEX(_xlfn.TEXTSPLIT(mvtst[[#This Row],[QR Suivis]],"_"),1,5)</f>
        <v>ARTHUR</v>
      </c>
      <c r="Q1549" s="35" t="str">
        <f>_xlfn.TEXTAFTER(mvtst[[#This Row],[QR Suivis]],"_",5)</f>
        <v>2020</v>
      </c>
      <c r="R1549" s="84" t="str">
        <f>IF(
   COUNTIFS($A$2:A1549,A1549,
             $B$2:B1549,B1549,
             $C$2:C1549,C1549,
             $D$2:D1549,D1549,
             $G$2:G1549,G1549)&gt;1,
   "Doublon",
   "Correcte"
)</f>
        <v>Correcte</v>
      </c>
    </row>
    <row r="1550" spans="1:18" x14ac:dyDescent="0.25">
      <c r="A1550" s="104" t="s">
        <v>2184</v>
      </c>
      <c r="B1550" s="35" t="s">
        <v>712</v>
      </c>
      <c r="C1550" s="36">
        <v>5</v>
      </c>
      <c r="D1550" s="36">
        <v>0</v>
      </c>
      <c r="E1550" s="35" t="s">
        <v>699</v>
      </c>
      <c r="F1550" s="35" t="s">
        <v>634</v>
      </c>
      <c r="G1550" s="37">
        <v>45939.615532407406</v>
      </c>
      <c r="H1550" s="37" t="str">
        <f>INDEX(_xlfn.TEXTSPLIT(mvtst[[#This Row],[QR Suivis]],"_"),1,1)</f>
        <v>OF249859-2</v>
      </c>
      <c r="I1550" s="35" t="str">
        <f>_xlfn.TEXTBEFORE(mvtst[[#This Row],[Num Suivis]],"-",,,1)</f>
        <v>OF249859</v>
      </c>
      <c r="J1550" s="36">
        <f>SUMIF(mvtst[QR Suivis],mvtst[[#This Row],[QR Suivis]],mvtst[QTE SORTIS])-SUMIF(mvtst[QR Suivis],mvtst[[#This Row],[QR Suivis]],mvtst[QTE RETOUR])</f>
        <v>0</v>
      </c>
      <c r="K1550" s="35" t="str">
        <f t="shared" si="24"/>
        <v>Usine</v>
      </c>
      <c r="L1550" s="35" t="str">
        <f>_xlfn.XLOOKUP(mvtst[[#This Row],[Sous Traitant]],coordonnee_st[Identification],coordonnee_st[SERVICE],"Non Trouvé")</f>
        <v>Frange</v>
      </c>
      <c r="M1550" s="35" t="str">
        <f>INDEX(_xlfn.TEXTSPLIT(mvtst[[#This Row],[QR Suivis]],"_"),1,2)</f>
        <v>CL00884</v>
      </c>
      <c r="N1550" s="35" t="str">
        <f>INDEX(_xlfn.TEXTSPLIT(mvtst[[#This Row],[QR Suivis]],"_"),1,3)</f>
        <v>CM-FT0119</v>
      </c>
      <c r="O1550" s="35" t="str">
        <f>INDEX(_xlfn.TEXTSPLIT(mvtst[[#This Row],[QR Suivis]],"_"),1,4)</f>
        <v>AR2020-B29-01</v>
      </c>
      <c r="P1550" s="35" t="str">
        <f>INDEX(_xlfn.TEXTSPLIT(mvtst[[#This Row],[QR Suivis]],"_"),1,5)</f>
        <v>ARTHUR</v>
      </c>
      <c r="Q1550" s="35" t="str">
        <f>_xlfn.TEXTAFTER(mvtst[[#This Row],[QR Suivis]],"_",5)</f>
        <v>2020</v>
      </c>
      <c r="R1550" s="84" t="str">
        <f>IF(
   COUNTIFS($A$2:A1550,A1550,
             $B$2:B1550,B1550,
             $C$2:C1550,C1550,
             $D$2:D1550,D1550,
             $G$2:G1550,G1550)&gt;1,
   "Doublon",
   "Correcte"
)</f>
        <v>Correcte</v>
      </c>
    </row>
    <row r="1551" spans="1:18" x14ac:dyDescent="0.25">
      <c r="A1551" s="104" t="s">
        <v>2185</v>
      </c>
      <c r="B1551" s="35" t="s">
        <v>712</v>
      </c>
      <c r="C1551" s="36">
        <v>5</v>
      </c>
      <c r="D1551" s="36">
        <v>0</v>
      </c>
      <c r="E1551" s="35" t="s">
        <v>699</v>
      </c>
      <c r="F1551" s="35" t="s">
        <v>634</v>
      </c>
      <c r="G1551" s="37">
        <v>45939.615810185183</v>
      </c>
      <c r="H1551" s="37" t="str">
        <f>INDEX(_xlfn.TEXTSPLIT(mvtst[[#This Row],[QR Suivis]],"_"),1,1)</f>
        <v>OF249859-3</v>
      </c>
      <c r="I1551" s="35" t="str">
        <f>_xlfn.TEXTBEFORE(mvtst[[#This Row],[Num Suivis]],"-",,,1)</f>
        <v>OF249859</v>
      </c>
      <c r="J1551" s="36">
        <f>SUMIF(mvtst[QR Suivis],mvtst[[#This Row],[QR Suivis]],mvtst[QTE SORTIS])-SUMIF(mvtst[QR Suivis],mvtst[[#This Row],[QR Suivis]],mvtst[QTE RETOUR])</f>
        <v>0</v>
      </c>
      <c r="K1551" s="35" t="str">
        <f t="shared" si="24"/>
        <v>Usine</v>
      </c>
      <c r="L1551" s="35" t="str">
        <f>_xlfn.XLOOKUP(mvtst[[#This Row],[Sous Traitant]],coordonnee_st[Identification],coordonnee_st[SERVICE],"Non Trouvé")</f>
        <v>Frange</v>
      </c>
      <c r="M1551" s="35" t="str">
        <f>INDEX(_xlfn.TEXTSPLIT(mvtst[[#This Row],[QR Suivis]],"_"),1,2)</f>
        <v>CL00884</v>
      </c>
      <c r="N1551" s="35" t="str">
        <f>INDEX(_xlfn.TEXTSPLIT(mvtst[[#This Row],[QR Suivis]],"_"),1,3)</f>
        <v>CM-FT0119</v>
      </c>
      <c r="O1551" s="35" t="str">
        <f>INDEX(_xlfn.TEXTSPLIT(mvtst[[#This Row],[QR Suivis]],"_"),1,4)</f>
        <v>AR2020-B29-01</v>
      </c>
      <c r="P1551" s="35" t="str">
        <f>INDEX(_xlfn.TEXTSPLIT(mvtst[[#This Row],[QR Suivis]],"_"),1,5)</f>
        <v>ARTHUR</v>
      </c>
      <c r="Q1551" s="35" t="str">
        <f>_xlfn.TEXTAFTER(mvtst[[#This Row],[QR Suivis]],"_",5)</f>
        <v>2020</v>
      </c>
      <c r="R1551" s="84" t="str">
        <f>IF(
   COUNTIFS($A$2:A1551,A1551,
             $B$2:B1551,B1551,
             $C$2:C1551,C1551,
             $D$2:D1551,D1551,
             $G$2:G1551,G1551)&gt;1,
   "Doublon",
   "Correcte"
)</f>
        <v>Correcte</v>
      </c>
    </row>
    <row r="1552" spans="1:18" x14ac:dyDescent="0.25">
      <c r="A1552" s="104" t="s">
        <v>2186</v>
      </c>
      <c r="B1552" s="35" t="s">
        <v>712</v>
      </c>
      <c r="C1552" s="36">
        <v>5</v>
      </c>
      <c r="D1552" s="36">
        <v>0</v>
      </c>
      <c r="E1552" s="35" t="s">
        <v>699</v>
      </c>
      <c r="F1552" s="35" t="s">
        <v>634</v>
      </c>
      <c r="G1552" s="37">
        <v>45939.616076388891</v>
      </c>
      <c r="H1552" s="37" t="str">
        <f>INDEX(_xlfn.TEXTSPLIT(mvtst[[#This Row],[QR Suivis]],"_"),1,1)</f>
        <v>OF249859-8</v>
      </c>
      <c r="I1552" s="35" t="str">
        <f>_xlfn.TEXTBEFORE(mvtst[[#This Row],[Num Suivis]],"-",,,1)</f>
        <v>OF249859</v>
      </c>
      <c r="J1552" s="36">
        <f>SUMIF(mvtst[QR Suivis],mvtst[[#This Row],[QR Suivis]],mvtst[QTE SORTIS])-SUMIF(mvtst[QR Suivis],mvtst[[#This Row],[QR Suivis]],mvtst[QTE RETOUR])</f>
        <v>0</v>
      </c>
      <c r="K1552" s="35" t="str">
        <f t="shared" si="24"/>
        <v>Usine</v>
      </c>
      <c r="L1552" s="35" t="str">
        <f>_xlfn.XLOOKUP(mvtst[[#This Row],[Sous Traitant]],coordonnee_st[Identification],coordonnee_st[SERVICE],"Non Trouvé")</f>
        <v>Frange</v>
      </c>
      <c r="M1552" s="35" t="str">
        <f>INDEX(_xlfn.TEXTSPLIT(mvtst[[#This Row],[QR Suivis]],"_"),1,2)</f>
        <v>CL00884</v>
      </c>
      <c r="N1552" s="35" t="str">
        <f>INDEX(_xlfn.TEXTSPLIT(mvtst[[#This Row],[QR Suivis]],"_"),1,3)</f>
        <v>CM-FT0119</v>
      </c>
      <c r="O1552" s="35" t="str">
        <f>INDEX(_xlfn.TEXTSPLIT(mvtst[[#This Row],[QR Suivis]],"_"),1,4)</f>
        <v>AR2020-B29-01</v>
      </c>
      <c r="P1552" s="35" t="str">
        <f>INDEX(_xlfn.TEXTSPLIT(mvtst[[#This Row],[QR Suivis]],"_"),1,5)</f>
        <v>ARTHUR</v>
      </c>
      <c r="Q1552" s="35" t="str">
        <f>_xlfn.TEXTAFTER(mvtst[[#This Row],[QR Suivis]],"_",5)</f>
        <v>2020</v>
      </c>
      <c r="R1552" s="84" t="str">
        <f>IF(
   COUNTIFS($A$2:A1552,A1552,
             $B$2:B1552,B1552,
             $C$2:C1552,C1552,
             $D$2:D1552,D1552,
             $G$2:G1552,G1552)&gt;1,
   "Doublon",
   "Correcte"
)</f>
        <v>Correcte</v>
      </c>
    </row>
    <row r="1553" spans="1:18" x14ac:dyDescent="0.25">
      <c r="A1553" s="104" t="s">
        <v>2187</v>
      </c>
      <c r="B1553" s="35" t="s">
        <v>712</v>
      </c>
      <c r="C1553" s="36">
        <v>5</v>
      </c>
      <c r="D1553" s="36">
        <v>0</v>
      </c>
      <c r="E1553" s="35" t="s">
        <v>699</v>
      </c>
      <c r="F1553" s="35" t="s">
        <v>634</v>
      </c>
      <c r="G1553" s="37">
        <v>45939.616319444445</v>
      </c>
      <c r="H1553" s="37" t="str">
        <f>INDEX(_xlfn.TEXTSPLIT(mvtst[[#This Row],[QR Suivis]],"_"),1,1)</f>
        <v>OF249859-7</v>
      </c>
      <c r="I1553" s="35" t="str">
        <f>_xlfn.TEXTBEFORE(mvtst[[#This Row],[Num Suivis]],"-",,,1)</f>
        <v>OF249859</v>
      </c>
      <c r="J1553" s="36">
        <f>SUMIF(mvtst[QR Suivis],mvtst[[#This Row],[QR Suivis]],mvtst[QTE SORTIS])-SUMIF(mvtst[QR Suivis],mvtst[[#This Row],[QR Suivis]],mvtst[QTE RETOUR])</f>
        <v>0</v>
      </c>
      <c r="K1553" s="35" t="str">
        <f t="shared" si="24"/>
        <v>Usine</v>
      </c>
      <c r="L1553" s="35" t="str">
        <f>_xlfn.XLOOKUP(mvtst[[#This Row],[Sous Traitant]],coordonnee_st[Identification],coordonnee_st[SERVICE],"Non Trouvé")</f>
        <v>Frange</v>
      </c>
      <c r="M1553" s="35" t="str">
        <f>INDEX(_xlfn.TEXTSPLIT(mvtst[[#This Row],[QR Suivis]],"_"),1,2)</f>
        <v>CL00884</v>
      </c>
      <c r="N1553" s="35" t="str">
        <f>INDEX(_xlfn.TEXTSPLIT(mvtst[[#This Row],[QR Suivis]],"_"),1,3)</f>
        <v>CM-FT0119</v>
      </c>
      <c r="O1553" s="35" t="str">
        <f>INDEX(_xlfn.TEXTSPLIT(mvtst[[#This Row],[QR Suivis]],"_"),1,4)</f>
        <v>AR2020-B29-01</v>
      </c>
      <c r="P1553" s="35" t="str">
        <f>INDEX(_xlfn.TEXTSPLIT(mvtst[[#This Row],[QR Suivis]],"_"),1,5)</f>
        <v>ARTHUR</v>
      </c>
      <c r="Q1553" s="35" t="str">
        <f>_xlfn.TEXTAFTER(mvtst[[#This Row],[QR Suivis]],"_",5)</f>
        <v>2020</v>
      </c>
      <c r="R1553" s="84" t="str">
        <f>IF(
   COUNTIFS($A$2:A1553,A1553,
             $B$2:B1553,B1553,
             $C$2:C1553,C1553,
             $D$2:D1553,D1553,
             $G$2:G1553,G1553)&gt;1,
   "Doublon",
   "Correcte"
)</f>
        <v>Correcte</v>
      </c>
    </row>
    <row r="1554" spans="1:18" x14ac:dyDescent="0.25">
      <c r="A1554" s="104" t="s">
        <v>2188</v>
      </c>
      <c r="B1554" s="35" t="s">
        <v>712</v>
      </c>
      <c r="C1554" s="36">
        <v>5</v>
      </c>
      <c r="D1554" s="36">
        <v>0</v>
      </c>
      <c r="E1554" s="35" t="s">
        <v>699</v>
      </c>
      <c r="F1554" s="35" t="s">
        <v>634</v>
      </c>
      <c r="G1554" s="37">
        <v>45939.61650462963</v>
      </c>
      <c r="H1554" s="37" t="str">
        <f>INDEX(_xlfn.TEXTSPLIT(mvtst[[#This Row],[QR Suivis]],"_"),1,1)</f>
        <v>OF249859-5</v>
      </c>
      <c r="I1554" s="35" t="str">
        <f>_xlfn.TEXTBEFORE(mvtst[[#This Row],[Num Suivis]],"-",,,1)</f>
        <v>OF249859</v>
      </c>
      <c r="J1554" s="36">
        <f>SUMIF(mvtst[QR Suivis],mvtst[[#This Row],[QR Suivis]],mvtst[QTE SORTIS])-SUMIF(mvtst[QR Suivis],mvtst[[#This Row],[QR Suivis]],mvtst[QTE RETOUR])</f>
        <v>0</v>
      </c>
      <c r="K1554" s="35" t="str">
        <f t="shared" si="24"/>
        <v>Usine</v>
      </c>
      <c r="L1554" s="35" t="str">
        <f>_xlfn.XLOOKUP(mvtst[[#This Row],[Sous Traitant]],coordonnee_st[Identification],coordonnee_st[SERVICE],"Non Trouvé")</f>
        <v>Frange</v>
      </c>
      <c r="M1554" s="35" t="str">
        <f>INDEX(_xlfn.TEXTSPLIT(mvtst[[#This Row],[QR Suivis]],"_"),1,2)</f>
        <v>CL00884</v>
      </c>
      <c r="N1554" s="35" t="str">
        <f>INDEX(_xlfn.TEXTSPLIT(mvtst[[#This Row],[QR Suivis]],"_"),1,3)</f>
        <v>CM-FT0119</v>
      </c>
      <c r="O1554" s="35" t="str">
        <f>INDEX(_xlfn.TEXTSPLIT(mvtst[[#This Row],[QR Suivis]],"_"),1,4)</f>
        <v>AR2020-B29-01</v>
      </c>
      <c r="P1554" s="35" t="str">
        <f>INDEX(_xlfn.TEXTSPLIT(mvtst[[#This Row],[QR Suivis]],"_"),1,5)</f>
        <v>ARTHUR</v>
      </c>
      <c r="Q1554" s="35" t="str">
        <f>_xlfn.TEXTAFTER(mvtst[[#This Row],[QR Suivis]],"_",5)</f>
        <v>2020</v>
      </c>
      <c r="R1554" s="84" t="str">
        <f>IF(
   COUNTIFS($A$2:A1554,A1554,
             $B$2:B1554,B1554,
             $C$2:C1554,C1554,
             $D$2:D1554,D1554,
             $G$2:G1554,G1554)&gt;1,
   "Doublon",
   "Correcte"
)</f>
        <v>Correcte</v>
      </c>
    </row>
    <row r="1555" spans="1:18" x14ac:dyDescent="0.25">
      <c r="A1555" s="104" t="s">
        <v>2189</v>
      </c>
      <c r="B1555" s="35" t="s">
        <v>595</v>
      </c>
      <c r="C1555" s="36">
        <v>5</v>
      </c>
      <c r="D1555" s="36">
        <v>0</v>
      </c>
      <c r="E1555" s="35" t="s">
        <v>699</v>
      </c>
      <c r="F1555" s="35" t="s">
        <v>634</v>
      </c>
      <c r="G1555" s="37">
        <v>45939.618067129632</v>
      </c>
      <c r="H1555" s="37" t="str">
        <f>INDEX(_xlfn.TEXTSPLIT(mvtst[[#This Row],[QR Suivis]],"_"),1,1)</f>
        <v>OF249880-19</v>
      </c>
      <c r="I1555" s="35" t="str">
        <f>_xlfn.TEXTBEFORE(mvtst[[#This Row],[Num Suivis]],"-",,,1)</f>
        <v>OF249880</v>
      </c>
      <c r="J1555" s="36">
        <f>SUMIF(mvtst[QR Suivis],mvtst[[#This Row],[QR Suivis]],mvtst[QTE SORTIS])-SUMIF(mvtst[QR Suivis],mvtst[[#This Row],[QR Suivis]],mvtst[QTE RETOUR])</f>
        <v>5</v>
      </c>
      <c r="K1555" s="35" t="str">
        <f t="shared" si="24"/>
        <v>Usine</v>
      </c>
      <c r="L1555" s="35" t="str">
        <f>_xlfn.XLOOKUP(mvtst[[#This Row],[Sous Traitant]],coordonnee_st[Identification],coordonnee_st[SERVICE],"Non Trouvé")</f>
        <v>Frange</v>
      </c>
      <c r="M1555" s="35" t="str">
        <f>INDEX(_xlfn.TEXTSPLIT(mvtst[[#This Row],[QR Suivis]],"_"),1,2)</f>
        <v>CL00884</v>
      </c>
      <c r="N1555" s="35" t="str">
        <f>INDEX(_xlfn.TEXTSPLIT(mvtst[[#This Row],[QR Suivis]],"_"),1,3)</f>
        <v>CM-FT0120</v>
      </c>
      <c r="O1555" s="35" t="str">
        <f>INDEX(_xlfn.TEXTSPLIT(mvtst[[#This Row],[QR Suivis]],"_"),1,4)</f>
        <v>IB1020-B24-01</v>
      </c>
      <c r="P1555" s="35" t="str">
        <f>INDEX(_xlfn.TEXTSPLIT(mvtst[[#This Row],[QR Suivis]],"_"),1,5)</f>
        <v>IBIZA</v>
      </c>
      <c r="Q1555" s="35" t="str">
        <f>_xlfn.TEXTAFTER(mvtst[[#This Row],[QR Suivis]],"_",5)</f>
        <v>1020</v>
      </c>
      <c r="R1555" s="84" t="str">
        <f>IF(
   COUNTIFS($A$2:A1555,A1555,
             $B$2:B1555,B1555,
             $C$2:C1555,C1555,
             $D$2:D1555,D1555,
             $G$2:G1555,G1555)&gt;1,
   "Doublon",
   "Correcte"
)</f>
        <v>Correcte</v>
      </c>
    </row>
    <row r="1556" spans="1:18" x14ac:dyDescent="0.25">
      <c r="A1556" s="104" t="s">
        <v>2190</v>
      </c>
      <c r="B1556" s="35" t="s">
        <v>595</v>
      </c>
      <c r="C1556" s="36">
        <v>5</v>
      </c>
      <c r="D1556" s="36">
        <v>0</v>
      </c>
      <c r="E1556" s="35" t="s">
        <v>699</v>
      </c>
      <c r="F1556" s="35" t="s">
        <v>634</v>
      </c>
      <c r="G1556" s="37">
        <v>45939.618310185186</v>
      </c>
      <c r="H1556" s="37" t="str">
        <f>INDEX(_xlfn.TEXTSPLIT(mvtst[[#This Row],[QR Suivis]],"_"),1,1)</f>
        <v>OF249880-24</v>
      </c>
      <c r="I1556" s="35" t="str">
        <f>_xlfn.TEXTBEFORE(mvtst[[#This Row],[Num Suivis]],"-",,,1)</f>
        <v>OF249880</v>
      </c>
      <c r="J1556" s="36">
        <f>SUMIF(mvtst[QR Suivis],mvtst[[#This Row],[QR Suivis]],mvtst[QTE SORTIS])-SUMIF(mvtst[QR Suivis],mvtst[[#This Row],[QR Suivis]],mvtst[QTE RETOUR])</f>
        <v>5</v>
      </c>
      <c r="K1556" s="35" t="str">
        <f t="shared" si="24"/>
        <v>Usine</v>
      </c>
      <c r="L1556" s="35" t="str">
        <f>_xlfn.XLOOKUP(mvtst[[#This Row],[Sous Traitant]],coordonnee_st[Identification],coordonnee_st[SERVICE],"Non Trouvé")</f>
        <v>Frange</v>
      </c>
      <c r="M1556" s="35" t="str">
        <f>INDEX(_xlfn.TEXTSPLIT(mvtst[[#This Row],[QR Suivis]],"_"),1,2)</f>
        <v>CL00884</v>
      </c>
      <c r="N1556" s="35" t="str">
        <f>INDEX(_xlfn.TEXTSPLIT(mvtst[[#This Row],[QR Suivis]],"_"),1,3)</f>
        <v>CM-FT0120</v>
      </c>
      <c r="O1556" s="35" t="str">
        <f>INDEX(_xlfn.TEXTSPLIT(mvtst[[#This Row],[QR Suivis]],"_"),1,4)</f>
        <v>IB1020-B24-01</v>
      </c>
      <c r="P1556" s="35" t="str">
        <f>INDEX(_xlfn.TEXTSPLIT(mvtst[[#This Row],[QR Suivis]],"_"),1,5)</f>
        <v>IBIZA</v>
      </c>
      <c r="Q1556" s="35" t="str">
        <f>_xlfn.TEXTAFTER(mvtst[[#This Row],[QR Suivis]],"_",5)</f>
        <v>1020</v>
      </c>
      <c r="R1556" s="84" t="str">
        <f>IF(
   COUNTIFS($A$2:A1556,A1556,
             $B$2:B1556,B1556,
             $C$2:C1556,C1556,
             $D$2:D1556,D1556,
             $G$2:G1556,G1556)&gt;1,
   "Doublon",
   "Correcte"
)</f>
        <v>Correcte</v>
      </c>
    </row>
    <row r="1557" spans="1:18" x14ac:dyDescent="0.25">
      <c r="A1557" s="104" t="s">
        <v>2191</v>
      </c>
      <c r="B1557" s="35" t="s">
        <v>595</v>
      </c>
      <c r="C1557" s="36">
        <v>5</v>
      </c>
      <c r="D1557" s="36">
        <v>0</v>
      </c>
      <c r="E1557" s="35" t="s">
        <v>699</v>
      </c>
      <c r="F1557" s="35" t="s">
        <v>634</v>
      </c>
      <c r="G1557" s="37">
        <v>45939.618576388886</v>
      </c>
      <c r="H1557" s="37" t="str">
        <f>INDEX(_xlfn.TEXTSPLIT(mvtst[[#This Row],[QR Suivis]],"_"),1,1)</f>
        <v>OF249880-21</v>
      </c>
      <c r="I1557" s="35" t="str">
        <f>_xlfn.TEXTBEFORE(mvtst[[#This Row],[Num Suivis]],"-",,,1)</f>
        <v>OF249880</v>
      </c>
      <c r="J1557" s="36">
        <f>SUMIF(mvtst[QR Suivis],mvtst[[#This Row],[QR Suivis]],mvtst[QTE SORTIS])-SUMIF(mvtst[QR Suivis],mvtst[[#This Row],[QR Suivis]],mvtst[QTE RETOUR])</f>
        <v>5</v>
      </c>
      <c r="K1557" s="35" t="str">
        <f t="shared" si="24"/>
        <v>Usine</v>
      </c>
      <c r="L1557" s="35" t="str">
        <f>_xlfn.XLOOKUP(mvtst[[#This Row],[Sous Traitant]],coordonnee_st[Identification],coordonnee_st[SERVICE],"Non Trouvé")</f>
        <v>Frange</v>
      </c>
      <c r="M1557" s="35" t="str">
        <f>INDEX(_xlfn.TEXTSPLIT(mvtst[[#This Row],[QR Suivis]],"_"),1,2)</f>
        <v>CL00884</v>
      </c>
      <c r="N1557" s="35" t="str">
        <f>INDEX(_xlfn.TEXTSPLIT(mvtst[[#This Row],[QR Suivis]],"_"),1,3)</f>
        <v>CM-FT0120</v>
      </c>
      <c r="O1557" s="35" t="str">
        <f>INDEX(_xlfn.TEXTSPLIT(mvtst[[#This Row],[QR Suivis]],"_"),1,4)</f>
        <v>IB1020-B24-01</v>
      </c>
      <c r="P1557" s="35" t="str">
        <f>INDEX(_xlfn.TEXTSPLIT(mvtst[[#This Row],[QR Suivis]],"_"),1,5)</f>
        <v>IBIZA</v>
      </c>
      <c r="Q1557" s="35" t="str">
        <f>_xlfn.TEXTAFTER(mvtst[[#This Row],[QR Suivis]],"_",5)</f>
        <v>1020</v>
      </c>
      <c r="R1557" s="84" t="str">
        <f>IF(
   COUNTIFS($A$2:A1557,A1557,
             $B$2:B1557,B1557,
             $C$2:C1557,C1557,
             $D$2:D1557,D1557,
             $G$2:G1557,G1557)&gt;1,
   "Doublon",
   "Correcte"
)</f>
        <v>Correcte</v>
      </c>
    </row>
    <row r="1558" spans="1:18" x14ac:dyDescent="0.25">
      <c r="A1558" s="104" t="s">
        <v>2192</v>
      </c>
      <c r="B1558" s="35" t="s">
        <v>595</v>
      </c>
      <c r="C1558" s="36">
        <v>5</v>
      </c>
      <c r="D1558" s="36">
        <v>0</v>
      </c>
      <c r="E1558" s="35" t="s">
        <v>699</v>
      </c>
      <c r="F1558" s="35" t="s">
        <v>634</v>
      </c>
      <c r="G1558" s="37">
        <v>45939.618877314817</v>
      </c>
      <c r="H1558" s="37" t="str">
        <f>INDEX(_xlfn.TEXTSPLIT(mvtst[[#This Row],[QR Suivis]],"_"),1,1)</f>
        <v>OF249880-17</v>
      </c>
      <c r="I1558" s="35" t="str">
        <f>_xlfn.TEXTBEFORE(mvtst[[#This Row],[Num Suivis]],"-",,,1)</f>
        <v>OF249880</v>
      </c>
      <c r="J1558" s="36">
        <f>SUMIF(mvtst[QR Suivis],mvtst[[#This Row],[QR Suivis]],mvtst[QTE SORTIS])-SUMIF(mvtst[QR Suivis],mvtst[[#This Row],[QR Suivis]],mvtst[QTE RETOUR])</f>
        <v>5</v>
      </c>
      <c r="K1558" s="35" t="str">
        <f t="shared" si="24"/>
        <v>Usine</v>
      </c>
      <c r="L1558" s="35" t="str">
        <f>_xlfn.XLOOKUP(mvtst[[#This Row],[Sous Traitant]],coordonnee_st[Identification],coordonnee_st[SERVICE],"Non Trouvé")</f>
        <v>Frange</v>
      </c>
      <c r="M1558" s="35" t="str">
        <f>INDEX(_xlfn.TEXTSPLIT(mvtst[[#This Row],[QR Suivis]],"_"),1,2)</f>
        <v>CL00884</v>
      </c>
      <c r="N1558" s="35" t="str">
        <f>INDEX(_xlfn.TEXTSPLIT(mvtst[[#This Row],[QR Suivis]],"_"),1,3)</f>
        <v>CM-FT0120</v>
      </c>
      <c r="O1558" s="35" t="str">
        <f>INDEX(_xlfn.TEXTSPLIT(mvtst[[#This Row],[QR Suivis]],"_"),1,4)</f>
        <v>IB1020-B24-01</v>
      </c>
      <c r="P1558" s="35" t="str">
        <f>INDEX(_xlfn.TEXTSPLIT(mvtst[[#This Row],[QR Suivis]],"_"),1,5)</f>
        <v>IBIZA</v>
      </c>
      <c r="Q1558" s="35" t="str">
        <f>_xlfn.TEXTAFTER(mvtst[[#This Row],[QR Suivis]],"_",5)</f>
        <v>1020</v>
      </c>
      <c r="R1558" s="84" t="str">
        <f>IF(
   COUNTIFS($A$2:A1558,A1558,
             $B$2:B1558,B1558,
             $C$2:C1558,C1558,
             $D$2:D1558,D1558,
             $G$2:G1558,G1558)&gt;1,
   "Doublon",
   "Correcte"
)</f>
        <v>Correcte</v>
      </c>
    </row>
    <row r="1559" spans="1:18" x14ac:dyDescent="0.25">
      <c r="A1559" s="104" t="s">
        <v>2193</v>
      </c>
      <c r="B1559" s="35" t="s">
        <v>595</v>
      </c>
      <c r="C1559" s="36">
        <v>5</v>
      </c>
      <c r="D1559" s="36">
        <v>0</v>
      </c>
      <c r="E1559" s="35" t="s">
        <v>699</v>
      </c>
      <c r="F1559" s="35" t="s">
        <v>634</v>
      </c>
      <c r="G1559" s="37">
        <v>45939.619270833333</v>
      </c>
      <c r="H1559" s="37" t="str">
        <f>INDEX(_xlfn.TEXTSPLIT(mvtst[[#This Row],[QR Suivis]],"_"),1,1)</f>
        <v>OF249880-14</v>
      </c>
      <c r="I1559" s="35" t="str">
        <f>_xlfn.TEXTBEFORE(mvtst[[#This Row],[Num Suivis]],"-",,,1)</f>
        <v>OF249880</v>
      </c>
      <c r="J1559" s="36">
        <f>SUMIF(mvtst[QR Suivis],mvtst[[#This Row],[QR Suivis]],mvtst[QTE SORTIS])-SUMIF(mvtst[QR Suivis],mvtst[[#This Row],[QR Suivis]],mvtst[QTE RETOUR])</f>
        <v>5</v>
      </c>
      <c r="K1559" s="35" t="str">
        <f t="shared" si="24"/>
        <v>Usine</v>
      </c>
      <c r="L1559" s="35" t="str">
        <f>_xlfn.XLOOKUP(mvtst[[#This Row],[Sous Traitant]],coordonnee_st[Identification],coordonnee_st[SERVICE],"Non Trouvé")</f>
        <v>Frange</v>
      </c>
      <c r="M1559" s="35" t="str">
        <f>INDEX(_xlfn.TEXTSPLIT(mvtst[[#This Row],[QR Suivis]],"_"),1,2)</f>
        <v>CL00884</v>
      </c>
      <c r="N1559" s="35" t="str">
        <f>INDEX(_xlfn.TEXTSPLIT(mvtst[[#This Row],[QR Suivis]],"_"),1,3)</f>
        <v>CM-FT0120</v>
      </c>
      <c r="O1559" s="35" t="str">
        <f>INDEX(_xlfn.TEXTSPLIT(mvtst[[#This Row],[QR Suivis]],"_"),1,4)</f>
        <v>IB1020-B24-01</v>
      </c>
      <c r="P1559" s="35" t="str">
        <f>INDEX(_xlfn.TEXTSPLIT(mvtst[[#This Row],[QR Suivis]],"_"),1,5)</f>
        <v>IBIZA</v>
      </c>
      <c r="Q1559" s="35" t="str">
        <f>_xlfn.TEXTAFTER(mvtst[[#This Row],[QR Suivis]],"_",5)</f>
        <v>1020</v>
      </c>
      <c r="R1559" s="84" t="str">
        <f>IF(
   COUNTIFS($A$2:A1559,A1559,
             $B$2:B1559,B1559,
             $C$2:C1559,C1559,
             $D$2:D1559,D1559,
             $G$2:G1559,G1559)&gt;1,
   "Doublon",
   "Correcte"
)</f>
        <v>Correcte</v>
      </c>
    </row>
    <row r="1560" spans="1:18" x14ac:dyDescent="0.25">
      <c r="A1560" s="104" t="s">
        <v>2194</v>
      </c>
      <c r="B1560" s="35" t="s">
        <v>595</v>
      </c>
      <c r="C1560" s="36">
        <v>5</v>
      </c>
      <c r="D1560" s="36">
        <v>0</v>
      </c>
      <c r="E1560" s="35" t="s">
        <v>699</v>
      </c>
      <c r="F1560" s="35" t="s">
        <v>634</v>
      </c>
      <c r="G1560" s="37">
        <v>45939.619513888887</v>
      </c>
      <c r="H1560" s="37" t="str">
        <f>INDEX(_xlfn.TEXTSPLIT(mvtst[[#This Row],[QR Suivis]],"_"),1,1)</f>
        <v>OF249880-5</v>
      </c>
      <c r="I1560" s="35" t="str">
        <f>_xlfn.TEXTBEFORE(mvtst[[#This Row],[Num Suivis]],"-",,,1)</f>
        <v>OF249880</v>
      </c>
      <c r="J1560" s="36">
        <f>SUMIF(mvtst[QR Suivis],mvtst[[#This Row],[QR Suivis]],mvtst[QTE SORTIS])-SUMIF(mvtst[QR Suivis],mvtst[[#This Row],[QR Suivis]],mvtst[QTE RETOUR])</f>
        <v>5</v>
      </c>
      <c r="K1560" s="35" t="str">
        <f t="shared" si="24"/>
        <v>Usine</v>
      </c>
      <c r="L1560" s="35" t="str">
        <f>_xlfn.XLOOKUP(mvtst[[#This Row],[Sous Traitant]],coordonnee_st[Identification],coordonnee_st[SERVICE],"Non Trouvé")</f>
        <v>Frange</v>
      </c>
      <c r="M1560" s="35" t="str">
        <f>INDEX(_xlfn.TEXTSPLIT(mvtst[[#This Row],[QR Suivis]],"_"),1,2)</f>
        <v>CL00884</v>
      </c>
      <c r="N1560" s="35" t="str">
        <f>INDEX(_xlfn.TEXTSPLIT(mvtst[[#This Row],[QR Suivis]],"_"),1,3)</f>
        <v>CM-FT0120</v>
      </c>
      <c r="O1560" s="35" t="str">
        <f>INDEX(_xlfn.TEXTSPLIT(mvtst[[#This Row],[QR Suivis]],"_"),1,4)</f>
        <v>IB1020-B24-01</v>
      </c>
      <c r="P1560" s="35" t="str">
        <f>INDEX(_xlfn.TEXTSPLIT(mvtst[[#This Row],[QR Suivis]],"_"),1,5)</f>
        <v>IBIZA</v>
      </c>
      <c r="Q1560" s="35" t="str">
        <f>_xlfn.TEXTAFTER(mvtst[[#This Row],[QR Suivis]],"_",5)</f>
        <v>1020</v>
      </c>
      <c r="R1560" s="84" t="str">
        <f>IF(
   COUNTIFS($A$2:A1560,A1560,
             $B$2:B1560,B1560,
             $C$2:C1560,C1560,
             $D$2:D1560,D1560,
             $G$2:G1560,G1560)&gt;1,
   "Doublon",
   "Correcte"
)</f>
        <v>Correcte</v>
      </c>
    </row>
    <row r="1561" spans="1:18" x14ac:dyDescent="0.25">
      <c r="A1561" s="104" t="s">
        <v>2195</v>
      </c>
      <c r="B1561" s="35" t="s">
        <v>595</v>
      </c>
      <c r="C1561" s="36">
        <v>5</v>
      </c>
      <c r="D1561" s="36">
        <v>0</v>
      </c>
      <c r="E1561" s="35" t="s">
        <v>699</v>
      </c>
      <c r="F1561" s="35" t="s">
        <v>634</v>
      </c>
      <c r="G1561" s="37">
        <v>45939.619699074072</v>
      </c>
      <c r="H1561" s="37" t="str">
        <f>INDEX(_xlfn.TEXTSPLIT(mvtst[[#This Row],[QR Suivis]],"_"),1,1)</f>
        <v>OF249880-6</v>
      </c>
      <c r="I1561" s="35" t="str">
        <f>_xlfn.TEXTBEFORE(mvtst[[#This Row],[Num Suivis]],"-",,,1)</f>
        <v>OF249880</v>
      </c>
      <c r="J1561" s="36">
        <f>SUMIF(mvtst[QR Suivis],mvtst[[#This Row],[QR Suivis]],mvtst[QTE SORTIS])-SUMIF(mvtst[QR Suivis],mvtst[[#This Row],[QR Suivis]],mvtst[QTE RETOUR])</f>
        <v>5</v>
      </c>
      <c r="K1561" s="35" t="str">
        <f t="shared" si="24"/>
        <v>Usine</v>
      </c>
      <c r="L1561" s="35" t="str">
        <f>_xlfn.XLOOKUP(mvtst[[#This Row],[Sous Traitant]],coordonnee_st[Identification],coordonnee_st[SERVICE],"Non Trouvé")</f>
        <v>Frange</v>
      </c>
      <c r="M1561" s="35" t="str">
        <f>INDEX(_xlfn.TEXTSPLIT(mvtst[[#This Row],[QR Suivis]],"_"),1,2)</f>
        <v>CL00884</v>
      </c>
      <c r="N1561" s="35" t="str">
        <f>INDEX(_xlfn.TEXTSPLIT(mvtst[[#This Row],[QR Suivis]],"_"),1,3)</f>
        <v>CM-FT0120</v>
      </c>
      <c r="O1561" s="35" t="str">
        <f>INDEX(_xlfn.TEXTSPLIT(mvtst[[#This Row],[QR Suivis]],"_"),1,4)</f>
        <v>IB1020-B24-01</v>
      </c>
      <c r="P1561" s="35" t="str">
        <f>INDEX(_xlfn.TEXTSPLIT(mvtst[[#This Row],[QR Suivis]],"_"),1,5)</f>
        <v>IBIZA</v>
      </c>
      <c r="Q1561" s="35" t="str">
        <f>_xlfn.TEXTAFTER(mvtst[[#This Row],[QR Suivis]],"_",5)</f>
        <v>1020</v>
      </c>
      <c r="R1561" s="84" t="str">
        <f>IF(
   COUNTIFS($A$2:A1561,A1561,
             $B$2:B1561,B1561,
             $C$2:C1561,C1561,
             $D$2:D1561,D1561,
             $G$2:G1561,G1561)&gt;1,
   "Doublon",
   "Correcte"
)</f>
        <v>Correcte</v>
      </c>
    </row>
    <row r="1562" spans="1:18" x14ac:dyDescent="0.25">
      <c r="A1562" s="104" t="s">
        <v>2196</v>
      </c>
      <c r="B1562" s="35" t="s">
        <v>595</v>
      </c>
      <c r="C1562" s="36">
        <v>5</v>
      </c>
      <c r="D1562" s="36">
        <v>0</v>
      </c>
      <c r="E1562" s="35" t="s">
        <v>699</v>
      </c>
      <c r="F1562" s="35" t="s">
        <v>634</v>
      </c>
      <c r="G1562" s="37">
        <v>45939.61990740741</v>
      </c>
      <c r="H1562" s="37" t="str">
        <f>INDEX(_xlfn.TEXTSPLIT(mvtst[[#This Row],[QR Suivis]],"_"),1,1)</f>
        <v>OF249880-16</v>
      </c>
      <c r="I1562" s="35" t="str">
        <f>_xlfn.TEXTBEFORE(mvtst[[#This Row],[Num Suivis]],"-",,,1)</f>
        <v>OF249880</v>
      </c>
      <c r="J1562" s="36">
        <f>SUMIF(mvtst[QR Suivis],mvtst[[#This Row],[QR Suivis]],mvtst[QTE SORTIS])-SUMIF(mvtst[QR Suivis],mvtst[[#This Row],[QR Suivis]],mvtst[QTE RETOUR])</f>
        <v>5</v>
      </c>
      <c r="K1562" s="35" t="str">
        <f t="shared" si="24"/>
        <v>Usine</v>
      </c>
      <c r="L1562" s="35" t="str">
        <f>_xlfn.XLOOKUP(mvtst[[#This Row],[Sous Traitant]],coordonnee_st[Identification],coordonnee_st[SERVICE],"Non Trouvé")</f>
        <v>Frange</v>
      </c>
      <c r="M1562" s="35" t="str">
        <f>INDEX(_xlfn.TEXTSPLIT(mvtst[[#This Row],[QR Suivis]],"_"),1,2)</f>
        <v>CL00884</v>
      </c>
      <c r="N1562" s="35" t="str">
        <f>INDEX(_xlfn.TEXTSPLIT(mvtst[[#This Row],[QR Suivis]],"_"),1,3)</f>
        <v>CM-FT0120</v>
      </c>
      <c r="O1562" s="35" t="str">
        <f>INDEX(_xlfn.TEXTSPLIT(mvtst[[#This Row],[QR Suivis]],"_"),1,4)</f>
        <v>IB1020-B24-01</v>
      </c>
      <c r="P1562" s="35" t="str">
        <f>INDEX(_xlfn.TEXTSPLIT(mvtst[[#This Row],[QR Suivis]],"_"),1,5)</f>
        <v>IBIZA</v>
      </c>
      <c r="Q1562" s="35" t="str">
        <f>_xlfn.TEXTAFTER(mvtst[[#This Row],[QR Suivis]],"_",5)</f>
        <v>1020</v>
      </c>
      <c r="R1562" s="84" t="str">
        <f>IF(
   COUNTIFS($A$2:A1562,A1562,
             $B$2:B1562,B1562,
             $C$2:C1562,C1562,
             $D$2:D1562,D1562,
             $G$2:G1562,G1562)&gt;1,
   "Doublon",
   "Correcte"
)</f>
        <v>Correcte</v>
      </c>
    </row>
    <row r="1563" spans="1:18" x14ac:dyDescent="0.25">
      <c r="A1563" s="104" t="s">
        <v>2197</v>
      </c>
      <c r="B1563" s="35" t="s">
        <v>595</v>
      </c>
      <c r="C1563" s="36">
        <v>5</v>
      </c>
      <c r="D1563" s="36">
        <v>0</v>
      </c>
      <c r="E1563" s="35" t="s">
        <v>699</v>
      </c>
      <c r="F1563" s="35" t="s">
        <v>634</v>
      </c>
      <c r="G1563" s="37">
        <v>45939.620138888888</v>
      </c>
      <c r="H1563" s="37" t="str">
        <f>INDEX(_xlfn.TEXTSPLIT(mvtst[[#This Row],[QR Suivis]],"_"),1,1)</f>
        <v>OF249880-13</v>
      </c>
      <c r="I1563" s="35" t="str">
        <f>_xlfn.TEXTBEFORE(mvtst[[#This Row],[Num Suivis]],"-",,,1)</f>
        <v>OF249880</v>
      </c>
      <c r="J1563" s="36">
        <f>SUMIF(mvtst[QR Suivis],mvtst[[#This Row],[QR Suivis]],mvtst[QTE SORTIS])-SUMIF(mvtst[QR Suivis],mvtst[[#This Row],[QR Suivis]],mvtst[QTE RETOUR])</f>
        <v>5</v>
      </c>
      <c r="K1563" s="35" t="str">
        <f t="shared" si="24"/>
        <v>Usine</v>
      </c>
      <c r="L1563" s="35" t="str">
        <f>_xlfn.XLOOKUP(mvtst[[#This Row],[Sous Traitant]],coordonnee_st[Identification],coordonnee_st[SERVICE],"Non Trouvé")</f>
        <v>Frange</v>
      </c>
      <c r="M1563" s="35" t="str">
        <f>INDEX(_xlfn.TEXTSPLIT(mvtst[[#This Row],[QR Suivis]],"_"),1,2)</f>
        <v>CL00884</v>
      </c>
      <c r="N1563" s="35" t="str">
        <f>INDEX(_xlfn.TEXTSPLIT(mvtst[[#This Row],[QR Suivis]],"_"),1,3)</f>
        <v>CM-FT0120</v>
      </c>
      <c r="O1563" s="35" t="str">
        <f>INDEX(_xlfn.TEXTSPLIT(mvtst[[#This Row],[QR Suivis]],"_"),1,4)</f>
        <v>IB1020-B24-01</v>
      </c>
      <c r="P1563" s="35" t="str">
        <f>INDEX(_xlfn.TEXTSPLIT(mvtst[[#This Row],[QR Suivis]],"_"),1,5)</f>
        <v>IBIZA</v>
      </c>
      <c r="Q1563" s="35" t="str">
        <f>_xlfn.TEXTAFTER(mvtst[[#This Row],[QR Suivis]],"_",5)</f>
        <v>1020</v>
      </c>
      <c r="R1563" s="84" t="str">
        <f>IF(
   COUNTIFS($A$2:A1563,A1563,
             $B$2:B1563,B1563,
             $C$2:C1563,C1563,
             $D$2:D1563,D1563,
             $G$2:G1563,G1563)&gt;1,
   "Doublon",
   "Correcte"
)</f>
        <v>Correcte</v>
      </c>
    </row>
    <row r="1564" spans="1:18" x14ac:dyDescent="0.25">
      <c r="A1564" s="104" t="s">
        <v>2198</v>
      </c>
      <c r="B1564" s="35" t="s">
        <v>595</v>
      </c>
      <c r="C1564" s="36">
        <v>5</v>
      </c>
      <c r="D1564" s="36">
        <v>0</v>
      </c>
      <c r="E1564" s="35" t="s">
        <v>699</v>
      </c>
      <c r="F1564" s="35" t="s">
        <v>634</v>
      </c>
      <c r="G1564" s="37">
        <v>45939.620324074072</v>
      </c>
      <c r="H1564" s="37" t="str">
        <f>INDEX(_xlfn.TEXTSPLIT(mvtst[[#This Row],[QR Suivis]],"_"),1,1)</f>
        <v>OF249880-7</v>
      </c>
      <c r="I1564" s="35" t="str">
        <f>_xlfn.TEXTBEFORE(mvtst[[#This Row],[Num Suivis]],"-",,,1)</f>
        <v>OF249880</v>
      </c>
      <c r="J1564" s="36">
        <f>SUMIF(mvtst[QR Suivis],mvtst[[#This Row],[QR Suivis]],mvtst[QTE SORTIS])-SUMIF(mvtst[QR Suivis],mvtst[[#This Row],[QR Suivis]],mvtst[QTE RETOUR])</f>
        <v>5</v>
      </c>
      <c r="K1564" s="35" t="str">
        <f t="shared" si="24"/>
        <v>Usine</v>
      </c>
      <c r="L1564" s="35" t="str">
        <f>_xlfn.XLOOKUP(mvtst[[#This Row],[Sous Traitant]],coordonnee_st[Identification],coordonnee_st[SERVICE],"Non Trouvé")</f>
        <v>Frange</v>
      </c>
      <c r="M1564" s="35" t="str">
        <f>INDEX(_xlfn.TEXTSPLIT(mvtst[[#This Row],[QR Suivis]],"_"),1,2)</f>
        <v>CL00884</v>
      </c>
      <c r="N1564" s="35" t="str">
        <f>INDEX(_xlfn.TEXTSPLIT(mvtst[[#This Row],[QR Suivis]],"_"),1,3)</f>
        <v>CM-FT0120</v>
      </c>
      <c r="O1564" s="35" t="str">
        <f>INDEX(_xlfn.TEXTSPLIT(mvtst[[#This Row],[QR Suivis]],"_"),1,4)</f>
        <v>IB1020-B24-01</v>
      </c>
      <c r="P1564" s="35" t="str">
        <f>INDEX(_xlfn.TEXTSPLIT(mvtst[[#This Row],[QR Suivis]],"_"),1,5)</f>
        <v>IBIZA</v>
      </c>
      <c r="Q1564" s="35" t="str">
        <f>_xlfn.TEXTAFTER(mvtst[[#This Row],[QR Suivis]],"_",5)</f>
        <v>1020</v>
      </c>
      <c r="R1564" s="84" t="str">
        <f>IF(
   COUNTIFS($A$2:A1564,A1564,
             $B$2:B1564,B1564,
             $C$2:C1564,C1564,
             $D$2:D1564,D1564,
             $G$2:G1564,G1564)&gt;1,
   "Doublon",
   "Correcte"
)</f>
        <v>Correcte</v>
      </c>
    </row>
    <row r="1565" spans="1:18" x14ac:dyDescent="0.25">
      <c r="A1565" s="104" t="s">
        <v>2199</v>
      </c>
      <c r="B1565" s="35" t="s">
        <v>595</v>
      </c>
      <c r="C1565" s="36">
        <v>5</v>
      </c>
      <c r="D1565" s="36">
        <v>0</v>
      </c>
      <c r="E1565" s="35" t="s">
        <v>699</v>
      </c>
      <c r="F1565" s="35" t="s">
        <v>634</v>
      </c>
      <c r="G1565" s="37">
        <v>45939.620729166665</v>
      </c>
      <c r="H1565" s="37" t="str">
        <f>INDEX(_xlfn.TEXTSPLIT(mvtst[[#This Row],[QR Suivis]],"_"),1,1)</f>
        <v>OF249880-20</v>
      </c>
      <c r="I1565" s="35" t="str">
        <f>_xlfn.TEXTBEFORE(mvtst[[#This Row],[Num Suivis]],"-",,,1)</f>
        <v>OF249880</v>
      </c>
      <c r="J1565" s="36">
        <f>SUMIF(mvtst[QR Suivis],mvtst[[#This Row],[QR Suivis]],mvtst[QTE SORTIS])-SUMIF(mvtst[QR Suivis],mvtst[[#This Row],[QR Suivis]],mvtst[QTE RETOUR])</f>
        <v>5</v>
      </c>
      <c r="K1565" s="35" t="str">
        <f t="shared" si="24"/>
        <v>Usine</v>
      </c>
      <c r="L1565" s="35" t="str">
        <f>_xlfn.XLOOKUP(mvtst[[#This Row],[Sous Traitant]],coordonnee_st[Identification],coordonnee_st[SERVICE],"Non Trouvé")</f>
        <v>Frange</v>
      </c>
      <c r="M1565" s="35" t="str">
        <f>INDEX(_xlfn.TEXTSPLIT(mvtst[[#This Row],[QR Suivis]],"_"),1,2)</f>
        <v>CL00884</v>
      </c>
      <c r="N1565" s="35" t="str">
        <f>INDEX(_xlfn.TEXTSPLIT(mvtst[[#This Row],[QR Suivis]],"_"),1,3)</f>
        <v>CM-FT0120</v>
      </c>
      <c r="O1565" s="35" t="str">
        <f>INDEX(_xlfn.TEXTSPLIT(mvtst[[#This Row],[QR Suivis]],"_"),1,4)</f>
        <v>IB1020-B24-01</v>
      </c>
      <c r="P1565" s="35" t="str">
        <f>INDEX(_xlfn.TEXTSPLIT(mvtst[[#This Row],[QR Suivis]],"_"),1,5)</f>
        <v>IBIZA</v>
      </c>
      <c r="Q1565" s="35" t="str">
        <f>_xlfn.TEXTAFTER(mvtst[[#This Row],[QR Suivis]],"_",5)</f>
        <v>1020</v>
      </c>
      <c r="R1565" s="84" t="str">
        <f>IF(
   COUNTIFS($A$2:A1565,A1565,
             $B$2:B1565,B1565,
             $C$2:C1565,C1565,
             $D$2:D1565,D1565,
             $G$2:G1565,G1565)&gt;1,
   "Doublon",
   "Correcte"
)</f>
        <v>Correcte</v>
      </c>
    </row>
    <row r="1566" spans="1:18" x14ac:dyDescent="0.25">
      <c r="A1566" s="104" t="s">
        <v>2200</v>
      </c>
      <c r="B1566" s="35" t="s">
        <v>595</v>
      </c>
      <c r="C1566" s="36">
        <v>5</v>
      </c>
      <c r="D1566" s="36">
        <v>0</v>
      </c>
      <c r="E1566" s="35" t="s">
        <v>699</v>
      </c>
      <c r="F1566" s="35" t="s">
        <v>634</v>
      </c>
      <c r="G1566" s="37">
        <v>45939.623854166668</v>
      </c>
      <c r="H1566" s="37" t="str">
        <f>INDEX(_xlfn.TEXTSPLIT(mvtst[[#This Row],[QR Suivis]],"_"),1,1)</f>
        <v>OF249880-9</v>
      </c>
      <c r="I1566" s="35" t="str">
        <f>_xlfn.TEXTBEFORE(mvtst[[#This Row],[Num Suivis]],"-",,,1)</f>
        <v>OF249880</v>
      </c>
      <c r="J1566" s="36">
        <f>SUMIF(mvtst[QR Suivis],mvtst[[#This Row],[QR Suivis]],mvtst[QTE SORTIS])-SUMIF(mvtst[QR Suivis],mvtst[[#This Row],[QR Suivis]],mvtst[QTE RETOUR])</f>
        <v>5</v>
      </c>
      <c r="K1566" s="35" t="str">
        <f t="shared" si="24"/>
        <v>Usine</v>
      </c>
      <c r="L1566" s="35" t="str">
        <f>_xlfn.XLOOKUP(mvtst[[#This Row],[Sous Traitant]],coordonnee_st[Identification],coordonnee_st[SERVICE],"Non Trouvé")</f>
        <v>Frange</v>
      </c>
      <c r="M1566" s="35" t="str">
        <f>INDEX(_xlfn.TEXTSPLIT(mvtst[[#This Row],[QR Suivis]],"_"),1,2)</f>
        <v>CL00884</v>
      </c>
      <c r="N1566" s="35" t="str">
        <f>INDEX(_xlfn.TEXTSPLIT(mvtst[[#This Row],[QR Suivis]],"_"),1,3)</f>
        <v>CM-FT0120</v>
      </c>
      <c r="O1566" s="35" t="str">
        <f>INDEX(_xlfn.TEXTSPLIT(mvtst[[#This Row],[QR Suivis]],"_"),1,4)</f>
        <v>IB1020-B24-01</v>
      </c>
      <c r="P1566" s="35" t="str">
        <f>INDEX(_xlfn.TEXTSPLIT(mvtst[[#This Row],[QR Suivis]],"_"),1,5)</f>
        <v>IBIZA</v>
      </c>
      <c r="Q1566" s="35" t="str">
        <f>_xlfn.TEXTAFTER(mvtst[[#This Row],[QR Suivis]],"_",5)</f>
        <v>1020</v>
      </c>
      <c r="R1566" s="84" t="str">
        <f>IF(
   COUNTIFS($A$2:A1566,A1566,
             $B$2:B1566,B1566,
             $C$2:C1566,C1566,
             $D$2:D1566,D1566,
             $G$2:G1566,G1566)&gt;1,
   "Doublon",
   "Correcte"
)</f>
        <v>Correcte</v>
      </c>
    </row>
    <row r="1567" spans="1:18" x14ac:dyDescent="0.25">
      <c r="A1567" s="104" t="s">
        <v>2201</v>
      </c>
      <c r="B1567" s="35" t="s">
        <v>595</v>
      </c>
      <c r="C1567" s="36">
        <v>5</v>
      </c>
      <c r="D1567" s="36">
        <v>0</v>
      </c>
      <c r="E1567" s="35" t="s">
        <v>699</v>
      </c>
      <c r="F1567" s="35" t="s">
        <v>634</v>
      </c>
      <c r="G1567" s="37">
        <v>45939.624398148146</v>
      </c>
      <c r="H1567" s="37" t="str">
        <f>INDEX(_xlfn.TEXTSPLIT(mvtst[[#This Row],[QR Suivis]],"_"),1,1)</f>
        <v>OF249880-23</v>
      </c>
      <c r="I1567" s="35" t="str">
        <f>_xlfn.TEXTBEFORE(mvtst[[#This Row],[Num Suivis]],"-",,,1)</f>
        <v>OF249880</v>
      </c>
      <c r="J1567" s="36">
        <f>SUMIF(mvtst[QR Suivis],mvtst[[#This Row],[QR Suivis]],mvtst[QTE SORTIS])-SUMIF(mvtst[QR Suivis],mvtst[[#This Row],[QR Suivis]],mvtst[QTE RETOUR])</f>
        <v>5</v>
      </c>
      <c r="K1567" s="35" t="str">
        <f t="shared" si="24"/>
        <v>Usine</v>
      </c>
      <c r="L1567" s="35" t="str">
        <f>_xlfn.XLOOKUP(mvtst[[#This Row],[Sous Traitant]],coordonnee_st[Identification],coordonnee_st[SERVICE],"Non Trouvé")</f>
        <v>Frange</v>
      </c>
      <c r="M1567" s="35" t="str">
        <f>INDEX(_xlfn.TEXTSPLIT(mvtst[[#This Row],[QR Suivis]],"_"),1,2)</f>
        <v>CL00884</v>
      </c>
      <c r="N1567" s="35" t="str">
        <f>INDEX(_xlfn.TEXTSPLIT(mvtst[[#This Row],[QR Suivis]],"_"),1,3)</f>
        <v>CM-FT0120</v>
      </c>
      <c r="O1567" s="35" t="str">
        <f>INDEX(_xlfn.TEXTSPLIT(mvtst[[#This Row],[QR Suivis]],"_"),1,4)</f>
        <v>IB1020-B24-01</v>
      </c>
      <c r="P1567" s="35" t="str">
        <f>INDEX(_xlfn.TEXTSPLIT(mvtst[[#This Row],[QR Suivis]],"_"),1,5)</f>
        <v>IBIZA</v>
      </c>
      <c r="Q1567" s="35" t="str">
        <f>_xlfn.TEXTAFTER(mvtst[[#This Row],[QR Suivis]],"_",5)</f>
        <v>1020</v>
      </c>
      <c r="R1567" s="84" t="str">
        <f>IF(
   COUNTIFS($A$2:A1567,A1567,
             $B$2:B1567,B1567,
             $C$2:C1567,C1567,
             $D$2:D1567,D1567,
             $G$2:G1567,G1567)&gt;1,
   "Doublon",
   "Correcte"
)</f>
        <v>Correcte</v>
      </c>
    </row>
    <row r="1568" spans="1:18" x14ac:dyDescent="0.25">
      <c r="A1568" s="104" t="s">
        <v>2202</v>
      </c>
      <c r="B1568" s="35" t="s">
        <v>595</v>
      </c>
      <c r="C1568" s="36">
        <v>5</v>
      </c>
      <c r="D1568" s="36">
        <v>0</v>
      </c>
      <c r="E1568" s="35" t="s">
        <v>699</v>
      </c>
      <c r="F1568" s="35" t="s">
        <v>634</v>
      </c>
      <c r="G1568" s="37">
        <v>45939.62462962963</v>
      </c>
      <c r="H1568" s="37" t="str">
        <f>INDEX(_xlfn.TEXTSPLIT(mvtst[[#This Row],[QR Suivis]],"_"),1,1)</f>
        <v>OF249880-22</v>
      </c>
      <c r="I1568" s="35" t="str">
        <f>_xlfn.TEXTBEFORE(mvtst[[#This Row],[Num Suivis]],"-",,,1)</f>
        <v>OF249880</v>
      </c>
      <c r="J1568" s="36">
        <f>SUMIF(mvtst[QR Suivis],mvtst[[#This Row],[QR Suivis]],mvtst[QTE SORTIS])-SUMIF(mvtst[QR Suivis],mvtst[[#This Row],[QR Suivis]],mvtst[QTE RETOUR])</f>
        <v>5</v>
      </c>
      <c r="K1568" s="35" t="str">
        <f t="shared" si="24"/>
        <v>Usine</v>
      </c>
      <c r="L1568" s="35" t="str">
        <f>_xlfn.XLOOKUP(mvtst[[#This Row],[Sous Traitant]],coordonnee_st[Identification],coordonnee_st[SERVICE],"Non Trouvé")</f>
        <v>Frange</v>
      </c>
      <c r="M1568" s="35" t="str">
        <f>INDEX(_xlfn.TEXTSPLIT(mvtst[[#This Row],[QR Suivis]],"_"),1,2)</f>
        <v>CL00884</v>
      </c>
      <c r="N1568" s="35" t="str">
        <f>INDEX(_xlfn.TEXTSPLIT(mvtst[[#This Row],[QR Suivis]],"_"),1,3)</f>
        <v>CM-FT0120</v>
      </c>
      <c r="O1568" s="35" t="str">
        <f>INDEX(_xlfn.TEXTSPLIT(mvtst[[#This Row],[QR Suivis]],"_"),1,4)</f>
        <v>IB1020-B24-01</v>
      </c>
      <c r="P1568" s="35" t="str">
        <f>INDEX(_xlfn.TEXTSPLIT(mvtst[[#This Row],[QR Suivis]],"_"),1,5)</f>
        <v>IBIZA</v>
      </c>
      <c r="Q1568" s="35" t="str">
        <f>_xlfn.TEXTAFTER(mvtst[[#This Row],[QR Suivis]],"_",5)</f>
        <v>1020</v>
      </c>
      <c r="R1568" s="84" t="str">
        <f>IF(
   COUNTIFS($A$2:A1568,A1568,
             $B$2:B1568,B1568,
             $C$2:C1568,C1568,
             $D$2:D1568,D1568,
             $G$2:G1568,G1568)&gt;1,
   "Doublon",
   "Correcte"
)</f>
        <v>Correcte</v>
      </c>
    </row>
    <row r="1569" spans="1:18" x14ac:dyDescent="0.25">
      <c r="A1569" s="104" t="s">
        <v>2203</v>
      </c>
      <c r="B1569" s="35" t="s">
        <v>595</v>
      </c>
      <c r="C1569" s="36">
        <v>5</v>
      </c>
      <c r="D1569" s="36">
        <v>0</v>
      </c>
      <c r="E1569" s="35" t="s">
        <v>699</v>
      </c>
      <c r="F1569" s="35" t="s">
        <v>634</v>
      </c>
      <c r="G1569" s="37">
        <v>45939.624849537038</v>
      </c>
      <c r="H1569" s="37" t="str">
        <f>INDEX(_xlfn.TEXTSPLIT(mvtst[[#This Row],[QR Suivis]],"_"),1,1)</f>
        <v>OF249880-12</v>
      </c>
      <c r="I1569" s="35" t="str">
        <f>_xlfn.TEXTBEFORE(mvtst[[#This Row],[Num Suivis]],"-",,,1)</f>
        <v>OF249880</v>
      </c>
      <c r="J1569" s="36">
        <f>SUMIF(mvtst[QR Suivis],mvtst[[#This Row],[QR Suivis]],mvtst[QTE SORTIS])-SUMIF(mvtst[QR Suivis],mvtst[[#This Row],[QR Suivis]],mvtst[QTE RETOUR])</f>
        <v>5</v>
      </c>
      <c r="K1569" s="35" t="str">
        <f t="shared" si="24"/>
        <v>Usine</v>
      </c>
      <c r="L1569" s="35" t="str">
        <f>_xlfn.XLOOKUP(mvtst[[#This Row],[Sous Traitant]],coordonnee_st[Identification],coordonnee_st[SERVICE],"Non Trouvé")</f>
        <v>Frange</v>
      </c>
      <c r="M1569" s="35" t="str">
        <f>INDEX(_xlfn.TEXTSPLIT(mvtst[[#This Row],[QR Suivis]],"_"),1,2)</f>
        <v>CL00884</v>
      </c>
      <c r="N1569" s="35" t="str">
        <f>INDEX(_xlfn.TEXTSPLIT(mvtst[[#This Row],[QR Suivis]],"_"),1,3)</f>
        <v>CM-FT0120</v>
      </c>
      <c r="O1569" s="35" t="str">
        <f>INDEX(_xlfn.TEXTSPLIT(mvtst[[#This Row],[QR Suivis]],"_"),1,4)</f>
        <v>IB1020-B24-01</v>
      </c>
      <c r="P1569" s="35" t="str">
        <f>INDEX(_xlfn.TEXTSPLIT(mvtst[[#This Row],[QR Suivis]],"_"),1,5)</f>
        <v>IBIZA</v>
      </c>
      <c r="Q1569" s="35" t="str">
        <f>_xlfn.TEXTAFTER(mvtst[[#This Row],[QR Suivis]],"_",5)</f>
        <v>1020</v>
      </c>
      <c r="R1569" s="84" t="str">
        <f>IF(
   COUNTIFS($A$2:A1569,A1569,
             $B$2:B1569,B1569,
             $C$2:C1569,C1569,
             $D$2:D1569,D1569,
             $G$2:G1569,G1569)&gt;1,
   "Doublon",
   "Correcte"
)</f>
        <v>Correcte</v>
      </c>
    </row>
    <row r="1570" spans="1:18" x14ac:dyDescent="0.25">
      <c r="A1570" s="104" t="s">
        <v>2204</v>
      </c>
      <c r="B1570" s="35" t="s">
        <v>595</v>
      </c>
      <c r="C1570" s="36">
        <v>5</v>
      </c>
      <c r="D1570" s="36">
        <v>0</v>
      </c>
      <c r="E1570" s="35" t="s">
        <v>699</v>
      </c>
      <c r="F1570" s="35" t="s">
        <v>634</v>
      </c>
      <c r="G1570" s="37">
        <v>45939.625081018516</v>
      </c>
      <c r="H1570" s="37" t="str">
        <f>INDEX(_xlfn.TEXTSPLIT(mvtst[[#This Row],[QR Suivis]],"_"),1,1)</f>
        <v>OF249880-18</v>
      </c>
      <c r="I1570" s="35" t="str">
        <f>_xlfn.TEXTBEFORE(mvtst[[#This Row],[Num Suivis]],"-",,,1)</f>
        <v>OF249880</v>
      </c>
      <c r="J1570" s="36">
        <f>SUMIF(mvtst[QR Suivis],mvtst[[#This Row],[QR Suivis]],mvtst[QTE SORTIS])-SUMIF(mvtst[QR Suivis],mvtst[[#This Row],[QR Suivis]],mvtst[QTE RETOUR])</f>
        <v>5</v>
      </c>
      <c r="K1570" s="35" t="str">
        <f t="shared" si="24"/>
        <v>Usine</v>
      </c>
      <c r="L1570" s="35" t="str">
        <f>_xlfn.XLOOKUP(mvtst[[#This Row],[Sous Traitant]],coordonnee_st[Identification],coordonnee_st[SERVICE],"Non Trouvé")</f>
        <v>Frange</v>
      </c>
      <c r="M1570" s="35" t="str">
        <f>INDEX(_xlfn.TEXTSPLIT(mvtst[[#This Row],[QR Suivis]],"_"),1,2)</f>
        <v>CL00884</v>
      </c>
      <c r="N1570" s="35" t="str">
        <f>INDEX(_xlfn.TEXTSPLIT(mvtst[[#This Row],[QR Suivis]],"_"),1,3)</f>
        <v>CM-FT0120</v>
      </c>
      <c r="O1570" s="35" t="str">
        <f>INDEX(_xlfn.TEXTSPLIT(mvtst[[#This Row],[QR Suivis]],"_"),1,4)</f>
        <v>IB1020-B24-01</v>
      </c>
      <c r="P1570" s="35" t="str">
        <f>INDEX(_xlfn.TEXTSPLIT(mvtst[[#This Row],[QR Suivis]],"_"),1,5)</f>
        <v>IBIZA</v>
      </c>
      <c r="Q1570" s="35" t="str">
        <f>_xlfn.TEXTAFTER(mvtst[[#This Row],[QR Suivis]],"_",5)</f>
        <v>1020</v>
      </c>
      <c r="R1570" s="84" t="str">
        <f>IF(
   COUNTIFS($A$2:A1570,A1570,
             $B$2:B1570,B1570,
             $C$2:C1570,C1570,
             $D$2:D1570,D1570,
             $G$2:G1570,G1570)&gt;1,
   "Doublon",
   "Correcte"
)</f>
        <v>Correcte</v>
      </c>
    </row>
    <row r="1571" spans="1:18" x14ac:dyDescent="0.25">
      <c r="A1571" s="104" t="s">
        <v>2205</v>
      </c>
      <c r="B1571" s="35" t="s">
        <v>595</v>
      </c>
      <c r="C1571" s="36">
        <v>5</v>
      </c>
      <c r="D1571" s="36">
        <v>0</v>
      </c>
      <c r="E1571" s="35" t="s">
        <v>699</v>
      </c>
      <c r="F1571" s="35" t="s">
        <v>634</v>
      </c>
      <c r="G1571" s="37">
        <v>45939.62537037037</v>
      </c>
      <c r="H1571" s="37" t="str">
        <f>INDEX(_xlfn.TEXTSPLIT(mvtst[[#This Row],[QR Suivis]],"_"),1,1)</f>
        <v>OF249880-10</v>
      </c>
      <c r="I1571" s="35" t="str">
        <f>_xlfn.TEXTBEFORE(mvtst[[#This Row],[Num Suivis]],"-",,,1)</f>
        <v>OF249880</v>
      </c>
      <c r="J1571" s="36">
        <f>SUMIF(mvtst[QR Suivis],mvtst[[#This Row],[QR Suivis]],mvtst[QTE SORTIS])-SUMIF(mvtst[QR Suivis],mvtst[[#This Row],[QR Suivis]],mvtst[QTE RETOUR])</f>
        <v>5</v>
      </c>
      <c r="K1571" s="35" t="str">
        <f t="shared" si="24"/>
        <v>Usine</v>
      </c>
      <c r="L1571" s="35" t="str">
        <f>_xlfn.XLOOKUP(mvtst[[#This Row],[Sous Traitant]],coordonnee_st[Identification],coordonnee_st[SERVICE],"Non Trouvé")</f>
        <v>Frange</v>
      </c>
      <c r="M1571" s="35" t="str">
        <f>INDEX(_xlfn.TEXTSPLIT(mvtst[[#This Row],[QR Suivis]],"_"),1,2)</f>
        <v>CL00884</v>
      </c>
      <c r="N1571" s="35" t="str">
        <f>INDEX(_xlfn.TEXTSPLIT(mvtst[[#This Row],[QR Suivis]],"_"),1,3)</f>
        <v>CM-FT0120</v>
      </c>
      <c r="O1571" s="35" t="str">
        <f>INDEX(_xlfn.TEXTSPLIT(mvtst[[#This Row],[QR Suivis]],"_"),1,4)</f>
        <v>IB1020-B24-01</v>
      </c>
      <c r="P1571" s="35" t="str">
        <f>INDEX(_xlfn.TEXTSPLIT(mvtst[[#This Row],[QR Suivis]],"_"),1,5)</f>
        <v>IBIZA</v>
      </c>
      <c r="Q1571" s="35" t="str">
        <f>_xlfn.TEXTAFTER(mvtst[[#This Row],[QR Suivis]],"_",5)</f>
        <v>1020</v>
      </c>
      <c r="R1571" s="84" t="str">
        <f>IF(
   COUNTIFS($A$2:A1571,A1571,
             $B$2:B1571,B1571,
             $C$2:C1571,C1571,
             $D$2:D1571,D1571,
             $G$2:G1571,G1571)&gt;1,
   "Doublon",
   "Correcte"
)</f>
        <v>Correcte</v>
      </c>
    </row>
    <row r="1572" spans="1:18" x14ac:dyDescent="0.25">
      <c r="A1572" s="104" t="s">
        <v>2206</v>
      </c>
      <c r="B1572" s="35" t="s">
        <v>595</v>
      </c>
      <c r="C1572" s="36">
        <v>5</v>
      </c>
      <c r="D1572" s="36">
        <v>0</v>
      </c>
      <c r="E1572" s="35" t="s">
        <v>699</v>
      </c>
      <c r="F1572" s="35" t="s">
        <v>634</v>
      </c>
      <c r="G1572" s="37">
        <v>45939.625555555554</v>
      </c>
      <c r="H1572" s="37" t="str">
        <f>INDEX(_xlfn.TEXTSPLIT(mvtst[[#This Row],[QR Suivis]],"_"),1,1)</f>
        <v>OF249880-15</v>
      </c>
      <c r="I1572" s="35" t="str">
        <f>_xlfn.TEXTBEFORE(mvtst[[#This Row],[Num Suivis]],"-",,,1)</f>
        <v>OF249880</v>
      </c>
      <c r="J1572" s="36">
        <f>SUMIF(mvtst[QR Suivis],mvtst[[#This Row],[QR Suivis]],mvtst[QTE SORTIS])-SUMIF(mvtst[QR Suivis],mvtst[[#This Row],[QR Suivis]],mvtst[QTE RETOUR])</f>
        <v>5</v>
      </c>
      <c r="K1572" s="35" t="str">
        <f t="shared" si="24"/>
        <v>Usine</v>
      </c>
      <c r="L1572" s="35" t="str">
        <f>_xlfn.XLOOKUP(mvtst[[#This Row],[Sous Traitant]],coordonnee_st[Identification],coordonnee_st[SERVICE],"Non Trouvé")</f>
        <v>Frange</v>
      </c>
      <c r="M1572" s="35" t="str">
        <f>INDEX(_xlfn.TEXTSPLIT(mvtst[[#This Row],[QR Suivis]],"_"),1,2)</f>
        <v>CL00884</v>
      </c>
      <c r="N1572" s="35" t="str">
        <f>INDEX(_xlfn.TEXTSPLIT(mvtst[[#This Row],[QR Suivis]],"_"),1,3)</f>
        <v>CM-FT0120</v>
      </c>
      <c r="O1572" s="35" t="str">
        <f>INDEX(_xlfn.TEXTSPLIT(mvtst[[#This Row],[QR Suivis]],"_"),1,4)</f>
        <v>IB1020-B24-01</v>
      </c>
      <c r="P1572" s="35" t="str">
        <f>INDEX(_xlfn.TEXTSPLIT(mvtst[[#This Row],[QR Suivis]],"_"),1,5)</f>
        <v>IBIZA</v>
      </c>
      <c r="Q1572" s="35" t="str">
        <f>_xlfn.TEXTAFTER(mvtst[[#This Row],[QR Suivis]],"_",5)</f>
        <v>1020</v>
      </c>
      <c r="R1572" s="84" t="str">
        <f>IF(
   COUNTIFS($A$2:A1572,A1572,
             $B$2:B1572,B1572,
             $C$2:C1572,C1572,
             $D$2:D1572,D1572,
             $G$2:G1572,G1572)&gt;1,
   "Doublon",
   "Correcte"
)</f>
        <v>Correcte</v>
      </c>
    </row>
    <row r="1573" spans="1:18" x14ac:dyDescent="0.25">
      <c r="A1573" s="104" t="s">
        <v>2207</v>
      </c>
      <c r="B1573" s="35" t="s">
        <v>595</v>
      </c>
      <c r="C1573" s="36">
        <v>5</v>
      </c>
      <c r="D1573" s="36">
        <v>0</v>
      </c>
      <c r="E1573" s="35" t="s">
        <v>699</v>
      </c>
      <c r="F1573" s="35" t="s">
        <v>634</v>
      </c>
      <c r="G1573" s="37">
        <v>45939.625798611109</v>
      </c>
      <c r="H1573" s="37" t="str">
        <f>INDEX(_xlfn.TEXTSPLIT(mvtst[[#This Row],[QR Suivis]],"_"),1,1)</f>
        <v>OF249880-11</v>
      </c>
      <c r="I1573" s="35" t="str">
        <f>_xlfn.TEXTBEFORE(mvtst[[#This Row],[Num Suivis]],"-",,,1)</f>
        <v>OF249880</v>
      </c>
      <c r="J1573" s="36">
        <f>SUMIF(mvtst[QR Suivis],mvtst[[#This Row],[QR Suivis]],mvtst[QTE SORTIS])-SUMIF(mvtst[QR Suivis],mvtst[[#This Row],[QR Suivis]],mvtst[QTE RETOUR])</f>
        <v>5</v>
      </c>
      <c r="K1573" s="35" t="str">
        <f t="shared" si="24"/>
        <v>Usine</v>
      </c>
      <c r="L1573" s="35" t="str">
        <f>_xlfn.XLOOKUP(mvtst[[#This Row],[Sous Traitant]],coordonnee_st[Identification],coordonnee_st[SERVICE],"Non Trouvé")</f>
        <v>Frange</v>
      </c>
      <c r="M1573" s="35" t="str">
        <f>INDEX(_xlfn.TEXTSPLIT(mvtst[[#This Row],[QR Suivis]],"_"),1,2)</f>
        <v>CL00884</v>
      </c>
      <c r="N1573" s="35" t="str">
        <f>INDEX(_xlfn.TEXTSPLIT(mvtst[[#This Row],[QR Suivis]],"_"),1,3)</f>
        <v>CM-FT0120</v>
      </c>
      <c r="O1573" s="35" t="str">
        <f>INDEX(_xlfn.TEXTSPLIT(mvtst[[#This Row],[QR Suivis]],"_"),1,4)</f>
        <v>IB1020-B24-01</v>
      </c>
      <c r="P1573" s="35" t="str">
        <f>INDEX(_xlfn.TEXTSPLIT(mvtst[[#This Row],[QR Suivis]],"_"),1,5)</f>
        <v>IBIZA</v>
      </c>
      <c r="Q1573" s="35" t="str">
        <f>_xlfn.TEXTAFTER(mvtst[[#This Row],[QR Suivis]],"_",5)</f>
        <v>1020</v>
      </c>
      <c r="R1573" s="84" t="str">
        <f>IF(
   COUNTIFS($A$2:A1573,A1573,
             $B$2:B1573,B1573,
             $C$2:C1573,C1573,
             $D$2:D1573,D1573,
             $G$2:G1573,G1573)&gt;1,
   "Doublon",
   "Correcte"
)</f>
        <v>Correcte</v>
      </c>
    </row>
    <row r="1574" spans="1:18" x14ac:dyDescent="0.25">
      <c r="A1574" s="104" t="s">
        <v>2208</v>
      </c>
      <c r="B1574" s="35" t="s">
        <v>595</v>
      </c>
      <c r="C1574" s="36">
        <v>5</v>
      </c>
      <c r="D1574" s="36">
        <v>0</v>
      </c>
      <c r="E1574" s="35" t="s">
        <v>699</v>
      </c>
      <c r="F1574" s="35" t="s">
        <v>634</v>
      </c>
      <c r="G1574" s="37">
        <v>45939.626111111109</v>
      </c>
      <c r="H1574" s="37" t="str">
        <f>INDEX(_xlfn.TEXTSPLIT(mvtst[[#This Row],[QR Suivis]],"_"),1,1)</f>
        <v>OF249880-4</v>
      </c>
      <c r="I1574" s="35" t="str">
        <f>_xlfn.TEXTBEFORE(mvtst[[#This Row],[Num Suivis]],"-",,,1)</f>
        <v>OF249880</v>
      </c>
      <c r="J1574" s="36">
        <f>SUMIF(mvtst[QR Suivis],mvtst[[#This Row],[QR Suivis]],mvtst[QTE SORTIS])-SUMIF(mvtst[QR Suivis],mvtst[[#This Row],[QR Suivis]],mvtst[QTE RETOUR])</f>
        <v>5</v>
      </c>
      <c r="K1574" s="35" t="str">
        <f t="shared" si="24"/>
        <v>Usine</v>
      </c>
      <c r="L1574" s="35" t="str">
        <f>_xlfn.XLOOKUP(mvtst[[#This Row],[Sous Traitant]],coordonnee_st[Identification],coordonnee_st[SERVICE],"Non Trouvé")</f>
        <v>Frange</v>
      </c>
      <c r="M1574" s="35" t="str">
        <f>INDEX(_xlfn.TEXTSPLIT(mvtst[[#This Row],[QR Suivis]],"_"),1,2)</f>
        <v>CL00884</v>
      </c>
      <c r="N1574" s="35" t="str">
        <f>INDEX(_xlfn.TEXTSPLIT(mvtst[[#This Row],[QR Suivis]],"_"),1,3)</f>
        <v>CM-FT0120</v>
      </c>
      <c r="O1574" s="35" t="str">
        <f>INDEX(_xlfn.TEXTSPLIT(mvtst[[#This Row],[QR Suivis]],"_"),1,4)</f>
        <v>IB1020-B24-01</v>
      </c>
      <c r="P1574" s="35" t="str">
        <f>INDEX(_xlfn.TEXTSPLIT(mvtst[[#This Row],[QR Suivis]],"_"),1,5)</f>
        <v>IBIZA</v>
      </c>
      <c r="Q1574" s="35" t="str">
        <f>_xlfn.TEXTAFTER(mvtst[[#This Row],[QR Suivis]],"_",5)</f>
        <v>1020</v>
      </c>
      <c r="R1574" s="84" t="str">
        <f>IF(
   COUNTIFS($A$2:A1574,A1574,
             $B$2:B1574,B1574,
             $C$2:C1574,C1574,
             $D$2:D1574,D1574,
             $G$2:G1574,G1574)&gt;1,
   "Doublon",
   "Correcte"
)</f>
        <v>Correcte</v>
      </c>
    </row>
    <row r="1575" spans="1:18" x14ac:dyDescent="0.25">
      <c r="A1575" s="104" t="s">
        <v>2209</v>
      </c>
      <c r="B1575" s="35" t="s">
        <v>595</v>
      </c>
      <c r="C1575" s="36">
        <v>5</v>
      </c>
      <c r="D1575" s="36">
        <v>0</v>
      </c>
      <c r="E1575" s="35" t="s">
        <v>699</v>
      </c>
      <c r="F1575" s="35" t="s">
        <v>634</v>
      </c>
      <c r="G1575" s="37">
        <v>45939.626354166663</v>
      </c>
      <c r="H1575" s="37" t="str">
        <f>INDEX(_xlfn.TEXTSPLIT(mvtst[[#This Row],[QR Suivis]],"_"),1,1)</f>
        <v>OF249880-3</v>
      </c>
      <c r="I1575" s="35" t="str">
        <f>_xlfn.TEXTBEFORE(mvtst[[#This Row],[Num Suivis]],"-",,,1)</f>
        <v>OF249880</v>
      </c>
      <c r="J1575" s="36">
        <f>SUMIF(mvtst[QR Suivis],mvtst[[#This Row],[QR Suivis]],mvtst[QTE SORTIS])-SUMIF(mvtst[QR Suivis],mvtst[[#This Row],[QR Suivis]],mvtst[QTE RETOUR])</f>
        <v>5</v>
      </c>
      <c r="K1575" s="35" t="str">
        <f t="shared" si="24"/>
        <v>Usine</v>
      </c>
      <c r="L1575" s="35" t="str">
        <f>_xlfn.XLOOKUP(mvtst[[#This Row],[Sous Traitant]],coordonnee_st[Identification],coordonnee_st[SERVICE],"Non Trouvé")</f>
        <v>Frange</v>
      </c>
      <c r="M1575" s="35" t="str">
        <f>INDEX(_xlfn.TEXTSPLIT(mvtst[[#This Row],[QR Suivis]],"_"),1,2)</f>
        <v>CL00884</v>
      </c>
      <c r="N1575" s="35" t="str">
        <f>INDEX(_xlfn.TEXTSPLIT(mvtst[[#This Row],[QR Suivis]],"_"),1,3)</f>
        <v>CM-FT0120</v>
      </c>
      <c r="O1575" s="35" t="str">
        <f>INDEX(_xlfn.TEXTSPLIT(mvtst[[#This Row],[QR Suivis]],"_"),1,4)</f>
        <v>IB1020-B24-01</v>
      </c>
      <c r="P1575" s="35" t="str">
        <f>INDEX(_xlfn.TEXTSPLIT(mvtst[[#This Row],[QR Suivis]],"_"),1,5)</f>
        <v>IBIZA</v>
      </c>
      <c r="Q1575" s="35" t="str">
        <f>_xlfn.TEXTAFTER(mvtst[[#This Row],[QR Suivis]],"_",5)</f>
        <v>1020</v>
      </c>
      <c r="R1575" s="84" t="str">
        <f>IF(
   COUNTIFS($A$2:A1575,A1575,
             $B$2:B1575,B1575,
             $C$2:C1575,C1575,
             $D$2:D1575,D1575,
             $G$2:G1575,G1575)&gt;1,
   "Doublon",
   "Correcte"
)</f>
        <v>Correcte</v>
      </c>
    </row>
    <row r="1576" spans="1:18" x14ac:dyDescent="0.25">
      <c r="A1576" s="104" t="s">
        <v>2210</v>
      </c>
      <c r="B1576" s="35" t="s">
        <v>595</v>
      </c>
      <c r="C1576" s="36">
        <v>5</v>
      </c>
      <c r="D1576" s="36">
        <v>0</v>
      </c>
      <c r="E1576" s="35" t="s">
        <v>699</v>
      </c>
      <c r="F1576" s="35" t="s">
        <v>634</v>
      </c>
      <c r="G1576" s="37">
        <v>45939.626516203702</v>
      </c>
      <c r="H1576" s="37" t="str">
        <f>INDEX(_xlfn.TEXTSPLIT(mvtst[[#This Row],[QR Suivis]],"_"),1,1)</f>
        <v>OF249880-8</v>
      </c>
      <c r="I1576" s="35" t="str">
        <f>_xlfn.TEXTBEFORE(mvtst[[#This Row],[Num Suivis]],"-",,,1)</f>
        <v>OF249880</v>
      </c>
      <c r="J1576" s="36">
        <f>SUMIF(mvtst[QR Suivis],mvtst[[#This Row],[QR Suivis]],mvtst[QTE SORTIS])-SUMIF(mvtst[QR Suivis],mvtst[[#This Row],[QR Suivis]],mvtst[QTE RETOUR])</f>
        <v>5</v>
      </c>
      <c r="K1576" s="35" t="str">
        <f t="shared" si="24"/>
        <v>Usine</v>
      </c>
      <c r="L1576" s="35" t="str">
        <f>_xlfn.XLOOKUP(mvtst[[#This Row],[Sous Traitant]],coordonnee_st[Identification],coordonnee_st[SERVICE],"Non Trouvé")</f>
        <v>Frange</v>
      </c>
      <c r="M1576" s="35" t="str">
        <f>INDEX(_xlfn.TEXTSPLIT(mvtst[[#This Row],[QR Suivis]],"_"),1,2)</f>
        <v>CL00884</v>
      </c>
      <c r="N1576" s="35" t="str">
        <f>INDEX(_xlfn.TEXTSPLIT(mvtst[[#This Row],[QR Suivis]],"_"),1,3)</f>
        <v>CM-FT0120</v>
      </c>
      <c r="O1576" s="35" t="str">
        <f>INDEX(_xlfn.TEXTSPLIT(mvtst[[#This Row],[QR Suivis]],"_"),1,4)</f>
        <v>IB1020-B24-01</v>
      </c>
      <c r="P1576" s="35" t="str">
        <f>INDEX(_xlfn.TEXTSPLIT(mvtst[[#This Row],[QR Suivis]],"_"),1,5)</f>
        <v>IBIZA</v>
      </c>
      <c r="Q1576" s="35" t="str">
        <f>_xlfn.TEXTAFTER(mvtst[[#This Row],[QR Suivis]],"_",5)</f>
        <v>1020</v>
      </c>
      <c r="R1576" s="84" t="str">
        <f>IF(
   COUNTIFS($A$2:A1576,A1576,
             $B$2:B1576,B1576,
             $C$2:C1576,C1576,
             $D$2:D1576,D1576,
             $G$2:G1576,G1576)&gt;1,
   "Doublon",
   "Correcte"
)</f>
        <v>Correcte</v>
      </c>
    </row>
    <row r="1577" spans="1:18" x14ac:dyDescent="0.25">
      <c r="A1577" s="104" t="s">
        <v>2211</v>
      </c>
      <c r="B1577" s="35" t="s">
        <v>595</v>
      </c>
      <c r="C1577" s="36">
        <v>5</v>
      </c>
      <c r="D1577" s="36">
        <v>0</v>
      </c>
      <c r="E1577" s="35" t="s">
        <v>699</v>
      </c>
      <c r="F1577" s="35" t="s">
        <v>634</v>
      </c>
      <c r="G1577" s="37">
        <v>45939.62667824074</v>
      </c>
      <c r="H1577" s="37" t="str">
        <f>INDEX(_xlfn.TEXTSPLIT(mvtst[[#This Row],[QR Suivis]],"_"),1,1)</f>
        <v>OF249880-2</v>
      </c>
      <c r="I1577" s="35" t="str">
        <f>_xlfn.TEXTBEFORE(mvtst[[#This Row],[Num Suivis]],"-",,,1)</f>
        <v>OF249880</v>
      </c>
      <c r="J1577" s="36">
        <f>SUMIF(mvtst[QR Suivis],mvtst[[#This Row],[QR Suivis]],mvtst[QTE SORTIS])-SUMIF(mvtst[QR Suivis],mvtst[[#This Row],[QR Suivis]],mvtst[QTE RETOUR])</f>
        <v>5</v>
      </c>
      <c r="K1577" s="35" t="str">
        <f t="shared" si="24"/>
        <v>Usine</v>
      </c>
      <c r="L1577" s="35" t="str">
        <f>_xlfn.XLOOKUP(mvtst[[#This Row],[Sous Traitant]],coordonnee_st[Identification],coordonnee_st[SERVICE],"Non Trouvé")</f>
        <v>Frange</v>
      </c>
      <c r="M1577" s="35" t="str">
        <f>INDEX(_xlfn.TEXTSPLIT(mvtst[[#This Row],[QR Suivis]],"_"),1,2)</f>
        <v>CL00884</v>
      </c>
      <c r="N1577" s="35" t="str">
        <f>INDEX(_xlfn.TEXTSPLIT(mvtst[[#This Row],[QR Suivis]],"_"),1,3)</f>
        <v>CM-FT0120</v>
      </c>
      <c r="O1577" s="35" t="str">
        <f>INDEX(_xlfn.TEXTSPLIT(mvtst[[#This Row],[QR Suivis]],"_"),1,4)</f>
        <v>IB1020-B24-01</v>
      </c>
      <c r="P1577" s="35" t="str">
        <f>INDEX(_xlfn.TEXTSPLIT(mvtst[[#This Row],[QR Suivis]],"_"),1,5)</f>
        <v>IBIZA</v>
      </c>
      <c r="Q1577" s="35" t="str">
        <f>_xlfn.TEXTAFTER(mvtst[[#This Row],[QR Suivis]],"_",5)</f>
        <v>1020</v>
      </c>
      <c r="R1577" s="84" t="str">
        <f>IF(
   COUNTIFS($A$2:A1577,A1577,
             $B$2:B1577,B1577,
             $C$2:C1577,C1577,
             $D$2:D1577,D1577,
             $G$2:G1577,G1577)&gt;1,
   "Doublon",
   "Correcte"
)</f>
        <v>Correcte</v>
      </c>
    </row>
    <row r="1578" spans="1:18" x14ac:dyDescent="0.25">
      <c r="A1578" s="104" t="s">
        <v>2212</v>
      </c>
      <c r="B1578" s="35" t="s">
        <v>595</v>
      </c>
      <c r="C1578" s="36">
        <v>5</v>
      </c>
      <c r="D1578" s="36">
        <v>0</v>
      </c>
      <c r="E1578" s="35" t="s">
        <v>699</v>
      </c>
      <c r="F1578" s="35" t="s">
        <v>634</v>
      </c>
      <c r="G1578" s="37">
        <v>45939.626851851855</v>
      </c>
      <c r="H1578" s="37" t="str">
        <f>INDEX(_xlfn.TEXTSPLIT(mvtst[[#This Row],[QR Suivis]],"_"),1,1)</f>
        <v>OF249880-1</v>
      </c>
      <c r="I1578" s="35" t="str">
        <f>_xlfn.TEXTBEFORE(mvtst[[#This Row],[Num Suivis]],"-",,,1)</f>
        <v>OF249880</v>
      </c>
      <c r="J1578" s="36">
        <f>SUMIF(mvtst[QR Suivis],mvtst[[#This Row],[QR Suivis]],mvtst[QTE SORTIS])-SUMIF(mvtst[QR Suivis],mvtst[[#This Row],[QR Suivis]],mvtst[QTE RETOUR])</f>
        <v>5</v>
      </c>
      <c r="K1578" s="35" t="str">
        <f t="shared" si="24"/>
        <v>Usine</v>
      </c>
      <c r="L1578" s="35" t="str">
        <f>_xlfn.XLOOKUP(mvtst[[#This Row],[Sous Traitant]],coordonnee_st[Identification],coordonnee_st[SERVICE],"Non Trouvé")</f>
        <v>Frange</v>
      </c>
      <c r="M1578" s="35" t="str">
        <f>INDEX(_xlfn.TEXTSPLIT(mvtst[[#This Row],[QR Suivis]],"_"),1,2)</f>
        <v>CL00884</v>
      </c>
      <c r="N1578" s="35" t="str">
        <f>INDEX(_xlfn.TEXTSPLIT(mvtst[[#This Row],[QR Suivis]],"_"),1,3)</f>
        <v>CM-FT0120</v>
      </c>
      <c r="O1578" s="35" t="str">
        <f>INDEX(_xlfn.TEXTSPLIT(mvtst[[#This Row],[QR Suivis]],"_"),1,4)</f>
        <v>IB1020-B24-01</v>
      </c>
      <c r="P1578" s="35" t="str">
        <f>INDEX(_xlfn.TEXTSPLIT(mvtst[[#This Row],[QR Suivis]],"_"),1,5)</f>
        <v>IBIZA</v>
      </c>
      <c r="Q1578" s="35" t="str">
        <f>_xlfn.TEXTAFTER(mvtst[[#This Row],[QR Suivis]],"_",5)</f>
        <v>1020</v>
      </c>
      <c r="R1578" s="84" t="str">
        <f>IF(
   COUNTIFS($A$2:A1578,A1578,
             $B$2:B1578,B1578,
             $C$2:C1578,C1578,
             $D$2:D1578,D1578,
             $G$2:G1578,G1578)&gt;1,
   "Doublon",
   "Correcte"
)</f>
        <v>Correcte</v>
      </c>
    </row>
    <row r="1579" spans="1:18" x14ac:dyDescent="0.25">
      <c r="A1579" s="104" t="s">
        <v>1937</v>
      </c>
      <c r="B1579" s="35" t="s">
        <v>595</v>
      </c>
      <c r="C1579" s="36">
        <v>0</v>
      </c>
      <c r="D1579" s="36">
        <v>5</v>
      </c>
      <c r="E1579" s="35" t="s">
        <v>699</v>
      </c>
      <c r="F1579" s="35" t="s">
        <v>634</v>
      </c>
      <c r="G1579" s="37">
        <v>45939.646736111114</v>
      </c>
      <c r="H1579" s="37" t="str">
        <f>INDEX(_xlfn.TEXTSPLIT(mvtst[[#This Row],[QR Suivis]],"_"),1,1)</f>
        <v>OF246544-14</v>
      </c>
      <c r="I1579" s="35" t="str">
        <f>_xlfn.TEXTBEFORE(mvtst[[#This Row],[Num Suivis]],"-",,,1)</f>
        <v>OF246544</v>
      </c>
      <c r="J1579" s="36">
        <f>SUMIF(mvtst[QR Suivis],mvtst[[#This Row],[QR Suivis]],mvtst[QTE SORTIS])-SUMIF(mvtst[QR Suivis],mvtst[[#This Row],[QR Suivis]],mvtst[QTE RETOUR])</f>
        <v>0</v>
      </c>
      <c r="K1579" s="35" t="str">
        <f t="shared" si="24"/>
        <v>Usine</v>
      </c>
      <c r="L1579" s="35" t="str">
        <f>_xlfn.XLOOKUP(mvtst[[#This Row],[Sous Traitant]],coordonnee_st[Identification],coordonnee_st[SERVICE],"Non Trouvé")</f>
        <v>Frange</v>
      </c>
      <c r="M1579" s="35" t="str">
        <f>INDEX(_xlfn.TEXTSPLIT(mvtst[[#This Row],[QR Suivis]],"_"),1,2)</f>
        <v>CL00296</v>
      </c>
      <c r="N1579" s="35" t="str">
        <f>INDEX(_xlfn.TEXTSPLIT(mvtst[[#This Row],[QR Suivis]],"_"),1,3)</f>
        <v>CM-FT0108</v>
      </c>
      <c r="O1579" s="35" t="str">
        <f>INDEX(_xlfn.TEXTSPLIT(mvtst[[#This Row],[QR Suivis]],"_"),1,4)</f>
        <v>EPMA0919-B03-02</v>
      </c>
      <c r="P1579" s="35" t="str">
        <f>INDEX(_xlfn.TEXTSPLIT(mvtst[[#This Row],[QR Suivis]],"_"),1,5)</f>
        <v>MARINIERE</v>
      </c>
      <c r="Q1579" s="35" t="str">
        <f>_xlfn.TEXTAFTER(mvtst[[#This Row],[QR Suivis]],"_",5)</f>
        <v>0919</v>
      </c>
      <c r="R1579" s="84" t="str">
        <f>IF(
   COUNTIFS($A$2:A1579,A1579,
             $B$2:B1579,B1579,
             $C$2:C1579,C1579,
             $D$2:D1579,D1579,
             $G$2:G1579,G1579)&gt;1,
   "Doublon",
   "Correcte"
)</f>
        <v>Correcte</v>
      </c>
    </row>
    <row r="1580" spans="1:18" x14ac:dyDescent="0.25">
      <c r="A1580" s="104" t="s">
        <v>1940</v>
      </c>
      <c r="B1580" s="35" t="s">
        <v>595</v>
      </c>
      <c r="C1580" s="36">
        <v>0</v>
      </c>
      <c r="D1580" s="36">
        <v>5</v>
      </c>
      <c r="E1580" s="35" t="s">
        <v>699</v>
      </c>
      <c r="F1580" s="35" t="s">
        <v>634</v>
      </c>
      <c r="G1580" s="37">
        <v>45939.646863425929</v>
      </c>
      <c r="H1580" s="37" t="str">
        <f>INDEX(_xlfn.TEXTSPLIT(mvtst[[#This Row],[QR Suivis]],"_"),1,1)</f>
        <v>OF246544-9</v>
      </c>
      <c r="I1580" s="35" t="str">
        <f>_xlfn.TEXTBEFORE(mvtst[[#This Row],[Num Suivis]],"-",,,1)</f>
        <v>OF246544</v>
      </c>
      <c r="J1580" s="36">
        <f>SUMIF(mvtst[QR Suivis],mvtst[[#This Row],[QR Suivis]],mvtst[QTE SORTIS])-SUMIF(mvtst[QR Suivis],mvtst[[#This Row],[QR Suivis]],mvtst[QTE RETOUR])</f>
        <v>0</v>
      </c>
      <c r="K1580" s="35" t="str">
        <f t="shared" si="24"/>
        <v>Usine</v>
      </c>
      <c r="L1580" s="35" t="str">
        <f>_xlfn.XLOOKUP(mvtst[[#This Row],[Sous Traitant]],coordonnee_st[Identification],coordonnee_st[SERVICE],"Non Trouvé")</f>
        <v>Frange</v>
      </c>
      <c r="M1580" s="35" t="str">
        <f>INDEX(_xlfn.TEXTSPLIT(mvtst[[#This Row],[QR Suivis]],"_"),1,2)</f>
        <v>CL00296</v>
      </c>
      <c r="N1580" s="35" t="str">
        <f>INDEX(_xlfn.TEXTSPLIT(mvtst[[#This Row],[QR Suivis]],"_"),1,3)</f>
        <v>CM-FT0108</v>
      </c>
      <c r="O1580" s="35" t="str">
        <f>INDEX(_xlfn.TEXTSPLIT(mvtst[[#This Row],[QR Suivis]],"_"),1,4)</f>
        <v>EPMA0919-B03-02</v>
      </c>
      <c r="P1580" s="35" t="str">
        <f>INDEX(_xlfn.TEXTSPLIT(mvtst[[#This Row],[QR Suivis]],"_"),1,5)</f>
        <v>MARINIERE</v>
      </c>
      <c r="Q1580" s="35" t="str">
        <f>_xlfn.TEXTAFTER(mvtst[[#This Row],[QR Suivis]],"_",5)</f>
        <v>0919</v>
      </c>
      <c r="R1580" s="84" t="str">
        <f>IF(
   COUNTIFS($A$2:A1580,A1580,
             $B$2:B1580,B1580,
             $C$2:C1580,C1580,
             $D$2:D1580,D1580,
             $G$2:G1580,G1580)&gt;1,
   "Doublon",
   "Correcte"
)</f>
        <v>Correcte</v>
      </c>
    </row>
    <row r="1581" spans="1:18" x14ac:dyDescent="0.25">
      <c r="A1581" s="104" t="s">
        <v>1941</v>
      </c>
      <c r="B1581" s="35" t="s">
        <v>595</v>
      </c>
      <c r="C1581" s="36">
        <v>0</v>
      </c>
      <c r="D1581" s="36">
        <v>5</v>
      </c>
      <c r="E1581" s="35" t="s">
        <v>699</v>
      </c>
      <c r="F1581" s="35" t="s">
        <v>634</v>
      </c>
      <c r="G1581" s="37">
        <v>45939.64702546296</v>
      </c>
      <c r="H1581" s="37" t="str">
        <f>INDEX(_xlfn.TEXTSPLIT(mvtst[[#This Row],[QR Suivis]],"_"),1,1)</f>
        <v>OF246544-5</v>
      </c>
      <c r="I1581" s="35" t="str">
        <f>_xlfn.TEXTBEFORE(mvtst[[#This Row],[Num Suivis]],"-",,,1)</f>
        <v>OF246544</v>
      </c>
      <c r="J1581" s="36">
        <f>SUMIF(mvtst[QR Suivis],mvtst[[#This Row],[QR Suivis]],mvtst[QTE SORTIS])-SUMIF(mvtst[QR Suivis],mvtst[[#This Row],[QR Suivis]],mvtst[QTE RETOUR])</f>
        <v>0</v>
      </c>
      <c r="K1581" s="35" t="str">
        <f t="shared" si="24"/>
        <v>Usine</v>
      </c>
      <c r="L1581" s="35" t="str">
        <f>_xlfn.XLOOKUP(mvtst[[#This Row],[Sous Traitant]],coordonnee_st[Identification],coordonnee_st[SERVICE],"Non Trouvé")</f>
        <v>Frange</v>
      </c>
      <c r="M1581" s="35" t="str">
        <f>INDEX(_xlfn.TEXTSPLIT(mvtst[[#This Row],[QR Suivis]],"_"),1,2)</f>
        <v>CL00296</v>
      </c>
      <c r="N1581" s="35" t="str">
        <f>INDEX(_xlfn.TEXTSPLIT(mvtst[[#This Row],[QR Suivis]],"_"),1,3)</f>
        <v>CM-FT0108</v>
      </c>
      <c r="O1581" s="35" t="str">
        <f>INDEX(_xlfn.TEXTSPLIT(mvtst[[#This Row],[QR Suivis]],"_"),1,4)</f>
        <v>EPMA0919-B03-02</v>
      </c>
      <c r="P1581" s="35" t="str">
        <f>INDEX(_xlfn.TEXTSPLIT(mvtst[[#This Row],[QR Suivis]],"_"),1,5)</f>
        <v>MARINIERE</v>
      </c>
      <c r="Q1581" s="35" t="str">
        <f>_xlfn.TEXTAFTER(mvtst[[#This Row],[QR Suivis]],"_",5)</f>
        <v>0919</v>
      </c>
      <c r="R1581" s="84" t="str">
        <f>IF(
   COUNTIFS($A$2:A1581,A1581,
             $B$2:B1581,B1581,
             $C$2:C1581,C1581,
             $D$2:D1581,D1581,
             $G$2:G1581,G1581)&gt;1,
   "Doublon",
   "Correcte"
)</f>
        <v>Correcte</v>
      </c>
    </row>
    <row r="1582" spans="1:18" x14ac:dyDescent="0.25">
      <c r="A1582" s="104" t="s">
        <v>1928</v>
      </c>
      <c r="B1582" s="35" t="s">
        <v>595</v>
      </c>
      <c r="C1582" s="36">
        <v>0</v>
      </c>
      <c r="D1582" s="36">
        <v>5</v>
      </c>
      <c r="E1582" s="35" t="s">
        <v>699</v>
      </c>
      <c r="F1582" s="35" t="s">
        <v>634</v>
      </c>
      <c r="G1582" s="37">
        <v>45939.647465277776</v>
      </c>
      <c r="H1582" s="37" t="str">
        <f>INDEX(_xlfn.TEXTSPLIT(mvtst[[#This Row],[QR Suivis]],"_"),1,1)</f>
        <v>OF249868-7</v>
      </c>
      <c r="I1582" s="35" t="str">
        <f>_xlfn.TEXTBEFORE(mvtst[[#This Row],[Num Suivis]],"-",,,1)</f>
        <v>OF249868</v>
      </c>
      <c r="J1582" s="36">
        <f>SUMIF(mvtst[QR Suivis],mvtst[[#This Row],[QR Suivis]],mvtst[QTE SORTIS])-SUMIF(mvtst[QR Suivis],mvtst[[#This Row],[QR Suivis]],mvtst[QTE RETOUR])</f>
        <v>0</v>
      </c>
      <c r="K1582" s="35" t="str">
        <f t="shared" si="24"/>
        <v>Usine</v>
      </c>
      <c r="L1582" s="35" t="str">
        <f>_xlfn.XLOOKUP(mvtst[[#This Row],[Sous Traitant]],coordonnee_st[Identification],coordonnee_st[SERVICE],"Non Trouvé")</f>
        <v>Frange</v>
      </c>
      <c r="M1582" s="35" t="str">
        <f>INDEX(_xlfn.TEXTSPLIT(mvtst[[#This Row],[QR Suivis]],"_"),1,2)</f>
        <v>CL00884</v>
      </c>
      <c r="N1582" s="35" t="str">
        <f>INDEX(_xlfn.TEXTSPLIT(mvtst[[#This Row],[QR Suivis]],"_"),1,3)</f>
        <v>CM-FT0119</v>
      </c>
      <c r="O1582" s="35" t="str">
        <f>INDEX(_xlfn.TEXTSPLIT(mvtst[[#This Row],[QR Suivis]],"_"),1,4)</f>
        <v>EPMA0919-B24-02</v>
      </c>
      <c r="P1582" s="35" t="str">
        <f>INDEX(_xlfn.TEXTSPLIT(mvtst[[#This Row],[QR Suivis]],"_"),1,5)</f>
        <v>MARINIERE</v>
      </c>
      <c r="Q1582" s="35" t="str">
        <f>_xlfn.TEXTAFTER(mvtst[[#This Row],[QR Suivis]],"_",5)</f>
        <v>0919</v>
      </c>
      <c r="R1582" s="84" t="str">
        <f>IF(
   COUNTIFS($A$2:A1582,A1582,
             $B$2:B1582,B1582,
             $C$2:C1582,C1582,
             $D$2:D1582,D1582,
             $G$2:G1582,G1582)&gt;1,
   "Doublon",
   "Correcte"
)</f>
        <v>Correcte</v>
      </c>
    </row>
    <row r="1583" spans="1:18" x14ac:dyDescent="0.25">
      <c r="A1583" s="104" t="s">
        <v>1939</v>
      </c>
      <c r="B1583" s="35" t="s">
        <v>595</v>
      </c>
      <c r="C1583" s="36">
        <v>0</v>
      </c>
      <c r="D1583" s="36">
        <v>5</v>
      </c>
      <c r="E1583" s="35" t="s">
        <v>699</v>
      </c>
      <c r="F1583" s="35" t="s">
        <v>634</v>
      </c>
      <c r="G1583" s="37">
        <v>45939.647615740738</v>
      </c>
      <c r="H1583" s="37" t="str">
        <f>INDEX(_xlfn.TEXTSPLIT(mvtst[[#This Row],[QR Suivis]],"_"),1,1)</f>
        <v>OF246544-7</v>
      </c>
      <c r="I1583" s="35" t="str">
        <f>_xlfn.TEXTBEFORE(mvtst[[#This Row],[Num Suivis]],"-",,,1)</f>
        <v>OF246544</v>
      </c>
      <c r="J1583" s="36">
        <f>SUMIF(mvtst[QR Suivis],mvtst[[#This Row],[QR Suivis]],mvtst[QTE SORTIS])-SUMIF(mvtst[QR Suivis],mvtst[[#This Row],[QR Suivis]],mvtst[QTE RETOUR])</f>
        <v>0</v>
      </c>
      <c r="K1583" s="35" t="str">
        <f t="shared" si="24"/>
        <v>Usine</v>
      </c>
      <c r="L1583" s="35" t="str">
        <f>_xlfn.XLOOKUP(mvtst[[#This Row],[Sous Traitant]],coordonnee_st[Identification],coordonnee_st[SERVICE],"Non Trouvé")</f>
        <v>Frange</v>
      </c>
      <c r="M1583" s="35" t="str">
        <f>INDEX(_xlfn.TEXTSPLIT(mvtst[[#This Row],[QR Suivis]],"_"),1,2)</f>
        <v>CL00296</v>
      </c>
      <c r="N1583" s="35" t="str">
        <f>INDEX(_xlfn.TEXTSPLIT(mvtst[[#This Row],[QR Suivis]],"_"),1,3)</f>
        <v>CM-FT0108</v>
      </c>
      <c r="O1583" s="35" t="str">
        <f>INDEX(_xlfn.TEXTSPLIT(mvtst[[#This Row],[QR Suivis]],"_"),1,4)</f>
        <v>EPMA0919-B03-02</v>
      </c>
      <c r="P1583" s="35" t="str">
        <f>INDEX(_xlfn.TEXTSPLIT(mvtst[[#This Row],[QR Suivis]],"_"),1,5)</f>
        <v>MARINIERE</v>
      </c>
      <c r="Q1583" s="35" t="str">
        <f>_xlfn.TEXTAFTER(mvtst[[#This Row],[QR Suivis]],"_",5)</f>
        <v>0919</v>
      </c>
      <c r="R1583" s="84" t="str">
        <f>IF(
   COUNTIFS($A$2:A1583,A1583,
             $B$2:B1583,B1583,
             $C$2:C1583,C1583,
             $D$2:D1583,D1583,
             $G$2:G1583,G1583)&gt;1,
   "Doublon",
   "Correcte"
)</f>
        <v>Correcte</v>
      </c>
    </row>
    <row r="1584" spans="1:18" x14ac:dyDescent="0.25">
      <c r="A1584" s="104" t="s">
        <v>1942</v>
      </c>
      <c r="B1584" s="35" t="s">
        <v>595</v>
      </c>
      <c r="C1584" s="36">
        <v>0</v>
      </c>
      <c r="D1584" s="36">
        <v>5</v>
      </c>
      <c r="E1584" s="35" t="s">
        <v>699</v>
      </c>
      <c r="F1584" s="35" t="s">
        <v>634</v>
      </c>
      <c r="G1584" s="37">
        <v>45939.647835648146</v>
      </c>
      <c r="H1584" s="37" t="str">
        <f>INDEX(_xlfn.TEXTSPLIT(mvtst[[#This Row],[QR Suivis]],"_"),1,1)</f>
        <v>OF246544-8</v>
      </c>
      <c r="I1584" s="35" t="str">
        <f>_xlfn.TEXTBEFORE(mvtst[[#This Row],[Num Suivis]],"-",,,1)</f>
        <v>OF246544</v>
      </c>
      <c r="J1584" s="36">
        <f>SUMIF(mvtst[QR Suivis],mvtst[[#This Row],[QR Suivis]],mvtst[QTE SORTIS])-SUMIF(mvtst[QR Suivis],mvtst[[#This Row],[QR Suivis]],mvtst[QTE RETOUR])</f>
        <v>0</v>
      </c>
      <c r="K1584" s="35" t="str">
        <f t="shared" si="24"/>
        <v>Usine</v>
      </c>
      <c r="L1584" s="35" t="str">
        <f>_xlfn.XLOOKUP(mvtst[[#This Row],[Sous Traitant]],coordonnee_st[Identification],coordonnee_st[SERVICE],"Non Trouvé")</f>
        <v>Frange</v>
      </c>
      <c r="M1584" s="35" t="str">
        <f>INDEX(_xlfn.TEXTSPLIT(mvtst[[#This Row],[QR Suivis]],"_"),1,2)</f>
        <v>CL00296</v>
      </c>
      <c r="N1584" s="35" t="str">
        <f>INDEX(_xlfn.TEXTSPLIT(mvtst[[#This Row],[QR Suivis]],"_"),1,3)</f>
        <v>CM-FT0108</v>
      </c>
      <c r="O1584" s="35" t="str">
        <f>INDEX(_xlfn.TEXTSPLIT(mvtst[[#This Row],[QR Suivis]],"_"),1,4)</f>
        <v>EPMA0919-B03-02</v>
      </c>
      <c r="P1584" s="35" t="str">
        <f>INDEX(_xlfn.TEXTSPLIT(mvtst[[#This Row],[QR Suivis]],"_"),1,5)</f>
        <v>MARINIERE</v>
      </c>
      <c r="Q1584" s="35" t="str">
        <f>_xlfn.TEXTAFTER(mvtst[[#This Row],[QR Suivis]],"_",5)</f>
        <v>0919</v>
      </c>
      <c r="R1584" s="84" t="str">
        <f>IF(
   COUNTIFS($A$2:A1584,A1584,
             $B$2:B1584,B1584,
             $C$2:C1584,C1584,
             $D$2:D1584,D1584,
             $G$2:G1584,G1584)&gt;1,
   "Doublon",
   "Correcte"
)</f>
        <v>Correcte</v>
      </c>
    </row>
    <row r="1585" spans="1:18" x14ac:dyDescent="0.25">
      <c r="A1585" s="104" t="s">
        <v>1935</v>
      </c>
      <c r="B1585" s="35" t="s">
        <v>595</v>
      </c>
      <c r="C1585" s="36">
        <v>0</v>
      </c>
      <c r="D1585" s="36">
        <v>5</v>
      </c>
      <c r="E1585" s="35" t="s">
        <v>699</v>
      </c>
      <c r="F1585" s="35" t="s">
        <v>634</v>
      </c>
      <c r="G1585" s="37">
        <v>45939.648460648146</v>
      </c>
      <c r="H1585" s="37" t="str">
        <f>INDEX(_xlfn.TEXTSPLIT(mvtst[[#This Row],[QR Suivis]],"_"),1,1)</f>
        <v>OF246544-4</v>
      </c>
      <c r="I1585" s="35" t="str">
        <f>_xlfn.TEXTBEFORE(mvtst[[#This Row],[Num Suivis]],"-",,,1)</f>
        <v>OF246544</v>
      </c>
      <c r="J1585" s="36">
        <f>SUMIF(mvtst[QR Suivis],mvtst[[#This Row],[QR Suivis]],mvtst[QTE SORTIS])-SUMIF(mvtst[QR Suivis],mvtst[[#This Row],[QR Suivis]],mvtst[QTE RETOUR])</f>
        <v>0</v>
      </c>
      <c r="K1585" s="35" t="str">
        <f t="shared" si="24"/>
        <v>Usine</v>
      </c>
      <c r="L1585" s="35" t="str">
        <f>_xlfn.XLOOKUP(mvtst[[#This Row],[Sous Traitant]],coordonnee_st[Identification],coordonnee_st[SERVICE],"Non Trouvé")</f>
        <v>Frange</v>
      </c>
      <c r="M1585" s="35" t="str">
        <f>INDEX(_xlfn.TEXTSPLIT(mvtst[[#This Row],[QR Suivis]],"_"),1,2)</f>
        <v>CL00296</v>
      </c>
      <c r="N1585" s="35" t="str">
        <f>INDEX(_xlfn.TEXTSPLIT(mvtst[[#This Row],[QR Suivis]],"_"),1,3)</f>
        <v>CM-FT0108</v>
      </c>
      <c r="O1585" s="35" t="str">
        <f>INDEX(_xlfn.TEXTSPLIT(mvtst[[#This Row],[QR Suivis]],"_"),1,4)</f>
        <v>EPMA0919-B03-02</v>
      </c>
      <c r="P1585" s="35" t="str">
        <f>INDEX(_xlfn.TEXTSPLIT(mvtst[[#This Row],[QR Suivis]],"_"),1,5)</f>
        <v>MARINIERE</v>
      </c>
      <c r="Q1585" s="35" t="str">
        <f>_xlfn.TEXTAFTER(mvtst[[#This Row],[QR Suivis]],"_",5)</f>
        <v>0919</v>
      </c>
      <c r="R1585" s="84" t="str">
        <f>IF(
   COUNTIFS($A$2:A1585,A1585,
             $B$2:B1585,B1585,
             $C$2:C1585,C1585,
             $D$2:D1585,D1585,
             $G$2:G1585,G1585)&gt;1,
   "Doublon",
   "Correcte"
)</f>
        <v>Correcte</v>
      </c>
    </row>
    <row r="1586" spans="1:18" x14ac:dyDescent="0.25">
      <c r="A1586" s="104" t="s">
        <v>1944</v>
      </c>
      <c r="B1586" s="35" t="s">
        <v>595</v>
      </c>
      <c r="C1586" s="36">
        <v>0</v>
      </c>
      <c r="D1586" s="36">
        <v>5</v>
      </c>
      <c r="E1586" s="35" t="s">
        <v>699</v>
      </c>
      <c r="F1586" s="35" t="s">
        <v>634</v>
      </c>
      <c r="G1586" s="37">
        <v>45939.648715277777</v>
      </c>
      <c r="H1586" s="37" t="str">
        <f>INDEX(_xlfn.TEXTSPLIT(mvtst[[#This Row],[QR Suivis]],"_"),1,1)</f>
        <v>OF246544-15</v>
      </c>
      <c r="I1586" s="35" t="str">
        <f>_xlfn.TEXTBEFORE(mvtst[[#This Row],[Num Suivis]],"-",,,1)</f>
        <v>OF246544</v>
      </c>
      <c r="J1586" s="36">
        <f>SUMIF(mvtst[QR Suivis],mvtst[[#This Row],[QR Suivis]],mvtst[QTE SORTIS])-SUMIF(mvtst[QR Suivis],mvtst[[#This Row],[QR Suivis]],mvtst[QTE RETOUR])</f>
        <v>0</v>
      </c>
      <c r="K1586" s="35" t="str">
        <f t="shared" si="24"/>
        <v>Usine</v>
      </c>
      <c r="L1586" s="35" t="str">
        <f>_xlfn.XLOOKUP(mvtst[[#This Row],[Sous Traitant]],coordonnee_st[Identification],coordonnee_st[SERVICE],"Non Trouvé")</f>
        <v>Frange</v>
      </c>
      <c r="M1586" s="35" t="str">
        <f>INDEX(_xlfn.TEXTSPLIT(mvtst[[#This Row],[QR Suivis]],"_"),1,2)</f>
        <v>CL00296</v>
      </c>
      <c r="N1586" s="35" t="str">
        <f>INDEX(_xlfn.TEXTSPLIT(mvtst[[#This Row],[QR Suivis]],"_"),1,3)</f>
        <v>CM-FT0108</v>
      </c>
      <c r="O1586" s="35" t="str">
        <f>INDEX(_xlfn.TEXTSPLIT(mvtst[[#This Row],[QR Suivis]],"_"),1,4)</f>
        <v>EPMA0919-B03-02</v>
      </c>
      <c r="P1586" s="35" t="str">
        <f>INDEX(_xlfn.TEXTSPLIT(mvtst[[#This Row],[QR Suivis]],"_"),1,5)</f>
        <v>MARINIERE</v>
      </c>
      <c r="Q1586" s="35" t="str">
        <f>_xlfn.TEXTAFTER(mvtst[[#This Row],[QR Suivis]],"_",5)</f>
        <v>0919</v>
      </c>
      <c r="R1586" s="84" t="str">
        <f>IF(
   COUNTIFS($A$2:A1586,A1586,
             $B$2:B1586,B1586,
             $C$2:C1586,C1586,
             $D$2:D1586,D1586,
             $G$2:G1586,G1586)&gt;1,
   "Doublon",
   "Correcte"
)</f>
        <v>Correcte</v>
      </c>
    </row>
    <row r="1587" spans="1:18" x14ac:dyDescent="0.25">
      <c r="A1587" s="104" t="s">
        <v>1933</v>
      </c>
      <c r="B1587" s="35" t="s">
        <v>595</v>
      </c>
      <c r="C1587" s="36">
        <v>0</v>
      </c>
      <c r="D1587" s="36">
        <v>5</v>
      </c>
      <c r="E1587" s="35" t="s">
        <v>699</v>
      </c>
      <c r="F1587" s="35" t="s">
        <v>634</v>
      </c>
      <c r="G1587" s="37">
        <v>45939.648912037039</v>
      </c>
      <c r="H1587" s="37" t="str">
        <f>INDEX(_xlfn.TEXTSPLIT(mvtst[[#This Row],[QR Suivis]],"_"),1,1)</f>
        <v>OF246544-16</v>
      </c>
      <c r="I1587" s="35" t="str">
        <f>_xlfn.TEXTBEFORE(mvtst[[#This Row],[Num Suivis]],"-",,,1)</f>
        <v>OF246544</v>
      </c>
      <c r="J1587" s="36">
        <f>SUMIF(mvtst[QR Suivis],mvtst[[#This Row],[QR Suivis]],mvtst[QTE SORTIS])-SUMIF(mvtst[QR Suivis],mvtst[[#This Row],[QR Suivis]],mvtst[QTE RETOUR])</f>
        <v>0</v>
      </c>
      <c r="K1587" s="35" t="str">
        <f t="shared" si="24"/>
        <v>Usine</v>
      </c>
      <c r="L1587" s="35" t="str">
        <f>_xlfn.XLOOKUP(mvtst[[#This Row],[Sous Traitant]],coordonnee_st[Identification],coordonnee_st[SERVICE],"Non Trouvé")</f>
        <v>Frange</v>
      </c>
      <c r="M1587" s="35" t="str">
        <f>INDEX(_xlfn.TEXTSPLIT(mvtst[[#This Row],[QR Suivis]],"_"),1,2)</f>
        <v>CL00296</v>
      </c>
      <c r="N1587" s="35" t="str">
        <f>INDEX(_xlfn.TEXTSPLIT(mvtst[[#This Row],[QR Suivis]],"_"),1,3)</f>
        <v>CM-FT0108</v>
      </c>
      <c r="O1587" s="35" t="str">
        <f>INDEX(_xlfn.TEXTSPLIT(mvtst[[#This Row],[QR Suivis]],"_"),1,4)</f>
        <v>EPMA0919-B03-02</v>
      </c>
      <c r="P1587" s="35" t="str">
        <f>INDEX(_xlfn.TEXTSPLIT(mvtst[[#This Row],[QR Suivis]],"_"),1,5)</f>
        <v>MARINIERE</v>
      </c>
      <c r="Q1587" s="35" t="str">
        <f>_xlfn.TEXTAFTER(mvtst[[#This Row],[QR Suivis]],"_",5)</f>
        <v>0919</v>
      </c>
      <c r="R1587" s="84" t="str">
        <f>IF(
   COUNTIFS($A$2:A1587,A1587,
             $B$2:B1587,B1587,
             $C$2:C1587,C1587,
             $D$2:D1587,D1587,
             $G$2:G1587,G1587)&gt;1,
   "Doublon",
   "Correcte"
)</f>
        <v>Correcte</v>
      </c>
    </row>
    <row r="1588" spans="1:18" x14ac:dyDescent="0.25">
      <c r="A1588" s="104" t="s">
        <v>1938</v>
      </c>
      <c r="B1588" s="35" t="s">
        <v>595</v>
      </c>
      <c r="C1588" s="36">
        <v>0</v>
      </c>
      <c r="D1588" s="36">
        <v>5</v>
      </c>
      <c r="E1588" s="35" t="s">
        <v>699</v>
      </c>
      <c r="F1588" s="35" t="s">
        <v>634</v>
      </c>
      <c r="G1588" s="37">
        <v>45939.649074074077</v>
      </c>
      <c r="H1588" s="37" t="str">
        <f>INDEX(_xlfn.TEXTSPLIT(mvtst[[#This Row],[QR Suivis]],"_"),1,1)</f>
        <v>OF246544-6</v>
      </c>
      <c r="I1588" s="35" t="str">
        <f>_xlfn.TEXTBEFORE(mvtst[[#This Row],[Num Suivis]],"-",,,1)</f>
        <v>OF246544</v>
      </c>
      <c r="J1588" s="36">
        <f>SUMIF(mvtst[QR Suivis],mvtst[[#This Row],[QR Suivis]],mvtst[QTE SORTIS])-SUMIF(mvtst[QR Suivis],mvtst[[#This Row],[QR Suivis]],mvtst[QTE RETOUR])</f>
        <v>0</v>
      </c>
      <c r="K1588" s="35" t="str">
        <f t="shared" si="24"/>
        <v>Usine</v>
      </c>
      <c r="L1588" s="35" t="str">
        <f>_xlfn.XLOOKUP(mvtst[[#This Row],[Sous Traitant]],coordonnee_st[Identification],coordonnee_st[SERVICE],"Non Trouvé")</f>
        <v>Frange</v>
      </c>
      <c r="M1588" s="35" t="str">
        <f>INDEX(_xlfn.TEXTSPLIT(mvtst[[#This Row],[QR Suivis]],"_"),1,2)</f>
        <v>CL00296</v>
      </c>
      <c r="N1588" s="35" t="str">
        <f>INDEX(_xlfn.TEXTSPLIT(mvtst[[#This Row],[QR Suivis]],"_"),1,3)</f>
        <v>CM-FT0108</v>
      </c>
      <c r="O1588" s="35" t="str">
        <f>INDEX(_xlfn.TEXTSPLIT(mvtst[[#This Row],[QR Suivis]],"_"),1,4)</f>
        <v>EPMA0919-B03-02</v>
      </c>
      <c r="P1588" s="35" t="str">
        <f>INDEX(_xlfn.TEXTSPLIT(mvtst[[#This Row],[QR Suivis]],"_"),1,5)</f>
        <v>MARINIERE</v>
      </c>
      <c r="Q1588" s="35" t="str">
        <f>_xlfn.TEXTAFTER(mvtst[[#This Row],[QR Suivis]],"_",5)</f>
        <v>0919</v>
      </c>
      <c r="R1588" s="84" t="str">
        <f>IF(
   COUNTIFS($A$2:A1588,A1588,
             $B$2:B1588,B1588,
             $C$2:C1588,C1588,
             $D$2:D1588,D1588,
             $G$2:G1588,G1588)&gt;1,
   "Doublon",
   "Correcte"
)</f>
        <v>Correcte</v>
      </c>
    </row>
    <row r="1589" spans="1:18" x14ac:dyDescent="0.25">
      <c r="A1589" s="104" t="s">
        <v>1930</v>
      </c>
      <c r="B1589" s="35" t="s">
        <v>595</v>
      </c>
      <c r="C1589" s="36">
        <v>0</v>
      </c>
      <c r="D1589" s="36">
        <v>5</v>
      </c>
      <c r="E1589" s="35" t="s">
        <v>699</v>
      </c>
      <c r="F1589" s="35" t="s">
        <v>634</v>
      </c>
      <c r="G1589" s="37">
        <v>45939.649317129632</v>
      </c>
      <c r="H1589" s="37" t="str">
        <f>INDEX(_xlfn.TEXTSPLIT(mvtst[[#This Row],[QR Suivis]],"_"),1,1)</f>
        <v>OF249868-15</v>
      </c>
      <c r="I1589" s="35" t="str">
        <f>_xlfn.TEXTBEFORE(mvtst[[#This Row],[Num Suivis]],"-",,,1)</f>
        <v>OF249868</v>
      </c>
      <c r="J1589" s="36">
        <f>SUMIF(mvtst[QR Suivis],mvtst[[#This Row],[QR Suivis]],mvtst[QTE SORTIS])-SUMIF(mvtst[QR Suivis],mvtst[[#This Row],[QR Suivis]],mvtst[QTE RETOUR])</f>
        <v>0</v>
      </c>
      <c r="K1589" s="35" t="str">
        <f t="shared" si="24"/>
        <v>Usine</v>
      </c>
      <c r="L1589" s="35" t="str">
        <f>_xlfn.XLOOKUP(mvtst[[#This Row],[Sous Traitant]],coordonnee_st[Identification],coordonnee_st[SERVICE],"Non Trouvé")</f>
        <v>Frange</v>
      </c>
      <c r="M1589" s="35" t="str">
        <f>INDEX(_xlfn.TEXTSPLIT(mvtst[[#This Row],[QR Suivis]],"_"),1,2)</f>
        <v>CL00884</v>
      </c>
      <c r="N1589" s="35" t="str">
        <f>INDEX(_xlfn.TEXTSPLIT(mvtst[[#This Row],[QR Suivis]],"_"),1,3)</f>
        <v>CM-FT0119</v>
      </c>
      <c r="O1589" s="35" t="str">
        <f>INDEX(_xlfn.TEXTSPLIT(mvtst[[#This Row],[QR Suivis]],"_"),1,4)</f>
        <v>EPMA0919-B24-02</v>
      </c>
      <c r="P1589" s="35" t="str">
        <f>INDEX(_xlfn.TEXTSPLIT(mvtst[[#This Row],[QR Suivis]],"_"),1,5)</f>
        <v>MARINIERE</v>
      </c>
      <c r="Q1589" s="35" t="str">
        <f>_xlfn.TEXTAFTER(mvtst[[#This Row],[QR Suivis]],"_",5)</f>
        <v>0919</v>
      </c>
      <c r="R1589" s="84" t="str">
        <f>IF(
   COUNTIFS($A$2:A1589,A1589,
             $B$2:B1589,B1589,
             $C$2:C1589,C1589,
             $D$2:D1589,D1589,
             $G$2:G1589,G1589)&gt;1,
   "Doublon",
   "Correcte"
)</f>
        <v>Correcte</v>
      </c>
    </row>
    <row r="1590" spans="1:18" x14ac:dyDescent="0.25">
      <c r="A1590" s="104" t="s">
        <v>1932</v>
      </c>
      <c r="B1590" s="35" t="s">
        <v>595</v>
      </c>
      <c r="C1590" s="36">
        <v>0</v>
      </c>
      <c r="D1590" s="36">
        <v>5</v>
      </c>
      <c r="E1590" s="35" t="s">
        <v>699</v>
      </c>
      <c r="F1590" s="35" t="s">
        <v>634</v>
      </c>
      <c r="G1590" s="37">
        <v>45939.649571759262</v>
      </c>
      <c r="H1590" s="37" t="str">
        <f>INDEX(_xlfn.TEXTSPLIT(mvtst[[#This Row],[QR Suivis]],"_"),1,1)</f>
        <v>OF249868-5</v>
      </c>
      <c r="I1590" s="35" t="str">
        <f>_xlfn.TEXTBEFORE(mvtst[[#This Row],[Num Suivis]],"-",,,1)</f>
        <v>OF249868</v>
      </c>
      <c r="J1590" s="36">
        <f>SUMIF(mvtst[QR Suivis],mvtst[[#This Row],[QR Suivis]],mvtst[QTE SORTIS])-SUMIF(mvtst[QR Suivis],mvtst[[#This Row],[QR Suivis]],mvtst[QTE RETOUR])</f>
        <v>0</v>
      </c>
      <c r="K1590" s="35" t="str">
        <f t="shared" si="24"/>
        <v>Usine</v>
      </c>
      <c r="L1590" s="35" t="str">
        <f>_xlfn.XLOOKUP(mvtst[[#This Row],[Sous Traitant]],coordonnee_st[Identification],coordonnee_st[SERVICE],"Non Trouvé")</f>
        <v>Frange</v>
      </c>
      <c r="M1590" s="35" t="str">
        <f>INDEX(_xlfn.TEXTSPLIT(mvtst[[#This Row],[QR Suivis]],"_"),1,2)</f>
        <v>CL00884</v>
      </c>
      <c r="N1590" s="35" t="str">
        <f>INDEX(_xlfn.TEXTSPLIT(mvtst[[#This Row],[QR Suivis]],"_"),1,3)</f>
        <v>CM-FT0119</v>
      </c>
      <c r="O1590" s="35" t="str">
        <f>INDEX(_xlfn.TEXTSPLIT(mvtst[[#This Row],[QR Suivis]],"_"),1,4)</f>
        <v>EPMA0919-B24-02</v>
      </c>
      <c r="P1590" s="35" t="str">
        <f>INDEX(_xlfn.TEXTSPLIT(mvtst[[#This Row],[QR Suivis]],"_"),1,5)</f>
        <v>MARINIERE</v>
      </c>
      <c r="Q1590" s="35" t="str">
        <f>_xlfn.TEXTAFTER(mvtst[[#This Row],[QR Suivis]],"_",5)</f>
        <v>0919</v>
      </c>
      <c r="R1590" s="84" t="str">
        <f>IF(
   COUNTIFS($A$2:A1590,A1590,
             $B$2:B1590,B1590,
             $C$2:C1590,C1590,
             $D$2:D1590,D1590,
             $G$2:G1590,G1590)&gt;1,
   "Doublon",
   "Correcte"
)</f>
        <v>Correcte</v>
      </c>
    </row>
    <row r="1591" spans="1:18" x14ac:dyDescent="0.25">
      <c r="A1591" s="104" t="s">
        <v>1927</v>
      </c>
      <c r="B1591" s="35" t="s">
        <v>595</v>
      </c>
      <c r="C1591" s="36">
        <v>0</v>
      </c>
      <c r="D1591" s="36">
        <v>5</v>
      </c>
      <c r="E1591" s="35" t="s">
        <v>699</v>
      </c>
      <c r="F1591" s="35" t="s">
        <v>634</v>
      </c>
      <c r="G1591" s="37">
        <v>45939.649837962963</v>
      </c>
      <c r="H1591" s="37" t="str">
        <f>INDEX(_xlfn.TEXTSPLIT(mvtst[[#This Row],[QR Suivis]],"_"),1,1)</f>
        <v>OF249868-1</v>
      </c>
      <c r="I1591" s="35" t="str">
        <f>_xlfn.TEXTBEFORE(mvtst[[#This Row],[Num Suivis]],"-",,,1)</f>
        <v>OF249868</v>
      </c>
      <c r="J1591" s="36">
        <f>SUMIF(mvtst[QR Suivis],mvtst[[#This Row],[QR Suivis]],mvtst[QTE SORTIS])-SUMIF(mvtst[QR Suivis],mvtst[[#This Row],[QR Suivis]],mvtst[QTE RETOUR])</f>
        <v>0</v>
      </c>
      <c r="K1591" s="35" t="str">
        <f t="shared" si="24"/>
        <v>Usine</v>
      </c>
      <c r="L1591" s="35" t="str">
        <f>_xlfn.XLOOKUP(mvtst[[#This Row],[Sous Traitant]],coordonnee_st[Identification],coordonnee_st[SERVICE],"Non Trouvé")</f>
        <v>Frange</v>
      </c>
      <c r="M1591" s="35" t="str">
        <f>INDEX(_xlfn.TEXTSPLIT(mvtst[[#This Row],[QR Suivis]],"_"),1,2)</f>
        <v>CL00884</v>
      </c>
      <c r="N1591" s="35" t="str">
        <f>INDEX(_xlfn.TEXTSPLIT(mvtst[[#This Row],[QR Suivis]],"_"),1,3)</f>
        <v>CM-FT0119</v>
      </c>
      <c r="O1591" s="35" t="str">
        <f>INDEX(_xlfn.TEXTSPLIT(mvtst[[#This Row],[QR Suivis]],"_"),1,4)</f>
        <v>EPMA0919-B24-02</v>
      </c>
      <c r="P1591" s="35" t="str">
        <f>INDEX(_xlfn.TEXTSPLIT(mvtst[[#This Row],[QR Suivis]],"_"),1,5)</f>
        <v>MARINIERE</v>
      </c>
      <c r="Q1591" s="35" t="str">
        <f>_xlfn.TEXTAFTER(mvtst[[#This Row],[QR Suivis]],"_",5)</f>
        <v>0919</v>
      </c>
      <c r="R1591" s="84" t="str">
        <f>IF(
   COUNTIFS($A$2:A1591,A1591,
             $B$2:B1591,B1591,
             $C$2:C1591,C1591,
             $D$2:D1591,D1591,
             $G$2:G1591,G1591)&gt;1,
   "Doublon",
   "Correcte"
)</f>
        <v>Correcte</v>
      </c>
    </row>
    <row r="1592" spans="1:18" x14ac:dyDescent="0.25">
      <c r="A1592" s="104" t="s">
        <v>1929</v>
      </c>
      <c r="B1592" s="35" t="s">
        <v>595</v>
      </c>
      <c r="C1592" s="36">
        <v>0</v>
      </c>
      <c r="D1592" s="36">
        <v>5</v>
      </c>
      <c r="E1592" s="35" t="s">
        <v>699</v>
      </c>
      <c r="F1592" s="35" t="s">
        <v>634</v>
      </c>
      <c r="G1592" s="37">
        <v>45939.65016203704</v>
      </c>
      <c r="H1592" s="37" t="str">
        <f>INDEX(_xlfn.TEXTSPLIT(mvtst[[#This Row],[QR Suivis]],"_"),1,1)</f>
        <v>OF249868-8</v>
      </c>
      <c r="I1592" s="35" t="str">
        <f>_xlfn.TEXTBEFORE(mvtst[[#This Row],[Num Suivis]],"-",,,1)</f>
        <v>OF249868</v>
      </c>
      <c r="J1592" s="36">
        <f>SUMIF(mvtst[QR Suivis],mvtst[[#This Row],[QR Suivis]],mvtst[QTE SORTIS])-SUMIF(mvtst[QR Suivis],mvtst[[#This Row],[QR Suivis]],mvtst[QTE RETOUR])</f>
        <v>0</v>
      </c>
      <c r="K1592" s="35" t="str">
        <f t="shared" si="24"/>
        <v>Usine</v>
      </c>
      <c r="L1592" s="35" t="str">
        <f>_xlfn.XLOOKUP(mvtst[[#This Row],[Sous Traitant]],coordonnee_st[Identification],coordonnee_st[SERVICE],"Non Trouvé")</f>
        <v>Frange</v>
      </c>
      <c r="M1592" s="35" t="str">
        <f>INDEX(_xlfn.TEXTSPLIT(mvtst[[#This Row],[QR Suivis]],"_"),1,2)</f>
        <v>CL00884</v>
      </c>
      <c r="N1592" s="35" t="str">
        <f>INDEX(_xlfn.TEXTSPLIT(mvtst[[#This Row],[QR Suivis]],"_"),1,3)</f>
        <v>CM-FT0119</v>
      </c>
      <c r="O1592" s="35" t="str">
        <f>INDEX(_xlfn.TEXTSPLIT(mvtst[[#This Row],[QR Suivis]],"_"),1,4)</f>
        <v>EPMA0919-B24-02</v>
      </c>
      <c r="P1592" s="35" t="str">
        <f>INDEX(_xlfn.TEXTSPLIT(mvtst[[#This Row],[QR Suivis]],"_"),1,5)</f>
        <v>MARINIERE</v>
      </c>
      <c r="Q1592" s="35" t="str">
        <f>_xlfn.TEXTAFTER(mvtst[[#This Row],[QR Suivis]],"_",5)</f>
        <v>0919</v>
      </c>
      <c r="R1592" s="84" t="str">
        <f>IF(
   COUNTIFS($A$2:A1592,A1592,
             $B$2:B1592,B1592,
             $C$2:C1592,C1592,
             $D$2:D1592,D1592,
             $G$2:G1592,G1592)&gt;1,
   "Doublon",
   "Correcte"
)</f>
        <v>Correcte</v>
      </c>
    </row>
    <row r="1593" spans="1:18" x14ac:dyDescent="0.25">
      <c r="A1593" s="104" t="s">
        <v>1931</v>
      </c>
      <c r="B1593" s="35" t="s">
        <v>595</v>
      </c>
      <c r="C1593" s="36">
        <v>0</v>
      </c>
      <c r="D1593" s="36">
        <v>5</v>
      </c>
      <c r="E1593" s="35" t="s">
        <v>699</v>
      </c>
      <c r="F1593" s="35" t="s">
        <v>634</v>
      </c>
      <c r="G1593" s="37">
        <v>45939.650393518517</v>
      </c>
      <c r="H1593" s="37" t="str">
        <f>INDEX(_xlfn.TEXTSPLIT(mvtst[[#This Row],[QR Suivis]],"_"),1,1)</f>
        <v>OF249868-6</v>
      </c>
      <c r="I1593" s="35" t="str">
        <f>_xlfn.TEXTBEFORE(mvtst[[#This Row],[Num Suivis]],"-",,,1)</f>
        <v>OF249868</v>
      </c>
      <c r="J1593" s="36">
        <f>SUMIF(mvtst[QR Suivis],mvtst[[#This Row],[QR Suivis]],mvtst[QTE SORTIS])-SUMIF(mvtst[QR Suivis],mvtst[[#This Row],[QR Suivis]],mvtst[QTE RETOUR])</f>
        <v>0</v>
      </c>
      <c r="K1593" s="35" t="str">
        <f t="shared" si="24"/>
        <v>Usine</v>
      </c>
      <c r="L1593" s="35" t="str">
        <f>_xlfn.XLOOKUP(mvtst[[#This Row],[Sous Traitant]],coordonnee_st[Identification],coordonnee_st[SERVICE],"Non Trouvé")</f>
        <v>Frange</v>
      </c>
      <c r="M1593" s="35" t="str">
        <f>INDEX(_xlfn.TEXTSPLIT(mvtst[[#This Row],[QR Suivis]],"_"),1,2)</f>
        <v>CL00884</v>
      </c>
      <c r="N1593" s="35" t="str">
        <f>INDEX(_xlfn.TEXTSPLIT(mvtst[[#This Row],[QR Suivis]],"_"),1,3)</f>
        <v>CM-FT0119</v>
      </c>
      <c r="O1593" s="35" t="str">
        <f>INDEX(_xlfn.TEXTSPLIT(mvtst[[#This Row],[QR Suivis]],"_"),1,4)</f>
        <v>EPMA0919-B24-02</v>
      </c>
      <c r="P1593" s="35" t="str">
        <f>INDEX(_xlfn.TEXTSPLIT(mvtst[[#This Row],[QR Suivis]],"_"),1,5)</f>
        <v>MARINIERE</v>
      </c>
      <c r="Q1593" s="35" t="str">
        <f>_xlfn.TEXTAFTER(mvtst[[#This Row],[QR Suivis]],"_",5)</f>
        <v>0919</v>
      </c>
      <c r="R1593" s="84" t="str">
        <f>IF(
   COUNTIFS($A$2:A1593,A1593,
             $B$2:B1593,B1593,
             $C$2:C1593,C1593,
             $D$2:D1593,D1593,
             $G$2:G1593,G1593)&gt;1,
   "Doublon",
   "Correcte"
)</f>
        <v>Correcte</v>
      </c>
    </row>
    <row r="1594" spans="1:18" x14ac:dyDescent="0.25">
      <c r="A1594" s="104" t="s">
        <v>1936</v>
      </c>
      <c r="B1594" s="35" t="s">
        <v>595</v>
      </c>
      <c r="C1594" s="36">
        <v>0</v>
      </c>
      <c r="D1594" s="36">
        <v>5</v>
      </c>
      <c r="E1594" s="35" t="s">
        <v>699</v>
      </c>
      <c r="F1594" s="35" t="s">
        <v>634</v>
      </c>
      <c r="G1594" s="37">
        <v>45939.650578703702</v>
      </c>
      <c r="H1594" s="37" t="str">
        <f>INDEX(_xlfn.TEXTSPLIT(mvtst[[#This Row],[QR Suivis]],"_"),1,1)</f>
        <v>OF246544-3</v>
      </c>
      <c r="I1594" s="35" t="str">
        <f>_xlfn.TEXTBEFORE(mvtst[[#This Row],[Num Suivis]],"-",,,1)</f>
        <v>OF246544</v>
      </c>
      <c r="J1594" s="36">
        <f>SUMIF(mvtst[QR Suivis],mvtst[[#This Row],[QR Suivis]],mvtst[QTE SORTIS])-SUMIF(mvtst[QR Suivis],mvtst[[#This Row],[QR Suivis]],mvtst[QTE RETOUR])</f>
        <v>0</v>
      </c>
      <c r="K1594" s="35" t="str">
        <f t="shared" si="24"/>
        <v>Usine</v>
      </c>
      <c r="L1594" s="35" t="str">
        <f>_xlfn.XLOOKUP(mvtst[[#This Row],[Sous Traitant]],coordonnee_st[Identification],coordonnee_st[SERVICE],"Non Trouvé")</f>
        <v>Frange</v>
      </c>
      <c r="M1594" s="35" t="str">
        <f>INDEX(_xlfn.TEXTSPLIT(mvtst[[#This Row],[QR Suivis]],"_"),1,2)</f>
        <v>CL00296</v>
      </c>
      <c r="N1594" s="35" t="str">
        <f>INDEX(_xlfn.TEXTSPLIT(mvtst[[#This Row],[QR Suivis]],"_"),1,3)</f>
        <v>CM-FT0108</v>
      </c>
      <c r="O1594" s="35" t="str">
        <f>INDEX(_xlfn.TEXTSPLIT(mvtst[[#This Row],[QR Suivis]],"_"),1,4)</f>
        <v>EPMA0919-B03-02</v>
      </c>
      <c r="P1594" s="35" t="str">
        <f>INDEX(_xlfn.TEXTSPLIT(mvtst[[#This Row],[QR Suivis]],"_"),1,5)</f>
        <v>MARINIERE</v>
      </c>
      <c r="Q1594" s="35" t="str">
        <f>_xlfn.TEXTAFTER(mvtst[[#This Row],[QR Suivis]],"_",5)</f>
        <v>0919</v>
      </c>
      <c r="R1594" s="84" t="str">
        <f>IF(
   COUNTIFS($A$2:A1594,A1594,
             $B$2:B1594,B1594,
             $C$2:C1594,C1594,
             $D$2:D1594,D1594,
             $G$2:G1594,G1594)&gt;1,
   "Doublon",
   "Correcte"
)</f>
        <v>Correcte</v>
      </c>
    </row>
    <row r="1595" spans="1:18" x14ac:dyDescent="0.25">
      <c r="A1595" s="104" t="s">
        <v>1934</v>
      </c>
      <c r="B1595" s="35" t="s">
        <v>595</v>
      </c>
      <c r="C1595" s="36">
        <v>0</v>
      </c>
      <c r="D1595" s="36">
        <v>5</v>
      </c>
      <c r="E1595" s="35" t="s">
        <v>699</v>
      </c>
      <c r="F1595" s="35" t="s">
        <v>634</v>
      </c>
      <c r="G1595" s="37">
        <v>45939.65084490741</v>
      </c>
      <c r="H1595" s="37" t="str">
        <f>INDEX(_xlfn.TEXTSPLIT(mvtst[[#This Row],[QR Suivis]],"_"),1,1)</f>
        <v>OF246544-13</v>
      </c>
      <c r="I1595" s="35" t="str">
        <f>_xlfn.TEXTBEFORE(mvtst[[#This Row],[Num Suivis]],"-",,,1)</f>
        <v>OF246544</v>
      </c>
      <c r="J1595" s="36">
        <f>SUMIF(mvtst[QR Suivis],mvtst[[#This Row],[QR Suivis]],mvtst[QTE SORTIS])-SUMIF(mvtst[QR Suivis],mvtst[[#This Row],[QR Suivis]],mvtst[QTE RETOUR])</f>
        <v>0</v>
      </c>
      <c r="K1595" s="35" t="str">
        <f t="shared" si="24"/>
        <v>Usine</v>
      </c>
      <c r="L1595" s="35" t="str">
        <f>_xlfn.XLOOKUP(mvtst[[#This Row],[Sous Traitant]],coordonnee_st[Identification],coordonnee_st[SERVICE],"Non Trouvé")</f>
        <v>Frange</v>
      </c>
      <c r="M1595" s="35" t="str">
        <f>INDEX(_xlfn.TEXTSPLIT(mvtst[[#This Row],[QR Suivis]],"_"),1,2)</f>
        <v>CL00296</v>
      </c>
      <c r="N1595" s="35" t="str">
        <f>INDEX(_xlfn.TEXTSPLIT(mvtst[[#This Row],[QR Suivis]],"_"),1,3)</f>
        <v>CM-FT0108</v>
      </c>
      <c r="O1595" s="35" t="str">
        <f>INDEX(_xlfn.TEXTSPLIT(mvtst[[#This Row],[QR Suivis]],"_"),1,4)</f>
        <v>EPMA0919-B03-02</v>
      </c>
      <c r="P1595" s="35" t="str">
        <f>INDEX(_xlfn.TEXTSPLIT(mvtst[[#This Row],[QR Suivis]],"_"),1,5)</f>
        <v>MARINIERE</v>
      </c>
      <c r="Q1595" s="35" t="str">
        <f>_xlfn.TEXTAFTER(mvtst[[#This Row],[QR Suivis]],"_",5)</f>
        <v>0919</v>
      </c>
      <c r="R1595" s="84" t="str">
        <f>IF(
   COUNTIFS($A$2:A1595,A1595,
             $B$2:B1595,B1595,
             $C$2:C1595,C1595,
             $D$2:D1595,D1595,
             $G$2:G1595,G1595)&gt;1,
   "Doublon",
   "Correcte"
)</f>
        <v>Correcte</v>
      </c>
    </row>
    <row r="1596" spans="1:18" x14ac:dyDescent="0.25">
      <c r="A1596" s="104" t="s">
        <v>2213</v>
      </c>
      <c r="B1596" s="35" t="s">
        <v>712</v>
      </c>
      <c r="C1596" s="36">
        <v>5</v>
      </c>
      <c r="D1596" s="36">
        <v>0</v>
      </c>
      <c r="E1596" s="35" t="s">
        <v>699</v>
      </c>
      <c r="F1596" s="35" t="s">
        <v>634</v>
      </c>
      <c r="G1596" s="37">
        <v>45940.439560185187</v>
      </c>
      <c r="H1596" s="37" t="str">
        <f>INDEX(_xlfn.TEXTSPLIT(mvtst[[#This Row],[QR Suivis]],"_"),1,1)</f>
        <v>OF249816-63</v>
      </c>
      <c r="I1596" s="35" t="str">
        <f>_xlfn.TEXTBEFORE(mvtst[[#This Row],[Num Suivis]],"-",,,1)</f>
        <v>OF249816</v>
      </c>
      <c r="J1596" s="36">
        <f>SUMIF(mvtst[QR Suivis],mvtst[[#This Row],[QR Suivis]],mvtst[QTE SORTIS])-SUMIF(mvtst[QR Suivis],mvtst[[#This Row],[QR Suivis]],mvtst[QTE RETOUR])</f>
        <v>0</v>
      </c>
      <c r="K1596" s="35" t="str">
        <f t="shared" ref="K1596:K1627" si="25">"Usine"</f>
        <v>Usine</v>
      </c>
      <c r="L1596" s="35" t="str">
        <f>_xlfn.XLOOKUP(mvtst[[#This Row],[Sous Traitant]],coordonnee_st[Identification],coordonnee_st[SERVICE],"Non Trouvé")</f>
        <v>Frange</v>
      </c>
      <c r="M1596" s="35" t="str">
        <f>INDEX(_xlfn.TEXTSPLIT(mvtst[[#This Row],[QR Suivis]],"_"),1,2)</f>
        <v>CL00884</v>
      </c>
      <c r="N1596" s="35" t="str">
        <f>INDEX(_xlfn.TEXTSPLIT(mvtst[[#This Row],[QR Suivis]],"_"),1,3)</f>
        <v>CM-FT0119</v>
      </c>
      <c r="O1596" s="35" t="str">
        <f>INDEX(_xlfn.TEXTSPLIT(mvtst[[#This Row],[QR Suivis]],"_"),1,4)</f>
        <v>SO1020-Q29-11-14</v>
      </c>
      <c r="P1596" s="35" t="str">
        <f>INDEX(_xlfn.TEXTSPLIT(mvtst[[#This Row],[QR Suivis]],"_"),1,5)</f>
        <v>SOUSSE</v>
      </c>
      <c r="Q1596" s="35" t="str">
        <f>_xlfn.TEXTAFTER(mvtst[[#This Row],[QR Suivis]],"_",5)</f>
        <v>1020</v>
      </c>
      <c r="R1596" s="84" t="str">
        <f>IF(
   COUNTIFS($A$2:A1596,A1596,
             $B$2:B1596,B1596,
             $C$2:C1596,C1596,
             $D$2:D1596,D1596,
             $G$2:G1596,G1596)&gt;1,
   "Doublon",
   "Correcte"
)</f>
        <v>Correcte</v>
      </c>
    </row>
    <row r="1597" spans="1:18" x14ac:dyDescent="0.25">
      <c r="A1597" s="104" t="s">
        <v>2214</v>
      </c>
      <c r="B1597" s="35" t="s">
        <v>712</v>
      </c>
      <c r="C1597" s="36">
        <v>5</v>
      </c>
      <c r="D1597" s="36">
        <v>0</v>
      </c>
      <c r="E1597" s="35" t="s">
        <v>699</v>
      </c>
      <c r="F1597" s="35" t="s">
        <v>634</v>
      </c>
      <c r="G1597" s="37">
        <v>45940.439756944441</v>
      </c>
      <c r="H1597" s="37" t="str">
        <f>INDEX(_xlfn.TEXTSPLIT(mvtst[[#This Row],[QR Suivis]],"_"),1,1)</f>
        <v>OF249816-56</v>
      </c>
      <c r="I1597" s="35" t="str">
        <f>_xlfn.TEXTBEFORE(mvtst[[#This Row],[Num Suivis]],"-",,,1)</f>
        <v>OF249816</v>
      </c>
      <c r="J1597" s="36">
        <f>SUMIF(mvtst[QR Suivis],mvtst[[#This Row],[QR Suivis]],mvtst[QTE SORTIS])-SUMIF(mvtst[QR Suivis],mvtst[[#This Row],[QR Suivis]],mvtst[QTE RETOUR])</f>
        <v>0</v>
      </c>
      <c r="K1597" s="35" t="str">
        <f t="shared" si="25"/>
        <v>Usine</v>
      </c>
      <c r="L1597" s="35" t="str">
        <f>_xlfn.XLOOKUP(mvtst[[#This Row],[Sous Traitant]],coordonnee_st[Identification],coordonnee_st[SERVICE],"Non Trouvé")</f>
        <v>Frange</v>
      </c>
      <c r="M1597" s="35" t="str">
        <f>INDEX(_xlfn.TEXTSPLIT(mvtst[[#This Row],[QR Suivis]],"_"),1,2)</f>
        <v>CL00884</v>
      </c>
      <c r="N1597" s="35" t="str">
        <f>INDEX(_xlfn.TEXTSPLIT(mvtst[[#This Row],[QR Suivis]],"_"),1,3)</f>
        <v>CM-FT0119</v>
      </c>
      <c r="O1597" s="35" t="str">
        <f>INDEX(_xlfn.TEXTSPLIT(mvtst[[#This Row],[QR Suivis]],"_"),1,4)</f>
        <v>SO1020-Q29-11-14</v>
      </c>
      <c r="P1597" s="35" t="str">
        <f>INDEX(_xlfn.TEXTSPLIT(mvtst[[#This Row],[QR Suivis]],"_"),1,5)</f>
        <v>SOUSSE</v>
      </c>
      <c r="Q1597" s="35" t="str">
        <f>_xlfn.TEXTAFTER(mvtst[[#This Row],[QR Suivis]],"_",5)</f>
        <v>1020</v>
      </c>
      <c r="R1597" s="84" t="str">
        <f>IF(
   COUNTIFS($A$2:A1597,A1597,
             $B$2:B1597,B1597,
             $C$2:C1597,C1597,
             $D$2:D1597,D1597,
             $G$2:G1597,G1597)&gt;1,
   "Doublon",
   "Correcte"
)</f>
        <v>Correcte</v>
      </c>
    </row>
    <row r="1598" spans="1:18" x14ac:dyDescent="0.25">
      <c r="A1598" s="104" t="s">
        <v>2215</v>
      </c>
      <c r="B1598" s="35" t="s">
        <v>712</v>
      </c>
      <c r="C1598" s="36">
        <v>5</v>
      </c>
      <c r="D1598" s="36">
        <v>0</v>
      </c>
      <c r="E1598" s="35" t="s">
        <v>699</v>
      </c>
      <c r="F1598" s="35" t="s">
        <v>634</v>
      </c>
      <c r="G1598" s="37">
        <v>45940.440358796295</v>
      </c>
      <c r="H1598" s="37" t="str">
        <f>INDEX(_xlfn.TEXTSPLIT(mvtst[[#This Row],[QR Suivis]],"_"),1,1)</f>
        <v>OF249816-58</v>
      </c>
      <c r="I1598" s="35" t="str">
        <f>_xlfn.TEXTBEFORE(mvtst[[#This Row],[Num Suivis]],"-",,,1)</f>
        <v>OF249816</v>
      </c>
      <c r="J1598" s="36">
        <f>SUMIF(mvtst[QR Suivis],mvtst[[#This Row],[QR Suivis]],mvtst[QTE SORTIS])-SUMIF(mvtst[QR Suivis],mvtst[[#This Row],[QR Suivis]],mvtst[QTE RETOUR])</f>
        <v>0</v>
      </c>
      <c r="K1598" s="35" t="str">
        <f t="shared" si="25"/>
        <v>Usine</v>
      </c>
      <c r="L1598" s="35" t="str">
        <f>_xlfn.XLOOKUP(mvtst[[#This Row],[Sous Traitant]],coordonnee_st[Identification],coordonnee_st[SERVICE],"Non Trouvé")</f>
        <v>Frange</v>
      </c>
      <c r="M1598" s="35" t="str">
        <f>INDEX(_xlfn.TEXTSPLIT(mvtst[[#This Row],[QR Suivis]],"_"),1,2)</f>
        <v>CL00884</v>
      </c>
      <c r="N1598" s="35" t="str">
        <f>INDEX(_xlfn.TEXTSPLIT(mvtst[[#This Row],[QR Suivis]],"_"),1,3)</f>
        <v>CM-FT0119</v>
      </c>
      <c r="O1598" s="35" t="str">
        <f>INDEX(_xlfn.TEXTSPLIT(mvtst[[#This Row],[QR Suivis]],"_"),1,4)</f>
        <v>SO1020-Q29-11-14</v>
      </c>
      <c r="P1598" s="35" t="str">
        <f>INDEX(_xlfn.TEXTSPLIT(mvtst[[#This Row],[QR Suivis]],"_"),1,5)</f>
        <v>SOUSSE</v>
      </c>
      <c r="Q1598" s="35" t="str">
        <f>_xlfn.TEXTAFTER(mvtst[[#This Row],[QR Suivis]],"_",5)</f>
        <v>1020</v>
      </c>
      <c r="R1598" s="84" t="str">
        <f>IF(
   COUNTIFS($A$2:A1598,A1598,
             $B$2:B1598,B1598,
             $C$2:C1598,C1598,
             $D$2:D1598,D1598,
             $G$2:G1598,G1598)&gt;1,
   "Doublon",
   "Correcte"
)</f>
        <v>Correcte</v>
      </c>
    </row>
    <row r="1599" spans="1:18" x14ac:dyDescent="0.25">
      <c r="A1599" s="104" t="s">
        <v>2216</v>
      </c>
      <c r="B1599" s="35" t="s">
        <v>712</v>
      </c>
      <c r="C1599" s="36">
        <v>5</v>
      </c>
      <c r="D1599" s="36">
        <v>0</v>
      </c>
      <c r="E1599" s="35" t="s">
        <v>699</v>
      </c>
      <c r="F1599" s="35" t="s">
        <v>634</v>
      </c>
      <c r="G1599" s="37">
        <v>45940.440474537034</v>
      </c>
      <c r="H1599" s="37" t="str">
        <f>INDEX(_xlfn.TEXTSPLIT(mvtst[[#This Row],[QR Suivis]],"_"),1,1)</f>
        <v>OF249816-62</v>
      </c>
      <c r="I1599" s="35" t="str">
        <f>_xlfn.TEXTBEFORE(mvtst[[#This Row],[Num Suivis]],"-",,,1)</f>
        <v>OF249816</v>
      </c>
      <c r="J1599" s="36">
        <f>SUMIF(mvtst[QR Suivis],mvtst[[#This Row],[QR Suivis]],mvtst[QTE SORTIS])-SUMIF(mvtst[QR Suivis],mvtst[[#This Row],[QR Suivis]],mvtst[QTE RETOUR])</f>
        <v>0</v>
      </c>
      <c r="K1599" s="35" t="str">
        <f t="shared" si="25"/>
        <v>Usine</v>
      </c>
      <c r="L1599" s="35" t="str">
        <f>_xlfn.XLOOKUP(mvtst[[#This Row],[Sous Traitant]],coordonnee_st[Identification],coordonnee_st[SERVICE],"Non Trouvé")</f>
        <v>Frange</v>
      </c>
      <c r="M1599" s="35" t="str">
        <f>INDEX(_xlfn.TEXTSPLIT(mvtst[[#This Row],[QR Suivis]],"_"),1,2)</f>
        <v>CL00884</v>
      </c>
      <c r="N1599" s="35" t="str">
        <f>INDEX(_xlfn.TEXTSPLIT(mvtst[[#This Row],[QR Suivis]],"_"),1,3)</f>
        <v>CM-FT0119</v>
      </c>
      <c r="O1599" s="35" t="str">
        <f>INDEX(_xlfn.TEXTSPLIT(mvtst[[#This Row],[QR Suivis]],"_"),1,4)</f>
        <v>SO1020-Q29-11-14</v>
      </c>
      <c r="P1599" s="35" t="str">
        <f>INDEX(_xlfn.TEXTSPLIT(mvtst[[#This Row],[QR Suivis]],"_"),1,5)</f>
        <v>SOUSSE</v>
      </c>
      <c r="Q1599" s="35" t="str">
        <f>_xlfn.TEXTAFTER(mvtst[[#This Row],[QR Suivis]],"_",5)</f>
        <v>1020</v>
      </c>
      <c r="R1599" s="84" t="str">
        <f>IF(
   COUNTIFS($A$2:A1599,A1599,
             $B$2:B1599,B1599,
             $C$2:C1599,C1599,
             $D$2:D1599,D1599,
             $G$2:G1599,G1599)&gt;1,
   "Doublon",
   "Correcte"
)</f>
        <v>Correcte</v>
      </c>
    </row>
    <row r="1600" spans="1:18" x14ac:dyDescent="0.25">
      <c r="A1600" s="104" t="s">
        <v>2217</v>
      </c>
      <c r="B1600" s="35" t="s">
        <v>712</v>
      </c>
      <c r="C1600" s="36">
        <v>5</v>
      </c>
      <c r="D1600" s="36">
        <v>0</v>
      </c>
      <c r="E1600" s="35" t="s">
        <v>699</v>
      </c>
      <c r="F1600" s="35" t="s">
        <v>634</v>
      </c>
      <c r="G1600" s="37">
        <v>45940.440729166665</v>
      </c>
      <c r="H1600" s="37" t="str">
        <f>INDEX(_xlfn.TEXTSPLIT(mvtst[[#This Row],[QR Suivis]],"_"),1,1)</f>
        <v>OF249816-46</v>
      </c>
      <c r="I1600" s="35" t="str">
        <f>_xlfn.TEXTBEFORE(mvtst[[#This Row],[Num Suivis]],"-",,,1)</f>
        <v>OF249816</v>
      </c>
      <c r="J1600" s="36">
        <f>SUMIF(mvtst[QR Suivis],mvtst[[#This Row],[QR Suivis]],mvtst[QTE SORTIS])-SUMIF(mvtst[QR Suivis],mvtst[[#This Row],[QR Suivis]],mvtst[QTE RETOUR])</f>
        <v>0</v>
      </c>
      <c r="K1600" s="35" t="str">
        <f t="shared" si="25"/>
        <v>Usine</v>
      </c>
      <c r="L1600" s="35" t="str">
        <f>_xlfn.XLOOKUP(mvtst[[#This Row],[Sous Traitant]],coordonnee_st[Identification],coordonnee_st[SERVICE],"Non Trouvé")</f>
        <v>Frange</v>
      </c>
      <c r="M1600" s="35" t="str">
        <f>INDEX(_xlfn.TEXTSPLIT(mvtst[[#This Row],[QR Suivis]],"_"),1,2)</f>
        <v>CL00884</v>
      </c>
      <c r="N1600" s="35" t="str">
        <f>INDEX(_xlfn.TEXTSPLIT(mvtst[[#This Row],[QR Suivis]],"_"),1,3)</f>
        <v>CM-FT0119</v>
      </c>
      <c r="O1600" s="35" t="str">
        <f>INDEX(_xlfn.TEXTSPLIT(mvtst[[#This Row],[QR Suivis]],"_"),1,4)</f>
        <v>SO1020-Q29-11-14</v>
      </c>
      <c r="P1600" s="35" t="str">
        <f>INDEX(_xlfn.TEXTSPLIT(mvtst[[#This Row],[QR Suivis]],"_"),1,5)</f>
        <v>SOUSSE</v>
      </c>
      <c r="Q1600" s="35" t="str">
        <f>_xlfn.TEXTAFTER(mvtst[[#This Row],[QR Suivis]],"_",5)</f>
        <v>1020</v>
      </c>
      <c r="R1600" s="84" t="str">
        <f>IF(
   COUNTIFS($A$2:A1600,A1600,
             $B$2:B1600,B1600,
             $C$2:C1600,C1600,
             $D$2:D1600,D1600,
             $G$2:G1600,G1600)&gt;1,
   "Doublon",
   "Correcte"
)</f>
        <v>Correcte</v>
      </c>
    </row>
    <row r="1601" spans="1:18" x14ac:dyDescent="0.25">
      <c r="A1601" s="104" t="s">
        <v>2218</v>
      </c>
      <c r="B1601" s="35" t="s">
        <v>712</v>
      </c>
      <c r="C1601" s="36">
        <v>5</v>
      </c>
      <c r="D1601" s="36">
        <v>0</v>
      </c>
      <c r="E1601" s="35" t="s">
        <v>699</v>
      </c>
      <c r="F1601" s="35" t="s">
        <v>634</v>
      </c>
      <c r="G1601" s="37">
        <v>45940.440983796296</v>
      </c>
      <c r="H1601" s="37" t="str">
        <f>INDEX(_xlfn.TEXTSPLIT(mvtst[[#This Row],[QR Suivis]],"_"),1,1)</f>
        <v>OF249816-50</v>
      </c>
      <c r="I1601" s="35" t="str">
        <f>_xlfn.TEXTBEFORE(mvtst[[#This Row],[Num Suivis]],"-",,,1)</f>
        <v>OF249816</v>
      </c>
      <c r="J1601" s="36">
        <f>SUMIF(mvtst[QR Suivis],mvtst[[#This Row],[QR Suivis]],mvtst[QTE SORTIS])-SUMIF(mvtst[QR Suivis],mvtst[[#This Row],[QR Suivis]],mvtst[QTE RETOUR])</f>
        <v>0</v>
      </c>
      <c r="K1601" s="35" t="str">
        <f t="shared" si="25"/>
        <v>Usine</v>
      </c>
      <c r="L1601" s="35" t="str">
        <f>_xlfn.XLOOKUP(mvtst[[#This Row],[Sous Traitant]],coordonnee_st[Identification],coordonnee_st[SERVICE],"Non Trouvé")</f>
        <v>Frange</v>
      </c>
      <c r="M1601" s="35" t="str">
        <f>INDEX(_xlfn.TEXTSPLIT(mvtst[[#This Row],[QR Suivis]],"_"),1,2)</f>
        <v>CL00884</v>
      </c>
      <c r="N1601" s="35" t="str">
        <f>INDEX(_xlfn.TEXTSPLIT(mvtst[[#This Row],[QR Suivis]],"_"),1,3)</f>
        <v>CM-FT0119</v>
      </c>
      <c r="O1601" s="35" t="str">
        <f>INDEX(_xlfn.TEXTSPLIT(mvtst[[#This Row],[QR Suivis]],"_"),1,4)</f>
        <v>SO1020-Q29-11-14</v>
      </c>
      <c r="P1601" s="35" t="str">
        <f>INDEX(_xlfn.TEXTSPLIT(mvtst[[#This Row],[QR Suivis]],"_"),1,5)</f>
        <v>SOUSSE</v>
      </c>
      <c r="Q1601" s="35" t="str">
        <f>_xlfn.TEXTAFTER(mvtst[[#This Row],[QR Suivis]],"_",5)</f>
        <v>1020</v>
      </c>
      <c r="R1601" s="84" t="str">
        <f>IF(
   COUNTIFS($A$2:A1601,A1601,
             $B$2:B1601,B1601,
             $C$2:C1601,C1601,
             $D$2:D1601,D1601,
             $G$2:G1601,G1601)&gt;1,
   "Doublon",
   "Correcte"
)</f>
        <v>Correcte</v>
      </c>
    </row>
    <row r="1602" spans="1:18" x14ac:dyDescent="0.25">
      <c r="A1602" s="104" t="s">
        <v>2219</v>
      </c>
      <c r="B1602" s="35" t="s">
        <v>712</v>
      </c>
      <c r="C1602" s="36">
        <v>5</v>
      </c>
      <c r="D1602" s="36">
        <v>0</v>
      </c>
      <c r="E1602" s="35" t="s">
        <v>699</v>
      </c>
      <c r="F1602" s="35" t="s">
        <v>634</v>
      </c>
      <c r="G1602" s="37">
        <v>45940.441180555557</v>
      </c>
      <c r="H1602" s="37" t="str">
        <f>INDEX(_xlfn.TEXTSPLIT(mvtst[[#This Row],[QR Suivis]],"_"),1,1)</f>
        <v>OF249816-51</v>
      </c>
      <c r="I1602" s="35" t="str">
        <f>_xlfn.TEXTBEFORE(mvtst[[#This Row],[Num Suivis]],"-",,,1)</f>
        <v>OF249816</v>
      </c>
      <c r="J1602" s="36">
        <f>SUMIF(mvtst[QR Suivis],mvtst[[#This Row],[QR Suivis]],mvtst[QTE SORTIS])-SUMIF(mvtst[QR Suivis],mvtst[[#This Row],[QR Suivis]],mvtst[QTE RETOUR])</f>
        <v>0</v>
      </c>
      <c r="K1602" s="35" t="str">
        <f t="shared" si="25"/>
        <v>Usine</v>
      </c>
      <c r="L1602" s="35" t="str">
        <f>_xlfn.XLOOKUP(mvtst[[#This Row],[Sous Traitant]],coordonnee_st[Identification],coordonnee_st[SERVICE],"Non Trouvé")</f>
        <v>Frange</v>
      </c>
      <c r="M1602" s="35" t="str">
        <f>INDEX(_xlfn.TEXTSPLIT(mvtst[[#This Row],[QR Suivis]],"_"),1,2)</f>
        <v>CL00884</v>
      </c>
      <c r="N1602" s="35" t="str">
        <f>INDEX(_xlfn.TEXTSPLIT(mvtst[[#This Row],[QR Suivis]],"_"),1,3)</f>
        <v>CM-FT0119</v>
      </c>
      <c r="O1602" s="35" t="str">
        <f>INDEX(_xlfn.TEXTSPLIT(mvtst[[#This Row],[QR Suivis]],"_"),1,4)</f>
        <v>SO1020-Q29-11-14</v>
      </c>
      <c r="P1602" s="35" t="str">
        <f>INDEX(_xlfn.TEXTSPLIT(mvtst[[#This Row],[QR Suivis]],"_"),1,5)</f>
        <v>SOUSSE</v>
      </c>
      <c r="Q1602" s="35" t="str">
        <f>_xlfn.TEXTAFTER(mvtst[[#This Row],[QR Suivis]],"_",5)</f>
        <v>1020</v>
      </c>
      <c r="R1602" s="84" t="str">
        <f>IF(
   COUNTIFS($A$2:A1602,A1602,
             $B$2:B1602,B1602,
             $C$2:C1602,C1602,
             $D$2:D1602,D1602,
             $G$2:G1602,G1602)&gt;1,
   "Doublon",
   "Correcte"
)</f>
        <v>Correcte</v>
      </c>
    </row>
    <row r="1603" spans="1:18" x14ac:dyDescent="0.25">
      <c r="A1603" s="104" t="s">
        <v>2220</v>
      </c>
      <c r="B1603" s="35" t="s">
        <v>712</v>
      </c>
      <c r="C1603" s="36">
        <v>5</v>
      </c>
      <c r="D1603" s="36">
        <v>0</v>
      </c>
      <c r="E1603" s="35" t="s">
        <v>699</v>
      </c>
      <c r="F1603" s="35" t="s">
        <v>634</v>
      </c>
      <c r="G1603" s="37">
        <v>45940.441863425927</v>
      </c>
      <c r="H1603" s="37" t="str">
        <f>INDEX(_xlfn.TEXTSPLIT(mvtst[[#This Row],[QR Suivis]],"_"),1,1)</f>
        <v>OF249816-41</v>
      </c>
      <c r="I1603" s="35" t="str">
        <f>_xlfn.TEXTBEFORE(mvtst[[#This Row],[Num Suivis]],"-",,,1)</f>
        <v>OF249816</v>
      </c>
      <c r="J1603" s="36">
        <f>SUMIF(mvtst[QR Suivis],mvtst[[#This Row],[QR Suivis]],mvtst[QTE SORTIS])-SUMIF(mvtst[QR Suivis],mvtst[[#This Row],[QR Suivis]],mvtst[QTE RETOUR])</f>
        <v>0</v>
      </c>
      <c r="K1603" s="35" t="str">
        <f t="shared" si="25"/>
        <v>Usine</v>
      </c>
      <c r="L1603" s="35" t="str">
        <f>_xlfn.XLOOKUP(mvtst[[#This Row],[Sous Traitant]],coordonnee_st[Identification],coordonnee_st[SERVICE],"Non Trouvé")</f>
        <v>Frange</v>
      </c>
      <c r="M1603" s="35" t="str">
        <f>INDEX(_xlfn.TEXTSPLIT(mvtst[[#This Row],[QR Suivis]],"_"),1,2)</f>
        <v>CL00884</v>
      </c>
      <c r="N1603" s="35" t="str">
        <f>INDEX(_xlfn.TEXTSPLIT(mvtst[[#This Row],[QR Suivis]],"_"),1,3)</f>
        <v>CM-FT0119</v>
      </c>
      <c r="O1603" s="35" t="str">
        <f>INDEX(_xlfn.TEXTSPLIT(mvtst[[#This Row],[QR Suivis]],"_"),1,4)</f>
        <v>SO1020-Q29-11-14</v>
      </c>
      <c r="P1603" s="35" t="str">
        <f>INDEX(_xlfn.TEXTSPLIT(mvtst[[#This Row],[QR Suivis]],"_"),1,5)</f>
        <v>SOUSSE</v>
      </c>
      <c r="Q1603" s="35" t="str">
        <f>_xlfn.TEXTAFTER(mvtst[[#This Row],[QR Suivis]],"_",5)</f>
        <v>1020</v>
      </c>
      <c r="R1603" s="84" t="str">
        <f>IF(
   COUNTIFS($A$2:A1603,A1603,
             $B$2:B1603,B1603,
             $C$2:C1603,C1603,
             $D$2:D1603,D1603,
             $G$2:G1603,G1603)&gt;1,
   "Doublon",
   "Correcte"
)</f>
        <v>Correcte</v>
      </c>
    </row>
    <row r="1604" spans="1:18" x14ac:dyDescent="0.25">
      <c r="A1604" s="104" t="s">
        <v>2221</v>
      </c>
      <c r="B1604" s="35" t="s">
        <v>712</v>
      </c>
      <c r="C1604" s="36">
        <v>5</v>
      </c>
      <c r="D1604" s="36">
        <v>0</v>
      </c>
      <c r="E1604" s="35" t="s">
        <v>699</v>
      </c>
      <c r="F1604" s="35" t="s">
        <v>634</v>
      </c>
      <c r="G1604" s="37">
        <v>45940.442187499997</v>
      </c>
      <c r="H1604" s="37" t="str">
        <f>INDEX(_xlfn.TEXTSPLIT(mvtst[[#This Row],[QR Suivis]],"_"),1,1)</f>
        <v>OF249816-54</v>
      </c>
      <c r="I1604" s="35" t="str">
        <f>_xlfn.TEXTBEFORE(mvtst[[#This Row],[Num Suivis]],"-",,,1)</f>
        <v>OF249816</v>
      </c>
      <c r="J1604" s="36">
        <f>SUMIF(mvtst[QR Suivis],mvtst[[#This Row],[QR Suivis]],mvtst[QTE SORTIS])-SUMIF(mvtst[QR Suivis],mvtst[[#This Row],[QR Suivis]],mvtst[QTE RETOUR])</f>
        <v>0</v>
      </c>
      <c r="K1604" s="35" t="str">
        <f t="shared" si="25"/>
        <v>Usine</v>
      </c>
      <c r="L1604" s="35" t="str">
        <f>_xlfn.XLOOKUP(mvtst[[#This Row],[Sous Traitant]],coordonnee_st[Identification],coordonnee_st[SERVICE],"Non Trouvé")</f>
        <v>Frange</v>
      </c>
      <c r="M1604" s="35" t="str">
        <f>INDEX(_xlfn.TEXTSPLIT(mvtst[[#This Row],[QR Suivis]],"_"),1,2)</f>
        <v>CL00884</v>
      </c>
      <c r="N1604" s="35" t="str">
        <f>INDEX(_xlfn.TEXTSPLIT(mvtst[[#This Row],[QR Suivis]],"_"),1,3)</f>
        <v>CM-FT0119</v>
      </c>
      <c r="O1604" s="35" t="str">
        <f>INDEX(_xlfn.TEXTSPLIT(mvtst[[#This Row],[QR Suivis]],"_"),1,4)</f>
        <v>SO1020-Q29-11-14</v>
      </c>
      <c r="P1604" s="35" t="str">
        <f>INDEX(_xlfn.TEXTSPLIT(mvtst[[#This Row],[QR Suivis]],"_"),1,5)</f>
        <v>SOUSSE</v>
      </c>
      <c r="Q1604" s="35" t="str">
        <f>_xlfn.TEXTAFTER(mvtst[[#This Row],[QR Suivis]],"_",5)</f>
        <v>1020</v>
      </c>
      <c r="R1604" s="84" t="str">
        <f>IF(
   COUNTIFS($A$2:A1604,A1604,
             $B$2:B1604,B1604,
             $C$2:C1604,C1604,
             $D$2:D1604,D1604,
             $G$2:G1604,G1604)&gt;1,
   "Doublon",
   "Correcte"
)</f>
        <v>Correcte</v>
      </c>
    </row>
    <row r="1605" spans="1:18" x14ac:dyDescent="0.25">
      <c r="A1605" s="104" t="s">
        <v>2222</v>
      </c>
      <c r="B1605" s="35" t="s">
        <v>712</v>
      </c>
      <c r="C1605" s="36">
        <v>5</v>
      </c>
      <c r="D1605" s="36">
        <v>0</v>
      </c>
      <c r="E1605" s="35" t="s">
        <v>699</v>
      </c>
      <c r="F1605" s="35" t="s">
        <v>634</v>
      </c>
      <c r="G1605" s="37">
        <v>45940.442569444444</v>
      </c>
      <c r="H1605" s="37" t="str">
        <f>INDEX(_xlfn.TEXTSPLIT(mvtst[[#This Row],[QR Suivis]],"_"),1,1)</f>
        <v>OF249816-53</v>
      </c>
      <c r="I1605" s="35" t="str">
        <f>_xlfn.TEXTBEFORE(mvtst[[#This Row],[Num Suivis]],"-",,,1)</f>
        <v>OF249816</v>
      </c>
      <c r="J1605" s="36">
        <f>SUMIF(mvtst[QR Suivis],mvtst[[#This Row],[QR Suivis]],mvtst[QTE SORTIS])-SUMIF(mvtst[QR Suivis],mvtst[[#This Row],[QR Suivis]],mvtst[QTE RETOUR])</f>
        <v>0</v>
      </c>
      <c r="K1605" s="35" t="str">
        <f t="shared" si="25"/>
        <v>Usine</v>
      </c>
      <c r="L1605" s="35" t="str">
        <f>_xlfn.XLOOKUP(mvtst[[#This Row],[Sous Traitant]],coordonnee_st[Identification],coordonnee_st[SERVICE],"Non Trouvé")</f>
        <v>Frange</v>
      </c>
      <c r="M1605" s="35" t="str">
        <f>INDEX(_xlfn.TEXTSPLIT(mvtst[[#This Row],[QR Suivis]],"_"),1,2)</f>
        <v>CL00884</v>
      </c>
      <c r="N1605" s="35" t="str">
        <f>INDEX(_xlfn.TEXTSPLIT(mvtst[[#This Row],[QR Suivis]],"_"),1,3)</f>
        <v>CM-FT0119</v>
      </c>
      <c r="O1605" s="35" t="str">
        <f>INDEX(_xlfn.TEXTSPLIT(mvtst[[#This Row],[QR Suivis]],"_"),1,4)</f>
        <v>SO1020-Q29-11-14</v>
      </c>
      <c r="P1605" s="35" t="str">
        <f>INDEX(_xlfn.TEXTSPLIT(mvtst[[#This Row],[QR Suivis]],"_"),1,5)</f>
        <v>SOUSSE</v>
      </c>
      <c r="Q1605" s="35" t="str">
        <f>_xlfn.TEXTAFTER(mvtst[[#This Row],[QR Suivis]],"_",5)</f>
        <v>1020</v>
      </c>
      <c r="R1605" s="84" t="str">
        <f>IF(
   COUNTIFS($A$2:A1605,A1605,
             $B$2:B1605,B1605,
             $C$2:C1605,C1605,
             $D$2:D1605,D1605,
             $G$2:G1605,G1605)&gt;1,
   "Doublon",
   "Correcte"
)</f>
        <v>Correcte</v>
      </c>
    </row>
    <row r="1606" spans="1:18" x14ac:dyDescent="0.25">
      <c r="A1606" s="104" t="s">
        <v>2223</v>
      </c>
      <c r="B1606" s="35" t="s">
        <v>712</v>
      </c>
      <c r="C1606" s="36">
        <v>5</v>
      </c>
      <c r="D1606" s="36">
        <v>0</v>
      </c>
      <c r="E1606" s="35" t="s">
        <v>699</v>
      </c>
      <c r="F1606" s="35" t="s">
        <v>634</v>
      </c>
      <c r="G1606" s="37">
        <v>45940.442824074074</v>
      </c>
      <c r="H1606" s="37" t="str">
        <f>INDEX(_xlfn.TEXTSPLIT(mvtst[[#This Row],[QR Suivis]],"_"),1,1)</f>
        <v>OF249816-55</v>
      </c>
      <c r="I1606" s="35" t="str">
        <f>_xlfn.TEXTBEFORE(mvtst[[#This Row],[Num Suivis]],"-",,,1)</f>
        <v>OF249816</v>
      </c>
      <c r="J1606" s="36">
        <f>SUMIF(mvtst[QR Suivis],mvtst[[#This Row],[QR Suivis]],mvtst[QTE SORTIS])-SUMIF(mvtst[QR Suivis],mvtst[[#This Row],[QR Suivis]],mvtst[QTE RETOUR])</f>
        <v>0</v>
      </c>
      <c r="K1606" s="35" t="str">
        <f t="shared" si="25"/>
        <v>Usine</v>
      </c>
      <c r="L1606" s="35" t="str">
        <f>_xlfn.XLOOKUP(mvtst[[#This Row],[Sous Traitant]],coordonnee_st[Identification],coordonnee_st[SERVICE],"Non Trouvé")</f>
        <v>Frange</v>
      </c>
      <c r="M1606" s="35" t="str">
        <f>INDEX(_xlfn.TEXTSPLIT(mvtst[[#This Row],[QR Suivis]],"_"),1,2)</f>
        <v>CL00884</v>
      </c>
      <c r="N1606" s="35" t="str">
        <f>INDEX(_xlfn.TEXTSPLIT(mvtst[[#This Row],[QR Suivis]],"_"),1,3)</f>
        <v>CM-FT0119</v>
      </c>
      <c r="O1606" s="35" t="str">
        <f>INDEX(_xlfn.TEXTSPLIT(mvtst[[#This Row],[QR Suivis]],"_"),1,4)</f>
        <v>SO1020-Q29-11-14</v>
      </c>
      <c r="P1606" s="35" t="str">
        <f>INDEX(_xlfn.TEXTSPLIT(mvtst[[#This Row],[QR Suivis]],"_"),1,5)</f>
        <v>SOUSSE</v>
      </c>
      <c r="Q1606" s="35" t="str">
        <f>_xlfn.TEXTAFTER(mvtst[[#This Row],[QR Suivis]],"_",5)</f>
        <v>1020</v>
      </c>
      <c r="R1606" s="84" t="str">
        <f>IF(
   COUNTIFS($A$2:A1606,A1606,
             $B$2:B1606,B1606,
             $C$2:C1606,C1606,
             $D$2:D1606,D1606,
             $G$2:G1606,G1606)&gt;1,
   "Doublon",
   "Correcte"
)</f>
        <v>Correcte</v>
      </c>
    </row>
    <row r="1607" spans="1:18" x14ac:dyDescent="0.25">
      <c r="A1607" s="104" t="s">
        <v>2224</v>
      </c>
      <c r="B1607" s="35" t="s">
        <v>712</v>
      </c>
      <c r="C1607" s="36">
        <v>5</v>
      </c>
      <c r="D1607" s="36">
        <v>0</v>
      </c>
      <c r="E1607" s="35" t="s">
        <v>699</v>
      </c>
      <c r="F1607" s="35" t="s">
        <v>634</v>
      </c>
      <c r="G1607" s="37">
        <v>45940.443090277775</v>
      </c>
      <c r="H1607" s="37" t="str">
        <f>INDEX(_xlfn.TEXTSPLIT(mvtst[[#This Row],[QR Suivis]],"_"),1,1)</f>
        <v>OF249816-64</v>
      </c>
      <c r="I1607" s="35" t="str">
        <f>_xlfn.TEXTBEFORE(mvtst[[#This Row],[Num Suivis]],"-",,,1)</f>
        <v>OF249816</v>
      </c>
      <c r="J1607" s="36">
        <f>SUMIF(mvtst[QR Suivis],mvtst[[#This Row],[QR Suivis]],mvtst[QTE SORTIS])-SUMIF(mvtst[QR Suivis],mvtst[[#This Row],[QR Suivis]],mvtst[QTE RETOUR])</f>
        <v>0</v>
      </c>
      <c r="K1607" s="35" t="str">
        <f t="shared" si="25"/>
        <v>Usine</v>
      </c>
      <c r="L1607" s="35" t="str">
        <f>_xlfn.XLOOKUP(mvtst[[#This Row],[Sous Traitant]],coordonnee_st[Identification],coordonnee_st[SERVICE],"Non Trouvé")</f>
        <v>Frange</v>
      </c>
      <c r="M1607" s="35" t="str">
        <f>INDEX(_xlfn.TEXTSPLIT(mvtst[[#This Row],[QR Suivis]],"_"),1,2)</f>
        <v>CL00884</v>
      </c>
      <c r="N1607" s="35" t="str">
        <f>INDEX(_xlfn.TEXTSPLIT(mvtst[[#This Row],[QR Suivis]],"_"),1,3)</f>
        <v>CM-FT0119</v>
      </c>
      <c r="O1607" s="35" t="str">
        <f>INDEX(_xlfn.TEXTSPLIT(mvtst[[#This Row],[QR Suivis]],"_"),1,4)</f>
        <v>SO1020-Q29-11-14</v>
      </c>
      <c r="P1607" s="35" t="str">
        <f>INDEX(_xlfn.TEXTSPLIT(mvtst[[#This Row],[QR Suivis]],"_"),1,5)</f>
        <v>SOUSSE</v>
      </c>
      <c r="Q1607" s="35" t="str">
        <f>_xlfn.TEXTAFTER(mvtst[[#This Row],[QR Suivis]],"_",5)</f>
        <v>1020</v>
      </c>
      <c r="R1607" s="84" t="str">
        <f>IF(
   COUNTIFS($A$2:A1607,A1607,
             $B$2:B1607,B1607,
             $C$2:C1607,C1607,
             $D$2:D1607,D1607,
             $G$2:G1607,G1607)&gt;1,
   "Doublon",
   "Correcte"
)</f>
        <v>Correcte</v>
      </c>
    </row>
    <row r="1608" spans="1:18" x14ac:dyDescent="0.25">
      <c r="A1608" s="104" t="s">
        <v>2225</v>
      </c>
      <c r="B1608" s="35" t="s">
        <v>712</v>
      </c>
      <c r="C1608" s="36">
        <v>5</v>
      </c>
      <c r="D1608" s="36">
        <v>0</v>
      </c>
      <c r="E1608" s="35" t="s">
        <v>699</v>
      </c>
      <c r="F1608" s="35" t="s">
        <v>634</v>
      </c>
      <c r="G1608" s="37">
        <v>45940.443298611113</v>
      </c>
      <c r="H1608" s="37" t="str">
        <f>INDEX(_xlfn.TEXTSPLIT(mvtst[[#This Row],[QR Suivis]],"_"),1,1)</f>
        <v>OF249816-43</v>
      </c>
      <c r="I1608" s="35" t="str">
        <f>_xlfn.TEXTBEFORE(mvtst[[#This Row],[Num Suivis]],"-",,,1)</f>
        <v>OF249816</v>
      </c>
      <c r="J1608" s="36">
        <f>SUMIF(mvtst[QR Suivis],mvtst[[#This Row],[QR Suivis]],mvtst[QTE SORTIS])-SUMIF(mvtst[QR Suivis],mvtst[[#This Row],[QR Suivis]],mvtst[QTE RETOUR])</f>
        <v>0</v>
      </c>
      <c r="K1608" s="35" t="str">
        <f t="shared" si="25"/>
        <v>Usine</v>
      </c>
      <c r="L1608" s="35" t="str">
        <f>_xlfn.XLOOKUP(mvtst[[#This Row],[Sous Traitant]],coordonnee_st[Identification],coordonnee_st[SERVICE],"Non Trouvé")</f>
        <v>Frange</v>
      </c>
      <c r="M1608" s="35" t="str">
        <f>INDEX(_xlfn.TEXTSPLIT(mvtst[[#This Row],[QR Suivis]],"_"),1,2)</f>
        <v>CL00884</v>
      </c>
      <c r="N1608" s="35" t="str">
        <f>INDEX(_xlfn.TEXTSPLIT(mvtst[[#This Row],[QR Suivis]],"_"),1,3)</f>
        <v>CM-FT0119</v>
      </c>
      <c r="O1608" s="35" t="str">
        <f>INDEX(_xlfn.TEXTSPLIT(mvtst[[#This Row],[QR Suivis]],"_"),1,4)</f>
        <v>SO1020-Q29-11-14</v>
      </c>
      <c r="P1608" s="35" t="str">
        <f>INDEX(_xlfn.TEXTSPLIT(mvtst[[#This Row],[QR Suivis]],"_"),1,5)</f>
        <v>SOUSSE</v>
      </c>
      <c r="Q1608" s="35" t="str">
        <f>_xlfn.TEXTAFTER(mvtst[[#This Row],[QR Suivis]],"_",5)</f>
        <v>1020</v>
      </c>
      <c r="R1608" s="84" t="str">
        <f>IF(
   COUNTIFS($A$2:A1608,A1608,
             $B$2:B1608,B1608,
             $C$2:C1608,C1608,
             $D$2:D1608,D1608,
             $G$2:G1608,G1608)&gt;1,
   "Doublon",
   "Correcte"
)</f>
        <v>Correcte</v>
      </c>
    </row>
    <row r="1609" spans="1:18" x14ac:dyDescent="0.25">
      <c r="A1609" s="104" t="s">
        <v>2226</v>
      </c>
      <c r="B1609" s="35" t="s">
        <v>712</v>
      </c>
      <c r="C1609" s="36">
        <v>5</v>
      </c>
      <c r="D1609" s="36">
        <v>0</v>
      </c>
      <c r="E1609" s="35" t="s">
        <v>699</v>
      </c>
      <c r="F1609" s="35" t="s">
        <v>634</v>
      </c>
      <c r="G1609" s="37">
        <v>45940.443576388891</v>
      </c>
      <c r="H1609" s="37" t="str">
        <f>INDEX(_xlfn.TEXTSPLIT(mvtst[[#This Row],[QR Suivis]],"_"),1,1)</f>
        <v>OF249816-49</v>
      </c>
      <c r="I1609" s="35" t="str">
        <f>_xlfn.TEXTBEFORE(mvtst[[#This Row],[Num Suivis]],"-",,,1)</f>
        <v>OF249816</v>
      </c>
      <c r="J1609" s="36">
        <f>SUMIF(mvtst[QR Suivis],mvtst[[#This Row],[QR Suivis]],mvtst[QTE SORTIS])-SUMIF(mvtst[QR Suivis],mvtst[[#This Row],[QR Suivis]],mvtst[QTE RETOUR])</f>
        <v>0</v>
      </c>
      <c r="K1609" s="35" t="str">
        <f t="shared" si="25"/>
        <v>Usine</v>
      </c>
      <c r="L1609" s="35" t="str">
        <f>_xlfn.XLOOKUP(mvtst[[#This Row],[Sous Traitant]],coordonnee_st[Identification],coordonnee_st[SERVICE],"Non Trouvé")</f>
        <v>Frange</v>
      </c>
      <c r="M1609" s="35" t="str">
        <f>INDEX(_xlfn.TEXTSPLIT(mvtst[[#This Row],[QR Suivis]],"_"),1,2)</f>
        <v>CL00884</v>
      </c>
      <c r="N1609" s="35" t="str">
        <f>INDEX(_xlfn.TEXTSPLIT(mvtst[[#This Row],[QR Suivis]],"_"),1,3)</f>
        <v>CM-FT0119</v>
      </c>
      <c r="O1609" s="35" t="str">
        <f>INDEX(_xlfn.TEXTSPLIT(mvtst[[#This Row],[QR Suivis]],"_"),1,4)</f>
        <v>SO1020-Q29-11-14</v>
      </c>
      <c r="P1609" s="35" t="str">
        <f>INDEX(_xlfn.TEXTSPLIT(mvtst[[#This Row],[QR Suivis]],"_"),1,5)</f>
        <v>SOUSSE</v>
      </c>
      <c r="Q1609" s="35" t="str">
        <f>_xlfn.TEXTAFTER(mvtst[[#This Row],[QR Suivis]],"_",5)</f>
        <v>1020</v>
      </c>
      <c r="R1609" s="84" t="str">
        <f>IF(
   COUNTIFS($A$2:A1609,A1609,
             $B$2:B1609,B1609,
             $C$2:C1609,C1609,
             $D$2:D1609,D1609,
             $G$2:G1609,G1609)&gt;1,
   "Doublon",
   "Correcte"
)</f>
        <v>Correcte</v>
      </c>
    </row>
    <row r="1610" spans="1:18" x14ac:dyDescent="0.25">
      <c r="A1610" s="104" t="s">
        <v>2227</v>
      </c>
      <c r="B1610" s="35" t="s">
        <v>712</v>
      </c>
      <c r="C1610" s="36">
        <v>5</v>
      </c>
      <c r="D1610" s="36">
        <v>0</v>
      </c>
      <c r="E1610" s="35" t="s">
        <v>699</v>
      </c>
      <c r="F1610" s="35" t="s">
        <v>634</v>
      </c>
      <c r="G1610" s="37">
        <v>45940.443819444445</v>
      </c>
      <c r="H1610" s="37" t="str">
        <f>INDEX(_xlfn.TEXTSPLIT(mvtst[[#This Row],[QR Suivis]],"_"),1,1)</f>
        <v>OF249816-44</v>
      </c>
      <c r="I1610" s="35" t="str">
        <f>_xlfn.TEXTBEFORE(mvtst[[#This Row],[Num Suivis]],"-",,,1)</f>
        <v>OF249816</v>
      </c>
      <c r="J1610" s="36">
        <f>SUMIF(mvtst[QR Suivis],mvtst[[#This Row],[QR Suivis]],mvtst[QTE SORTIS])-SUMIF(mvtst[QR Suivis],mvtst[[#This Row],[QR Suivis]],mvtst[QTE RETOUR])</f>
        <v>0</v>
      </c>
      <c r="K1610" s="35" t="str">
        <f t="shared" si="25"/>
        <v>Usine</v>
      </c>
      <c r="L1610" s="35" t="str">
        <f>_xlfn.XLOOKUP(mvtst[[#This Row],[Sous Traitant]],coordonnee_st[Identification],coordonnee_st[SERVICE],"Non Trouvé")</f>
        <v>Frange</v>
      </c>
      <c r="M1610" s="35" t="str">
        <f>INDEX(_xlfn.TEXTSPLIT(mvtst[[#This Row],[QR Suivis]],"_"),1,2)</f>
        <v>CL00884</v>
      </c>
      <c r="N1610" s="35" t="str">
        <f>INDEX(_xlfn.TEXTSPLIT(mvtst[[#This Row],[QR Suivis]],"_"),1,3)</f>
        <v>CM-FT0119</v>
      </c>
      <c r="O1610" s="35" t="str">
        <f>INDEX(_xlfn.TEXTSPLIT(mvtst[[#This Row],[QR Suivis]],"_"),1,4)</f>
        <v>SO1020-Q29-11-14</v>
      </c>
      <c r="P1610" s="35" t="str">
        <f>INDEX(_xlfn.TEXTSPLIT(mvtst[[#This Row],[QR Suivis]],"_"),1,5)</f>
        <v>SOUSSE</v>
      </c>
      <c r="Q1610" s="35" t="str">
        <f>_xlfn.TEXTAFTER(mvtst[[#This Row],[QR Suivis]],"_",5)</f>
        <v>1020</v>
      </c>
      <c r="R1610" s="84" t="str">
        <f>IF(
   COUNTIFS($A$2:A1610,A1610,
             $B$2:B1610,B1610,
             $C$2:C1610,C1610,
             $D$2:D1610,D1610,
             $G$2:G1610,G1610)&gt;1,
   "Doublon",
   "Correcte"
)</f>
        <v>Correcte</v>
      </c>
    </row>
    <row r="1611" spans="1:18" x14ac:dyDescent="0.25">
      <c r="A1611" s="104" t="s">
        <v>2228</v>
      </c>
      <c r="B1611" s="35" t="s">
        <v>712</v>
      </c>
      <c r="C1611" s="36">
        <v>5</v>
      </c>
      <c r="D1611" s="36">
        <v>0</v>
      </c>
      <c r="E1611" s="35" t="s">
        <v>699</v>
      </c>
      <c r="F1611" s="35" t="s">
        <v>634</v>
      </c>
      <c r="G1611" s="37">
        <v>45940.444143518522</v>
      </c>
      <c r="H1611" s="37" t="str">
        <f>INDEX(_xlfn.TEXTSPLIT(mvtst[[#This Row],[QR Suivis]],"_"),1,1)</f>
        <v>OF249816-61</v>
      </c>
      <c r="I1611" s="35" t="str">
        <f>_xlfn.TEXTBEFORE(mvtst[[#This Row],[Num Suivis]],"-",,,1)</f>
        <v>OF249816</v>
      </c>
      <c r="J1611" s="36">
        <f>SUMIF(mvtst[QR Suivis],mvtst[[#This Row],[QR Suivis]],mvtst[QTE SORTIS])-SUMIF(mvtst[QR Suivis],mvtst[[#This Row],[QR Suivis]],mvtst[QTE RETOUR])</f>
        <v>0</v>
      </c>
      <c r="K1611" s="35" t="str">
        <f t="shared" si="25"/>
        <v>Usine</v>
      </c>
      <c r="L1611" s="35" t="str">
        <f>_xlfn.XLOOKUP(mvtst[[#This Row],[Sous Traitant]],coordonnee_st[Identification],coordonnee_st[SERVICE],"Non Trouvé")</f>
        <v>Frange</v>
      </c>
      <c r="M1611" s="35" t="str">
        <f>INDEX(_xlfn.TEXTSPLIT(mvtst[[#This Row],[QR Suivis]],"_"),1,2)</f>
        <v>CL00884</v>
      </c>
      <c r="N1611" s="35" t="str">
        <f>INDEX(_xlfn.TEXTSPLIT(mvtst[[#This Row],[QR Suivis]],"_"),1,3)</f>
        <v>CM-FT0119</v>
      </c>
      <c r="O1611" s="35" t="str">
        <f>INDEX(_xlfn.TEXTSPLIT(mvtst[[#This Row],[QR Suivis]],"_"),1,4)</f>
        <v>SO1020-Q29-11-14</v>
      </c>
      <c r="P1611" s="35" t="str">
        <f>INDEX(_xlfn.TEXTSPLIT(mvtst[[#This Row],[QR Suivis]],"_"),1,5)</f>
        <v>SOUSSE</v>
      </c>
      <c r="Q1611" s="35" t="str">
        <f>_xlfn.TEXTAFTER(mvtst[[#This Row],[QR Suivis]],"_",5)</f>
        <v>1020</v>
      </c>
      <c r="R1611" s="84" t="str">
        <f>IF(
   COUNTIFS($A$2:A1611,A1611,
             $B$2:B1611,B1611,
             $C$2:C1611,C1611,
             $D$2:D1611,D1611,
             $G$2:G1611,G1611)&gt;1,
   "Doublon",
   "Correcte"
)</f>
        <v>Correcte</v>
      </c>
    </row>
    <row r="1612" spans="1:18" x14ac:dyDescent="0.25">
      <c r="A1612" s="104" t="s">
        <v>2229</v>
      </c>
      <c r="B1612" s="35" t="s">
        <v>712</v>
      </c>
      <c r="C1612" s="36">
        <v>5</v>
      </c>
      <c r="D1612" s="36">
        <v>0</v>
      </c>
      <c r="E1612" s="35" t="s">
        <v>699</v>
      </c>
      <c r="F1612" s="35" t="s">
        <v>634</v>
      </c>
      <c r="G1612" s="37">
        <v>45940.444444444445</v>
      </c>
      <c r="H1612" s="37" t="str">
        <f>INDEX(_xlfn.TEXTSPLIT(mvtst[[#This Row],[QR Suivis]],"_"),1,1)</f>
        <v>OF249816-52</v>
      </c>
      <c r="I1612" s="35" t="str">
        <f>_xlfn.TEXTBEFORE(mvtst[[#This Row],[Num Suivis]],"-",,,1)</f>
        <v>OF249816</v>
      </c>
      <c r="J1612" s="36">
        <f>SUMIF(mvtst[QR Suivis],mvtst[[#This Row],[QR Suivis]],mvtst[QTE SORTIS])-SUMIF(mvtst[QR Suivis],mvtst[[#This Row],[QR Suivis]],mvtst[QTE RETOUR])</f>
        <v>0</v>
      </c>
      <c r="K1612" s="35" t="str">
        <f t="shared" si="25"/>
        <v>Usine</v>
      </c>
      <c r="L1612" s="35" t="str">
        <f>_xlfn.XLOOKUP(mvtst[[#This Row],[Sous Traitant]],coordonnee_st[Identification],coordonnee_st[SERVICE],"Non Trouvé")</f>
        <v>Frange</v>
      </c>
      <c r="M1612" s="35" t="str">
        <f>INDEX(_xlfn.TEXTSPLIT(mvtst[[#This Row],[QR Suivis]],"_"),1,2)</f>
        <v>CL00884</v>
      </c>
      <c r="N1612" s="35" t="str">
        <f>INDEX(_xlfn.TEXTSPLIT(mvtst[[#This Row],[QR Suivis]],"_"),1,3)</f>
        <v>CM-FT0119</v>
      </c>
      <c r="O1612" s="35" t="str">
        <f>INDEX(_xlfn.TEXTSPLIT(mvtst[[#This Row],[QR Suivis]],"_"),1,4)</f>
        <v>SO1020-Q29-11-14</v>
      </c>
      <c r="P1612" s="35" t="str">
        <f>INDEX(_xlfn.TEXTSPLIT(mvtst[[#This Row],[QR Suivis]],"_"),1,5)</f>
        <v>SOUSSE</v>
      </c>
      <c r="Q1612" s="35" t="str">
        <f>_xlfn.TEXTAFTER(mvtst[[#This Row],[QR Suivis]],"_",5)</f>
        <v>1020</v>
      </c>
      <c r="R1612" s="84" t="str">
        <f>IF(
   COUNTIFS($A$2:A1612,A1612,
             $B$2:B1612,B1612,
             $C$2:C1612,C1612,
             $D$2:D1612,D1612,
             $G$2:G1612,G1612)&gt;1,
   "Doublon",
   "Correcte"
)</f>
        <v>Correcte</v>
      </c>
    </row>
    <row r="1613" spans="1:18" x14ac:dyDescent="0.25">
      <c r="A1613" s="104" t="s">
        <v>2230</v>
      </c>
      <c r="B1613" s="35" t="s">
        <v>712</v>
      </c>
      <c r="C1613" s="36">
        <v>5</v>
      </c>
      <c r="D1613" s="36">
        <v>0</v>
      </c>
      <c r="E1613" s="35" t="s">
        <v>699</v>
      </c>
      <c r="F1613" s="35" t="s">
        <v>634</v>
      </c>
      <c r="G1613" s="37">
        <v>45940.444606481484</v>
      </c>
      <c r="H1613" s="37" t="str">
        <f>INDEX(_xlfn.TEXTSPLIT(mvtst[[#This Row],[QR Suivis]],"_"),1,1)</f>
        <v>OF249816-42</v>
      </c>
      <c r="I1613" s="35" t="str">
        <f>_xlfn.TEXTBEFORE(mvtst[[#This Row],[Num Suivis]],"-",,,1)</f>
        <v>OF249816</v>
      </c>
      <c r="J1613" s="36">
        <f>SUMIF(mvtst[QR Suivis],mvtst[[#This Row],[QR Suivis]],mvtst[QTE SORTIS])-SUMIF(mvtst[QR Suivis],mvtst[[#This Row],[QR Suivis]],mvtst[QTE RETOUR])</f>
        <v>0</v>
      </c>
      <c r="K1613" s="35" t="str">
        <f t="shared" si="25"/>
        <v>Usine</v>
      </c>
      <c r="L1613" s="35" t="str">
        <f>_xlfn.XLOOKUP(mvtst[[#This Row],[Sous Traitant]],coordonnee_st[Identification],coordonnee_st[SERVICE],"Non Trouvé")</f>
        <v>Frange</v>
      </c>
      <c r="M1613" s="35" t="str">
        <f>INDEX(_xlfn.TEXTSPLIT(mvtst[[#This Row],[QR Suivis]],"_"),1,2)</f>
        <v>CL00884</v>
      </c>
      <c r="N1613" s="35" t="str">
        <f>INDEX(_xlfn.TEXTSPLIT(mvtst[[#This Row],[QR Suivis]],"_"),1,3)</f>
        <v>CM-FT0119</v>
      </c>
      <c r="O1613" s="35" t="str">
        <f>INDEX(_xlfn.TEXTSPLIT(mvtst[[#This Row],[QR Suivis]],"_"),1,4)</f>
        <v>SO1020-Q29-11-14</v>
      </c>
      <c r="P1613" s="35" t="str">
        <f>INDEX(_xlfn.TEXTSPLIT(mvtst[[#This Row],[QR Suivis]],"_"),1,5)</f>
        <v>SOUSSE</v>
      </c>
      <c r="Q1613" s="35" t="str">
        <f>_xlfn.TEXTAFTER(mvtst[[#This Row],[QR Suivis]],"_",5)</f>
        <v>1020</v>
      </c>
      <c r="R1613" s="84" t="str">
        <f>IF(
   COUNTIFS($A$2:A1613,A1613,
             $B$2:B1613,B1613,
             $C$2:C1613,C1613,
             $D$2:D1613,D1613,
             $G$2:G1613,G1613)&gt;1,
   "Doublon",
   "Correcte"
)</f>
        <v>Correcte</v>
      </c>
    </row>
    <row r="1614" spans="1:18" x14ac:dyDescent="0.25">
      <c r="A1614" s="104" t="s">
        <v>2231</v>
      </c>
      <c r="B1614" s="35" t="s">
        <v>712</v>
      </c>
      <c r="C1614" s="36">
        <v>5</v>
      </c>
      <c r="D1614" s="36">
        <v>0</v>
      </c>
      <c r="E1614" s="35" t="s">
        <v>699</v>
      </c>
      <c r="F1614" s="35" t="s">
        <v>634</v>
      </c>
      <c r="G1614" s="37">
        <v>45940.444907407407</v>
      </c>
      <c r="H1614" s="37" t="str">
        <f>INDEX(_xlfn.TEXTSPLIT(mvtst[[#This Row],[QR Suivis]],"_"),1,1)</f>
        <v>OF249816-47</v>
      </c>
      <c r="I1614" s="35" t="str">
        <f>_xlfn.TEXTBEFORE(mvtst[[#This Row],[Num Suivis]],"-",,,1)</f>
        <v>OF249816</v>
      </c>
      <c r="J1614" s="36">
        <f>SUMIF(mvtst[QR Suivis],mvtst[[#This Row],[QR Suivis]],mvtst[QTE SORTIS])-SUMIF(mvtst[QR Suivis],mvtst[[#This Row],[QR Suivis]],mvtst[QTE RETOUR])</f>
        <v>0</v>
      </c>
      <c r="K1614" s="35" t="str">
        <f t="shared" si="25"/>
        <v>Usine</v>
      </c>
      <c r="L1614" s="35" t="str">
        <f>_xlfn.XLOOKUP(mvtst[[#This Row],[Sous Traitant]],coordonnee_st[Identification],coordonnee_st[SERVICE],"Non Trouvé")</f>
        <v>Frange</v>
      </c>
      <c r="M1614" s="35" t="str">
        <f>INDEX(_xlfn.TEXTSPLIT(mvtst[[#This Row],[QR Suivis]],"_"),1,2)</f>
        <v>CL00884</v>
      </c>
      <c r="N1614" s="35" t="str">
        <f>INDEX(_xlfn.TEXTSPLIT(mvtst[[#This Row],[QR Suivis]],"_"),1,3)</f>
        <v>CM-FT0119</v>
      </c>
      <c r="O1614" s="35" t="str">
        <f>INDEX(_xlfn.TEXTSPLIT(mvtst[[#This Row],[QR Suivis]],"_"),1,4)</f>
        <v>SO1020-Q29-11-14</v>
      </c>
      <c r="P1614" s="35" t="str">
        <f>INDEX(_xlfn.TEXTSPLIT(mvtst[[#This Row],[QR Suivis]],"_"),1,5)</f>
        <v>SOUSSE</v>
      </c>
      <c r="Q1614" s="35" t="str">
        <f>_xlfn.TEXTAFTER(mvtst[[#This Row],[QR Suivis]],"_",5)</f>
        <v>1020</v>
      </c>
      <c r="R1614" s="84" t="str">
        <f>IF(
   COUNTIFS($A$2:A1614,A1614,
             $B$2:B1614,B1614,
             $C$2:C1614,C1614,
             $D$2:D1614,D1614,
             $G$2:G1614,G1614)&gt;1,
   "Doublon",
   "Correcte"
)</f>
        <v>Correcte</v>
      </c>
    </row>
    <row r="1615" spans="1:18" x14ac:dyDescent="0.25">
      <c r="A1615" s="104" t="s">
        <v>2232</v>
      </c>
      <c r="B1615" s="35" t="s">
        <v>712</v>
      </c>
      <c r="C1615" s="36">
        <v>5</v>
      </c>
      <c r="D1615" s="36">
        <v>0</v>
      </c>
      <c r="E1615" s="35" t="s">
        <v>699</v>
      </c>
      <c r="F1615" s="35" t="s">
        <v>634</v>
      </c>
      <c r="G1615" s="37">
        <v>45940.445428240739</v>
      </c>
      <c r="H1615" s="37" t="str">
        <f>INDEX(_xlfn.TEXTSPLIT(mvtst[[#This Row],[QR Suivis]],"_"),1,1)</f>
        <v>OF249816-57</v>
      </c>
      <c r="I1615" s="35" t="str">
        <f>_xlfn.TEXTBEFORE(mvtst[[#This Row],[Num Suivis]],"-",,,1)</f>
        <v>OF249816</v>
      </c>
      <c r="J1615" s="36">
        <f>SUMIF(mvtst[QR Suivis],mvtst[[#This Row],[QR Suivis]],mvtst[QTE SORTIS])-SUMIF(mvtst[QR Suivis],mvtst[[#This Row],[QR Suivis]],mvtst[QTE RETOUR])</f>
        <v>0</v>
      </c>
      <c r="K1615" s="35" t="str">
        <f t="shared" si="25"/>
        <v>Usine</v>
      </c>
      <c r="L1615" s="35" t="str">
        <f>_xlfn.XLOOKUP(mvtst[[#This Row],[Sous Traitant]],coordonnee_st[Identification],coordonnee_st[SERVICE],"Non Trouvé")</f>
        <v>Frange</v>
      </c>
      <c r="M1615" s="35" t="str">
        <f>INDEX(_xlfn.TEXTSPLIT(mvtst[[#This Row],[QR Suivis]],"_"),1,2)</f>
        <v>CL00884</v>
      </c>
      <c r="N1615" s="35" t="str">
        <f>INDEX(_xlfn.TEXTSPLIT(mvtst[[#This Row],[QR Suivis]],"_"),1,3)</f>
        <v>CM-FT0119</v>
      </c>
      <c r="O1615" s="35" t="str">
        <f>INDEX(_xlfn.TEXTSPLIT(mvtst[[#This Row],[QR Suivis]],"_"),1,4)</f>
        <v>SO1020-Q29-11-14</v>
      </c>
      <c r="P1615" s="35" t="str">
        <f>INDEX(_xlfn.TEXTSPLIT(mvtst[[#This Row],[QR Suivis]],"_"),1,5)</f>
        <v>SOUSSE</v>
      </c>
      <c r="Q1615" s="35" t="str">
        <f>_xlfn.TEXTAFTER(mvtst[[#This Row],[QR Suivis]],"_",5)</f>
        <v>1020</v>
      </c>
      <c r="R1615" s="84" t="str">
        <f>IF(
   COUNTIFS($A$2:A1615,A1615,
             $B$2:B1615,B1615,
             $C$2:C1615,C1615,
             $D$2:D1615,D1615,
             $G$2:G1615,G1615)&gt;1,
   "Doublon",
   "Correcte"
)</f>
        <v>Correcte</v>
      </c>
    </row>
    <row r="1616" spans="1:18" x14ac:dyDescent="0.25">
      <c r="A1616" s="104" t="s">
        <v>2233</v>
      </c>
      <c r="B1616" s="35" t="s">
        <v>712</v>
      </c>
      <c r="C1616" s="36">
        <v>5</v>
      </c>
      <c r="D1616" s="36">
        <v>0</v>
      </c>
      <c r="E1616" s="35" t="s">
        <v>699</v>
      </c>
      <c r="F1616" s="35" t="s">
        <v>634</v>
      </c>
      <c r="G1616" s="37">
        <v>45940.445983796293</v>
      </c>
      <c r="H1616" s="37" t="str">
        <f>INDEX(_xlfn.TEXTSPLIT(mvtst[[#This Row],[QR Suivis]],"_"),1,1)</f>
        <v>OF249816-45</v>
      </c>
      <c r="I1616" s="35" t="str">
        <f>_xlfn.TEXTBEFORE(mvtst[[#This Row],[Num Suivis]],"-",,,1)</f>
        <v>OF249816</v>
      </c>
      <c r="J1616" s="36">
        <f>SUMIF(mvtst[QR Suivis],mvtst[[#This Row],[QR Suivis]],mvtst[QTE SORTIS])-SUMIF(mvtst[QR Suivis],mvtst[[#This Row],[QR Suivis]],mvtst[QTE RETOUR])</f>
        <v>0</v>
      </c>
      <c r="K1616" s="35" t="str">
        <f t="shared" si="25"/>
        <v>Usine</v>
      </c>
      <c r="L1616" s="35" t="str">
        <f>_xlfn.XLOOKUP(mvtst[[#This Row],[Sous Traitant]],coordonnee_st[Identification],coordonnee_st[SERVICE],"Non Trouvé")</f>
        <v>Frange</v>
      </c>
      <c r="M1616" s="35" t="str">
        <f>INDEX(_xlfn.TEXTSPLIT(mvtst[[#This Row],[QR Suivis]],"_"),1,2)</f>
        <v>CL00884</v>
      </c>
      <c r="N1616" s="35" t="str">
        <f>INDEX(_xlfn.TEXTSPLIT(mvtst[[#This Row],[QR Suivis]],"_"),1,3)</f>
        <v>CM-FT0119</v>
      </c>
      <c r="O1616" s="35" t="str">
        <f>INDEX(_xlfn.TEXTSPLIT(mvtst[[#This Row],[QR Suivis]],"_"),1,4)</f>
        <v>SO1020-Q29-11-14</v>
      </c>
      <c r="P1616" s="35" t="str">
        <f>INDEX(_xlfn.TEXTSPLIT(mvtst[[#This Row],[QR Suivis]],"_"),1,5)</f>
        <v>SOUSSE</v>
      </c>
      <c r="Q1616" s="35" t="str">
        <f>_xlfn.TEXTAFTER(mvtst[[#This Row],[QR Suivis]],"_",5)</f>
        <v>1020</v>
      </c>
      <c r="R1616" s="84" t="str">
        <f>IF(
   COUNTIFS($A$2:A1616,A1616,
             $B$2:B1616,B1616,
             $C$2:C1616,C1616,
             $D$2:D1616,D1616,
             $G$2:G1616,G1616)&gt;1,
   "Doublon",
   "Correcte"
)</f>
        <v>Correcte</v>
      </c>
    </row>
    <row r="1617" spans="1:18" x14ac:dyDescent="0.25">
      <c r="A1617" s="104" t="s">
        <v>2234</v>
      </c>
      <c r="B1617" s="35" t="s">
        <v>712</v>
      </c>
      <c r="C1617" s="36">
        <v>5</v>
      </c>
      <c r="D1617" s="36">
        <v>0</v>
      </c>
      <c r="E1617" s="35" t="s">
        <v>699</v>
      </c>
      <c r="F1617" s="35" t="s">
        <v>634</v>
      </c>
      <c r="G1617" s="37">
        <v>45940.446215277778</v>
      </c>
      <c r="H1617" s="37" t="str">
        <f>INDEX(_xlfn.TEXTSPLIT(mvtst[[#This Row],[QR Suivis]],"_"),1,1)</f>
        <v>OF249816-40</v>
      </c>
      <c r="I1617" s="35" t="str">
        <f>_xlfn.TEXTBEFORE(mvtst[[#This Row],[Num Suivis]],"-",,,1)</f>
        <v>OF249816</v>
      </c>
      <c r="J1617" s="36">
        <f>SUMIF(mvtst[QR Suivis],mvtst[[#This Row],[QR Suivis]],mvtst[QTE SORTIS])-SUMIF(mvtst[QR Suivis],mvtst[[#This Row],[QR Suivis]],mvtst[QTE RETOUR])</f>
        <v>0</v>
      </c>
      <c r="K1617" s="35" t="str">
        <f t="shared" si="25"/>
        <v>Usine</v>
      </c>
      <c r="L1617" s="35" t="str">
        <f>_xlfn.XLOOKUP(mvtst[[#This Row],[Sous Traitant]],coordonnee_st[Identification],coordonnee_st[SERVICE],"Non Trouvé")</f>
        <v>Frange</v>
      </c>
      <c r="M1617" s="35" t="str">
        <f>INDEX(_xlfn.TEXTSPLIT(mvtst[[#This Row],[QR Suivis]],"_"),1,2)</f>
        <v>CL00884</v>
      </c>
      <c r="N1617" s="35" t="str">
        <f>INDEX(_xlfn.TEXTSPLIT(mvtst[[#This Row],[QR Suivis]],"_"),1,3)</f>
        <v>CM-FT0119</v>
      </c>
      <c r="O1617" s="35" t="str">
        <f>INDEX(_xlfn.TEXTSPLIT(mvtst[[#This Row],[QR Suivis]],"_"),1,4)</f>
        <v>SO1020-Q29-11-14</v>
      </c>
      <c r="P1617" s="35" t="str">
        <f>INDEX(_xlfn.TEXTSPLIT(mvtst[[#This Row],[QR Suivis]],"_"),1,5)</f>
        <v>SOUSSE</v>
      </c>
      <c r="Q1617" s="35" t="str">
        <f>_xlfn.TEXTAFTER(mvtst[[#This Row],[QR Suivis]],"_",5)</f>
        <v>1020</v>
      </c>
      <c r="R1617" s="84" t="str">
        <f>IF(
   COUNTIFS($A$2:A1617,A1617,
             $B$2:B1617,B1617,
             $C$2:C1617,C1617,
             $D$2:D1617,D1617,
             $G$2:G1617,G1617)&gt;1,
   "Doublon",
   "Correcte"
)</f>
        <v>Correcte</v>
      </c>
    </row>
    <row r="1618" spans="1:18" x14ac:dyDescent="0.25">
      <c r="A1618" s="104" t="s">
        <v>2235</v>
      </c>
      <c r="B1618" s="35" t="s">
        <v>712</v>
      </c>
      <c r="C1618" s="36">
        <v>5</v>
      </c>
      <c r="D1618" s="36">
        <v>0</v>
      </c>
      <c r="E1618" s="35" t="s">
        <v>699</v>
      </c>
      <c r="F1618" s="35" t="s">
        <v>634</v>
      </c>
      <c r="G1618" s="37">
        <v>45940.446458333332</v>
      </c>
      <c r="H1618" s="37" t="str">
        <f>INDEX(_xlfn.TEXTSPLIT(mvtst[[#This Row],[QR Suivis]],"_"),1,1)</f>
        <v>OF249816-60</v>
      </c>
      <c r="I1618" s="35" t="str">
        <f>_xlfn.TEXTBEFORE(mvtst[[#This Row],[Num Suivis]],"-",,,1)</f>
        <v>OF249816</v>
      </c>
      <c r="J1618" s="36">
        <f>SUMIF(mvtst[QR Suivis],mvtst[[#This Row],[QR Suivis]],mvtst[QTE SORTIS])-SUMIF(mvtst[QR Suivis],mvtst[[#This Row],[QR Suivis]],mvtst[QTE RETOUR])</f>
        <v>0</v>
      </c>
      <c r="K1618" s="35" t="str">
        <f t="shared" si="25"/>
        <v>Usine</v>
      </c>
      <c r="L1618" s="35" t="str">
        <f>_xlfn.XLOOKUP(mvtst[[#This Row],[Sous Traitant]],coordonnee_st[Identification],coordonnee_st[SERVICE],"Non Trouvé")</f>
        <v>Frange</v>
      </c>
      <c r="M1618" s="35" t="str">
        <f>INDEX(_xlfn.TEXTSPLIT(mvtst[[#This Row],[QR Suivis]],"_"),1,2)</f>
        <v>CL00884</v>
      </c>
      <c r="N1618" s="35" t="str">
        <f>INDEX(_xlfn.TEXTSPLIT(mvtst[[#This Row],[QR Suivis]],"_"),1,3)</f>
        <v>CM-FT0119</v>
      </c>
      <c r="O1618" s="35" t="str">
        <f>INDEX(_xlfn.TEXTSPLIT(mvtst[[#This Row],[QR Suivis]],"_"),1,4)</f>
        <v>SO1020-Q29-11-14</v>
      </c>
      <c r="P1618" s="35" t="str">
        <f>INDEX(_xlfn.TEXTSPLIT(mvtst[[#This Row],[QR Suivis]],"_"),1,5)</f>
        <v>SOUSSE</v>
      </c>
      <c r="Q1618" s="35" t="str">
        <f>_xlfn.TEXTAFTER(mvtst[[#This Row],[QR Suivis]],"_",5)</f>
        <v>1020</v>
      </c>
      <c r="R1618" s="84" t="str">
        <f>IF(
   COUNTIFS($A$2:A1618,A1618,
             $B$2:B1618,B1618,
             $C$2:C1618,C1618,
             $D$2:D1618,D1618,
             $G$2:G1618,G1618)&gt;1,
   "Doublon",
   "Correcte"
)</f>
        <v>Correcte</v>
      </c>
    </row>
    <row r="1619" spans="1:18" x14ac:dyDescent="0.25">
      <c r="A1619" s="104" t="s">
        <v>2236</v>
      </c>
      <c r="B1619" s="35" t="s">
        <v>712</v>
      </c>
      <c r="C1619" s="36">
        <v>5</v>
      </c>
      <c r="D1619" s="36">
        <v>0</v>
      </c>
      <c r="E1619" s="35" t="s">
        <v>699</v>
      </c>
      <c r="F1619" s="35" t="s">
        <v>634</v>
      </c>
      <c r="G1619" s="37">
        <v>45940.446655092594</v>
      </c>
      <c r="H1619" s="37" t="str">
        <f>INDEX(_xlfn.TEXTSPLIT(mvtst[[#This Row],[QR Suivis]],"_"),1,1)</f>
        <v>OF249816-48</v>
      </c>
      <c r="I1619" s="35" t="str">
        <f>_xlfn.TEXTBEFORE(mvtst[[#This Row],[Num Suivis]],"-",,,1)</f>
        <v>OF249816</v>
      </c>
      <c r="J1619" s="36">
        <f>SUMIF(mvtst[QR Suivis],mvtst[[#This Row],[QR Suivis]],mvtst[QTE SORTIS])-SUMIF(mvtst[QR Suivis],mvtst[[#This Row],[QR Suivis]],mvtst[QTE RETOUR])</f>
        <v>0</v>
      </c>
      <c r="K1619" s="35" t="str">
        <f t="shared" si="25"/>
        <v>Usine</v>
      </c>
      <c r="L1619" s="35" t="str">
        <f>_xlfn.XLOOKUP(mvtst[[#This Row],[Sous Traitant]],coordonnee_st[Identification],coordonnee_st[SERVICE],"Non Trouvé")</f>
        <v>Frange</v>
      </c>
      <c r="M1619" s="35" t="str">
        <f>INDEX(_xlfn.TEXTSPLIT(mvtst[[#This Row],[QR Suivis]],"_"),1,2)</f>
        <v>CL00884</v>
      </c>
      <c r="N1619" s="35" t="str">
        <f>INDEX(_xlfn.TEXTSPLIT(mvtst[[#This Row],[QR Suivis]],"_"),1,3)</f>
        <v>CM-FT0119</v>
      </c>
      <c r="O1619" s="35" t="str">
        <f>INDEX(_xlfn.TEXTSPLIT(mvtst[[#This Row],[QR Suivis]],"_"),1,4)</f>
        <v>SO1020-Q29-11-14</v>
      </c>
      <c r="P1619" s="35" t="str">
        <f>INDEX(_xlfn.TEXTSPLIT(mvtst[[#This Row],[QR Suivis]],"_"),1,5)</f>
        <v>SOUSSE</v>
      </c>
      <c r="Q1619" s="35" t="str">
        <f>_xlfn.TEXTAFTER(mvtst[[#This Row],[QR Suivis]],"_",5)</f>
        <v>1020</v>
      </c>
      <c r="R1619" s="84" t="str">
        <f>IF(
   COUNTIFS($A$2:A1619,A1619,
             $B$2:B1619,B1619,
             $C$2:C1619,C1619,
             $D$2:D1619,D1619,
             $G$2:G1619,G1619)&gt;1,
   "Doublon",
   "Correcte"
)</f>
        <v>Correcte</v>
      </c>
    </row>
    <row r="1620" spans="1:18" x14ac:dyDescent="0.25">
      <c r="A1620" s="104" t="s">
        <v>2237</v>
      </c>
      <c r="B1620" s="35" t="s">
        <v>712</v>
      </c>
      <c r="C1620" s="36">
        <v>5</v>
      </c>
      <c r="D1620" s="36">
        <v>0</v>
      </c>
      <c r="E1620" s="35" t="s">
        <v>699</v>
      </c>
      <c r="F1620" s="35" t="s">
        <v>634</v>
      </c>
      <c r="G1620" s="37">
        <v>45940.447118055556</v>
      </c>
      <c r="H1620" s="37" t="str">
        <f>INDEX(_xlfn.TEXTSPLIT(mvtst[[#This Row],[QR Suivis]],"_"),1,1)</f>
        <v>OF249816-59</v>
      </c>
      <c r="I1620" s="35" t="str">
        <f>_xlfn.TEXTBEFORE(mvtst[[#This Row],[Num Suivis]],"-",,,1)</f>
        <v>OF249816</v>
      </c>
      <c r="J1620" s="36">
        <f>SUMIF(mvtst[QR Suivis],mvtst[[#This Row],[QR Suivis]],mvtst[QTE SORTIS])-SUMIF(mvtst[QR Suivis],mvtst[[#This Row],[QR Suivis]],mvtst[QTE RETOUR])</f>
        <v>0</v>
      </c>
      <c r="K1620" s="35" t="str">
        <f t="shared" si="25"/>
        <v>Usine</v>
      </c>
      <c r="L1620" s="35" t="str">
        <f>_xlfn.XLOOKUP(mvtst[[#This Row],[Sous Traitant]],coordonnee_st[Identification],coordonnee_st[SERVICE],"Non Trouvé")</f>
        <v>Frange</v>
      </c>
      <c r="M1620" s="35" t="str">
        <f>INDEX(_xlfn.TEXTSPLIT(mvtst[[#This Row],[QR Suivis]],"_"),1,2)</f>
        <v>CL00884</v>
      </c>
      <c r="N1620" s="35" t="str">
        <f>INDEX(_xlfn.TEXTSPLIT(mvtst[[#This Row],[QR Suivis]],"_"),1,3)</f>
        <v>CM-FT0119</v>
      </c>
      <c r="O1620" s="35" t="str">
        <f>INDEX(_xlfn.TEXTSPLIT(mvtst[[#This Row],[QR Suivis]],"_"),1,4)</f>
        <v>SO1020-Q29-11-14</v>
      </c>
      <c r="P1620" s="35" t="str">
        <f>INDEX(_xlfn.TEXTSPLIT(mvtst[[#This Row],[QR Suivis]],"_"),1,5)</f>
        <v>SOUSSE</v>
      </c>
      <c r="Q1620" s="35" t="str">
        <f>_xlfn.TEXTAFTER(mvtst[[#This Row],[QR Suivis]],"_",5)</f>
        <v>1020</v>
      </c>
      <c r="R1620" s="84" t="str">
        <f>IF(
   COUNTIFS($A$2:A1620,A1620,
             $B$2:B1620,B1620,
             $C$2:C1620,C1620,
             $D$2:D1620,D1620,
             $G$2:G1620,G1620)&gt;1,
   "Doublon",
   "Correcte"
)</f>
        <v>Correcte</v>
      </c>
    </row>
    <row r="1621" spans="1:18" x14ac:dyDescent="0.25">
      <c r="A1621" s="104" t="s">
        <v>2238</v>
      </c>
      <c r="B1621" s="35" t="s">
        <v>712</v>
      </c>
      <c r="C1621" s="36">
        <v>5</v>
      </c>
      <c r="D1621" s="36">
        <v>0</v>
      </c>
      <c r="E1621" s="35" t="s">
        <v>699</v>
      </c>
      <c r="F1621" s="35" t="s">
        <v>634</v>
      </c>
      <c r="G1621" s="37">
        <v>45940.447291666664</v>
      </c>
      <c r="H1621" s="37" t="str">
        <f>INDEX(_xlfn.TEXTSPLIT(mvtst[[#This Row],[QR Suivis]],"_"),1,1)</f>
        <v>OF249816-18</v>
      </c>
      <c r="I1621" s="35" t="str">
        <f>_xlfn.TEXTBEFORE(mvtst[[#This Row],[Num Suivis]],"-",,,1)</f>
        <v>OF249816</v>
      </c>
      <c r="J1621" s="36">
        <f>SUMIF(mvtst[QR Suivis],mvtst[[#This Row],[QR Suivis]],mvtst[QTE SORTIS])-SUMIF(mvtst[QR Suivis],mvtst[[#This Row],[QR Suivis]],mvtst[QTE RETOUR])</f>
        <v>0</v>
      </c>
      <c r="K1621" s="35" t="str">
        <f t="shared" si="25"/>
        <v>Usine</v>
      </c>
      <c r="L1621" s="35" t="str">
        <f>_xlfn.XLOOKUP(mvtst[[#This Row],[Sous Traitant]],coordonnee_st[Identification],coordonnee_st[SERVICE],"Non Trouvé")</f>
        <v>Frange</v>
      </c>
      <c r="M1621" s="35" t="str">
        <f>INDEX(_xlfn.TEXTSPLIT(mvtst[[#This Row],[QR Suivis]],"_"),1,2)</f>
        <v>CL00884</v>
      </c>
      <c r="N1621" s="35" t="str">
        <f>INDEX(_xlfn.TEXTSPLIT(mvtst[[#This Row],[QR Suivis]],"_"),1,3)</f>
        <v>CM-FT0119</v>
      </c>
      <c r="O1621" s="35" t="str">
        <f>INDEX(_xlfn.TEXTSPLIT(mvtst[[#This Row],[QR Suivis]],"_"),1,4)</f>
        <v>SO1020-Q29-11-14</v>
      </c>
      <c r="P1621" s="35" t="str">
        <f>INDEX(_xlfn.TEXTSPLIT(mvtst[[#This Row],[QR Suivis]],"_"),1,5)</f>
        <v>SOUSSE</v>
      </c>
      <c r="Q1621" s="35" t="str">
        <f>_xlfn.TEXTAFTER(mvtst[[#This Row],[QR Suivis]],"_",5)</f>
        <v>1020</v>
      </c>
      <c r="R1621" s="84" t="str">
        <f>IF(
   COUNTIFS($A$2:A1621,A1621,
             $B$2:B1621,B1621,
             $C$2:C1621,C1621,
             $D$2:D1621,D1621,
             $G$2:G1621,G1621)&gt;1,
   "Doublon",
   "Correcte"
)</f>
        <v>Correcte</v>
      </c>
    </row>
    <row r="1622" spans="1:18" x14ac:dyDescent="0.25">
      <c r="A1622" s="104" t="s">
        <v>2239</v>
      </c>
      <c r="B1622" s="35" t="s">
        <v>712</v>
      </c>
      <c r="C1622" s="36">
        <v>5</v>
      </c>
      <c r="D1622" s="36">
        <v>0</v>
      </c>
      <c r="E1622" s="35" t="s">
        <v>699</v>
      </c>
      <c r="F1622" s="35" t="s">
        <v>634</v>
      </c>
      <c r="G1622" s="37">
        <v>45940.447511574072</v>
      </c>
      <c r="H1622" s="37" t="str">
        <f>INDEX(_xlfn.TEXTSPLIT(mvtst[[#This Row],[QR Suivis]],"_"),1,1)</f>
        <v>OF249816-22</v>
      </c>
      <c r="I1622" s="35" t="str">
        <f>_xlfn.TEXTBEFORE(mvtst[[#This Row],[Num Suivis]],"-",,,1)</f>
        <v>OF249816</v>
      </c>
      <c r="J1622" s="36">
        <f>SUMIF(mvtst[QR Suivis],mvtst[[#This Row],[QR Suivis]],mvtst[QTE SORTIS])-SUMIF(mvtst[QR Suivis],mvtst[[#This Row],[QR Suivis]],mvtst[QTE RETOUR])</f>
        <v>0</v>
      </c>
      <c r="K1622" s="35" t="str">
        <f t="shared" si="25"/>
        <v>Usine</v>
      </c>
      <c r="L1622" s="35" t="str">
        <f>_xlfn.XLOOKUP(mvtst[[#This Row],[Sous Traitant]],coordonnee_st[Identification],coordonnee_st[SERVICE],"Non Trouvé")</f>
        <v>Frange</v>
      </c>
      <c r="M1622" s="35" t="str">
        <f>INDEX(_xlfn.TEXTSPLIT(mvtst[[#This Row],[QR Suivis]],"_"),1,2)</f>
        <v>CL00884</v>
      </c>
      <c r="N1622" s="35" t="str">
        <f>INDEX(_xlfn.TEXTSPLIT(mvtst[[#This Row],[QR Suivis]],"_"),1,3)</f>
        <v>CM-FT0119</v>
      </c>
      <c r="O1622" s="35" t="str">
        <f>INDEX(_xlfn.TEXTSPLIT(mvtst[[#This Row],[QR Suivis]],"_"),1,4)</f>
        <v>SO1020-Q29-11-14</v>
      </c>
      <c r="P1622" s="35" t="str">
        <f>INDEX(_xlfn.TEXTSPLIT(mvtst[[#This Row],[QR Suivis]],"_"),1,5)</f>
        <v>SOUSSE</v>
      </c>
      <c r="Q1622" s="35" t="str">
        <f>_xlfn.TEXTAFTER(mvtst[[#This Row],[QR Suivis]],"_",5)</f>
        <v>1020</v>
      </c>
      <c r="R1622" s="84" t="str">
        <f>IF(
   COUNTIFS($A$2:A1622,A1622,
             $B$2:B1622,B1622,
             $C$2:C1622,C1622,
             $D$2:D1622,D1622,
             $G$2:G1622,G1622)&gt;1,
   "Doublon",
   "Correcte"
)</f>
        <v>Correcte</v>
      </c>
    </row>
    <row r="1623" spans="1:18" x14ac:dyDescent="0.25">
      <c r="A1623" s="104" t="s">
        <v>2240</v>
      </c>
      <c r="B1623" s="35" t="s">
        <v>712</v>
      </c>
      <c r="C1623" s="36">
        <v>5</v>
      </c>
      <c r="D1623" s="36">
        <v>0</v>
      </c>
      <c r="E1623" s="35" t="s">
        <v>699</v>
      </c>
      <c r="F1623" s="35" t="s">
        <v>634</v>
      </c>
      <c r="G1623" s="37">
        <v>45940.447615740741</v>
      </c>
      <c r="H1623" s="37" t="str">
        <f>INDEX(_xlfn.TEXTSPLIT(mvtst[[#This Row],[QR Suivis]],"_"),1,1)</f>
        <v>OF249816-21</v>
      </c>
      <c r="I1623" s="35" t="str">
        <f>_xlfn.TEXTBEFORE(mvtst[[#This Row],[Num Suivis]],"-",,,1)</f>
        <v>OF249816</v>
      </c>
      <c r="J1623" s="36">
        <f>SUMIF(mvtst[QR Suivis],mvtst[[#This Row],[QR Suivis]],mvtst[QTE SORTIS])-SUMIF(mvtst[QR Suivis],mvtst[[#This Row],[QR Suivis]],mvtst[QTE RETOUR])</f>
        <v>0</v>
      </c>
      <c r="K1623" s="35" t="str">
        <f t="shared" si="25"/>
        <v>Usine</v>
      </c>
      <c r="L1623" s="35" t="str">
        <f>_xlfn.XLOOKUP(mvtst[[#This Row],[Sous Traitant]],coordonnee_st[Identification],coordonnee_st[SERVICE],"Non Trouvé")</f>
        <v>Frange</v>
      </c>
      <c r="M1623" s="35" t="str">
        <f>INDEX(_xlfn.TEXTSPLIT(mvtst[[#This Row],[QR Suivis]],"_"),1,2)</f>
        <v>CL00884</v>
      </c>
      <c r="N1623" s="35" t="str">
        <f>INDEX(_xlfn.TEXTSPLIT(mvtst[[#This Row],[QR Suivis]],"_"),1,3)</f>
        <v>CM-FT0119</v>
      </c>
      <c r="O1623" s="35" t="str">
        <f>INDEX(_xlfn.TEXTSPLIT(mvtst[[#This Row],[QR Suivis]],"_"),1,4)</f>
        <v>SO1020-Q29-11-14</v>
      </c>
      <c r="P1623" s="35" t="str">
        <f>INDEX(_xlfn.TEXTSPLIT(mvtst[[#This Row],[QR Suivis]],"_"),1,5)</f>
        <v>SOUSSE</v>
      </c>
      <c r="Q1623" s="35" t="str">
        <f>_xlfn.TEXTAFTER(mvtst[[#This Row],[QR Suivis]],"_",5)</f>
        <v>1020</v>
      </c>
      <c r="R1623" s="84" t="str">
        <f>IF(
   COUNTIFS($A$2:A1623,A1623,
             $B$2:B1623,B1623,
             $C$2:C1623,C1623,
             $D$2:D1623,D1623,
             $G$2:G1623,G1623)&gt;1,
   "Doublon",
   "Correcte"
)</f>
        <v>Correcte</v>
      </c>
    </row>
    <row r="1624" spans="1:18" x14ac:dyDescent="0.25">
      <c r="A1624" s="104" t="s">
        <v>2241</v>
      </c>
      <c r="B1624" s="35" t="s">
        <v>712</v>
      </c>
      <c r="C1624" s="36">
        <v>5</v>
      </c>
      <c r="D1624" s="36">
        <v>0</v>
      </c>
      <c r="E1624" s="35" t="s">
        <v>699</v>
      </c>
      <c r="F1624" s="35" t="s">
        <v>634</v>
      </c>
      <c r="G1624" s="37">
        <v>45940.44809027778</v>
      </c>
      <c r="H1624" s="37" t="str">
        <f>INDEX(_xlfn.TEXTSPLIT(mvtst[[#This Row],[QR Suivis]],"_"),1,1)</f>
        <v>OF249816-17</v>
      </c>
      <c r="I1624" s="35" t="str">
        <f>_xlfn.TEXTBEFORE(mvtst[[#This Row],[Num Suivis]],"-",,,1)</f>
        <v>OF249816</v>
      </c>
      <c r="J1624" s="36">
        <f>SUMIF(mvtst[QR Suivis],mvtst[[#This Row],[QR Suivis]],mvtst[QTE SORTIS])-SUMIF(mvtst[QR Suivis],mvtst[[#This Row],[QR Suivis]],mvtst[QTE RETOUR])</f>
        <v>0</v>
      </c>
      <c r="K1624" s="35" t="str">
        <f t="shared" si="25"/>
        <v>Usine</v>
      </c>
      <c r="L1624" s="35" t="str">
        <f>_xlfn.XLOOKUP(mvtst[[#This Row],[Sous Traitant]],coordonnee_st[Identification],coordonnee_st[SERVICE],"Non Trouvé")</f>
        <v>Frange</v>
      </c>
      <c r="M1624" s="35" t="str">
        <f>INDEX(_xlfn.TEXTSPLIT(mvtst[[#This Row],[QR Suivis]],"_"),1,2)</f>
        <v>CL00884</v>
      </c>
      <c r="N1624" s="35" t="str">
        <f>INDEX(_xlfn.TEXTSPLIT(mvtst[[#This Row],[QR Suivis]],"_"),1,3)</f>
        <v>CM-FT0119</v>
      </c>
      <c r="O1624" s="35" t="str">
        <f>INDEX(_xlfn.TEXTSPLIT(mvtst[[#This Row],[QR Suivis]],"_"),1,4)</f>
        <v>SO1020-Q29-11-14</v>
      </c>
      <c r="P1624" s="35" t="str">
        <f>INDEX(_xlfn.TEXTSPLIT(mvtst[[#This Row],[QR Suivis]],"_"),1,5)</f>
        <v>SOUSSE</v>
      </c>
      <c r="Q1624" s="35" t="str">
        <f>_xlfn.TEXTAFTER(mvtst[[#This Row],[QR Suivis]],"_",5)</f>
        <v>1020</v>
      </c>
      <c r="R1624" s="84" t="str">
        <f>IF(
   COUNTIFS($A$2:A1624,A1624,
             $B$2:B1624,B1624,
             $C$2:C1624,C1624,
             $D$2:D1624,D1624,
             $G$2:G1624,G1624)&gt;1,
   "Doublon",
   "Correcte"
)</f>
        <v>Correcte</v>
      </c>
    </row>
    <row r="1625" spans="1:18" x14ac:dyDescent="0.25">
      <c r="A1625" s="104" t="s">
        <v>2242</v>
      </c>
      <c r="B1625" s="35" t="s">
        <v>712</v>
      </c>
      <c r="C1625" s="36">
        <v>5</v>
      </c>
      <c r="D1625" s="36">
        <v>0</v>
      </c>
      <c r="E1625" s="35" t="s">
        <v>699</v>
      </c>
      <c r="F1625" s="35" t="s">
        <v>634</v>
      </c>
      <c r="G1625" s="37">
        <v>45940.448449074072</v>
      </c>
      <c r="H1625" s="37" t="str">
        <f>INDEX(_xlfn.TEXTSPLIT(mvtst[[#This Row],[QR Suivis]],"_"),1,1)</f>
        <v>OF249816-23</v>
      </c>
      <c r="I1625" s="35" t="str">
        <f>_xlfn.TEXTBEFORE(mvtst[[#This Row],[Num Suivis]],"-",,,1)</f>
        <v>OF249816</v>
      </c>
      <c r="J1625" s="36">
        <f>SUMIF(mvtst[QR Suivis],mvtst[[#This Row],[QR Suivis]],mvtst[QTE SORTIS])-SUMIF(mvtst[QR Suivis],mvtst[[#This Row],[QR Suivis]],mvtst[QTE RETOUR])</f>
        <v>0</v>
      </c>
      <c r="K1625" s="35" t="str">
        <f t="shared" si="25"/>
        <v>Usine</v>
      </c>
      <c r="L1625" s="35" t="str">
        <f>_xlfn.XLOOKUP(mvtst[[#This Row],[Sous Traitant]],coordonnee_st[Identification],coordonnee_st[SERVICE],"Non Trouvé")</f>
        <v>Frange</v>
      </c>
      <c r="M1625" s="35" t="str">
        <f>INDEX(_xlfn.TEXTSPLIT(mvtst[[#This Row],[QR Suivis]],"_"),1,2)</f>
        <v>CL00884</v>
      </c>
      <c r="N1625" s="35" t="str">
        <f>INDEX(_xlfn.TEXTSPLIT(mvtst[[#This Row],[QR Suivis]],"_"),1,3)</f>
        <v>CM-FT0119</v>
      </c>
      <c r="O1625" s="35" t="str">
        <f>INDEX(_xlfn.TEXTSPLIT(mvtst[[#This Row],[QR Suivis]],"_"),1,4)</f>
        <v>SO1020-Q29-11-14</v>
      </c>
      <c r="P1625" s="35" t="str">
        <f>INDEX(_xlfn.TEXTSPLIT(mvtst[[#This Row],[QR Suivis]],"_"),1,5)</f>
        <v>SOUSSE</v>
      </c>
      <c r="Q1625" s="35" t="str">
        <f>_xlfn.TEXTAFTER(mvtst[[#This Row],[QR Suivis]],"_",5)</f>
        <v>1020</v>
      </c>
      <c r="R1625" s="84" t="str">
        <f>IF(
   COUNTIFS($A$2:A1625,A1625,
             $B$2:B1625,B1625,
             $C$2:C1625,C1625,
             $D$2:D1625,D1625,
             $G$2:G1625,G1625)&gt;1,
   "Doublon",
   "Correcte"
)</f>
        <v>Correcte</v>
      </c>
    </row>
    <row r="1626" spans="1:18" x14ac:dyDescent="0.25">
      <c r="A1626" s="104" t="s">
        <v>2243</v>
      </c>
      <c r="B1626" s="35" t="s">
        <v>712</v>
      </c>
      <c r="C1626" s="36">
        <v>5</v>
      </c>
      <c r="D1626" s="36">
        <v>0</v>
      </c>
      <c r="E1626" s="35" t="s">
        <v>699</v>
      </c>
      <c r="F1626" s="35" t="s">
        <v>634</v>
      </c>
      <c r="G1626" s="37">
        <v>45940.449166666665</v>
      </c>
      <c r="H1626" s="37" t="str">
        <f>INDEX(_xlfn.TEXTSPLIT(mvtst[[#This Row],[QR Suivis]],"_"),1,1)</f>
        <v>OF249816-19</v>
      </c>
      <c r="I1626" s="35" t="str">
        <f>_xlfn.TEXTBEFORE(mvtst[[#This Row],[Num Suivis]],"-",,,1)</f>
        <v>OF249816</v>
      </c>
      <c r="J1626" s="36">
        <f>SUMIF(mvtst[QR Suivis],mvtst[[#This Row],[QR Suivis]],mvtst[QTE SORTIS])-SUMIF(mvtst[QR Suivis],mvtst[[#This Row],[QR Suivis]],mvtst[QTE RETOUR])</f>
        <v>0</v>
      </c>
      <c r="K1626" s="35" t="str">
        <f t="shared" si="25"/>
        <v>Usine</v>
      </c>
      <c r="L1626" s="35" t="str">
        <f>_xlfn.XLOOKUP(mvtst[[#This Row],[Sous Traitant]],coordonnee_st[Identification],coordonnee_st[SERVICE],"Non Trouvé")</f>
        <v>Frange</v>
      </c>
      <c r="M1626" s="35" t="str">
        <f>INDEX(_xlfn.TEXTSPLIT(mvtst[[#This Row],[QR Suivis]],"_"),1,2)</f>
        <v>CL00884</v>
      </c>
      <c r="N1626" s="35" t="str">
        <f>INDEX(_xlfn.TEXTSPLIT(mvtst[[#This Row],[QR Suivis]],"_"),1,3)</f>
        <v>CM-FT0119</v>
      </c>
      <c r="O1626" s="35" t="str">
        <f>INDEX(_xlfn.TEXTSPLIT(mvtst[[#This Row],[QR Suivis]],"_"),1,4)</f>
        <v>SO1020-Q29-11-14</v>
      </c>
      <c r="P1626" s="35" t="str">
        <f>INDEX(_xlfn.TEXTSPLIT(mvtst[[#This Row],[QR Suivis]],"_"),1,5)</f>
        <v>SOUSSE</v>
      </c>
      <c r="Q1626" s="35" t="str">
        <f>_xlfn.TEXTAFTER(mvtst[[#This Row],[QR Suivis]],"_",5)</f>
        <v>1020</v>
      </c>
      <c r="R1626" s="84" t="str">
        <f>IF(
   COUNTIFS($A$2:A1626,A1626,
             $B$2:B1626,B1626,
             $C$2:C1626,C1626,
             $D$2:D1626,D1626,
             $G$2:G1626,G1626)&gt;1,
   "Doublon",
   "Correcte"
)</f>
        <v>Correcte</v>
      </c>
    </row>
    <row r="1627" spans="1:18" x14ac:dyDescent="0.25">
      <c r="A1627" s="104" t="s">
        <v>2244</v>
      </c>
      <c r="B1627" s="35" t="s">
        <v>712</v>
      </c>
      <c r="C1627" s="36">
        <v>5</v>
      </c>
      <c r="D1627" s="36">
        <v>0</v>
      </c>
      <c r="E1627" s="35" t="s">
        <v>699</v>
      </c>
      <c r="F1627" s="35" t="s">
        <v>634</v>
      </c>
      <c r="G1627" s="37">
        <v>45940.449340277781</v>
      </c>
      <c r="H1627" s="37" t="str">
        <f>INDEX(_xlfn.TEXTSPLIT(mvtst[[#This Row],[QR Suivis]],"_"),1,1)</f>
        <v>OF249816-24</v>
      </c>
      <c r="I1627" s="35" t="str">
        <f>_xlfn.TEXTBEFORE(mvtst[[#This Row],[Num Suivis]],"-",,,1)</f>
        <v>OF249816</v>
      </c>
      <c r="J1627" s="36">
        <f>SUMIF(mvtst[QR Suivis],mvtst[[#This Row],[QR Suivis]],mvtst[QTE SORTIS])-SUMIF(mvtst[QR Suivis],mvtst[[#This Row],[QR Suivis]],mvtst[QTE RETOUR])</f>
        <v>0</v>
      </c>
      <c r="K1627" s="35" t="str">
        <f t="shared" si="25"/>
        <v>Usine</v>
      </c>
      <c r="L1627" s="35" t="str">
        <f>_xlfn.XLOOKUP(mvtst[[#This Row],[Sous Traitant]],coordonnee_st[Identification],coordonnee_st[SERVICE],"Non Trouvé")</f>
        <v>Frange</v>
      </c>
      <c r="M1627" s="35" t="str">
        <f>INDEX(_xlfn.TEXTSPLIT(mvtst[[#This Row],[QR Suivis]],"_"),1,2)</f>
        <v>CL00884</v>
      </c>
      <c r="N1627" s="35" t="str">
        <f>INDEX(_xlfn.TEXTSPLIT(mvtst[[#This Row],[QR Suivis]],"_"),1,3)</f>
        <v>CM-FT0119</v>
      </c>
      <c r="O1627" s="35" t="str">
        <f>INDEX(_xlfn.TEXTSPLIT(mvtst[[#This Row],[QR Suivis]],"_"),1,4)</f>
        <v>SO1020-Q29-11-14</v>
      </c>
      <c r="P1627" s="35" t="str">
        <f>INDEX(_xlfn.TEXTSPLIT(mvtst[[#This Row],[QR Suivis]],"_"),1,5)</f>
        <v>SOUSSE</v>
      </c>
      <c r="Q1627" s="35" t="str">
        <f>_xlfn.TEXTAFTER(mvtst[[#This Row],[QR Suivis]],"_",5)</f>
        <v>1020</v>
      </c>
      <c r="R1627" s="84" t="str">
        <f>IF(
   COUNTIFS($A$2:A1627,A1627,
             $B$2:B1627,B1627,
             $C$2:C1627,C1627,
             $D$2:D1627,D1627,
             $G$2:G1627,G1627)&gt;1,
   "Doublon",
   "Correcte"
)</f>
        <v>Correcte</v>
      </c>
    </row>
    <row r="1628" spans="1:18" x14ac:dyDescent="0.25">
      <c r="A1628" s="104" t="s">
        <v>2245</v>
      </c>
      <c r="B1628" s="35" t="s">
        <v>712</v>
      </c>
      <c r="C1628" s="36">
        <v>5</v>
      </c>
      <c r="D1628" s="36">
        <v>0</v>
      </c>
      <c r="E1628" s="35" t="s">
        <v>699</v>
      </c>
      <c r="F1628" s="35" t="s">
        <v>634</v>
      </c>
      <c r="G1628" s="37">
        <v>45940.449571759258</v>
      </c>
      <c r="H1628" s="37" t="str">
        <f>INDEX(_xlfn.TEXTSPLIT(mvtst[[#This Row],[QR Suivis]],"_"),1,1)</f>
        <v>OF249816-20</v>
      </c>
      <c r="I1628" s="35" t="str">
        <f>_xlfn.TEXTBEFORE(mvtst[[#This Row],[Num Suivis]],"-",,,1)</f>
        <v>OF249816</v>
      </c>
      <c r="J1628" s="36">
        <f>SUMIF(mvtst[QR Suivis],mvtst[[#This Row],[QR Suivis]],mvtst[QTE SORTIS])-SUMIF(mvtst[QR Suivis],mvtst[[#This Row],[QR Suivis]],mvtst[QTE RETOUR])</f>
        <v>0</v>
      </c>
      <c r="K1628" s="35" t="str">
        <f t="shared" ref="K1628:K1660" si="26">"Usine"</f>
        <v>Usine</v>
      </c>
      <c r="L1628" s="35" t="str">
        <f>_xlfn.XLOOKUP(mvtst[[#This Row],[Sous Traitant]],coordonnee_st[Identification],coordonnee_st[SERVICE],"Non Trouvé")</f>
        <v>Frange</v>
      </c>
      <c r="M1628" s="35" t="str">
        <f>INDEX(_xlfn.TEXTSPLIT(mvtst[[#This Row],[QR Suivis]],"_"),1,2)</f>
        <v>CL00884</v>
      </c>
      <c r="N1628" s="35" t="str">
        <f>INDEX(_xlfn.TEXTSPLIT(mvtst[[#This Row],[QR Suivis]],"_"),1,3)</f>
        <v>CM-FT0119</v>
      </c>
      <c r="O1628" s="35" t="str">
        <f>INDEX(_xlfn.TEXTSPLIT(mvtst[[#This Row],[QR Suivis]],"_"),1,4)</f>
        <v>SO1020-Q29-11-14</v>
      </c>
      <c r="P1628" s="35" t="str">
        <f>INDEX(_xlfn.TEXTSPLIT(mvtst[[#This Row],[QR Suivis]],"_"),1,5)</f>
        <v>SOUSSE</v>
      </c>
      <c r="Q1628" s="35" t="str">
        <f>_xlfn.TEXTAFTER(mvtst[[#This Row],[QR Suivis]],"_",5)</f>
        <v>1020</v>
      </c>
      <c r="R1628" s="84" t="str">
        <f>IF(
   COUNTIFS($A$2:A1628,A1628,
             $B$2:B1628,B1628,
             $C$2:C1628,C1628,
             $D$2:D1628,D1628,
             $G$2:G1628,G1628)&gt;1,
   "Doublon",
   "Correcte"
)</f>
        <v>Correcte</v>
      </c>
    </row>
    <row r="1629" spans="1:18" x14ac:dyDescent="0.25">
      <c r="A1629" s="104" t="s">
        <v>2246</v>
      </c>
      <c r="B1629" s="35" t="s">
        <v>712</v>
      </c>
      <c r="C1629" s="36">
        <v>5</v>
      </c>
      <c r="D1629" s="36">
        <v>0</v>
      </c>
      <c r="E1629" s="35" t="s">
        <v>699</v>
      </c>
      <c r="F1629" s="35" t="s">
        <v>634</v>
      </c>
      <c r="G1629" s="37">
        <v>45940.450011574074</v>
      </c>
      <c r="H1629" s="37" t="str">
        <f>INDEX(_xlfn.TEXTSPLIT(mvtst[[#This Row],[QR Suivis]],"_"),1,1)</f>
        <v>OF249816-25</v>
      </c>
      <c r="I1629" s="35" t="str">
        <f>_xlfn.TEXTBEFORE(mvtst[[#This Row],[Num Suivis]],"-",,,1)</f>
        <v>OF249816</v>
      </c>
      <c r="J1629" s="36">
        <f>SUMIF(mvtst[QR Suivis],mvtst[[#This Row],[QR Suivis]],mvtst[QTE SORTIS])-SUMIF(mvtst[QR Suivis],mvtst[[#This Row],[QR Suivis]],mvtst[QTE RETOUR])</f>
        <v>0</v>
      </c>
      <c r="K1629" s="35" t="str">
        <f t="shared" si="26"/>
        <v>Usine</v>
      </c>
      <c r="L1629" s="35" t="str">
        <f>_xlfn.XLOOKUP(mvtst[[#This Row],[Sous Traitant]],coordonnee_st[Identification],coordonnee_st[SERVICE],"Non Trouvé")</f>
        <v>Frange</v>
      </c>
      <c r="M1629" s="35" t="str">
        <f>INDEX(_xlfn.TEXTSPLIT(mvtst[[#This Row],[QR Suivis]],"_"),1,2)</f>
        <v>CL00884</v>
      </c>
      <c r="N1629" s="35" t="str">
        <f>INDEX(_xlfn.TEXTSPLIT(mvtst[[#This Row],[QR Suivis]],"_"),1,3)</f>
        <v>CM-FT0119</v>
      </c>
      <c r="O1629" s="35" t="str">
        <f>INDEX(_xlfn.TEXTSPLIT(mvtst[[#This Row],[QR Suivis]],"_"),1,4)</f>
        <v>SO1020-Q29-11-14</v>
      </c>
      <c r="P1629" s="35" t="str">
        <f>INDEX(_xlfn.TEXTSPLIT(mvtst[[#This Row],[QR Suivis]],"_"),1,5)</f>
        <v>SOUSSE</v>
      </c>
      <c r="Q1629" s="35" t="str">
        <f>_xlfn.TEXTAFTER(mvtst[[#This Row],[QR Suivis]],"_",5)</f>
        <v>1020</v>
      </c>
      <c r="R1629" s="84" t="str">
        <f>IF(
   COUNTIFS($A$2:A1629,A1629,
             $B$2:B1629,B1629,
             $C$2:C1629,C1629,
             $D$2:D1629,D1629,
             $G$2:G1629,G1629)&gt;1,
   "Doublon",
   "Correcte"
)</f>
        <v>Correcte</v>
      </c>
    </row>
    <row r="1630" spans="1:18" x14ac:dyDescent="0.25">
      <c r="A1630" s="104" t="s">
        <v>2247</v>
      </c>
      <c r="B1630" s="35" t="s">
        <v>712</v>
      </c>
      <c r="C1630" s="36">
        <v>5</v>
      </c>
      <c r="D1630" s="36">
        <v>0</v>
      </c>
      <c r="E1630" s="35" t="s">
        <v>699</v>
      </c>
      <c r="F1630" s="35" t="s">
        <v>634</v>
      </c>
      <c r="G1630" s="37">
        <v>45940.450335648151</v>
      </c>
      <c r="H1630" s="37" t="str">
        <f>INDEX(_xlfn.TEXTSPLIT(mvtst[[#This Row],[QR Suivis]],"_"),1,1)</f>
        <v>OF249816-26</v>
      </c>
      <c r="I1630" s="35" t="str">
        <f>_xlfn.TEXTBEFORE(mvtst[[#This Row],[Num Suivis]],"-",,,1)</f>
        <v>OF249816</v>
      </c>
      <c r="J1630" s="36">
        <f>SUMIF(mvtst[QR Suivis],mvtst[[#This Row],[QR Suivis]],mvtst[QTE SORTIS])-SUMIF(mvtst[QR Suivis],mvtst[[#This Row],[QR Suivis]],mvtst[QTE RETOUR])</f>
        <v>0</v>
      </c>
      <c r="K1630" s="35" t="str">
        <f t="shared" si="26"/>
        <v>Usine</v>
      </c>
      <c r="L1630" s="35" t="str">
        <f>_xlfn.XLOOKUP(mvtst[[#This Row],[Sous Traitant]],coordonnee_st[Identification],coordonnee_st[SERVICE],"Non Trouvé")</f>
        <v>Frange</v>
      </c>
      <c r="M1630" s="35" t="str">
        <f>INDEX(_xlfn.TEXTSPLIT(mvtst[[#This Row],[QR Suivis]],"_"),1,2)</f>
        <v>CL00884</v>
      </c>
      <c r="N1630" s="35" t="str">
        <f>INDEX(_xlfn.TEXTSPLIT(mvtst[[#This Row],[QR Suivis]],"_"),1,3)</f>
        <v>CM-FT0119</v>
      </c>
      <c r="O1630" s="35" t="str">
        <f>INDEX(_xlfn.TEXTSPLIT(mvtst[[#This Row],[QR Suivis]],"_"),1,4)</f>
        <v>SO1020-Q29-11-14</v>
      </c>
      <c r="P1630" s="35" t="str">
        <f>INDEX(_xlfn.TEXTSPLIT(mvtst[[#This Row],[QR Suivis]],"_"),1,5)</f>
        <v>SOUSSE</v>
      </c>
      <c r="Q1630" s="35" t="str">
        <f>_xlfn.TEXTAFTER(mvtst[[#This Row],[QR Suivis]],"_",5)</f>
        <v>1020</v>
      </c>
      <c r="R1630" s="84" t="str">
        <f>IF(
   COUNTIFS($A$2:A1630,A1630,
             $B$2:B1630,B1630,
             $C$2:C1630,C1630,
             $D$2:D1630,D1630,
             $G$2:G1630,G1630)&gt;1,
   "Doublon",
   "Correcte"
)</f>
        <v>Correcte</v>
      </c>
    </row>
    <row r="1631" spans="1:18" x14ac:dyDescent="0.25">
      <c r="A1631" s="104" t="s">
        <v>2248</v>
      </c>
      <c r="B1631" s="35" t="s">
        <v>712</v>
      </c>
      <c r="C1631" s="36">
        <v>5</v>
      </c>
      <c r="D1631" s="36">
        <v>0</v>
      </c>
      <c r="E1631" s="35" t="s">
        <v>699</v>
      </c>
      <c r="F1631" s="35" t="s">
        <v>634</v>
      </c>
      <c r="G1631" s="37">
        <v>45940.450543981482</v>
      </c>
      <c r="H1631" s="37" t="str">
        <f>INDEX(_xlfn.TEXTSPLIT(mvtst[[#This Row],[QR Suivis]],"_"),1,1)</f>
        <v>OF249816-27</v>
      </c>
      <c r="I1631" s="35" t="str">
        <f>_xlfn.TEXTBEFORE(mvtst[[#This Row],[Num Suivis]],"-",,,1)</f>
        <v>OF249816</v>
      </c>
      <c r="J1631" s="36">
        <f>SUMIF(mvtst[QR Suivis],mvtst[[#This Row],[QR Suivis]],mvtst[QTE SORTIS])-SUMIF(mvtst[QR Suivis],mvtst[[#This Row],[QR Suivis]],mvtst[QTE RETOUR])</f>
        <v>0</v>
      </c>
      <c r="K1631" s="35" t="str">
        <f t="shared" si="26"/>
        <v>Usine</v>
      </c>
      <c r="L1631" s="35" t="str">
        <f>_xlfn.XLOOKUP(mvtst[[#This Row],[Sous Traitant]],coordonnee_st[Identification],coordonnee_st[SERVICE],"Non Trouvé")</f>
        <v>Frange</v>
      </c>
      <c r="M1631" s="35" t="str">
        <f>INDEX(_xlfn.TEXTSPLIT(mvtst[[#This Row],[QR Suivis]],"_"),1,2)</f>
        <v>CL00884</v>
      </c>
      <c r="N1631" s="35" t="str">
        <f>INDEX(_xlfn.TEXTSPLIT(mvtst[[#This Row],[QR Suivis]],"_"),1,3)</f>
        <v>CM-FT0119</v>
      </c>
      <c r="O1631" s="35" t="str">
        <f>INDEX(_xlfn.TEXTSPLIT(mvtst[[#This Row],[QR Suivis]],"_"),1,4)</f>
        <v>SO1020-Q29-11-14</v>
      </c>
      <c r="P1631" s="35" t="str">
        <f>INDEX(_xlfn.TEXTSPLIT(mvtst[[#This Row],[QR Suivis]],"_"),1,5)</f>
        <v>SOUSSE</v>
      </c>
      <c r="Q1631" s="35" t="str">
        <f>_xlfn.TEXTAFTER(mvtst[[#This Row],[QR Suivis]],"_",5)</f>
        <v>1020</v>
      </c>
      <c r="R1631" s="84" t="str">
        <f>IF(
   COUNTIFS($A$2:A1631,A1631,
             $B$2:B1631,B1631,
             $C$2:C1631,C1631,
             $D$2:D1631,D1631,
             $G$2:G1631,G1631)&gt;1,
   "Doublon",
   "Correcte"
)</f>
        <v>Correcte</v>
      </c>
    </row>
    <row r="1632" spans="1:18" x14ac:dyDescent="0.25">
      <c r="A1632" s="104" t="s">
        <v>2249</v>
      </c>
      <c r="B1632" s="35" t="s">
        <v>712</v>
      </c>
      <c r="C1632" s="36">
        <v>5</v>
      </c>
      <c r="D1632" s="36">
        <v>0</v>
      </c>
      <c r="E1632" s="35" t="s">
        <v>699</v>
      </c>
      <c r="F1632" s="35" t="s">
        <v>634</v>
      </c>
      <c r="G1632" s="37">
        <v>45940.450949074075</v>
      </c>
      <c r="H1632" s="37" t="str">
        <f>INDEX(_xlfn.TEXTSPLIT(mvtst[[#This Row],[QR Suivis]],"_"),1,1)</f>
        <v>OF249816-37</v>
      </c>
      <c r="I1632" s="35" t="str">
        <f>_xlfn.TEXTBEFORE(mvtst[[#This Row],[Num Suivis]],"-",,,1)</f>
        <v>OF249816</v>
      </c>
      <c r="J1632" s="36">
        <f>SUMIF(mvtst[QR Suivis],mvtst[[#This Row],[QR Suivis]],mvtst[QTE SORTIS])-SUMIF(mvtst[QR Suivis],mvtst[[#This Row],[QR Suivis]],mvtst[QTE RETOUR])</f>
        <v>0</v>
      </c>
      <c r="K1632" s="35" t="str">
        <f t="shared" si="26"/>
        <v>Usine</v>
      </c>
      <c r="L1632" s="35" t="str">
        <f>_xlfn.XLOOKUP(mvtst[[#This Row],[Sous Traitant]],coordonnee_st[Identification],coordonnee_st[SERVICE],"Non Trouvé")</f>
        <v>Frange</v>
      </c>
      <c r="M1632" s="35" t="str">
        <f>INDEX(_xlfn.TEXTSPLIT(mvtst[[#This Row],[QR Suivis]],"_"),1,2)</f>
        <v>CL00884</v>
      </c>
      <c r="N1632" s="35" t="str">
        <f>INDEX(_xlfn.TEXTSPLIT(mvtst[[#This Row],[QR Suivis]],"_"),1,3)</f>
        <v>CM-FT0119</v>
      </c>
      <c r="O1632" s="35" t="str">
        <f>INDEX(_xlfn.TEXTSPLIT(mvtst[[#This Row],[QR Suivis]],"_"),1,4)</f>
        <v>SO1020-Q29-11-14</v>
      </c>
      <c r="P1632" s="35" t="str">
        <f>INDEX(_xlfn.TEXTSPLIT(mvtst[[#This Row],[QR Suivis]],"_"),1,5)</f>
        <v>SOUSSE</v>
      </c>
      <c r="Q1632" s="35" t="str">
        <f>_xlfn.TEXTAFTER(mvtst[[#This Row],[QR Suivis]],"_",5)</f>
        <v>1020</v>
      </c>
      <c r="R1632" s="84" t="str">
        <f>IF(
   COUNTIFS($A$2:A1632,A1632,
             $B$2:B1632,B1632,
             $C$2:C1632,C1632,
             $D$2:D1632,D1632,
             $G$2:G1632,G1632)&gt;1,
   "Doublon",
   "Correcte"
)</f>
        <v>Correcte</v>
      </c>
    </row>
    <row r="1633" spans="1:18" x14ac:dyDescent="0.25">
      <c r="A1633" s="104" t="s">
        <v>2250</v>
      </c>
      <c r="B1633" s="35" t="s">
        <v>712</v>
      </c>
      <c r="C1633" s="36">
        <v>5</v>
      </c>
      <c r="D1633" s="36">
        <v>0</v>
      </c>
      <c r="E1633" s="35" t="s">
        <v>699</v>
      </c>
      <c r="F1633" s="35" t="s">
        <v>634</v>
      </c>
      <c r="G1633" s="37">
        <v>45940.451620370368</v>
      </c>
      <c r="H1633" s="37" t="str">
        <f>INDEX(_xlfn.TEXTSPLIT(mvtst[[#This Row],[QR Suivis]],"_"),1,1)</f>
        <v>OF249816-28</v>
      </c>
      <c r="I1633" s="35" t="str">
        <f>_xlfn.TEXTBEFORE(mvtst[[#This Row],[Num Suivis]],"-",,,1)</f>
        <v>OF249816</v>
      </c>
      <c r="J1633" s="36">
        <f>SUMIF(mvtst[QR Suivis],mvtst[[#This Row],[QR Suivis]],mvtst[QTE SORTIS])-SUMIF(mvtst[QR Suivis],mvtst[[#This Row],[QR Suivis]],mvtst[QTE RETOUR])</f>
        <v>0</v>
      </c>
      <c r="K1633" s="35" t="str">
        <f t="shared" si="26"/>
        <v>Usine</v>
      </c>
      <c r="L1633" s="35" t="str">
        <f>_xlfn.XLOOKUP(mvtst[[#This Row],[Sous Traitant]],coordonnee_st[Identification],coordonnee_st[SERVICE],"Non Trouvé")</f>
        <v>Frange</v>
      </c>
      <c r="M1633" s="35" t="str">
        <f>INDEX(_xlfn.TEXTSPLIT(mvtst[[#This Row],[QR Suivis]],"_"),1,2)</f>
        <v>CL00884</v>
      </c>
      <c r="N1633" s="35" t="str">
        <f>INDEX(_xlfn.TEXTSPLIT(mvtst[[#This Row],[QR Suivis]],"_"),1,3)</f>
        <v>CM-FT0119</v>
      </c>
      <c r="O1633" s="35" t="str">
        <f>INDEX(_xlfn.TEXTSPLIT(mvtst[[#This Row],[QR Suivis]],"_"),1,4)</f>
        <v>SO1020-Q29-11-14</v>
      </c>
      <c r="P1633" s="35" t="str">
        <f>INDEX(_xlfn.TEXTSPLIT(mvtst[[#This Row],[QR Suivis]],"_"),1,5)</f>
        <v>SOUSSE</v>
      </c>
      <c r="Q1633" s="35" t="str">
        <f>_xlfn.TEXTAFTER(mvtst[[#This Row],[QR Suivis]],"_",5)</f>
        <v>1020</v>
      </c>
      <c r="R1633" s="84" t="str">
        <f>IF(
   COUNTIFS($A$2:A1633,A1633,
             $B$2:B1633,B1633,
             $C$2:C1633,C1633,
             $D$2:D1633,D1633,
             $G$2:G1633,G1633)&gt;1,
   "Doublon",
   "Correcte"
)</f>
        <v>Correcte</v>
      </c>
    </row>
    <row r="1634" spans="1:18" x14ac:dyDescent="0.25">
      <c r="A1634" s="104" t="s">
        <v>2251</v>
      </c>
      <c r="B1634" s="35" t="s">
        <v>712</v>
      </c>
      <c r="C1634" s="36">
        <v>5</v>
      </c>
      <c r="D1634" s="36">
        <v>0</v>
      </c>
      <c r="E1634" s="35" t="s">
        <v>699</v>
      </c>
      <c r="F1634" s="35" t="s">
        <v>634</v>
      </c>
      <c r="G1634" s="37">
        <v>45940.451793981483</v>
      </c>
      <c r="H1634" s="37" t="str">
        <f>INDEX(_xlfn.TEXTSPLIT(mvtst[[#This Row],[QR Suivis]],"_"),1,1)</f>
        <v>OF249816-29</v>
      </c>
      <c r="I1634" s="35" t="str">
        <f>_xlfn.TEXTBEFORE(mvtst[[#This Row],[Num Suivis]],"-",,,1)</f>
        <v>OF249816</v>
      </c>
      <c r="J1634" s="36">
        <f>SUMIF(mvtst[QR Suivis],mvtst[[#This Row],[QR Suivis]],mvtst[QTE SORTIS])-SUMIF(mvtst[QR Suivis],mvtst[[#This Row],[QR Suivis]],mvtst[QTE RETOUR])</f>
        <v>0</v>
      </c>
      <c r="K1634" s="35" t="str">
        <f t="shared" si="26"/>
        <v>Usine</v>
      </c>
      <c r="L1634" s="35" t="str">
        <f>_xlfn.XLOOKUP(mvtst[[#This Row],[Sous Traitant]],coordonnee_st[Identification],coordonnee_st[SERVICE],"Non Trouvé")</f>
        <v>Frange</v>
      </c>
      <c r="M1634" s="35" t="str">
        <f>INDEX(_xlfn.TEXTSPLIT(mvtst[[#This Row],[QR Suivis]],"_"),1,2)</f>
        <v>CL00884</v>
      </c>
      <c r="N1634" s="35" t="str">
        <f>INDEX(_xlfn.TEXTSPLIT(mvtst[[#This Row],[QR Suivis]],"_"),1,3)</f>
        <v>CM-FT0119</v>
      </c>
      <c r="O1634" s="35" t="str">
        <f>INDEX(_xlfn.TEXTSPLIT(mvtst[[#This Row],[QR Suivis]],"_"),1,4)</f>
        <v>SO1020-Q29-11-14</v>
      </c>
      <c r="P1634" s="35" t="str">
        <f>INDEX(_xlfn.TEXTSPLIT(mvtst[[#This Row],[QR Suivis]],"_"),1,5)</f>
        <v>SOUSSE</v>
      </c>
      <c r="Q1634" s="35" t="str">
        <f>_xlfn.TEXTAFTER(mvtst[[#This Row],[QR Suivis]],"_",5)</f>
        <v>1020</v>
      </c>
      <c r="R1634" s="84" t="str">
        <f>IF(
   COUNTIFS($A$2:A1634,A1634,
             $B$2:B1634,B1634,
             $C$2:C1634,C1634,
             $D$2:D1634,D1634,
             $G$2:G1634,G1634)&gt;1,
   "Doublon",
   "Correcte"
)</f>
        <v>Correcte</v>
      </c>
    </row>
    <row r="1635" spans="1:18" x14ac:dyDescent="0.25">
      <c r="A1635" s="104" t="s">
        <v>2252</v>
      </c>
      <c r="B1635" s="35" t="s">
        <v>712</v>
      </c>
      <c r="C1635" s="36">
        <v>5</v>
      </c>
      <c r="D1635" s="36">
        <v>0</v>
      </c>
      <c r="E1635" s="35" t="s">
        <v>699</v>
      </c>
      <c r="F1635" s="35" t="s">
        <v>634</v>
      </c>
      <c r="G1635" s="37">
        <v>45940.451979166668</v>
      </c>
      <c r="H1635" s="37" t="str">
        <f>INDEX(_xlfn.TEXTSPLIT(mvtst[[#This Row],[QR Suivis]],"_"),1,1)</f>
        <v>OF249816-31</v>
      </c>
      <c r="I1635" s="35" t="str">
        <f>_xlfn.TEXTBEFORE(mvtst[[#This Row],[Num Suivis]],"-",,,1)</f>
        <v>OF249816</v>
      </c>
      <c r="J1635" s="36">
        <f>SUMIF(mvtst[QR Suivis],mvtst[[#This Row],[QR Suivis]],mvtst[QTE SORTIS])-SUMIF(mvtst[QR Suivis],mvtst[[#This Row],[QR Suivis]],mvtst[QTE RETOUR])</f>
        <v>0</v>
      </c>
      <c r="K1635" s="35" t="str">
        <f t="shared" si="26"/>
        <v>Usine</v>
      </c>
      <c r="L1635" s="35" t="str">
        <f>_xlfn.XLOOKUP(mvtst[[#This Row],[Sous Traitant]],coordonnee_st[Identification],coordonnee_st[SERVICE],"Non Trouvé")</f>
        <v>Frange</v>
      </c>
      <c r="M1635" s="35" t="str">
        <f>INDEX(_xlfn.TEXTSPLIT(mvtst[[#This Row],[QR Suivis]],"_"),1,2)</f>
        <v>CL00884</v>
      </c>
      <c r="N1635" s="35" t="str">
        <f>INDEX(_xlfn.TEXTSPLIT(mvtst[[#This Row],[QR Suivis]],"_"),1,3)</f>
        <v>CM-FT0119</v>
      </c>
      <c r="O1635" s="35" t="str">
        <f>INDEX(_xlfn.TEXTSPLIT(mvtst[[#This Row],[QR Suivis]],"_"),1,4)</f>
        <v>SO1020-Q29-11-14</v>
      </c>
      <c r="P1635" s="35" t="str">
        <f>INDEX(_xlfn.TEXTSPLIT(mvtst[[#This Row],[QR Suivis]],"_"),1,5)</f>
        <v>SOUSSE</v>
      </c>
      <c r="Q1635" s="35" t="str">
        <f>_xlfn.TEXTAFTER(mvtst[[#This Row],[QR Suivis]],"_",5)</f>
        <v>1020</v>
      </c>
      <c r="R1635" s="84" t="str">
        <f>IF(
   COUNTIFS($A$2:A1635,A1635,
             $B$2:B1635,B1635,
             $C$2:C1635,C1635,
             $D$2:D1635,D1635,
             $G$2:G1635,G1635)&gt;1,
   "Doublon",
   "Correcte"
)</f>
        <v>Correcte</v>
      </c>
    </row>
    <row r="1636" spans="1:18" x14ac:dyDescent="0.25">
      <c r="A1636" s="104" t="s">
        <v>2253</v>
      </c>
      <c r="B1636" s="35" t="s">
        <v>712</v>
      </c>
      <c r="C1636" s="36">
        <v>5</v>
      </c>
      <c r="D1636" s="36">
        <v>0</v>
      </c>
      <c r="E1636" s="35" t="s">
        <v>699</v>
      </c>
      <c r="F1636" s="35" t="s">
        <v>634</v>
      </c>
      <c r="G1636" s="37">
        <v>45940.452245370368</v>
      </c>
      <c r="H1636" s="37" t="str">
        <f>INDEX(_xlfn.TEXTSPLIT(mvtst[[#This Row],[QR Suivis]],"_"),1,1)</f>
        <v>OF249816-35</v>
      </c>
      <c r="I1636" s="35" t="str">
        <f>_xlfn.TEXTBEFORE(mvtst[[#This Row],[Num Suivis]],"-",,,1)</f>
        <v>OF249816</v>
      </c>
      <c r="J1636" s="36">
        <f>SUMIF(mvtst[QR Suivis],mvtst[[#This Row],[QR Suivis]],mvtst[QTE SORTIS])-SUMIF(mvtst[QR Suivis],mvtst[[#This Row],[QR Suivis]],mvtst[QTE RETOUR])</f>
        <v>0</v>
      </c>
      <c r="K1636" s="35" t="str">
        <f t="shared" si="26"/>
        <v>Usine</v>
      </c>
      <c r="L1636" s="35" t="str">
        <f>_xlfn.XLOOKUP(mvtst[[#This Row],[Sous Traitant]],coordonnee_st[Identification],coordonnee_st[SERVICE],"Non Trouvé")</f>
        <v>Frange</v>
      </c>
      <c r="M1636" s="35" t="str">
        <f>INDEX(_xlfn.TEXTSPLIT(mvtst[[#This Row],[QR Suivis]],"_"),1,2)</f>
        <v>CL00884</v>
      </c>
      <c r="N1636" s="35" t="str">
        <f>INDEX(_xlfn.TEXTSPLIT(mvtst[[#This Row],[QR Suivis]],"_"),1,3)</f>
        <v>CM-FT0119</v>
      </c>
      <c r="O1636" s="35" t="str">
        <f>INDEX(_xlfn.TEXTSPLIT(mvtst[[#This Row],[QR Suivis]],"_"),1,4)</f>
        <v>SO1020-Q29-11-14</v>
      </c>
      <c r="P1636" s="35" t="str">
        <f>INDEX(_xlfn.TEXTSPLIT(mvtst[[#This Row],[QR Suivis]],"_"),1,5)</f>
        <v>SOUSSE</v>
      </c>
      <c r="Q1636" s="35" t="str">
        <f>_xlfn.TEXTAFTER(mvtst[[#This Row],[QR Suivis]],"_",5)</f>
        <v>1020</v>
      </c>
      <c r="R1636" s="84" t="str">
        <f>IF(
   COUNTIFS($A$2:A1636,A1636,
             $B$2:B1636,B1636,
             $C$2:C1636,C1636,
             $D$2:D1636,D1636,
             $G$2:G1636,G1636)&gt;1,
   "Doublon",
   "Correcte"
)</f>
        <v>Correcte</v>
      </c>
    </row>
    <row r="1637" spans="1:18" x14ac:dyDescent="0.25">
      <c r="A1637" s="104" t="s">
        <v>2254</v>
      </c>
      <c r="B1637" s="35" t="s">
        <v>712</v>
      </c>
      <c r="C1637" s="36">
        <v>5</v>
      </c>
      <c r="D1637" s="36">
        <v>0</v>
      </c>
      <c r="E1637" s="35" t="s">
        <v>699</v>
      </c>
      <c r="F1637" s="35" t="s">
        <v>634</v>
      </c>
      <c r="G1637" s="37">
        <v>45940.452499999999</v>
      </c>
      <c r="H1637" s="37" t="str">
        <f>INDEX(_xlfn.TEXTSPLIT(mvtst[[#This Row],[QR Suivis]],"_"),1,1)</f>
        <v>OF249816-36</v>
      </c>
      <c r="I1637" s="35" t="str">
        <f>_xlfn.TEXTBEFORE(mvtst[[#This Row],[Num Suivis]],"-",,,1)</f>
        <v>OF249816</v>
      </c>
      <c r="J1637" s="36">
        <f>SUMIF(mvtst[QR Suivis],mvtst[[#This Row],[QR Suivis]],mvtst[QTE SORTIS])-SUMIF(mvtst[QR Suivis],mvtst[[#This Row],[QR Suivis]],mvtst[QTE RETOUR])</f>
        <v>0</v>
      </c>
      <c r="K1637" s="35" t="str">
        <f t="shared" si="26"/>
        <v>Usine</v>
      </c>
      <c r="L1637" s="35" t="str">
        <f>_xlfn.XLOOKUP(mvtst[[#This Row],[Sous Traitant]],coordonnee_st[Identification],coordonnee_st[SERVICE],"Non Trouvé")</f>
        <v>Frange</v>
      </c>
      <c r="M1637" s="35" t="str">
        <f>INDEX(_xlfn.TEXTSPLIT(mvtst[[#This Row],[QR Suivis]],"_"),1,2)</f>
        <v>CL00884</v>
      </c>
      <c r="N1637" s="35" t="str">
        <f>INDEX(_xlfn.TEXTSPLIT(mvtst[[#This Row],[QR Suivis]],"_"),1,3)</f>
        <v>CM-FT0119</v>
      </c>
      <c r="O1637" s="35" t="str">
        <f>INDEX(_xlfn.TEXTSPLIT(mvtst[[#This Row],[QR Suivis]],"_"),1,4)</f>
        <v>SO1020-Q29-11-14</v>
      </c>
      <c r="P1637" s="35" t="str">
        <f>INDEX(_xlfn.TEXTSPLIT(mvtst[[#This Row],[QR Suivis]],"_"),1,5)</f>
        <v>SOUSSE</v>
      </c>
      <c r="Q1637" s="35" t="str">
        <f>_xlfn.TEXTAFTER(mvtst[[#This Row],[QR Suivis]],"_",5)</f>
        <v>1020</v>
      </c>
      <c r="R1637" s="84" t="str">
        <f>IF(
   COUNTIFS($A$2:A1637,A1637,
             $B$2:B1637,B1637,
             $C$2:C1637,C1637,
             $D$2:D1637,D1637,
             $G$2:G1637,G1637)&gt;1,
   "Doublon",
   "Correcte"
)</f>
        <v>Correcte</v>
      </c>
    </row>
    <row r="1638" spans="1:18" x14ac:dyDescent="0.25">
      <c r="A1638" s="104" t="s">
        <v>2255</v>
      </c>
      <c r="B1638" s="35" t="s">
        <v>712</v>
      </c>
      <c r="C1638" s="36">
        <v>5</v>
      </c>
      <c r="D1638" s="36">
        <v>0</v>
      </c>
      <c r="E1638" s="35" t="s">
        <v>699</v>
      </c>
      <c r="F1638" s="35" t="s">
        <v>634</v>
      </c>
      <c r="G1638" s="37">
        <v>45940.452731481484</v>
      </c>
      <c r="H1638" s="37" t="str">
        <f>INDEX(_xlfn.TEXTSPLIT(mvtst[[#This Row],[QR Suivis]],"_"),1,1)</f>
        <v>OF249816-38</v>
      </c>
      <c r="I1638" s="35" t="str">
        <f>_xlfn.TEXTBEFORE(mvtst[[#This Row],[Num Suivis]],"-",,,1)</f>
        <v>OF249816</v>
      </c>
      <c r="J1638" s="36">
        <f>SUMIF(mvtst[QR Suivis],mvtst[[#This Row],[QR Suivis]],mvtst[QTE SORTIS])-SUMIF(mvtst[QR Suivis],mvtst[[#This Row],[QR Suivis]],mvtst[QTE RETOUR])</f>
        <v>0</v>
      </c>
      <c r="K1638" s="35" t="str">
        <f t="shared" si="26"/>
        <v>Usine</v>
      </c>
      <c r="L1638" s="35" t="str">
        <f>_xlfn.XLOOKUP(mvtst[[#This Row],[Sous Traitant]],coordonnee_st[Identification],coordonnee_st[SERVICE],"Non Trouvé")</f>
        <v>Frange</v>
      </c>
      <c r="M1638" s="35" t="str">
        <f>INDEX(_xlfn.TEXTSPLIT(mvtst[[#This Row],[QR Suivis]],"_"),1,2)</f>
        <v>CL00884</v>
      </c>
      <c r="N1638" s="35" t="str">
        <f>INDEX(_xlfn.TEXTSPLIT(mvtst[[#This Row],[QR Suivis]],"_"),1,3)</f>
        <v>CM-FT0119</v>
      </c>
      <c r="O1638" s="35" t="str">
        <f>INDEX(_xlfn.TEXTSPLIT(mvtst[[#This Row],[QR Suivis]],"_"),1,4)</f>
        <v>SO1020-Q29-11-14</v>
      </c>
      <c r="P1638" s="35" t="str">
        <f>INDEX(_xlfn.TEXTSPLIT(mvtst[[#This Row],[QR Suivis]],"_"),1,5)</f>
        <v>SOUSSE</v>
      </c>
      <c r="Q1638" s="35" t="str">
        <f>_xlfn.TEXTAFTER(mvtst[[#This Row],[QR Suivis]],"_",5)</f>
        <v>1020</v>
      </c>
      <c r="R1638" s="84" t="str">
        <f>IF(
   COUNTIFS($A$2:A1638,A1638,
             $B$2:B1638,B1638,
             $C$2:C1638,C1638,
             $D$2:D1638,D1638,
             $G$2:G1638,G1638)&gt;1,
   "Doublon",
   "Correcte"
)</f>
        <v>Correcte</v>
      </c>
    </row>
    <row r="1639" spans="1:18" x14ac:dyDescent="0.25">
      <c r="A1639" s="104" t="s">
        <v>2256</v>
      </c>
      <c r="B1639" s="35" t="s">
        <v>712</v>
      </c>
      <c r="C1639" s="36">
        <v>5</v>
      </c>
      <c r="D1639" s="36">
        <v>0</v>
      </c>
      <c r="E1639" s="35" t="s">
        <v>699</v>
      </c>
      <c r="F1639" s="35" t="s">
        <v>634</v>
      </c>
      <c r="G1639" s="37">
        <v>45940.452951388892</v>
      </c>
      <c r="H1639" s="37" t="str">
        <f>INDEX(_xlfn.TEXTSPLIT(mvtst[[#This Row],[QR Suivis]],"_"),1,1)</f>
        <v>OF249816-34</v>
      </c>
      <c r="I1639" s="35" t="str">
        <f>_xlfn.TEXTBEFORE(mvtst[[#This Row],[Num Suivis]],"-",,,1)</f>
        <v>OF249816</v>
      </c>
      <c r="J1639" s="36">
        <f>SUMIF(mvtst[QR Suivis],mvtst[[#This Row],[QR Suivis]],mvtst[QTE SORTIS])-SUMIF(mvtst[QR Suivis],mvtst[[#This Row],[QR Suivis]],mvtst[QTE RETOUR])</f>
        <v>0</v>
      </c>
      <c r="K1639" s="35" t="str">
        <f t="shared" si="26"/>
        <v>Usine</v>
      </c>
      <c r="L1639" s="35" t="str">
        <f>_xlfn.XLOOKUP(mvtst[[#This Row],[Sous Traitant]],coordonnee_st[Identification],coordonnee_st[SERVICE],"Non Trouvé")</f>
        <v>Frange</v>
      </c>
      <c r="M1639" s="35" t="str">
        <f>INDEX(_xlfn.TEXTSPLIT(mvtst[[#This Row],[QR Suivis]],"_"),1,2)</f>
        <v>CL00884</v>
      </c>
      <c r="N1639" s="35" t="str">
        <f>INDEX(_xlfn.TEXTSPLIT(mvtst[[#This Row],[QR Suivis]],"_"),1,3)</f>
        <v>CM-FT0119</v>
      </c>
      <c r="O1639" s="35" t="str">
        <f>INDEX(_xlfn.TEXTSPLIT(mvtst[[#This Row],[QR Suivis]],"_"),1,4)</f>
        <v>SO1020-Q29-11-14</v>
      </c>
      <c r="P1639" s="35" t="str">
        <f>INDEX(_xlfn.TEXTSPLIT(mvtst[[#This Row],[QR Suivis]],"_"),1,5)</f>
        <v>SOUSSE</v>
      </c>
      <c r="Q1639" s="35" t="str">
        <f>_xlfn.TEXTAFTER(mvtst[[#This Row],[QR Suivis]],"_",5)</f>
        <v>1020</v>
      </c>
      <c r="R1639" s="84" t="str">
        <f>IF(
   COUNTIFS($A$2:A1639,A1639,
             $B$2:B1639,B1639,
             $C$2:C1639,C1639,
             $D$2:D1639,D1639,
             $G$2:G1639,G1639)&gt;1,
   "Doublon",
   "Correcte"
)</f>
        <v>Correcte</v>
      </c>
    </row>
    <row r="1640" spans="1:18" x14ac:dyDescent="0.25">
      <c r="A1640" s="104" t="s">
        <v>2257</v>
      </c>
      <c r="B1640" s="35" t="s">
        <v>712</v>
      </c>
      <c r="C1640" s="36">
        <v>5</v>
      </c>
      <c r="D1640" s="36">
        <v>0</v>
      </c>
      <c r="E1640" s="35" t="s">
        <v>699</v>
      </c>
      <c r="F1640" s="35" t="s">
        <v>634</v>
      </c>
      <c r="G1640" s="37">
        <v>45940.453148148146</v>
      </c>
      <c r="H1640" s="37" t="str">
        <f>INDEX(_xlfn.TEXTSPLIT(mvtst[[#This Row],[QR Suivis]],"_"),1,1)</f>
        <v>OF249816-15</v>
      </c>
      <c r="I1640" s="35" t="str">
        <f>_xlfn.TEXTBEFORE(mvtst[[#This Row],[Num Suivis]],"-",,,1)</f>
        <v>OF249816</v>
      </c>
      <c r="J1640" s="36">
        <f>SUMIF(mvtst[QR Suivis],mvtst[[#This Row],[QR Suivis]],mvtst[QTE SORTIS])-SUMIF(mvtst[QR Suivis],mvtst[[#This Row],[QR Suivis]],mvtst[QTE RETOUR])</f>
        <v>0</v>
      </c>
      <c r="K1640" s="35" t="str">
        <f t="shared" si="26"/>
        <v>Usine</v>
      </c>
      <c r="L1640" s="35" t="str">
        <f>_xlfn.XLOOKUP(mvtst[[#This Row],[Sous Traitant]],coordonnee_st[Identification],coordonnee_st[SERVICE],"Non Trouvé")</f>
        <v>Frange</v>
      </c>
      <c r="M1640" s="35" t="str">
        <f>INDEX(_xlfn.TEXTSPLIT(mvtst[[#This Row],[QR Suivis]],"_"),1,2)</f>
        <v>CL00884</v>
      </c>
      <c r="N1640" s="35" t="str">
        <f>INDEX(_xlfn.TEXTSPLIT(mvtst[[#This Row],[QR Suivis]],"_"),1,3)</f>
        <v>CM-FT0119</v>
      </c>
      <c r="O1640" s="35" t="str">
        <f>INDEX(_xlfn.TEXTSPLIT(mvtst[[#This Row],[QR Suivis]],"_"),1,4)</f>
        <v>SO1020-Q29-11-14</v>
      </c>
      <c r="P1640" s="35" t="str">
        <f>INDEX(_xlfn.TEXTSPLIT(mvtst[[#This Row],[QR Suivis]],"_"),1,5)</f>
        <v>SOUSSE</v>
      </c>
      <c r="Q1640" s="35" t="str">
        <f>_xlfn.TEXTAFTER(mvtst[[#This Row],[QR Suivis]],"_",5)</f>
        <v>1020</v>
      </c>
      <c r="R1640" s="84" t="str">
        <f>IF(
   COUNTIFS($A$2:A1640,A1640,
             $B$2:B1640,B1640,
             $C$2:C1640,C1640,
             $D$2:D1640,D1640,
             $G$2:G1640,G1640)&gt;1,
   "Doublon",
   "Correcte"
)</f>
        <v>Correcte</v>
      </c>
    </row>
    <row r="1641" spans="1:18" x14ac:dyDescent="0.25">
      <c r="A1641" s="104" t="s">
        <v>2258</v>
      </c>
      <c r="B1641" s="35" t="s">
        <v>712</v>
      </c>
      <c r="C1641" s="36">
        <v>5</v>
      </c>
      <c r="D1641" s="36">
        <v>0</v>
      </c>
      <c r="E1641" s="35" t="s">
        <v>699</v>
      </c>
      <c r="F1641" s="35" t="s">
        <v>634</v>
      </c>
      <c r="G1641" s="37">
        <v>45940.4534375</v>
      </c>
      <c r="H1641" s="37" t="str">
        <f>INDEX(_xlfn.TEXTSPLIT(mvtst[[#This Row],[QR Suivis]],"_"),1,1)</f>
        <v>OF249816-8</v>
      </c>
      <c r="I1641" s="35" t="str">
        <f>_xlfn.TEXTBEFORE(mvtst[[#This Row],[Num Suivis]],"-",,,1)</f>
        <v>OF249816</v>
      </c>
      <c r="J1641" s="36">
        <f>SUMIF(mvtst[QR Suivis],mvtst[[#This Row],[QR Suivis]],mvtst[QTE SORTIS])-SUMIF(mvtst[QR Suivis],mvtst[[#This Row],[QR Suivis]],mvtst[QTE RETOUR])</f>
        <v>0</v>
      </c>
      <c r="K1641" s="35" t="str">
        <f t="shared" si="26"/>
        <v>Usine</v>
      </c>
      <c r="L1641" s="35" t="str">
        <f>_xlfn.XLOOKUP(mvtst[[#This Row],[Sous Traitant]],coordonnee_st[Identification],coordonnee_st[SERVICE],"Non Trouvé")</f>
        <v>Frange</v>
      </c>
      <c r="M1641" s="35" t="str">
        <f>INDEX(_xlfn.TEXTSPLIT(mvtst[[#This Row],[QR Suivis]],"_"),1,2)</f>
        <v>CL00884</v>
      </c>
      <c r="N1641" s="35" t="str">
        <f>INDEX(_xlfn.TEXTSPLIT(mvtst[[#This Row],[QR Suivis]],"_"),1,3)</f>
        <v>CM-FT0119</v>
      </c>
      <c r="O1641" s="35" t="str">
        <f>INDEX(_xlfn.TEXTSPLIT(mvtst[[#This Row],[QR Suivis]],"_"),1,4)</f>
        <v>SO1020-Q29-11-14</v>
      </c>
      <c r="P1641" s="35" t="str">
        <f>INDEX(_xlfn.TEXTSPLIT(mvtst[[#This Row],[QR Suivis]],"_"),1,5)</f>
        <v>SOUSSE</v>
      </c>
      <c r="Q1641" s="35" t="str">
        <f>_xlfn.TEXTAFTER(mvtst[[#This Row],[QR Suivis]],"_",5)</f>
        <v>1020</v>
      </c>
      <c r="R1641" s="84" t="str">
        <f>IF(
   COUNTIFS($A$2:A1641,A1641,
             $B$2:B1641,B1641,
             $C$2:C1641,C1641,
             $D$2:D1641,D1641,
             $G$2:G1641,G1641)&gt;1,
   "Doublon",
   "Correcte"
)</f>
        <v>Correcte</v>
      </c>
    </row>
    <row r="1642" spans="1:18" x14ac:dyDescent="0.25">
      <c r="A1642" s="104" t="s">
        <v>2259</v>
      </c>
      <c r="B1642" s="35" t="s">
        <v>712</v>
      </c>
      <c r="C1642" s="36">
        <v>5</v>
      </c>
      <c r="D1642" s="36">
        <v>0</v>
      </c>
      <c r="E1642" s="35" t="s">
        <v>699</v>
      </c>
      <c r="F1642" s="35" t="s">
        <v>634</v>
      </c>
      <c r="G1642" s="37">
        <v>45940.45380787037</v>
      </c>
      <c r="H1642" s="37" t="str">
        <f>INDEX(_xlfn.TEXTSPLIT(mvtst[[#This Row],[QR Suivis]],"_"),1,1)</f>
        <v>OF249816-39</v>
      </c>
      <c r="I1642" s="35" t="str">
        <f>_xlfn.TEXTBEFORE(mvtst[[#This Row],[Num Suivis]],"-",,,1)</f>
        <v>OF249816</v>
      </c>
      <c r="J1642" s="36">
        <f>SUMIF(mvtst[QR Suivis],mvtst[[#This Row],[QR Suivis]],mvtst[QTE SORTIS])-SUMIF(mvtst[QR Suivis],mvtst[[#This Row],[QR Suivis]],mvtst[QTE RETOUR])</f>
        <v>0</v>
      </c>
      <c r="K1642" s="35" t="str">
        <f t="shared" si="26"/>
        <v>Usine</v>
      </c>
      <c r="L1642" s="35" t="str">
        <f>_xlfn.XLOOKUP(mvtst[[#This Row],[Sous Traitant]],coordonnee_st[Identification],coordonnee_st[SERVICE],"Non Trouvé")</f>
        <v>Frange</v>
      </c>
      <c r="M1642" s="35" t="str">
        <f>INDEX(_xlfn.TEXTSPLIT(mvtst[[#This Row],[QR Suivis]],"_"),1,2)</f>
        <v>CL00884</v>
      </c>
      <c r="N1642" s="35" t="str">
        <f>INDEX(_xlfn.TEXTSPLIT(mvtst[[#This Row],[QR Suivis]],"_"),1,3)</f>
        <v>CM-FT0119</v>
      </c>
      <c r="O1642" s="35" t="str">
        <f>INDEX(_xlfn.TEXTSPLIT(mvtst[[#This Row],[QR Suivis]],"_"),1,4)</f>
        <v>SO1020-Q29-11-14</v>
      </c>
      <c r="P1642" s="35" t="str">
        <f>INDEX(_xlfn.TEXTSPLIT(mvtst[[#This Row],[QR Suivis]],"_"),1,5)</f>
        <v>SOUSSE</v>
      </c>
      <c r="Q1642" s="35" t="str">
        <f>_xlfn.TEXTAFTER(mvtst[[#This Row],[QR Suivis]],"_",5)</f>
        <v>1020</v>
      </c>
      <c r="R1642" s="84" t="str">
        <f>IF(
   COUNTIFS($A$2:A1642,A1642,
             $B$2:B1642,B1642,
             $C$2:C1642,C1642,
             $D$2:D1642,D1642,
             $G$2:G1642,G1642)&gt;1,
   "Doublon",
   "Correcte"
)</f>
        <v>Correcte</v>
      </c>
    </row>
    <row r="1643" spans="1:18" x14ac:dyDescent="0.25">
      <c r="A1643" s="104" t="s">
        <v>2260</v>
      </c>
      <c r="B1643" s="35" t="s">
        <v>712</v>
      </c>
      <c r="C1643" s="36">
        <v>5</v>
      </c>
      <c r="D1643" s="36">
        <v>0</v>
      </c>
      <c r="E1643" s="35" t="s">
        <v>699</v>
      </c>
      <c r="F1643" s="35" t="s">
        <v>634</v>
      </c>
      <c r="G1643" s="37">
        <v>45940.454050925924</v>
      </c>
      <c r="H1643" s="37" t="str">
        <f>INDEX(_xlfn.TEXTSPLIT(mvtst[[#This Row],[QR Suivis]],"_"),1,1)</f>
        <v>OF249816-30</v>
      </c>
      <c r="I1643" s="35" t="str">
        <f>_xlfn.TEXTBEFORE(mvtst[[#This Row],[Num Suivis]],"-",,,1)</f>
        <v>OF249816</v>
      </c>
      <c r="J1643" s="36">
        <f>SUMIF(mvtst[QR Suivis],mvtst[[#This Row],[QR Suivis]],mvtst[QTE SORTIS])-SUMIF(mvtst[QR Suivis],mvtst[[#This Row],[QR Suivis]],mvtst[QTE RETOUR])</f>
        <v>0</v>
      </c>
      <c r="K1643" s="35" t="str">
        <f t="shared" si="26"/>
        <v>Usine</v>
      </c>
      <c r="L1643" s="35" t="str">
        <f>_xlfn.XLOOKUP(mvtst[[#This Row],[Sous Traitant]],coordonnee_st[Identification],coordonnee_st[SERVICE],"Non Trouvé")</f>
        <v>Frange</v>
      </c>
      <c r="M1643" s="35" t="str">
        <f>INDEX(_xlfn.TEXTSPLIT(mvtst[[#This Row],[QR Suivis]],"_"),1,2)</f>
        <v>CL00884</v>
      </c>
      <c r="N1643" s="35" t="str">
        <f>INDEX(_xlfn.TEXTSPLIT(mvtst[[#This Row],[QR Suivis]],"_"),1,3)</f>
        <v>CM-FT0119</v>
      </c>
      <c r="O1643" s="35" t="str">
        <f>INDEX(_xlfn.TEXTSPLIT(mvtst[[#This Row],[QR Suivis]],"_"),1,4)</f>
        <v>SO1020-Q29-11-14</v>
      </c>
      <c r="P1643" s="35" t="str">
        <f>INDEX(_xlfn.TEXTSPLIT(mvtst[[#This Row],[QR Suivis]],"_"),1,5)</f>
        <v>SOUSSE</v>
      </c>
      <c r="Q1643" s="35" t="str">
        <f>_xlfn.TEXTAFTER(mvtst[[#This Row],[QR Suivis]],"_",5)</f>
        <v>1020</v>
      </c>
      <c r="R1643" s="84" t="str">
        <f>IF(
   COUNTIFS($A$2:A1643,A1643,
             $B$2:B1643,B1643,
             $C$2:C1643,C1643,
             $D$2:D1643,D1643,
             $G$2:G1643,G1643)&gt;1,
   "Doublon",
   "Correcte"
)</f>
        <v>Correcte</v>
      </c>
    </row>
    <row r="1644" spans="1:18" x14ac:dyDescent="0.25">
      <c r="A1644" s="104" t="s">
        <v>2261</v>
      </c>
      <c r="B1644" s="35" t="s">
        <v>712</v>
      </c>
      <c r="C1644" s="36">
        <v>5</v>
      </c>
      <c r="D1644" s="36">
        <v>0</v>
      </c>
      <c r="E1644" s="35" t="s">
        <v>699</v>
      </c>
      <c r="F1644" s="35" t="s">
        <v>634</v>
      </c>
      <c r="G1644" s="37">
        <v>45940.454328703701</v>
      </c>
      <c r="H1644" s="37" t="str">
        <f>INDEX(_xlfn.TEXTSPLIT(mvtst[[#This Row],[QR Suivis]],"_"),1,1)</f>
        <v>OF249816-33</v>
      </c>
      <c r="I1644" s="35" t="str">
        <f>_xlfn.TEXTBEFORE(mvtst[[#This Row],[Num Suivis]],"-",,,1)</f>
        <v>OF249816</v>
      </c>
      <c r="J1644" s="36">
        <f>SUMIF(mvtst[QR Suivis],mvtst[[#This Row],[QR Suivis]],mvtst[QTE SORTIS])-SUMIF(mvtst[QR Suivis],mvtst[[#This Row],[QR Suivis]],mvtst[QTE RETOUR])</f>
        <v>0</v>
      </c>
      <c r="K1644" s="35" t="str">
        <f t="shared" si="26"/>
        <v>Usine</v>
      </c>
      <c r="L1644" s="35" t="str">
        <f>_xlfn.XLOOKUP(mvtst[[#This Row],[Sous Traitant]],coordonnee_st[Identification],coordonnee_st[SERVICE],"Non Trouvé")</f>
        <v>Frange</v>
      </c>
      <c r="M1644" s="35" t="str">
        <f>INDEX(_xlfn.TEXTSPLIT(mvtst[[#This Row],[QR Suivis]],"_"),1,2)</f>
        <v>CL00884</v>
      </c>
      <c r="N1644" s="35" t="str">
        <f>INDEX(_xlfn.TEXTSPLIT(mvtst[[#This Row],[QR Suivis]],"_"),1,3)</f>
        <v>CM-FT0119</v>
      </c>
      <c r="O1644" s="35" t="str">
        <f>INDEX(_xlfn.TEXTSPLIT(mvtst[[#This Row],[QR Suivis]],"_"),1,4)</f>
        <v>SO1020-Q29-11-14</v>
      </c>
      <c r="P1644" s="35" t="str">
        <f>INDEX(_xlfn.TEXTSPLIT(mvtst[[#This Row],[QR Suivis]],"_"),1,5)</f>
        <v>SOUSSE</v>
      </c>
      <c r="Q1644" s="35" t="str">
        <f>_xlfn.TEXTAFTER(mvtst[[#This Row],[QR Suivis]],"_",5)</f>
        <v>1020</v>
      </c>
      <c r="R1644" s="84" t="str">
        <f>IF(
   COUNTIFS($A$2:A1644,A1644,
             $B$2:B1644,B1644,
             $C$2:C1644,C1644,
             $D$2:D1644,D1644,
             $G$2:G1644,G1644)&gt;1,
   "Doublon",
   "Correcte"
)</f>
        <v>Correcte</v>
      </c>
    </row>
    <row r="1645" spans="1:18" x14ac:dyDescent="0.25">
      <c r="A1645" s="104" t="s">
        <v>2262</v>
      </c>
      <c r="B1645" s="35" t="s">
        <v>712</v>
      </c>
      <c r="C1645" s="36">
        <v>5</v>
      </c>
      <c r="D1645" s="36">
        <v>0</v>
      </c>
      <c r="E1645" s="35" t="s">
        <v>699</v>
      </c>
      <c r="F1645" s="35" t="s">
        <v>634</v>
      </c>
      <c r="G1645" s="37">
        <v>45940.454560185186</v>
      </c>
      <c r="H1645" s="37" t="str">
        <f>INDEX(_xlfn.TEXTSPLIT(mvtst[[#This Row],[QR Suivis]],"_"),1,1)</f>
        <v>OF249816-32</v>
      </c>
      <c r="I1645" s="35" t="str">
        <f>_xlfn.TEXTBEFORE(mvtst[[#This Row],[Num Suivis]],"-",,,1)</f>
        <v>OF249816</v>
      </c>
      <c r="J1645" s="36">
        <f>SUMIF(mvtst[QR Suivis],mvtst[[#This Row],[QR Suivis]],mvtst[QTE SORTIS])-SUMIF(mvtst[QR Suivis],mvtst[[#This Row],[QR Suivis]],mvtst[QTE RETOUR])</f>
        <v>0</v>
      </c>
      <c r="K1645" s="35" t="str">
        <f t="shared" si="26"/>
        <v>Usine</v>
      </c>
      <c r="L1645" s="35" t="str">
        <f>_xlfn.XLOOKUP(mvtst[[#This Row],[Sous Traitant]],coordonnee_st[Identification],coordonnee_st[SERVICE],"Non Trouvé")</f>
        <v>Frange</v>
      </c>
      <c r="M1645" s="35" t="str">
        <f>INDEX(_xlfn.TEXTSPLIT(mvtst[[#This Row],[QR Suivis]],"_"),1,2)</f>
        <v>CL00884</v>
      </c>
      <c r="N1645" s="35" t="str">
        <f>INDEX(_xlfn.TEXTSPLIT(mvtst[[#This Row],[QR Suivis]],"_"),1,3)</f>
        <v>CM-FT0119</v>
      </c>
      <c r="O1645" s="35" t="str">
        <f>INDEX(_xlfn.TEXTSPLIT(mvtst[[#This Row],[QR Suivis]],"_"),1,4)</f>
        <v>SO1020-Q29-11-14</v>
      </c>
      <c r="P1645" s="35" t="str">
        <f>INDEX(_xlfn.TEXTSPLIT(mvtst[[#This Row],[QR Suivis]],"_"),1,5)</f>
        <v>SOUSSE</v>
      </c>
      <c r="Q1645" s="35" t="str">
        <f>_xlfn.TEXTAFTER(mvtst[[#This Row],[QR Suivis]],"_",5)</f>
        <v>1020</v>
      </c>
      <c r="R1645" s="84" t="str">
        <f>IF(
   COUNTIFS($A$2:A1645,A1645,
             $B$2:B1645,B1645,
             $C$2:C1645,C1645,
             $D$2:D1645,D1645,
             $G$2:G1645,G1645)&gt;1,
   "Doublon",
   "Correcte"
)</f>
        <v>Correcte</v>
      </c>
    </row>
    <row r="1646" spans="1:18" x14ac:dyDescent="0.25">
      <c r="A1646" s="104" t="s">
        <v>2263</v>
      </c>
      <c r="B1646" s="35" t="s">
        <v>712</v>
      </c>
      <c r="C1646" s="36">
        <v>5</v>
      </c>
      <c r="D1646" s="36">
        <v>0</v>
      </c>
      <c r="E1646" s="35" t="s">
        <v>699</v>
      </c>
      <c r="F1646" s="35" t="s">
        <v>634</v>
      </c>
      <c r="G1646" s="37">
        <v>45940.454826388886</v>
      </c>
      <c r="H1646" s="37" t="str">
        <f>INDEX(_xlfn.TEXTSPLIT(mvtst[[#This Row],[QR Suivis]],"_"),1,1)</f>
        <v>OF249816-10</v>
      </c>
      <c r="I1646" s="35" t="str">
        <f>_xlfn.TEXTBEFORE(mvtst[[#This Row],[Num Suivis]],"-",,,1)</f>
        <v>OF249816</v>
      </c>
      <c r="J1646" s="36">
        <f>SUMIF(mvtst[QR Suivis],mvtst[[#This Row],[QR Suivis]],mvtst[QTE SORTIS])-SUMIF(mvtst[QR Suivis],mvtst[[#This Row],[QR Suivis]],mvtst[QTE RETOUR])</f>
        <v>0</v>
      </c>
      <c r="K1646" s="35" t="str">
        <f t="shared" si="26"/>
        <v>Usine</v>
      </c>
      <c r="L1646" s="35" t="str">
        <f>_xlfn.XLOOKUP(mvtst[[#This Row],[Sous Traitant]],coordonnee_st[Identification],coordonnee_st[SERVICE],"Non Trouvé")</f>
        <v>Frange</v>
      </c>
      <c r="M1646" s="35" t="str">
        <f>INDEX(_xlfn.TEXTSPLIT(mvtst[[#This Row],[QR Suivis]],"_"),1,2)</f>
        <v>CL00884</v>
      </c>
      <c r="N1646" s="35" t="str">
        <f>INDEX(_xlfn.TEXTSPLIT(mvtst[[#This Row],[QR Suivis]],"_"),1,3)</f>
        <v>CM-FT0119</v>
      </c>
      <c r="O1646" s="35" t="str">
        <f>INDEX(_xlfn.TEXTSPLIT(mvtst[[#This Row],[QR Suivis]],"_"),1,4)</f>
        <v>SO1020-Q29-11-14</v>
      </c>
      <c r="P1646" s="35" t="str">
        <f>INDEX(_xlfn.TEXTSPLIT(mvtst[[#This Row],[QR Suivis]],"_"),1,5)</f>
        <v>SOUSSE</v>
      </c>
      <c r="Q1646" s="35" t="str">
        <f>_xlfn.TEXTAFTER(mvtst[[#This Row],[QR Suivis]],"_",5)</f>
        <v>1020</v>
      </c>
      <c r="R1646" s="84" t="str">
        <f>IF(
   COUNTIFS($A$2:A1646,A1646,
             $B$2:B1646,B1646,
             $C$2:C1646,C1646,
             $D$2:D1646,D1646,
             $G$2:G1646,G1646)&gt;1,
   "Doublon",
   "Correcte"
)</f>
        <v>Correcte</v>
      </c>
    </row>
    <row r="1647" spans="1:18" x14ac:dyDescent="0.25">
      <c r="A1647" s="104" t="s">
        <v>2264</v>
      </c>
      <c r="B1647" s="35" t="s">
        <v>712</v>
      </c>
      <c r="C1647" s="36">
        <v>5</v>
      </c>
      <c r="D1647" s="36">
        <v>0</v>
      </c>
      <c r="E1647" s="35" t="s">
        <v>699</v>
      </c>
      <c r="F1647" s="35" t="s">
        <v>634</v>
      </c>
      <c r="G1647" s="37">
        <v>45940.455335648148</v>
      </c>
      <c r="H1647" s="37" t="str">
        <f>INDEX(_xlfn.TEXTSPLIT(mvtst[[#This Row],[QR Suivis]],"_"),1,1)</f>
        <v>OF249816-14</v>
      </c>
      <c r="I1647" s="35" t="str">
        <f>_xlfn.TEXTBEFORE(mvtst[[#This Row],[Num Suivis]],"-",,,1)</f>
        <v>OF249816</v>
      </c>
      <c r="J1647" s="36">
        <f>SUMIF(mvtst[QR Suivis],mvtst[[#This Row],[QR Suivis]],mvtst[QTE SORTIS])-SUMIF(mvtst[QR Suivis],mvtst[[#This Row],[QR Suivis]],mvtst[QTE RETOUR])</f>
        <v>0</v>
      </c>
      <c r="K1647" s="35" t="str">
        <f t="shared" si="26"/>
        <v>Usine</v>
      </c>
      <c r="L1647" s="35" t="str">
        <f>_xlfn.XLOOKUP(mvtst[[#This Row],[Sous Traitant]],coordonnee_st[Identification],coordonnee_st[SERVICE],"Non Trouvé")</f>
        <v>Frange</v>
      </c>
      <c r="M1647" s="35" t="str">
        <f>INDEX(_xlfn.TEXTSPLIT(mvtst[[#This Row],[QR Suivis]],"_"),1,2)</f>
        <v>CL00884</v>
      </c>
      <c r="N1647" s="35" t="str">
        <f>INDEX(_xlfn.TEXTSPLIT(mvtst[[#This Row],[QR Suivis]],"_"),1,3)</f>
        <v>CM-FT0119</v>
      </c>
      <c r="O1647" s="35" t="str">
        <f>INDEX(_xlfn.TEXTSPLIT(mvtst[[#This Row],[QR Suivis]],"_"),1,4)</f>
        <v>SO1020-Q29-11-14</v>
      </c>
      <c r="P1647" s="35" t="str">
        <f>INDEX(_xlfn.TEXTSPLIT(mvtst[[#This Row],[QR Suivis]],"_"),1,5)</f>
        <v>SOUSSE</v>
      </c>
      <c r="Q1647" s="35" t="str">
        <f>_xlfn.TEXTAFTER(mvtst[[#This Row],[QR Suivis]],"_",5)</f>
        <v>1020</v>
      </c>
      <c r="R1647" s="84" t="str">
        <f>IF(
   COUNTIFS($A$2:A1647,A1647,
             $B$2:B1647,B1647,
             $C$2:C1647,C1647,
             $D$2:D1647,D1647,
             $G$2:G1647,G1647)&gt;1,
   "Doublon",
   "Correcte"
)</f>
        <v>Correcte</v>
      </c>
    </row>
    <row r="1648" spans="1:18" x14ac:dyDescent="0.25">
      <c r="A1648" s="104" t="s">
        <v>2265</v>
      </c>
      <c r="B1648" s="35" t="s">
        <v>712</v>
      </c>
      <c r="C1648" s="36">
        <v>5</v>
      </c>
      <c r="D1648" s="36">
        <v>0</v>
      </c>
      <c r="E1648" s="35" t="s">
        <v>699</v>
      </c>
      <c r="F1648" s="35" t="s">
        <v>634</v>
      </c>
      <c r="G1648" s="37">
        <v>45940.455717592595</v>
      </c>
      <c r="H1648" s="37" t="str">
        <f>INDEX(_xlfn.TEXTSPLIT(mvtst[[#This Row],[QR Suivis]],"_"),1,1)</f>
        <v>OF249816-9</v>
      </c>
      <c r="I1648" s="35" t="str">
        <f>_xlfn.TEXTBEFORE(mvtst[[#This Row],[Num Suivis]],"-",,,1)</f>
        <v>OF249816</v>
      </c>
      <c r="J1648" s="36">
        <f>SUMIF(mvtst[QR Suivis],mvtst[[#This Row],[QR Suivis]],mvtst[QTE SORTIS])-SUMIF(mvtst[QR Suivis],mvtst[[#This Row],[QR Suivis]],mvtst[QTE RETOUR])</f>
        <v>0</v>
      </c>
      <c r="K1648" s="35" t="str">
        <f t="shared" si="26"/>
        <v>Usine</v>
      </c>
      <c r="L1648" s="35" t="str">
        <f>_xlfn.XLOOKUP(mvtst[[#This Row],[Sous Traitant]],coordonnee_st[Identification],coordonnee_st[SERVICE],"Non Trouvé")</f>
        <v>Frange</v>
      </c>
      <c r="M1648" s="35" t="str">
        <f>INDEX(_xlfn.TEXTSPLIT(mvtst[[#This Row],[QR Suivis]],"_"),1,2)</f>
        <v>CL00884</v>
      </c>
      <c r="N1648" s="35" t="str">
        <f>INDEX(_xlfn.TEXTSPLIT(mvtst[[#This Row],[QR Suivis]],"_"),1,3)</f>
        <v>CM-FT0119</v>
      </c>
      <c r="O1648" s="35" t="str">
        <f>INDEX(_xlfn.TEXTSPLIT(mvtst[[#This Row],[QR Suivis]],"_"),1,4)</f>
        <v>SO1020-Q29-11-14</v>
      </c>
      <c r="P1648" s="35" t="str">
        <f>INDEX(_xlfn.TEXTSPLIT(mvtst[[#This Row],[QR Suivis]],"_"),1,5)</f>
        <v>SOUSSE</v>
      </c>
      <c r="Q1648" s="35" t="str">
        <f>_xlfn.TEXTAFTER(mvtst[[#This Row],[QR Suivis]],"_",5)</f>
        <v>1020</v>
      </c>
      <c r="R1648" s="84" t="str">
        <f>IF(
   COUNTIFS($A$2:A1648,A1648,
             $B$2:B1648,B1648,
             $C$2:C1648,C1648,
             $D$2:D1648,D1648,
             $G$2:G1648,G1648)&gt;1,
   "Doublon",
   "Correcte"
)</f>
        <v>Correcte</v>
      </c>
    </row>
    <row r="1649" spans="1:18" x14ac:dyDescent="0.25">
      <c r="A1649" s="104" t="s">
        <v>2266</v>
      </c>
      <c r="B1649" s="35" t="s">
        <v>712</v>
      </c>
      <c r="C1649" s="36">
        <v>5</v>
      </c>
      <c r="D1649" s="36">
        <v>0</v>
      </c>
      <c r="E1649" s="35" t="s">
        <v>699</v>
      </c>
      <c r="F1649" s="35" t="s">
        <v>634</v>
      </c>
      <c r="G1649" s="37">
        <v>45940.456134259257</v>
      </c>
      <c r="H1649" s="37" t="str">
        <f>INDEX(_xlfn.TEXTSPLIT(mvtst[[#This Row],[QR Suivis]],"_"),1,1)</f>
        <v>OF249816-12</v>
      </c>
      <c r="I1649" s="35" t="str">
        <f>_xlfn.TEXTBEFORE(mvtst[[#This Row],[Num Suivis]],"-",,,1)</f>
        <v>OF249816</v>
      </c>
      <c r="J1649" s="36">
        <f>SUMIF(mvtst[QR Suivis],mvtst[[#This Row],[QR Suivis]],mvtst[QTE SORTIS])-SUMIF(mvtst[QR Suivis],mvtst[[#This Row],[QR Suivis]],mvtst[QTE RETOUR])</f>
        <v>0</v>
      </c>
      <c r="K1649" s="35" t="str">
        <f t="shared" si="26"/>
        <v>Usine</v>
      </c>
      <c r="L1649" s="35" t="str">
        <f>_xlfn.XLOOKUP(mvtst[[#This Row],[Sous Traitant]],coordonnee_st[Identification],coordonnee_st[SERVICE],"Non Trouvé")</f>
        <v>Frange</v>
      </c>
      <c r="M1649" s="35" t="str">
        <f>INDEX(_xlfn.TEXTSPLIT(mvtst[[#This Row],[QR Suivis]],"_"),1,2)</f>
        <v>CL00884</v>
      </c>
      <c r="N1649" s="35" t="str">
        <f>INDEX(_xlfn.TEXTSPLIT(mvtst[[#This Row],[QR Suivis]],"_"),1,3)</f>
        <v>CM-FT0119</v>
      </c>
      <c r="O1649" s="35" t="str">
        <f>INDEX(_xlfn.TEXTSPLIT(mvtst[[#This Row],[QR Suivis]],"_"),1,4)</f>
        <v>SO1020-Q29-11-14</v>
      </c>
      <c r="P1649" s="35" t="str">
        <f>INDEX(_xlfn.TEXTSPLIT(mvtst[[#This Row],[QR Suivis]],"_"),1,5)</f>
        <v>SOUSSE</v>
      </c>
      <c r="Q1649" s="35" t="str">
        <f>_xlfn.TEXTAFTER(mvtst[[#This Row],[QR Suivis]],"_",5)</f>
        <v>1020</v>
      </c>
      <c r="R1649" s="84" t="str">
        <f>IF(
   COUNTIFS($A$2:A1649,A1649,
             $B$2:B1649,B1649,
             $C$2:C1649,C1649,
             $D$2:D1649,D1649,
             $G$2:G1649,G1649)&gt;1,
   "Doublon",
   "Correcte"
)</f>
        <v>Correcte</v>
      </c>
    </row>
    <row r="1650" spans="1:18" x14ac:dyDescent="0.25">
      <c r="A1650" s="104" t="s">
        <v>2267</v>
      </c>
      <c r="B1650" s="35" t="s">
        <v>712</v>
      </c>
      <c r="C1650" s="36">
        <v>5</v>
      </c>
      <c r="D1650" s="36">
        <v>0</v>
      </c>
      <c r="E1650" s="35" t="s">
        <v>699</v>
      </c>
      <c r="F1650" s="35" t="s">
        <v>634</v>
      </c>
      <c r="G1650" s="37">
        <v>45940.456319444442</v>
      </c>
      <c r="H1650" s="37" t="str">
        <f>INDEX(_xlfn.TEXTSPLIT(mvtst[[#This Row],[QR Suivis]],"_"),1,1)</f>
        <v>OF249816-13</v>
      </c>
      <c r="I1650" s="35" t="str">
        <f>_xlfn.TEXTBEFORE(mvtst[[#This Row],[Num Suivis]],"-",,,1)</f>
        <v>OF249816</v>
      </c>
      <c r="J1650" s="36">
        <f>SUMIF(mvtst[QR Suivis],mvtst[[#This Row],[QR Suivis]],mvtst[QTE SORTIS])-SUMIF(mvtst[QR Suivis],mvtst[[#This Row],[QR Suivis]],mvtst[QTE RETOUR])</f>
        <v>0</v>
      </c>
      <c r="K1650" s="35" t="str">
        <f t="shared" si="26"/>
        <v>Usine</v>
      </c>
      <c r="L1650" s="35" t="str">
        <f>_xlfn.XLOOKUP(mvtst[[#This Row],[Sous Traitant]],coordonnee_st[Identification],coordonnee_st[SERVICE],"Non Trouvé")</f>
        <v>Frange</v>
      </c>
      <c r="M1650" s="35" t="str">
        <f>INDEX(_xlfn.TEXTSPLIT(mvtst[[#This Row],[QR Suivis]],"_"),1,2)</f>
        <v>CL00884</v>
      </c>
      <c r="N1650" s="35" t="str">
        <f>INDEX(_xlfn.TEXTSPLIT(mvtst[[#This Row],[QR Suivis]],"_"),1,3)</f>
        <v>CM-FT0119</v>
      </c>
      <c r="O1650" s="35" t="str">
        <f>INDEX(_xlfn.TEXTSPLIT(mvtst[[#This Row],[QR Suivis]],"_"),1,4)</f>
        <v>SO1020-Q29-11-14</v>
      </c>
      <c r="P1650" s="35" t="str">
        <f>INDEX(_xlfn.TEXTSPLIT(mvtst[[#This Row],[QR Suivis]],"_"),1,5)</f>
        <v>SOUSSE</v>
      </c>
      <c r="Q1650" s="35" t="str">
        <f>_xlfn.TEXTAFTER(mvtst[[#This Row],[QR Suivis]],"_",5)</f>
        <v>1020</v>
      </c>
      <c r="R1650" s="84" t="str">
        <f>IF(
   COUNTIFS($A$2:A1650,A1650,
             $B$2:B1650,B1650,
             $C$2:C1650,C1650,
             $D$2:D1650,D1650,
             $G$2:G1650,G1650)&gt;1,
   "Doublon",
   "Correcte"
)</f>
        <v>Correcte</v>
      </c>
    </row>
    <row r="1651" spans="1:18" x14ac:dyDescent="0.25">
      <c r="A1651" s="104" t="s">
        <v>2268</v>
      </c>
      <c r="B1651" s="35" t="s">
        <v>712</v>
      </c>
      <c r="C1651" s="36">
        <v>5</v>
      </c>
      <c r="D1651" s="36">
        <v>0</v>
      </c>
      <c r="E1651" s="35" t="s">
        <v>699</v>
      </c>
      <c r="F1651" s="35" t="s">
        <v>634</v>
      </c>
      <c r="G1651" s="37">
        <v>45940.45648148148</v>
      </c>
      <c r="H1651" s="37" t="str">
        <f>INDEX(_xlfn.TEXTSPLIT(mvtst[[#This Row],[QR Suivis]],"_"),1,1)</f>
        <v>OF249816-16</v>
      </c>
      <c r="I1651" s="35" t="str">
        <f>_xlfn.TEXTBEFORE(mvtst[[#This Row],[Num Suivis]],"-",,,1)</f>
        <v>OF249816</v>
      </c>
      <c r="J1651" s="36">
        <f>SUMIF(mvtst[QR Suivis],mvtst[[#This Row],[QR Suivis]],mvtst[QTE SORTIS])-SUMIF(mvtst[QR Suivis],mvtst[[#This Row],[QR Suivis]],mvtst[QTE RETOUR])</f>
        <v>0</v>
      </c>
      <c r="K1651" s="35" t="str">
        <f t="shared" si="26"/>
        <v>Usine</v>
      </c>
      <c r="L1651" s="35" t="str">
        <f>_xlfn.XLOOKUP(mvtst[[#This Row],[Sous Traitant]],coordonnee_st[Identification],coordonnee_st[SERVICE],"Non Trouvé")</f>
        <v>Frange</v>
      </c>
      <c r="M1651" s="35" t="str">
        <f>INDEX(_xlfn.TEXTSPLIT(mvtst[[#This Row],[QR Suivis]],"_"),1,2)</f>
        <v>CL00884</v>
      </c>
      <c r="N1651" s="35" t="str">
        <f>INDEX(_xlfn.TEXTSPLIT(mvtst[[#This Row],[QR Suivis]],"_"),1,3)</f>
        <v>CM-FT0119</v>
      </c>
      <c r="O1651" s="35" t="str">
        <f>INDEX(_xlfn.TEXTSPLIT(mvtst[[#This Row],[QR Suivis]],"_"),1,4)</f>
        <v>SO1020-Q29-11-14</v>
      </c>
      <c r="P1651" s="35" t="str">
        <f>INDEX(_xlfn.TEXTSPLIT(mvtst[[#This Row],[QR Suivis]],"_"),1,5)</f>
        <v>SOUSSE</v>
      </c>
      <c r="Q1651" s="35" t="str">
        <f>_xlfn.TEXTAFTER(mvtst[[#This Row],[QR Suivis]],"_",5)</f>
        <v>1020</v>
      </c>
      <c r="R1651" s="84" t="str">
        <f>IF(
   COUNTIFS($A$2:A1651,A1651,
             $B$2:B1651,B1651,
             $C$2:C1651,C1651,
             $D$2:D1651,D1651,
             $G$2:G1651,G1651)&gt;1,
   "Doublon",
   "Correcte"
)</f>
        <v>Correcte</v>
      </c>
    </row>
    <row r="1652" spans="1:18" x14ac:dyDescent="0.25">
      <c r="A1652" s="104" t="s">
        <v>2269</v>
      </c>
      <c r="B1652" s="35" t="s">
        <v>712</v>
      </c>
      <c r="C1652" s="36">
        <v>5</v>
      </c>
      <c r="D1652" s="36">
        <v>0</v>
      </c>
      <c r="E1652" s="35" t="s">
        <v>699</v>
      </c>
      <c r="F1652" s="35" t="s">
        <v>634</v>
      </c>
      <c r="G1652" s="37">
        <v>45940.45685185185</v>
      </c>
      <c r="H1652" s="37" t="str">
        <f>INDEX(_xlfn.TEXTSPLIT(mvtst[[#This Row],[QR Suivis]],"_"),1,1)</f>
        <v>OF249816-7</v>
      </c>
      <c r="I1652" s="35" t="str">
        <f>_xlfn.TEXTBEFORE(mvtst[[#This Row],[Num Suivis]],"-",,,1)</f>
        <v>OF249816</v>
      </c>
      <c r="J1652" s="36">
        <f>SUMIF(mvtst[QR Suivis],mvtst[[#This Row],[QR Suivis]],mvtst[QTE SORTIS])-SUMIF(mvtst[QR Suivis],mvtst[[#This Row],[QR Suivis]],mvtst[QTE RETOUR])</f>
        <v>0</v>
      </c>
      <c r="K1652" s="35" t="str">
        <f t="shared" si="26"/>
        <v>Usine</v>
      </c>
      <c r="L1652" s="35" t="str">
        <f>_xlfn.XLOOKUP(mvtst[[#This Row],[Sous Traitant]],coordonnee_st[Identification],coordonnee_st[SERVICE],"Non Trouvé")</f>
        <v>Frange</v>
      </c>
      <c r="M1652" s="35" t="str">
        <f>INDEX(_xlfn.TEXTSPLIT(mvtst[[#This Row],[QR Suivis]],"_"),1,2)</f>
        <v>CL00884</v>
      </c>
      <c r="N1652" s="35" t="str">
        <f>INDEX(_xlfn.TEXTSPLIT(mvtst[[#This Row],[QR Suivis]],"_"),1,3)</f>
        <v>CM-FT0119</v>
      </c>
      <c r="O1652" s="35" t="str">
        <f>INDEX(_xlfn.TEXTSPLIT(mvtst[[#This Row],[QR Suivis]],"_"),1,4)</f>
        <v>SO1020-Q29-11-14</v>
      </c>
      <c r="P1652" s="35" t="str">
        <f>INDEX(_xlfn.TEXTSPLIT(mvtst[[#This Row],[QR Suivis]],"_"),1,5)</f>
        <v>SOUSSE</v>
      </c>
      <c r="Q1652" s="35" t="str">
        <f>_xlfn.TEXTAFTER(mvtst[[#This Row],[QR Suivis]],"_",5)</f>
        <v>1020</v>
      </c>
      <c r="R1652" s="84" t="str">
        <f>IF(
   COUNTIFS($A$2:A1652,A1652,
             $B$2:B1652,B1652,
             $C$2:C1652,C1652,
             $D$2:D1652,D1652,
             $G$2:G1652,G1652)&gt;1,
   "Doublon",
   "Correcte"
)</f>
        <v>Correcte</v>
      </c>
    </row>
    <row r="1653" spans="1:18" x14ac:dyDescent="0.25">
      <c r="A1653" s="104" t="s">
        <v>2270</v>
      </c>
      <c r="B1653" s="35" t="s">
        <v>712</v>
      </c>
      <c r="C1653" s="36">
        <v>5</v>
      </c>
      <c r="D1653" s="36">
        <v>0</v>
      </c>
      <c r="E1653" s="35" t="s">
        <v>699</v>
      </c>
      <c r="F1653" s="35" t="s">
        <v>634</v>
      </c>
      <c r="G1653" s="37">
        <v>45940.457199074073</v>
      </c>
      <c r="H1653" s="37" t="str">
        <f>INDEX(_xlfn.TEXTSPLIT(mvtst[[#This Row],[QR Suivis]],"_"),1,1)</f>
        <v>OF249816-6</v>
      </c>
      <c r="I1653" s="35" t="str">
        <f>_xlfn.TEXTBEFORE(mvtst[[#This Row],[Num Suivis]],"-",,,1)</f>
        <v>OF249816</v>
      </c>
      <c r="J1653" s="36">
        <f>SUMIF(mvtst[QR Suivis],mvtst[[#This Row],[QR Suivis]],mvtst[QTE SORTIS])-SUMIF(mvtst[QR Suivis],mvtst[[#This Row],[QR Suivis]],mvtst[QTE RETOUR])</f>
        <v>0</v>
      </c>
      <c r="K1653" s="35" t="str">
        <f t="shared" si="26"/>
        <v>Usine</v>
      </c>
      <c r="L1653" s="35" t="str">
        <f>_xlfn.XLOOKUP(mvtst[[#This Row],[Sous Traitant]],coordonnee_st[Identification],coordonnee_st[SERVICE],"Non Trouvé")</f>
        <v>Frange</v>
      </c>
      <c r="M1653" s="35" t="str">
        <f>INDEX(_xlfn.TEXTSPLIT(mvtst[[#This Row],[QR Suivis]],"_"),1,2)</f>
        <v>CL00884</v>
      </c>
      <c r="N1653" s="35" t="str">
        <f>INDEX(_xlfn.TEXTSPLIT(mvtst[[#This Row],[QR Suivis]],"_"),1,3)</f>
        <v>CM-FT0119</v>
      </c>
      <c r="O1653" s="35" t="str">
        <f>INDEX(_xlfn.TEXTSPLIT(mvtst[[#This Row],[QR Suivis]],"_"),1,4)</f>
        <v>SO1020-Q29-11-14</v>
      </c>
      <c r="P1653" s="35" t="str">
        <f>INDEX(_xlfn.TEXTSPLIT(mvtst[[#This Row],[QR Suivis]],"_"),1,5)</f>
        <v>SOUSSE</v>
      </c>
      <c r="Q1653" s="35" t="str">
        <f>_xlfn.TEXTAFTER(mvtst[[#This Row],[QR Suivis]],"_",5)</f>
        <v>1020</v>
      </c>
      <c r="R1653" s="84" t="str">
        <f>IF(
   COUNTIFS($A$2:A1653,A1653,
             $B$2:B1653,B1653,
             $C$2:C1653,C1653,
             $D$2:D1653,D1653,
             $G$2:G1653,G1653)&gt;1,
   "Doublon",
   "Correcte"
)</f>
        <v>Correcte</v>
      </c>
    </row>
    <row r="1654" spans="1:18" x14ac:dyDescent="0.25">
      <c r="A1654" s="104" t="s">
        <v>2271</v>
      </c>
      <c r="B1654" s="35" t="s">
        <v>712</v>
      </c>
      <c r="C1654" s="36">
        <v>5</v>
      </c>
      <c r="D1654" s="36">
        <v>0</v>
      </c>
      <c r="E1654" s="35" t="s">
        <v>699</v>
      </c>
      <c r="F1654" s="35" t="s">
        <v>634</v>
      </c>
      <c r="G1654" s="37">
        <v>45940.45784722222</v>
      </c>
      <c r="H1654" s="37" t="str">
        <f>INDEX(_xlfn.TEXTSPLIT(mvtst[[#This Row],[QR Suivis]],"_"),1,1)</f>
        <v>OF249816-11</v>
      </c>
      <c r="I1654" s="35" t="str">
        <f>_xlfn.TEXTBEFORE(mvtst[[#This Row],[Num Suivis]],"-",,,1)</f>
        <v>OF249816</v>
      </c>
      <c r="J1654" s="36">
        <f>SUMIF(mvtst[QR Suivis],mvtst[[#This Row],[QR Suivis]],mvtst[QTE SORTIS])-SUMIF(mvtst[QR Suivis],mvtst[[#This Row],[QR Suivis]],mvtst[QTE RETOUR])</f>
        <v>0</v>
      </c>
      <c r="K1654" s="35" t="str">
        <f t="shared" si="26"/>
        <v>Usine</v>
      </c>
      <c r="L1654" s="35" t="str">
        <f>_xlfn.XLOOKUP(mvtst[[#This Row],[Sous Traitant]],coordonnee_st[Identification],coordonnee_st[SERVICE],"Non Trouvé")</f>
        <v>Frange</v>
      </c>
      <c r="M1654" s="35" t="str">
        <f>INDEX(_xlfn.TEXTSPLIT(mvtst[[#This Row],[QR Suivis]],"_"),1,2)</f>
        <v>CL00884</v>
      </c>
      <c r="N1654" s="35" t="str">
        <f>INDEX(_xlfn.TEXTSPLIT(mvtst[[#This Row],[QR Suivis]],"_"),1,3)</f>
        <v>CM-FT0119</v>
      </c>
      <c r="O1654" s="35" t="str">
        <f>INDEX(_xlfn.TEXTSPLIT(mvtst[[#This Row],[QR Suivis]],"_"),1,4)</f>
        <v>SO1020-Q29-11-14</v>
      </c>
      <c r="P1654" s="35" t="str">
        <f>INDEX(_xlfn.TEXTSPLIT(mvtst[[#This Row],[QR Suivis]],"_"),1,5)</f>
        <v>SOUSSE</v>
      </c>
      <c r="Q1654" s="35" t="str">
        <f>_xlfn.TEXTAFTER(mvtst[[#This Row],[QR Suivis]],"_",5)</f>
        <v>1020</v>
      </c>
      <c r="R1654" s="84" t="str">
        <f>IF(
   COUNTIFS($A$2:A1654,A1654,
             $B$2:B1654,B1654,
             $C$2:C1654,C1654,
             $D$2:D1654,D1654,
             $G$2:G1654,G1654)&gt;1,
   "Doublon",
   "Correcte"
)</f>
        <v>Correcte</v>
      </c>
    </row>
    <row r="1655" spans="1:18" x14ac:dyDescent="0.25">
      <c r="A1655" s="104" t="s">
        <v>2272</v>
      </c>
      <c r="B1655" s="35" t="s">
        <v>712</v>
      </c>
      <c r="C1655" s="36">
        <v>5</v>
      </c>
      <c r="D1655" s="36">
        <v>0</v>
      </c>
      <c r="E1655" s="35" t="s">
        <v>699</v>
      </c>
      <c r="F1655" s="35" t="s">
        <v>634</v>
      </c>
      <c r="G1655" s="37">
        <v>45940.460347222222</v>
      </c>
      <c r="H1655" s="37" t="str">
        <f>INDEX(_xlfn.TEXTSPLIT(mvtst[[#This Row],[QR Suivis]],"_"),1,1)</f>
        <v>OF249816-1</v>
      </c>
      <c r="I1655" s="35" t="str">
        <f>_xlfn.TEXTBEFORE(mvtst[[#This Row],[Num Suivis]],"-",,,1)</f>
        <v>OF249816</v>
      </c>
      <c r="J1655" s="36">
        <f>SUMIF(mvtst[QR Suivis],mvtst[[#This Row],[QR Suivis]],mvtst[QTE SORTIS])-SUMIF(mvtst[QR Suivis],mvtst[[#This Row],[QR Suivis]],mvtst[QTE RETOUR])</f>
        <v>0</v>
      </c>
      <c r="K1655" s="35" t="str">
        <f t="shared" si="26"/>
        <v>Usine</v>
      </c>
      <c r="L1655" s="35" t="str">
        <f>_xlfn.XLOOKUP(mvtst[[#This Row],[Sous Traitant]],coordonnee_st[Identification],coordonnee_st[SERVICE],"Non Trouvé")</f>
        <v>Frange</v>
      </c>
      <c r="M1655" s="35" t="str">
        <f>INDEX(_xlfn.TEXTSPLIT(mvtst[[#This Row],[QR Suivis]],"_"),1,2)</f>
        <v>CL00884</v>
      </c>
      <c r="N1655" s="35" t="str">
        <f>INDEX(_xlfn.TEXTSPLIT(mvtst[[#This Row],[QR Suivis]],"_"),1,3)</f>
        <v>CM-FT0119</v>
      </c>
      <c r="O1655" s="35" t="str">
        <f>INDEX(_xlfn.TEXTSPLIT(mvtst[[#This Row],[QR Suivis]],"_"),1,4)</f>
        <v>SO1020-Q29-11-14</v>
      </c>
      <c r="P1655" s="35" t="str">
        <f>INDEX(_xlfn.TEXTSPLIT(mvtst[[#This Row],[QR Suivis]],"_"),1,5)</f>
        <v>SOUSSE</v>
      </c>
      <c r="Q1655" s="35" t="str">
        <f>_xlfn.TEXTAFTER(mvtst[[#This Row],[QR Suivis]],"_",5)</f>
        <v>1020</v>
      </c>
      <c r="R1655" s="84" t="str">
        <f>IF(
   COUNTIFS($A$2:A1655,A1655,
             $B$2:B1655,B1655,
             $C$2:C1655,C1655,
             $D$2:D1655,D1655,
             $G$2:G1655,G1655)&gt;1,
   "Doublon",
   "Correcte"
)</f>
        <v>Correcte</v>
      </c>
    </row>
    <row r="1656" spans="1:18" x14ac:dyDescent="0.25">
      <c r="A1656" s="104" t="s">
        <v>2273</v>
      </c>
      <c r="B1656" s="35" t="s">
        <v>712</v>
      </c>
      <c r="C1656" s="36">
        <v>5</v>
      </c>
      <c r="D1656" s="36">
        <v>0</v>
      </c>
      <c r="E1656" s="35" t="s">
        <v>699</v>
      </c>
      <c r="F1656" s="35" t="s">
        <v>634</v>
      </c>
      <c r="G1656" s="37">
        <v>45940.460370370369</v>
      </c>
      <c r="H1656" s="37" t="str">
        <f>INDEX(_xlfn.TEXTSPLIT(mvtst[[#This Row],[QR Suivis]],"_"),1,1)</f>
        <v>OF249816-5</v>
      </c>
      <c r="I1656" s="35" t="str">
        <f>_xlfn.TEXTBEFORE(mvtst[[#This Row],[Num Suivis]],"-",,,1)</f>
        <v>OF249816</v>
      </c>
      <c r="J1656" s="36">
        <f>SUMIF(mvtst[QR Suivis],mvtst[[#This Row],[QR Suivis]],mvtst[QTE SORTIS])-SUMIF(mvtst[QR Suivis],mvtst[[#This Row],[QR Suivis]],mvtst[QTE RETOUR])</f>
        <v>0</v>
      </c>
      <c r="K1656" s="35" t="str">
        <f t="shared" si="26"/>
        <v>Usine</v>
      </c>
      <c r="L1656" s="35" t="str">
        <f>_xlfn.XLOOKUP(mvtst[[#This Row],[Sous Traitant]],coordonnee_st[Identification],coordonnee_st[SERVICE],"Non Trouvé")</f>
        <v>Frange</v>
      </c>
      <c r="M1656" s="35" t="str">
        <f>INDEX(_xlfn.TEXTSPLIT(mvtst[[#This Row],[QR Suivis]],"_"),1,2)</f>
        <v>CL00884</v>
      </c>
      <c r="N1656" s="35" t="str">
        <f>INDEX(_xlfn.TEXTSPLIT(mvtst[[#This Row],[QR Suivis]],"_"),1,3)</f>
        <v>CM-FT0119</v>
      </c>
      <c r="O1656" s="35" t="str">
        <f>INDEX(_xlfn.TEXTSPLIT(mvtst[[#This Row],[QR Suivis]],"_"),1,4)</f>
        <v>SO1020-Q29-11-14</v>
      </c>
      <c r="P1656" s="35" t="str">
        <f>INDEX(_xlfn.TEXTSPLIT(mvtst[[#This Row],[QR Suivis]],"_"),1,5)</f>
        <v>SOUSSE</v>
      </c>
      <c r="Q1656" s="35" t="str">
        <f>_xlfn.TEXTAFTER(mvtst[[#This Row],[QR Suivis]],"_",5)</f>
        <v>1020</v>
      </c>
      <c r="R1656" s="84" t="str">
        <f>IF(
   COUNTIFS($A$2:A1656,A1656,
             $B$2:B1656,B1656,
             $C$2:C1656,C1656,
             $D$2:D1656,D1656,
             $G$2:G1656,G1656)&gt;1,
   "Doublon",
   "Correcte"
)</f>
        <v>Correcte</v>
      </c>
    </row>
    <row r="1657" spans="1:18" x14ac:dyDescent="0.25">
      <c r="A1657" s="104" t="s">
        <v>2274</v>
      </c>
      <c r="B1657" s="35" t="s">
        <v>712</v>
      </c>
      <c r="C1657" s="36">
        <v>5</v>
      </c>
      <c r="D1657" s="36">
        <v>0</v>
      </c>
      <c r="E1657" s="35" t="s">
        <v>699</v>
      </c>
      <c r="F1657" s="35" t="s">
        <v>634</v>
      </c>
      <c r="G1657" s="37">
        <v>45940.460451388892</v>
      </c>
      <c r="H1657" s="37" t="str">
        <f>INDEX(_xlfn.TEXTSPLIT(mvtst[[#This Row],[QR Suivis]],"_"),1,1)</f>
        <v>OF249816-3</v>
      </c>
      <c r="I1657" s="35" t="str">
        <f>_xlfn.TEXTBEFORE(mvtst[[#This Row],[Num Suivis]],"-",,,1)</f>
        <v>OF249816</v>
      </c>
      <c r="J1657" s="36">
        <f>SUMIF(mvtst[QR Suivis],mvtst[[#This Row],[QR Suivis]],mvtst[QTE SORTIS])-SUMIF(mvtst[QR Suivis],mvtst[[#This Row],[QR Suivis]],mvtst[QTE RETOUR])</f>
        <v>0</v>
      </c>
      <c r="K1657" s="35" t="str">
        <f t="shared" si="26"/>
        <v>Usine</v>
      </c>
      <c r="L1657" s="35" t="str">
        <f>_xlfn.XLOOKUP(mvtst[[#This Row],[Sous Traitant]],coordonnee_st[Identification],coordonnee_st[SERVICE],"Non Trouvé")</f>
        <v>Frange</v>
      </c>
      <c r="M1657" s="35" t="str">
        <f>INDEX(_xlfn.TEXTSPLIT(mvtst[[#This Row],[QR Suivis]],"_"),1,2)</f>
        <v>CL00884</v>
      </c>
      <c r="N1657" s="35" t="str">
        <f>INDEX(_xlfn.TEXTSPLIT(mvtst[[#This Row],[QR Suivis]],"_"),1,3)</f>
        <v>CM-FT0119</v>
      </c>
      <c r="O1657" s="35" t="str">
        <f>INDEX(_xlfn.TEXTSPLIT(mvtst[[#This Row],[QR Suivis]],"_"),1,4)</f>
        <v>SO1020-Q29-11-14</v>
      </c>
      <c r="P1657" s="35" t="str">
        <f>INDEX(_xlfn.TEXTSPLIT(mvtst[[#This Row],[QR Suivis]],"_"),1,5)</f>
        <v>SOUSSE</v>
      </c>
      <c r="Q1657" s="35" t="str">
        <f>_xlfn.TEXTAFTER(mvtst[[#This Row],[QR Suivis]],"_",5)</f>
        <v>1020</v>
      </c>
      <c r="R1657" s="84" t="str">
        <f>IF(
   COUNTIFS($A$2:A1657,A1657,
             $B$2:B1657,B1657,
             $C$2:C1657,C1657,
             $D$2:D1657,D1657,
             $G$2:G1657,G1657)&gt;1,
   "Doublon",
   "Correcte"
)</f>
        <v>Correcte</v>
      </c>
    </row>
    <row r="1658" spans="1:18" x14ac:dyDescent="0.25">
      <c r="A1658" s="104" t="s">
        <v>2275</v>
      </c>
      <c r="B1658" s="35" t="s">
        <v>712</v>
      </c>
      <c r="C1658" s="36">
        <v>5</v>
      </c>
      <c r="D1658" s="36">
        <v>0</v>
      </c>
      <c r="E1658" s="35" t="s">
        <v>699</v>
      </c>
      <c r="F1658" s="35" t="s">
        <v>634</v>
      </c>
      <c r="G1658" s="37">
        <v>45940.460601851853</v>
      </c>
      <c r="H1658" s="37" t="str">
        <f>INDEX(_xlfn.TEXTSPLIT(mvtst[[#This Row],[QR Suivis]],"_"),1,1)</f>
        <v>OF249816-4</v>
      </c>
      <c r="I1658" s="35" t="str">
        <f>_xlfn.TEXTBEFORE(mvtst[[#This Row],[Num Suivis]],"-",,,1)</f>
        <v>OF249816</v>
      </c>
      <c r="J1658" s="36">
        <f>SUMIF(mvtst[QR Suivis],mvtst[[#This Row],[QR Suivis]],mvtst[QTE SORTIS])-SUMIF(mvtst[QR Suivis],mvtst[[#This Row],[QR Suivis]],mvtst[QTE RETOUR])</f>
        <v>0</v>
      </c>
      <c r="K1658" s="35" t="str">
        <f t="shared" si="26"/>
        <v>Usine</v>
      </c>
      <c r="L1658" s="35" t="str">
        <f>_xlfn.XLOOKUP(mvtst[[#This Row],[Sous Traitant]],coordonnee_st[Identification],coordonnee_st[SERVICE],"Non Trouvé")</f>
        <v>Frange</v>
      </c>
      <c r="M1658" s="35" t="str">
        <f>INDEX(_xlfn.TEXTSPLIT(mvtst[[#This Row],[QR Suivis]],"_"),1,2)</f>
        <v>CL00884</v>
      </c>
      <c r="N1658" s="35" t="str">
        <f>INDEX(_xlfn.TEXTSPLIT(mvtst[[#This Row],[QR Suivis]],"_"),1,3)</f>
        <v>CM-FT0119</v>
      </c>
      <c r="O1658" s="35" t="str">
        <f>INDEX(_xlfn.TEXTSPLIT(mvtst[[#This Row],[QR Suivis]],"_"),1,4)</f>
        <v>SO1020-Q29-11-14</v>
      </c>
      <c r="P1658" s="35" t="str">
        <f>INDEX(_xlfn.TEXTSPLIT(mvtst[[#This Row],[QR Suivis]],"_"),1,5)</f>
        <v>SOUSSE</v>
      </c>
      <c r="Q1658" s="35" t="str">
        <f>_xlfn.TEXTAFTER(mvtst[[#This Row],[QR Suivis]],"_",5)</f>
        <v>1020</v>
      </c>
      <c r="R1658" s="84" t="str">
        <f>IF(
   COUNTIFS($A$2:A1658,A1658,
             $B$2:B1658,B1658,
             $C$2:C1658,C1658,
             $D$2:D1658,D1658,
             $G$2:G1658,G1658)&gt;1,
   "Doublon",
   "Correcte"
)</f>
        <v>Correcte</v>
      </c>
    </row>
    <row r="1659" spans="1:18" x14ac:dyDescent="0.25">
      <c r="A1659" s="104" t="s">
        <v>2276</v>
      </c>
      <c r="B1659" s="35" t="s">
        <v>712</v>
      </c>
      <c r="C1659" s="36">
        <v>5</v>
      </c>
      <c r="D1659" s="36">
        <v>0</v>
      </c>
      <c r="E1659" s="35" t="s">
        <v>699</v>
      </c>
      <c r="F1659" s="35" t="s">
        <v>634</v>
      </c>
      <c r="G1659" s="37">
        <v>45940.460821759261</v>
      </c>
      <c r="H1659" s="37" t="str">
        <f>INDEX(_xlfn.TEXTSPLIT(mvtst[[#This Row],[QR Suivis]],"_"),1,1)</f>
        <v>OF249816-2</v>
      </c>
      <c r="I1659" s="35" t="str">
        <f>_xlfn.TEXTBEFORE(mvtst[[#This Row],[Num Suivis]],"-",,,1)</f>
        <v>OF249816</v>
      </c>
      <c r="J1659" s="36">
        <f>SUMIF(mvtst[QR Suivis],mvtst[[#This Row],[QR Suivis]],mvtst[QTE SORTIS])-SUMIF(mvtst[QR Suivis],mvtst[[#This Row],[QR Suivis]],mvtst[QTE RETOUR])</f>
        <v>0</v>
      </c>
      <c r="K1659" s="35" t="str">
        <f t="shared" si="26"/>
        <v>Usine</v>
      </c>
      <c r="L1659" s="35" t="str">
        <f>_xlfn.XLOOKUP(mvtst[[#This Row],[Sous Traitant]],coordonnee_st[Identification],coordonnee_st[SERVICE],"Non Trouvé")</f>
        <v>Frange</v>
      </c>
      <c r="M1659" s="35" t="str">
        <f>INDEX(_xlfn.TEXTSPLIT(mvtst[[#This Row],[QR Suivis]],"_"),1,2)</f>
        <v>CL00884</v>
      </c>
      <c r="N1659" s="35" t="str">
        <f>INDEX(_xlfn.TEXTSPLIT(mvtst[[#This Row],[QR Suivis]],"_"),1,3)</f>
        <v>CM-FT0119</v>
      </c>
      <c r="O1659" s="35" t="str">
        <f>INDEX(_xlfn.TEXTSPLIT(mvtst[[#This Row],[QR Suivis]],"_"),1,4)</f>
        <v>SO1020-Q29-11-14</v>
      </c>
      <c r="P1659" s="35" t="str">
        <f>INDEX(_xlfn.TEXTSPLIT(mvtst[[#This Row],[QR Suivis]],"_"),1,5)</f>
        <v>SOUSSE</v>
      </c>
      <c r="Q1659" s="35" t="str">
        <f>_xlfn.TEXTAFTER(mvtst[[#This Row],[QR Suivis]],"_",5)</f>
        <v>1020</v>
      </c>
      <c r="R1659" s="84" t="str">
        <f>IF(
   COUNTIFS($A$2:A1659,A1659,
             $B$2:B1659,B1659,
             $C$2:C1659,C1659,
             $D$2:D1659,D1659,
             $G$2:G1659,G1659)&gt;1,
   "Doublon",
   "Correcte"
)</f>
        <v>Correcte</v>
      </c>
    </row>
    <row r="1660" spans="1:18" x14ac:dyDescent="0.25">
      <c r="A1660" s="104" t="s">
        <v>2277</v>
      </c>
      <c r="B1660" s="35" t="s">
        <v>613</v>
      </c>
      <c r="C1660" s="36">
        <v>5</v>
      </c>
      <c r="D1660" s="36">
        <v>0</v>
      </c>
      <c r="E1660" s="35" t="s">
        <v>699</v>
      </c>
      <c r="F1660" s="35" t="s">
        <v>634</v>
      </c>
      <c r="G1660" s="37">
        <v>45940.48233796296</v>
      </c>
      <c r="H1660" s="37" t="str">
        <f>INDEX(_xlfn.TEXTSPLIT(mvtst[[#This Row],[QR Suivis]],"_"),1,1)</f>
        <v>OF249798-21</v>
      </c>
      <c r="I1660" s="35" t="str">
        <f>_xlfn.TEXTBEFORE(mvtst[[#This Row],[Num Suivis]],"-",,,1)</f>
        <v>OF249798</v>
      </c>
      <c r="J1660" s="36">
        <f>SUMIF(mvtst[QR Suivis],mvtst[[#This Row],[QR Suivis]],mvtst[QTE SORTIS])-SUMIF(mvtst[QR Suivis],mvtst[[#This Row],[QR Suivis]],mvtst[QTE RETOUR])</f>
        <v>5</v>
      </c>
      <c r="K1660" s="35" t="str">
        <f t="shared" si="26"/>
        <v>Usine</v>
      </c>
      <c r="L1660" s="35" t="str">
        <f>_xlfn.XLOOKUP(mvtst[[#This Row],[Sous Traitant]],coordonnee_st[Identification],coordonnee_st[SERVICE],"Non Trouvé")</f>
        <v>Frange</v>
      </c>
      <c r="M1660" s="35" t="str">
        <f>INDEX(_xlfn.TEXTSPLIT(mvtst[[#This Row],[QR Suivis]],"_"),1,2)</f>
        <v>CL00884</v>
      </c>
      <c r="N1660" s="35" t="str">
        <f>INDEX(_xlfn.TEXTSPLIT(mvtst[[#This Row],[QR Suivis]],"_"),1,3)</f>
        <v>CM-FT0119</v>
      </c>
      <c r="O1660" s="35" t="str">
        <f>INDEX(_xlfn.TEXTSPLIT(mvtst[[#This Row],[QR Suivis]],"_"),1,4)</f>
        <v>LI1020-B28-01</v>
      </c>
      <c r="P1660" s="35" t="str">
        <f>INDEX(_xlfn.TEXTSPLIT(mvtst[[#This Row],[QR Suivis]],"_"),1,5)</f>
        <v>LILI</v>
      </c>
      <c r="Q1660" s="35" t="str">
        <f>_xlfn.TEXTAFTER(mvtst[[#This Row],[QR Suivis]],"_",5)</f>
        <v>1020</v>
      </c>
      <c r="R1660" s="84" t="str">
        <f>IF(
   COUNTIFS($A$2:A1660,A1660,
             $B$2:B1660,B1660,
             $C$2:C1660,C1660,
             $D$2:D1660,D1660,
             $G$2:G1660,G1660)&gt;1,
   "Doublon",
   "Correcte"
)</f>
        <v>Correcte</v>
      </c>
    </row>
    <row r="1661" spans="1:18" x14ac:dyDescent="0.25">
      <c r="A1661" s="104" t="s">
        <v>2278</v>
      </c>
      <c r="B1661" s="35" t="s">
        <v>651</v>
      </c>
      <c r="C1661" s="36">
        <v>5</v>
      </c>
      <c r="D1661" s="36">
        <v>0</v>
      </c>
      <c r="E1661" s="35" t="s">
        <v>699</v>
      </c>
      <c r="F1661" s="35" t="s">
        <v>634</v>
      </c>
      <c r="G1661" s="37">
        <v>45940.494432870371</v>
      </c>
      <c r="H1661" s="37" t="str">
        <f>INDEX(_xlfn.TEXTSPLIT(mvtst[[#This Row],[QR Suivis]],"_"),1,1)</f>
        <v>OF249798-47</v>
      </c>
      <c r="I1661" s="35" t="str">
        <f>_xlfn.TEXTBEFORE(mvtst[[#This Row],[Num Suivis]],"-",,,1)</f>
        <v>OF249798</v>
      </c>
      <c r="J1661" s="36">
        <f>SUMIF(mvtst[QR Suivis],mvtst[[#This Row],[QR Suivis]],mvtst[QTE SORTIS])-SUMIF(mvtst[QR Suivis],mvtst[[#This Row],[QR Suivis]],mvtst[QTE RETOUR])</f>
        <v>5</v>
      </c>
      <c r="K1661" s="35" t="str">
        <f t="shared" ref="K1661:K1692" si="27">"Usine"</f>
        <v>Usine</v>
      </c>
      <c r="L1661" s="35" t="str">
        <f>_xlfn.XLOOKUP(mvtst[[#This Row],[Sous Traitant]],coordonnee_st[Identification],coordonnee_st[SERVICE],"Non Trouvé")</f>
        <v>Frange</v>
      </c>
      <c r="M1661" s="35" t="str">
        <f>INDEX(_xlfn.TEXTSPLIT(mvtst[[#This Row],[QR Suivis]],"_"),1,2)</f>
        <v>CL00884</v>
      </c>
      <c r="N1661" s="35" t="str">
        <f>INDEX(_xlfn.TEXTSPLIT(mvtst[[#This Row],[QR Suivis]],"_"),1,3)</f>
        <v>CM-FT0119</v>
      </c>
      <c r="O1661" s="35" t="str">
        <f>INDEX(_xlfn.TEXTSPLIT(mvtst[[#This Row],[QR Suivis]],"_"),1,4)</f>
        <v>LI1020-B28-01</v>
      </c>
      <c r="P1661" s="35" t="str">
        <f>INDEX(_xlfn.TEXTSPLIT(mvtst[[#This Row],[QR Suivis]],"_"),1,5)</f>
        <v>LILI</v>
      </c>
      <c r="Q1661" s="35" t="str">
        <f>_xlfn.TEXTAFTER(mvtst[[#This Row],[QR Suivis]],"_",5)</f>
        <v>1020</v>
      </c>
      <c r="R1661" s="84" t="str">
        <f>IF(
   COUNTIFS($A$2:A1661,A1661,
             $B$2:B1661,B1661,
             $C$2:C1661,C1661,
             $D$2:D1661,D1661,
             $G$2:G1661,G1661)&gt;1,
   "Doublon",
   "Correcte"
)</f>
        <v>Correcte</v>
      </c>
    </row>
    <row r="1662" spans="1:18" x14ac:dyDescent="0.25">
      <c r="A1662" s="104" t="s">
        <v>2279</v>
      </c>
      <c r="B1662" s="35" t="s">
        <v>651</v>
      </c>
      <c r="C1662" s="36">
        <v>5</v>
      </c>
      <c r="D1662" s="36">
        <v>0</v>
      </c>
      <c r="E1662" s="35" t="s">
        <v>699</v>
      </c>
      <c r="F1662" s="35" t="s">
        <v>634</v>
      </c>
      <c r="G1662" s="37">
        <v>45940.494652777779</v>
      </c>
      <c r="H1662" s="37" t="str">
        <f>INDEX(_xlfn.TEXTSPLIT(mvtst[[#This Row],[QR Suivis]],"_"),1,1)</f>
        <v>OF249798-48</v>
      </c>
      <c r="I1662" s="35" t="str">
        <f>_xlfn.TEXTBEFORE(mvtst[[#This Row],[Num Suivis]],"-",,,1)</f>
        <v>OF249798</v>
      </c>
      <c r="J1662" s="36">
        <f>SUMIF(mvtst[QR Suivis],mvtst[[#This Row],[QR Suivis]],mvtst[QTE SORTIS])-SUMIF(mvtst[QR Suivis],mvtst[[#This Row],[QR Suivis]],mvtst[QTE RETOUR])</f>
        <v>5</v>
      </c>
      <c r="K1662" s="35" t="str">
        <f t="shared" si="27"/>
        <v>Usine</v>
      </c>
      <c r="L1662" s="35" t="str">
        <f>_xlfn.XLOOKUP(mvtst[[#This Row],[Sous Traitant]],coordonnee_st[Identification],coordonnee_st[SERVICE],"Non Trouvé")</f>
        <v>Frange</v>
      </c>
      <c r="M1662" s="35" t="str">
        <f>INDEX(_xlfn.TEXTSPLIT(mvtst[[#This Row],[QR Suivis]],"_"),1,2)</f>
        <v>CL00884</v>
      </c>
      <c r="N1662" s="35" t="str">
        <f>INDEX(_xlfn.TEXTSPLIT(mvtst[[#This Row],[QR Suivis]],"_"),1,3)</f>
        <v>CM-FT0119</v>
      </c>
      <c r="O1662" s="35" t="str">
        <f>INDEX(_xlfn.TEXTSPLIT(mvtst[[#This Row],[QR Suivis]],"_"),1,4)</f>
        <v>LI1020-B28-01</v>
      </c>
      <c r="P1662" s="35" t="str">
        <f>INDEX(_xlfn.TEXTSPLIT(mvtst[[#This Row],[QR Suivis]],"_"),1,5)</f>
        <v>LILI</v>
      </c>
      <c r="Q1662" s="35" t="str">
        <f>_xlfn.TEXTAFTER(mvtst[[#This Row],[QR Suivis]],"_",5)</f>
        <v>1020</v>
      </c>
      <c r="R1662" s="84" t="str">
        <f>IF(
   COUNTIFS($A$2:A1662,A1662,
             $B$2:B1662,B1662,
             $C$2:C1662,C1662,
             $D$2:D1662,D1662,
             $G$2:G1662,G1662)&gt;1,
   "Doublon",
   "Correcte"
)</f>
        <v>Correcte</v>
      </c>
    </row>
    <row r="1663" spans="1:18" x14ac:dyDescent="0.25">
      <c r="A1663" s="104" t="s">
        <v>2280</v>
      </c>
      <c r="B1663" s="35" t="s">
        <v>651</v>
      </c>
      <c r="C1663" s="36">
        <v>5</v>
      </c>
      <c r="D1663" s="36">
        <v>0</v>
      </c>
      <c r="E1663" s="35" t="s">
        <v>699</v>
      </c>
      <c r="F1663" s="35" t="s">
        <v>634</v>
      </c>
      <c r="G1663" s="37">
        <v>45940.494780092595</v>
      </c>
      <c r="H1663" s="37" t="str">
        <f>INDEX(_xlfn.TEXTSPLIT(mvtst[[#This Row],[QR Suivis]],"_"),1,1)</f>
        <v>OF249798-43</v>
      </c>
      <c r="I1663" s="35" t="str">
        <f>_xlfn.TEXTBEFORE(mvtst[[#This Row],[Num Suivis]],"-",,,1)</f>
        <v>OF249798</v>
      </c>
      <c r="J1663" s="36">
        <f>SUMIF(mvtst[QR Suivis],mvtst[[#This Row],[QR Suivis]],mvtst[QTE SORTIS])-SUMIF(mvtst[QR Suivis],mvtst[[#This Row],[QR Suivis]],mvtst[QTE RETOUR])</f>
        <v>5</v>
      </c>
      <c r="K1663" s="35" t="str">
        <f t="shared" si="27"/>
        <v>Usine</v>
      </c>
      <c r="L1663" s="35" t="str">
        <f>_xlfn.XLOOKUP(mvtst[[#This Row],[Sous Traitant]],coordonnee_st[Identification],coordonnee_st[SERVICE],"Non Trouvé")</f>
        <v>Frange</v>
      </c>
      <c r="M1663" s="35" t="str">
        <f>INDEX(_xlfn.TEXTSPLIT(mvtst[[#This Row],[QR Suivis]],"_"),1,2)</f>
        <v>CL00884</v>
      </c>
      <c r="N1663" s="35" t="str">
        <f>INDEX(_xlfn.TEXTSPLIT(mvtst[[#This Row],[QR Suivis]],"_"),1,3)</f>
        <v>CM-FT0119</v>
      </c>
      <c r="O1663" s="35" t="str">
        <f>INDEX(_xlfn.TEXTSPLIT(mvtst[[#This Row],[QR Suivis]],"_"),1,4)</f>
        <v>LI1020-B28-01</v>
      </c>
      <c r="P1663" s="35" t="str">
        <f>INDEX(_xlfn.TEXTSPLIT(mvtst[[#This Row],[QR Suivis]],"_"),1,5)</f>
        <v>LILI</v>
      </c>
      <c r="Q1663" s="35" t="str">
        <f>_xlfn.TEXTAFTER(mvtst[[#This Row],[QR Suivis]],"_",5)</f>
        <v>1020</v>
      </c>
      <c r="R1663" s="84" t="str">
        <f>IF(
   COUNTIFS($A$2:A1663,A1663,
             $B$2:B1663,B1663,
             $C$2:C1663,C1663,
             $D$2:D1663,D1663,
             $G$2:G1663,G1663)&gt;1,
   "Doublon",
   "Correcte"
)</f>
        <v>Correcte</v>
      </c>
    </row>
    <row r="1664" spans="1:18" x14ac:dyDescent="0.25">
      <c r="A1664" s="104" t="s">
        <v>2281</v>
      </c>
      <c r="B1664" s="35" t="s">
        <v>651</v>
      </c>
      <c r="C1664" s="36">
        <v>5</v>
      </c>
      <c r="D1664" s="36">
        <v>0</v>
      </c>
      <c r="E1664" s="35" t="s">
        <v>699</v>
      </c>
      <c r="F1664" s="35" t="s">
        <v>634</v>
      </c>
      <c r="G1664" s="37">
        <v>45940.49490740741</v>
      </c>
      <c r="H1664" s="37" t="str">
        <f>INDEX(_xlfn.TEXTSPLIT(mvtst[[#This Row],[QR Suivis]],"_"),1,1)</f>
        <v>OF249798-53</v>
      </c>
      <c r="I1664" s="35" t="str">
        <f>_xlfn.TEXTBEFORE(mvtst[[#This Row],[Num Suivis]],"-",,,1)</f>
        <v>OF249798</v>
      </c>
      <c r="J1664" s="36">
        <f>SUMIF(mvtst[QR Suivis],mvtst[[#This Row],[QR Suivis]],mvtst[QTE SORTIS])-SUMIF(mvtst[QR Suivis],mvtst[[#This Row],[QR Suivis]],mvtst[QTE RETOUR])</f>
        <v>5</v>
      </c>
      <c r="K1664" s="35" t="str">
        <f t="shared" si="27"/>
        <v>Usine</v>
      </c>
      <c r="L1664" s="35" t="str">
        <f>_xlfn.XLOOKUP(mvtst[[#This Row],[Sous Traitant]],coordonnee_st[Identification],coordonnee_st[SERVICE],"Non Trouvé")</f>
        <v>Frange</v>
      </c>
      <c r="M1664" s="35" t="str">
        <f>INDEX(_xlfn.TEXTSPLIT(mvtst[[#This Row],[QR Suivis]],"_"),1,2)</f>
        <v>CL00884</v>
      </c>
      <c r="N1664" s="35" t="str">
        <f>INDEX(_xlfn.TEXTSPLIT(mvtst[[#This Row],[QR Suivis]],"_"),1,3)</f>
        <v>CM-FT0119</v>
      </c>
      <c r="O1664" s="35" t="str">
        <f>INDEX(_xlfn.TEXTSPLIT(mvtst[[#This Row],[QR Suivis]],"_"),1,4)</f>
        <v>LI1020-B28-01</v>
      </c>
      <c r="P1664" s="35" t="str">
        <f>INDEX(_xlfn.TEXTSPLIT(mvtst[[#This Row],[QR Suivis]],"_"),1,5)</f>
        <v>LILI</v>
      </c>
      <c r="Q1664" s="35" t="str">
        <f>_xlfn.TEXTAFTER(mvtst[[#This Row],[QR Suivis]],"_",5)</f>
        <v>1020</v>
      </c>
      <c r="R1664" s="84" t="str">
        <f>IF(
   COUNTIFS($A$2:A1664,A1664,
             $B$2:B1664,B1664,
             $C$2:C1664,C1664,
             $D$2:D1664,D1664,
             $G$2:G1664,G1664)&gt;1,
   "Doublon",
   "Correcte"
)</f>
        <v>Correcte</v>
      </c>
    </row>
    <row r="1665" spans="1:18" x14ac:dyDescent="0.25">
      <c r="A1665" s="104" t="s">
        <v>2282</v>
      </c>
      <c r="B1665" s="35" t="s">
        <v>651</v>
      </c>
      <c r="C1665" s="36">
        <v>5</v>
      </c>
      <c r="D1665" s="36">
        <v>0</v>
      </c>
      <c r="E1665" s="35" t="s">
        <v>699</v>
      </c>
      <c r="F1665" s="35" t="s">
        <v>634</v>
      </c>
      <c r="G1665" s="37">
        <v>45940.495034722226</v>
      </c>
      <c r="H1665" s="37" t="str">
        <f>INDEX(_xlfn.TEXTSPLIT(mvtst[[#This Row],[QR Suivis]],"_"),1,1)</f>
        <v>OF249798-45</v>
      </c>
      <c r="I1665" s="35" t="str">
        <f>_xlfn.TEXTBEFORE(mvtst[[#This Row],[Num Suivis]],"-",,,1)</f>
        <v>OF249798</v>
      </c>
      <c r="J1665" s="36">
        <f>SUMIF(mvtst[QR Suivis],mvtst[[#This Row],[QR Suivis]],mvtst[QTE SORTIS])-SUMIF(mvtst[QR Suivis],mvtst[[#This Row],[QR Suivis]],mvtst[QTE RETOUR])</f>
        <v>5</v>
      </c>
      <c r="K1665" s="35" t="str">
        <f t="shared" si="27"/>
        <v>Usine</v>
      </c>
      <c r="L1665" s="35" t="str">
        <f>_xlfn.XLOOKUP(mvtst[[#This Row],[Sous Traitant]],coordonnee_st[Identification],coordonnee_st[SERVICE],"Non Trouvé")</f>
        <v>Frange</v>
      </c>
      <c r="M1665" s="35" t="str">
        <f>INDEX(_xlfn.TEXTSPLIT(mvtst[[#This Row],[QR Suivis]],"_"),1,2)</f>
        <v>CL00884</v>
      </c>
      <c r="N1665" s="35" t="str">
        <f>INDEX(_xlfn.TEXTSPLIT(mvtst[[#This Row],[QR Suivis]],"_"),1,3)</f>
        <v>CM-FT0119</v>
      </c>
      <c r="O1665" s="35" t="str">
        <f>INDEX(_xlfn.TEXTSPLIT(mvtst[[#This Row],[QR Suivis]],"_"),1,4)</f>
        <v>LI1020-B28-01</v>
      </c>
      <c r="P1665" s="35" t="str">
        <f>INDEX(_xlfn.TEXTSPLIT(mvtst[[#This Row],[QR Suivis]],"_"),1,5)</f>
        <v>LILI</v>
      </c>
      <c r="Q1665" s="35" t="str">
        <f>_xlfn.TEXTAFTER(mvtst[[#This Row],[QR Suivis]],"_",5)</f>
        <v>1020</v>
      </c>
      <c r="R1665" s="84" t="str">
        <f>IF(
   COUNTIFS($A$2:A1665,A1665,
             $B$2:B1665,B1665,
             $C$2:C1665,C1665,
             $D$2:D1665,D1665,
             $G$2:G1665,G1665)&gt;1,
   "Doublon",
   "Correcte"
)</f>
        <v>Correcte</v>
      </c>
    </row>
    <row r="1666" spans="1:18" x14ac:dyDescent="0.25">
      <c r="A1666" s="104" t="s">
        <v>2283</v>
      </c>
      <c r="B1666" s="35" t="s">
        <v>651</v>
      </c>
      <c r="C1666" s="36">
        <v>5</v>
      </c>
      <c r="D1666" s="36">
        <v>0</v>
      </c>
      <c r="E1666" s="35" t="s">
        <v>699</v>
      </c>
      <c r="F1666" s="35" t="s">
        <v>634</v>
      </c>
      <c r="G1666" s="37">
        <v>45940.495219907411</v>
      </c>
      <c r="H1666" s="37" t="str">
        <f>INDEX(_xlfn.TEXTSPLIT(mvtst[[#This Row],[QR Suivis]],"_"),1,1)</f>
        <v>OF249798-29</v>
      </c>
      <c r="I1666" s="35" t="str">
        <f>_xlfn.TEXTBEFORE(mvtst[[#This Row],[Num Suivis]],"-",,,1)</f>
        <v>OF249798</v>
      </c>
      <c r="J1666" s="36">
        <f>SUMIF(mvtst[QR Suivis],mvtst[[#This Row],[QR Suivis]],mvtst[QTE SORTIS])-SUMIF(mvtst[QR Suivis],mvtst[[#This Row],[QR Suivis]],mvtst[QTE RETOUR])</f>
        <v>5</v>
      </c>
      <c r="K1666" s="35" t="str">
        <f t="shared" si="27"/>
        <v>Usine</v>
      </c>
      <c r="L1666" s="35" t="str">
        <f>_xlfn.XLOOKUP(mvtst[[#This Row],[Sous Traitant]],coordonnee_st[Identification],coordonnee_st[SERVICE],"Non Trouvé")</f>
        <v>Frange</v>
      </c>
      <c r="M1666" s="35" t="str">
        <f>INDEX(_xlfn.TEXTSPLIT(mvtst[[#This Row],[QR Suivis]],"_"),1,2)</f>
        <v>CL00884</v>
      </c>
      <c r="N1666" s="35" t="str">
        <f>INDEX(_xlfn.TEXTSPLIT(mvtst[[#This Row],[QR Suivis]],"_"),1,3)</f>
        <v>CM-FT0119</v>
      </c>
      <c r="O1666" s="35" t="str">
        <f>INDEX(_xlfn.TEXTSPLIT(mvtst[[#This Row],[QR Suivis]],"_"),1,4)</f>
        <v>LI1020-B28-01</v>
      </c>
      <c r="P1666" s="35" t="str">
        <f>INDEX(_xlfn.TEXTSPLIT(mvtst[[#This Row],[QR Suivis]],"_"),1,5)</f>
        <v>LILI</v>
      </c>
      <c r="Q1666" s="35" t="str">
        <f>_xlfn.TEXTAFTER(mvtst[[#This Row],[QR Suivis]],"_",5)</f>
        <v>1020</v>
      </c>
      <c r="R1666" s="84" t="str">
        <f>IF(
   COUNTIFS($A$2:A1666,A1666,
             $B$2:B1666,B1666,
             $C$2:C1666,C1666,
             $D$2:D1666,D1666,
             $G$2:G1666,G1666)&gt;1,
   "Doublon",
   "Correcte"
)</f>
        <v>Correcte</v>
      </c>
    </row>
    <row r="1667" spans="1:18" x14ac:dyDescent="0.25">
      <c r="A1667" s="104" t="s">
        <v>2284</v>
      </c>
      <c r="B1667" s="35" t="s">
        <v>651</v>
      </c>
      <c r="C1667" s="36">
        <v>5</v>
      </c>
      <c r="D1667" s="36">
        <v>0</v>
      </c>
      <c r="E1667" s="35" t="s">
        <v>699</v>
      </c>
      <c r="F1667" s="35" t="s">
        <v>634</v>
      </c>
      <c r="G1667" s="37">
        <v>45940.495428240742</v>
      </c>
      <c r="H1667" s="37" t="str">
        <f>INDEX(_xlfn.TEXTSPLIT(mvtst[[#This Row],[QR Suivis]],"_"),1,1)</f>
        <v>OF249798-25</v>
      </c>
      <c r="I1667" s="35" t="str">
        <f>_xlfn.TEXTBEFORE(mvtst[[#This Row],[Num Suivis]],"-",,,1)</f>
        <v>OF249798</v>
      </c>
      <c r="J1667" s="36">
        <f>SUMIF(mvtst[QR Suivis],mvtst[[#This Row],[QR Suivis]],mvtst[QTE SORTIS])-SUMIF(mvtst[QR Suivis],mvtst[[#This Row],[QR Suivis]],mvtst[QTE RETOUR])</f>
        <v>5</v>
      </c>
      <c r="K1667" s="35" t="str">
        <f t="shared" si="27"/>
        <v>Usine</v>
      </c>
      <c r="L1667" s="35" t="str">
        <f>_xlfn.XLOOKUP(mvtst[[#This Row],[Sous Traitant]],coordonnee_st[Identification],coordonnee_st[SERVICE],"Non Trouvé")</f>
        <v>Frange</v>
      </c>
      <c r="M1667" s="35" t="str">
        <f>INDEX(_xlfn.TEXTSPLIT(mvtst[[#This Row],[QR Suivis]],"_"),1,2)</f>
        <v>CL00884</v>
      </c>
      <c r="N1667" s="35" t="str">
        <f>INDEX(_xlfn.TEXTSPLIT(mvtst[[#This Row],[QR Suivis]],"_"),1,3)</f>
        <v>CM-FT0119</v>
      </c>
      <c r="O1667" s="35" t="str">
        <f>INDEX(_xlfn.TEXTSPLIT(mvtst[[#This Row],[QR Suivis]],"_"),1,4)</f>
        <v>LI1020-B28-01</v>
      </c>
      <c r="P1667" s="35" t="str">
        <f>INDEX(_xlfn.TEXTSPLIT(mvtst[[#This Row],[QR Suivis]],"_"),1,5)</f>
        <v>LILI</v>
      </c>
      <c r="Q1667" s="35" t="str">
        <f>_xlfn.TEXTAFTER(mvtst[[#This Row],[QR Suivis]],"_",5)</f>
        <v>1020</v>
      </c>
      <c r="R1667" s="84" t="str">
        <f>IF(
   COUNTIFS($A$2:A1667,A1667,
             $B$2:B1667,B1667,
             $C$2:C1667,C1667,
             $D$2:D1667,D1667,
             $G$2:G1667,G1667)&gt;1,
   "Doublon",
   "Correcte"
)</f>
        <v>Correcte</v>
      </c>
    </row>
    <row r="1668" spans="1:18" x14ac:dyDescent="0.25">
      <c r="A1668" s="104" t="s">
        <v>2285</v>
      </c>
      <c r="B1668" s="35" t="s">
        <v>651</v>
      </c>
      <c r="C1668" s="36">
        <v>5</v>
      </c>
      <c r="D1668" s="36">
        <v>0</v>
      </c>
      <c r="E1668" s="35" t="s">
        <v>699</v>
      </c>
      <c r="F1668" s="35" t="s">
        <v>634</v>
      </c>
      <c r="G1668" s="37">
        <v>45940.49560185185</v>
      </c>
      <c r="H1668" s="37" t="str">
        <f>INDEX(_xlfn.TEXTSPLIT(mvtst[[#This Row],[QR Suivis]],"_"),1,1)</f>
        <v>OF249798-34</v>
      </c>
      <c r="I1668" s="35" t="str">
        <f>_xlfn.TEXTBEFORE(mvtst[[#This Row],[Num Suivis]],"-",,,1)</f>
        <v>OF249798</v>
      </c>
      <c r="J1668" s="36">
        <f>SUMIF(mvtst[QR Suivis],mvtst[[#This Row],[QR Suivis]],mvtst[QTE SORTIS])-SUMIF(mvtst[QR Suivis],mvtst[[#This Row],[QR Suivis]],mvtst[QTE RETOUR])</f>
        <v>5</v>
      </c>
      <c r="K1668" s="35" t="str">
        <f t="shared" si="27"/>
        <v>Usine</v>
      </c>
      <c r="L1668" s="35" t="str">
        <f>_xlfn.XLOOKUP(mvtst[[#This Row],[Sous Traitant]],coordonnee_st[Identification],coordonnee_st[SERVICE],"Non Trouvé")</f>
        <v>Frange</v>
      </c>
      <c r="M1668" s="35" t="str">
        <f>INDEX(_xlfn.TEXTSPLIT(mvtst[[#This Row],[QR Suivis]],"_"),1,2)</f>
        <v>CL00884</v>
      </c>
      <c r="N1668" s="35" t="str">
        <f>INDEX(_xlfn.TEXTSPLIT(mvtst[[#This Row],[QR Suivis]],"_"),1,3)</f>
        <v>CM-FT0119</v>
      </c>
      <c r="O1668" s="35" t="str">
        <f>INDEX(_xlfn.TEXTSPLIT(mvtst[[#This Row],[QR Suivis]],"_"),1,4)</f>
        <v>LI1020-B28-01</v>
      </c>
      <c r="P1668" s="35" t="str">
        <f>INDEX(_xlfn.TEXTSPLIT(mvtst[[#This Row],[QR Suivis]],"_"),1,5)</f>
        <v>LILI</v>
      </c>
      <c r="Q1668" s="35" t="str">
        <f>_xlfn.TEXTAFTER(mvtst[[#This Row],[QR Suivis]],"_",5)</f>
        <v>1020</v>
      </c>
      <c r="R1668" s="84" t="str">
        <f>IF(
   COUNTIFS($A$2:A1668,A1668,
             $B$2:B1668,B1668,
             $C$2:C1668,C1668,
             $D$2:D1668,D1668,
             $G$2:G1668,G1668)&gt;1,
   "Doublon",
   "Correcte"
)</f>
        <v>Correcte</v>
      </c>
    </row>
    <row r="1669" spans="1:18" x14ac:dyDescent="0.25">
      <c r="A1669" s="104" t="s">
        <v>2286</v>
      </c>
      <c r="B1669" s="35" t="s">
        <v>651</v>
      </c>
      <c r="C1669" s="36">
        <v>5</v>
      </c>
      <c r="D1669" s="36">
        <v>0</v>
      </c>
      <c r="E1669" s="35" t="s">
        <v>699</v>
      </c>
      <c r="F1669" s="35" t="s">
        <v>634</v>
      </c>
      <c r="G1669" s="37">
        <v>45940.495717592596</v>
      </c>
      <c r="H1669" s="37" t="str">
        <f>INDEX(_xlfn.TEXTSPLIT(mvtst[[#This Row],[QR Suivis]],"_"),1,1)</f>
        <v>OF249798-50</v>
      </c>
      <c r="I1669" s="35" t="str">
        <f>_xlfn.TEXTBEFORE(mvtst[[#This Row],[Num Suivis]],"-",,,1)</f>
        <v>OF249798</v>
      </c>
      <c r="J1669" s="36">
        <f>SUMIF(mvtst[QR Suivis],mvtst[[#This Row],[QR Suivis]],mvtst[QTE SORTIS])-SUMIF(mvtst[QR Suivis],mvtst[[#This Row],[QR Suivis]],mvtst[QTE RETOUR])</f>
        <v>5</v>
      </c>
      <c r="K1669" s="35" t="str">
        <f t="shared" si="27"/>
        <v>Usine</v>
      </c>
      <c r="L1669" s="35" t="str">
        <f>_xlfn.XLOOKUP(mvtst[[#This Row],[Sous Traitant]],coordonnee_st[Identification],coordonnee_st[SERVICE],"Non Trouvé")</f>
        <v>Frange</v>
      </c>
      <c r="M1669" s="35" t="str">
        <f>INDEX(_xlfn.TEXTSPLIT(mvtst[[#This Row],[QR Suivis]],"_"),1,2)</f>
        <v>CL00884</v>
      </c>
      <c r="N1669" s="35" t="str">
        <f>INDEX(_xlfn.TEXTSPLIT(mvtst[[#This Row],[QR Suivis]],"_"),1,3)</f>
        <v>CM-FT0119</v>
      </c>
      <c r="O1669" s="35" t="str">
        <f>INDEX(_xlfn.TEXTSPLIT(mvtst[[#This Row],[QR Suivis]],"_"),1,4)</f>
        <v>LI1020-B28-01</v>
      </c>
      <c r="P1669" s="35" t="str">
        <f>INDEX(_xlfn.TEXTSPLIT(mvtst[[#This Row],[QR Suivis]],"_"),1,5)</f>
        <v>LILI</v>
      </c>
      <c r="Q1669" s="35" t="str">
        <f>_xlfn.TEXTAFTER(mvtst[[#This Row],[QR Suivis]],"_",5)</f>
        <v>1020</v>
      </c>
      <c r="R1669" s="84" t="str">
        <f>IF(
   COUNTIFS($A$2:A1669,A1669,
             $B$2:B1669,B1669,
             $C$2:C1669,C1669,
             $D$2:D1669,D1669,
             $G$2:G1669,G1669)&gt;1,
   "Doublon",
   "Correcte"
)</f>
        <v>Correcte</v>
      </c>
    </row>
    <row r="1670" spans="1:18" x14ac:dyDescent="0.25">
      <c r="A1670" s="104" t="s">
        <v>2287</v>
      </c>
      <c r="B1670" s="35" t="s">
        <v>651</v>
      </c>
      <c r="C1670" s="36">
        <v>5</v>
      </c>
      <c r="D1670" s="36">
        <v>0</v>
      </c>
      <c r="E1670" s="35" t="s">
        <v>699</v>
      </c>
      <c r="F1670" s="35" t="s">
        <v>634</v>
      </c>
      <c r="G1670" s="37">
        <v>45940.495891203704</v>
      </c>
      <c r="H1670" s="37" t="str">
        <f>INDEX(_xlfn.TEXTSPLIT(mvtst[[#This Row],[QR Suivis]],"_"),1,1)</f>
        <v>OF249798-42</v>
      </c>
      <c r="I1670" s="35" t="str">
        <f>_xlfn.TEXTBEFORE(mvtst[[#This Row],[Num Suivis]],"-",,,1)</f>
        <v>OF249798</v>
      </c>
      <c r="J1670" s="36">
        <f>SUMIF(mvtst[QR Suivis],mvtst[[#This Row],[QR Suivis]],mvtst[QTE SORTIS])-SUMIF(mvtst[QR Suivis],mvtst[[#This Row],[QR Suivis]],mvtst[QTE RETOUR])</f>
        <v>5</v>
      </c>
      <c r="K1670" s="35" t="str">
        <f t="shared" si="27"/>
        <v>Usine</v>
      </c>
      <c r="L1670" s="35" t="str">
        <f>_xlfn.XLOOKUP(mvtst[[#This Row],[Sous Traitant]],coordonnee_st[Identification],coordonnee_st[SERVICE],"Non Trouvé")</f>
        <v>Frange</v>
      </c>
      <c r="M1670" s="35" t="str">
        <f>INDEX(_xlfn.TEXTSPLIT(mvtst[[#This Row],[QR Suivis]],"_"),1,2)</f>
        <v>CL00884</v>
      </c>
      <c r="N1670" s="35" t="str">
        <f>INDEX(_xlfn.TEXTSPLIT(mvtst[[#This Row],[QR Suivis]],"_"),1,3)</f>
        <v>CM-FT0119</v>
      </c>
      <c r="O1670" s="35" t="str">
        <f>INDEX(_xlfn.TEXTSPLIT(mvtst[[#This Row],[QR Suivis]],"_"),1,4)</f>
        <v>LI1020-B28-01</v>
      </c>
      <c r="P1670" s="35" t="str">
        <f>INDEX(_xlfn.TEXTSPLIT(mvtst[[#This Row],[QR Suivis]],"_"),1,5)</f>
        <v>LILI</v>
      </c>
      <c r="Q1670" s="35" t="str">
        <f>_xlfn.TEXTAFTER(mvtst[[#This Row],[QR Suivis]],"_",5)</f>
        <v>1020</v>
      </c>
      <c r="R1670" s="84" t="str">
        <f>IF(
   COUNTIFS($A$2:A1670,A1670,
             $B$2:B1670,B1670,
             $C$2:C1670,C1670,
             $D$2:D1670,D1670,
             $G$2:G1670,G1670)&gt;1,
   "Doublon",
   "Correcte"
)</f>
        <v>Correcte</v>
      </c>
    </row>
    <row r="1671" spans="1:18" x14ac:dyDescent="0.25">
      <c r="A1671" s="104" t="s">
        <v>1923</v>
      </c>
      <c r="B1671" s="35" t="s">
        <v>1090</v>
      </c>
      <c r="C1671" s="36">
        <v>0</v>
      </c>
      <c r="D1671" s="36">
        <v>5</v>
      </c>
      <c r="E1671" s="35" t="s">
        <v>699</v>
      </c>
      <c r="F1671" s="35" t="s">
        <v>634</v>
      </c>
      <c r="G1671" s="37">
        <v>45940.509050925924</v>
      </c>
      <c r="H1671" s="37" t="str">
        <f>INDEX(_xlfn.TEXTSPLIT(mvtst[[#This Row],[QR Suivis]],"_"),1,1)</f>
        <v>OF249868-4</v>
      </c>
      <c r="I1671" s="35" t="str">
        <f>_xlfn.TEXTBEFORE(mvtst[[#This Row],[Num Suivis]],"-",,,1)</f>
        <v>OF249868</v>
      </c>
      <c r="J1671" s="36">
        <f>SUMIF(mvtst[QR Suivis],mvtst[[#This Row],[QR Suivis]],mvtst[QTE SORTIS])-SUMIF(mvtst[QR Suivis],mvtst[[#This Row],[QR Suivis]],mvtst[QTE RETOUR])</f>
        <v>0</v>
      </c>
      <c r="K1671" s="35" t="str">
        <f t="shared" si="27"/>
        <v>Usine</v>
      </c>
      <c r="L1671" s="35" t="str">
        <f>_xlfn.XLOOKUP(mvtst[[#This Row],[Sous Traitant]],coordonnee_st[Identification],coordonnee_st[SERVICE],"Non Trouvé")</f>
        <v>Frange</v>
      </c>
      <c r="M1671" s="35" t="str">
        <f>INDEX(_xlfn.TEXTSPLIT(mvtst[[#This Row],[QR Suivis]],"_"),1,2)</f>
        <v>CL00884</v>
      </c>
      <c r="N1671" s="35" t="str">
        <f>INDEX(_xlfn.TEXTSPLIT(mvtst[[#This Row],[QR Suivis]],"_"),1,3)</f>
        <v>CM-FT0119</v>
      </c>
      <c r="O1671" s="35" t="str">
        <f>INDEX(_xlfn.TEXTSPLIT(mvtst[[#This Row],[QR Suivis]],"_"),1,4)</f>
        <v>EPMA0919-B24-02</v>
      </c>
      <c r="P1671" s="35" t="str">
        <f>INDEX(_xlfn.TEXTSPLIT(mvtst[[#This Row],[QR Suivis]],"_"),1,5)</f>
        <v>MARINIERE</v>
      </c>
      <c r="Q1671" s="35" t="str">
        <f>_xlfn.TEXTAFTER(mvtst[[#This Row],[QR Suivis]],"_",5)</f>
        <v>0919</v>
      </c>
      <c r="R1671" s="84" t="str">
        <f>IF(
   COUNTIFS($A$2:A1671,A1671,
             $B$2:B1671,B1671,
             $C$2:C1671,C1671,
             $D$2:D1671,D1671,
             $G$2:G1671,G1671)&gt;1,
   "Doublon",
   "Correcte"
)</f>
        <v>Correcte</v>
      </c>
    </row>
    <row r="1672" spans="1:18" x14ac:dyDescent="0.25">
      <c r="A1672" s="104" t="s">
        <v>1924</v>
      </c>
      <c r="B1672" s="35" t="s">
        <v>1090</v>
      </c>
      <c r="C1672" s="36">
        <v>0</v>
      </c>
      <c r="D1672" s="36">
        <v>5</v>
      </c>
      <c r="E1672" s="35" t="s">
        <v>699</v>
      </c>
      <c r="F1672" s="35" t="s">
        <v>634</v>
      </c>
      <c r="G1672" s="37">
        <v>45940.509317129632</v>
      </c>
      <c r="H1672" s="37" t="str">
        <f>INDEX(_xlfn.TEXTSPLIT(mvtst[[#This Row],[QR Suivis]],"_"),1,1)</f>
        <v>OF249868-21</v>
      </c>
      <c r="I1672" s="35" t="str">
        <f>_xlfn.TEXTBEFORE(mvtst[[#This Row],[Num Suivis]],"-",,,1)</f>
        <v>OF249868</v>
      </c>
      <c r="J1672" s="36">
        <f>SUMIF(mvtst[QR Suivis],mvtst[[#This Row],[QR Suivis]],mvtst[QTE SORTIS])-SUMIF(mvtst[QR Suivis],mvtst[[#This Row],[QR Suivis]],mvtst[QTE RETOUR])</f>
        <v>0</v>
      </c>
      <c r="K1672" s="35" t="str">
        <f t="shared" si="27"/>
        <v>Usine</v>
      </c>
      <c r="L1672" s="35" t="str">
        <f>_xlfn.XLOOKUP(mvtst[[#This Row],[Sous Traitant]],coordonnee_st[Identification],coordonnee_st[SERVICE],"Non Trouvé")</f>
        <v>Frange</v>
      </c>
      <c r="M1672" s="35" t="str">
        <f>INDEX(_xlfn.TEXTSPLIT(mvtst[[#This Row],[QR Suivis]],"_"),1,2)</f>
        <v>CL00884</v>
      </c>
      <c r="N1672" s="35" t="str">
        <f>INDEX(_xlfn.TEXTSPLIT(mvtst[[#This Row],[QR Suivis]],"_"),1,3)</f>
        <v>CM-FT0119</v>
      </c>
      <c r="O1672" s="35" t="str">
        <f>INDEX(_xlfn.TEXTSPLIT(mvtst[[#This Row],[QR Suivis]],"_"),1,4)</f>
        <v>EPMA0919-B24-02</v>
      </c>
      <c r="P1672" s="35" t="str">
        <f>INDEX(_xlfn.TEXTSPLIT(mvtst[[#This Row],[QR Suivis]],"_"),1,5)</f>
        <v>MARINIERE</v>
      </c>
      <c r="Q1672" s="35" t="str">
        <f>_xlfn.TEXTAFTER(mvtst[[#This Row],[QR Suivis]],"_",5)</f>
        <v>0919</v>
      </c>
      <c r="R1672" s="84" t="str">
        <f>IF(
   COUNTIFS($A$2:A1672,A1672,
             $B$2:B1672,B1672,
             $C$2:C1672,C1672,
             $D$2:D1672,D1672,
             $G$2:G1672,G1672)&gt;1,
   "Doublon",
   "Correcte"
)</f>
        <v>Correcte</v>
      </c>
    </row>
    <row r="1673" spans="1:18" x14ac:dyDescent="0.25">
      <c r="A1673" s="104" t="s">
        <v>1926</v>
      </c>
      <c r="B1673" s="35" t="s">
        <v>1090</v>
      </c>
      <c r="C1673" s="36">
        <v>0</v>
      </c>
      <c r="D1673" s="36">
        <v>5</v>
      </c>
      <c r="E1673" s="35" t="s">
        <v>699</v>
      </c>
      <c r="F1673" s="35" t="s">
        <v>634</v>
      </c>
      <c r="G1673" s="37">
        <v>45940.509479166663</v>
      </c>
      <c r="H1673" s="37" t="str">
        <f>INDEX(_xlfn.TEXTSPLIT(mvtst[[#This Row],[QR Suivis]],"_"),1,1)</f>
        <v>OF249868-13</v>
      </c>
      <c r="I1673" s="35" t="str">
        <f>_xlfn.TEXTBEFORE(mvtst[[#This Row],[Num Suivis]],"-",,,1)</f>
        <v>OF249868</v>
      </c>
      <c r="J1673" s="36">
        <f>SUMIF(mvtst[QR Suivis],mvtst[[#This Row],[QR Suivis]],mvtst[QTE SORTIS])-SUMIF(mvtst[QR Suivis],mvtst[[#This Row],[QR Suivis]],mvtst[QTE RETOUR])</f>
        <v>0</v>
      </c>
      <c r="K1673" s="35" t="str">
        <f t="shared" si="27"/>
        <v>Usine</v>
      </c>
      <c r="L1673" s="35" t="str">
        <f>_xlfn.XLOOKUP(mvtst[[#This Row],[Sous Traitant]],coordonnee_st[Identification],coordonnee_st[SERVICE],"Non Trouvé")</f>
        <v>Frange</v>
      </c>
      <c r="M1673" s="35" t="str">
        <f>INDEX(_xlfn.TEXTSPLIT(mvtst[[#This Row],[QR Suivis]],"_"),1,2)</f>
        <v>CL00884</v>
      </c>
      <c r="N1673" s="35" t="str">
        <f>INDEX(_xlfn.TEXTSPLIT(mvtst[[#This Row],[QR Suivis]],"_"),1,3)</f>
        <v>CM-FT0119</v>
      </c>
      <c r="O1673" s="35" t="str">
        <f>INDEX(_xlfn.TEXTSPLIT(mvtst[[#This Row],[QR Suivis]],"_"),1,4)</f>
        <v>EPMA0919-B24-02</v>
      </c>
      <c r="P1673" s="35" t="str">
        <f>INDEX(_xlfn.TEXTSPLIT(mvtst[[#This Row],[QR Suivis]],"_"),1,5)</f>
        <v>MARINIERE</v>
      </c>
      <c r="Q1673" s="35" t="str">
        <f>_xlfn.TEXTAFTER(mvtst[[#This Row],[QR Suivis]],"_",5)</f>
        <v>0919</v>
      </c>
      <c r="R1673" s="84" t="str">
        <f>IF(
   COUNTIFS($A$2:A1673,A1673,
             $B$2:B1673,B1673,
             $C$2:C1673,C1673,
             $D$2:D1673,D1673,
             $G$2:G1673,G1673)&gt;1,
   "Doublon",
   "Correcte"
)</f>
        <v>Correcte</v>
      </c>
    </row>
    <row r="1674" spans="1:18" x14ac:dyDescent="0.25">
      <c r="A1674" s="104" t="s">
        <v>1921</v>
      </c>
      <c r="B1674" s="35" t="s">
        <v>1090</v>
      </c>
      <c r="C1674" s="36">
        <v>0</v>
      </c>
      <c r="D1674" s="36">
        <v>5</v>
      </c>
      <c r="E1674" s="35" t="s">
        <v>699</v>
      </c>
      <c r="F1674" s="35" t="s">
        <v>634</v>
      </c>
      <c r="G1674" s="37">
        <v>45940.509756944448</v>
      </c>
      <c r="H1674" s="37" t="str">
        <f>INDEX(_xlfn.TEXTSPLIT(mvtst[[#This Row],[QR Suivis]],"_"),1,1)</f>
        <v>OF249868-11</v>
      </c>
      <c r="I1674" s="35" t="str">
        <f>_xlfn.TEXTBEFORE(mvtst[[#This Row],[Num Suivis]],"-",,,1)</f>
        <v>OF249868</v>
      </c>
      <c r="J1674" s="36">
        <f>SUMIF(mvtst[QR Suivis],mvtst[[#This Row],[QR Suivis]],mvtst[QTE SORTIS])-SUMIF(mvtst[QR Suivis],mvtst[[#This Row],[QR Suivis]],mvtst[QTE RETOUR])</f>
        <v>0</v>
      </c>
      <c r="K1674" s="35" t="str">
        <f t="shared" si="27"/>
        <v>Usine</v>
      </c>
      <c r="L1674" s="35" t="str">
        <f>_xlfn.XLOOKUP(mvtst[[#This Row],[Sous Traitant]],coordonnee_st[Identification],coordonnee_st[SERVICE],"Non Trouvé")</f>
        <v>Frange</v>
      </c>
      <c r="M1674" s="35" t="str">
        <f>INDEX(_xlfn.TEXTSPLIT(mvtst[[#This Row],[QR Suivis]],"_"),1,2)</f>
        <v>CL00884</v>
      </c>
      <c r="N1674" s="35" t="str">
        <f>INDEX(_xlfn.TEXTSPLIT(mvtst[[#This Row],[QR Suivis]],"_"),1,3)</f>
        <v>CM-FT0119</v>
      </c>
      <c r="O1674" s="35" t="str">
        <f>INDEX(_xlfn.TEXTSPLIT(mvtst[[#This Row],[QR Suivis]],"_"),1,4)</f>
        <v>EPMA0919-B24-02</v>
      </c>
      <c r="P1674" s="35" t="str">
        <f>INDEX(_xlfn.TEXTSPLIT(mvtst[[#This Row],[QR Suivis]],"_"),1,5)</f>
        <v>MARINIERE</v>
      </c>
      <c r="Q1674" s="35" t="str">
        <f>_xlfn.TEXTAFTER(mvtst[[#This Row],[QR Suivis]],"_",5)</f>
        <v>0919</v>
      </c>
      <c r="R1674" s="84" t="str">
        <f>IF(
   COUNTIFS($A$2:A1674,A1674,
             $B$2:B1674,B1674,
             $C$2:C1674,C1674,
             $D$2:D1674,D1674,
             $G$2:G1674,G1674)&gt;1,
   "Doublon",
   "Correcte"
)</f>
        <v>Correcte</v>
      </c>
    </row>
    <row r="1675" spans="1:18" x14ac:dyDescent="0.25">
      <c r="A1675" s="104" t="s">
        <v>1925</v>
      </c>
      <c r="B1675" s="35" t="s">
        <v>1090</v>
      </c>
      <c r="C1675" s="36">
        <v>0</v>
      </c>
      <c r="D1675" s="36">
        <v>5</v>
      </c>
      <c r="E1675" s="35" t="s">
        <v>699</v>
      </c>
      <c r="F1675" s="35" t="s">
        <v>634</v>
      </c>
      <c r="G1675" s="37">
        <v>45940.510057870371</v>
      </c>
      <c r="H1675" s="37" t="str">
        <f>INDEX(_xlfn.TEXTSPLIT(mvtst[[#This Row],[QR Suivis]],"_"),1,1)</f>
        <v>OF249868-3</v>
      </c>
      <c r="I1675" s="35" t="str">
        <f>_xlfn.TEXTBEFORE(mvtst[[#This Row],[Num Suivis]],"-",,,1)</f>
        <v>OF249868</v>
      </c>
      <c r="J1675" s="36">
        <f>SUMIF(mvtst[QR Suivis],mvtst[[#This Row],[QR Suivis]],mvtst[QTE SORTIS])-SUMIF(mvtst[QR Suivis],mvtst[[#This Row],[QR Suivis]],mvtst[QTE RETOUR])</f>
        <v>0</v>
      </c>
      <c r="K1675" s="35" t="str">
        <f t="shared" si="27"/>
        <v>Usine</v>
      </c>
      <c r="L1675" s="35" t="str">
        <f>_xlfn.XLOOKUP(mvtst[[#This Row],[Sous Traitant]],coordonnee_st[Identification],coordonnee_st[SERVICE],"Non Trouvé")</f>
        <v>Frange</v>
      </c>
      <c r="M1675" s="35" t="str">
        <f>INDEX(_xlfn.TEXTSPLIT(mvtst[[#This Row],[QR Suivis]],"_"),1,2)</f>
        <v>CL00884</v>
      </c>
      <c r="N1675" s="35" t="str">
        <f>INDEX(_xlfn.TEXTSPLIT(mvtst[[#This Row],[QR Suivis]],"_"),1,3)</f>
        <v>CM-FT0119</v>
      </c>
      <c r="O1675" s="35" t="str">
        <f>INDEX(_xlfn.TEXTSPLIT(mvtst[[#This Row],[QR Suivis]],"_"),1,4)</f>
        <v>EPMA0919-B24-02</v>
      </c>
      <c r="P1675" s="35" t="str">
        <f>INDEX(_xlfn.TEXTSPLIT(mvtst[[#This Row],[QR Suivis]],"_"),1,5)</f>
        <v>MARINIERE</v>
      </c>
      <c r="Q1675" s="35" t="str">
        <f>_xlfn.TEXTAFTER(mvtst[[#This Row],[QR Suivis]],"_",5)</f>
        <v>0919</v>
      </c>
      <c r="R1675" s="84" t="str">
        <f>IF(
   COUNTIFS($A$2:A1675,A1675,
             $B$2:B1675,B1675,
             $C$2:C1675,C1675,
             $D$2:D1675,D1675,
             $G$2:G1675,G1675)&gt;1,
   "Doublon",
   "Correcte"
)</f>
        <v>Correcte</v>
      </c>
    </row>
    <row r="1676" spans="1:18" x14ac:dyDescent="0.25">
      <c r="A1676" s="104" t="s">
        <v>1922</v>
      </c>
      <c r="B1676" s="35" t="s">
        <v>1090</v>
      </c>
      <c r="C1676" s="36">
        <v>0</v>
      </c>
      <c r="D1676" s="36">
        <v>5</v>
      </c>
      <c r="E1676" s="35" t="s">
        <v>699</v>
      </c>
      <c r="F1676" s="35" t="s">
        <v>634</v>
      </c>
      <c r="G1676" s="37">
        <v>45940.513240740744</v>
      </c>
      <c r="H1676" s="37" t="str">
        <f>INDEX(_xlfn.TEXTSPLIT(mvtst[[#This Row],[QR Suivis]],"_"),1,1)</f>
        <v>OF249868-12</v>
      </c>
      <c r="I1676" s="35" t="str">
        <f>_xlfn.TEXTBEFORE(mvtst[[#This Row],[Num Suivis]],"-",,,1)</f>
        <v>OF249868</v>
      </c>
      <c r="J1676" s="36">
        <f>SUMIF(mvtst[QR Suivis],mvtst[[#This Row],[QR Suivis]],mvtst[QTE SORTIS])-SUMIF(mvtst[QR Suivis],mvtst[[#This Row],[QR Suivis]],mvtst[QTE RETOUR])</f>
        <v>0</v>
      </c>
      <c r="K1676" s="35" t="str">
        <f t="shared" si="27"/>
        <v>Usine</v>
      </c>
      <c r="L1676" s="35" t="str">
        <f>_xlfn.XLOOKUP(mvtst[[#This Row],[Sous Traitant]],coordonnee_st[Identification],coordonnee_st[SERVICE],"Non Trouvé")</f>
        <v>Frange</v>
      </c>
      <c r="M1676" s="35" t="str">
        <f>INDEX(_xlfn.TEXTSPLIT(mvtst[[#This Row],[QR Suivis]],"_"),1,2)</f>
        <v>CL00884</v>
      </c>
      <c r="N1676" s="35" t="str">
        <f>INDEX(_xlfn.TEXTSPLIT(mvtst[[#This Row],[QR Suivis]],"_"),1,3)</f>
        <v>CM-FT0119</v>
      </c>
      <c r="O1676" s="35" t="str">
        <f>INDEX(_xlfn.TEXTSPLIT(mvtst[[#This Row],[QR Suivis]],"_"),1,4)</f>
        <v>EPMA0919-B24-02</v>
      </c>
      <c r="P1676" s="35" t="str">
        <f>INDEX(_xlfn.TEXTSPLIT(mvtst[[#This Row],[QR Suivis]],"_"),1,5)</f>
        <v>MARINIERE</v>
      </c>
      <c r="Q1676" s="35" t="str">
        <f>_xlfn.TEXTAFTER(mvtst[[#This Row],[QR Suivis]],"_",5)</f>
        <v>0919</v>
      </c>
      <c r="R1676" s="84" t="str">
        <f>IF(
   COUNTIFS($A$2:A1676,A1676,
             $B$2:B1676,B1676,
             $C$2:C1676,C1676,
             $D$2:D1676,D1676,
             $G$2:G1676,G1676)&gt;1,
   "Doublon",
   "Correcte"
)</f>
        <v>Correcte</v>
      </c>
    </row>
    <row r="1677" spans="1:18" x14ac:dyDescent="0.25">
      <c r="A1677" s="104" t="s">
        <v>2288</v>
      </c>
      <c r="B1677" s="35" t="s">
        <v>1090</v>
      </c>
      <c r="C1677" s="36">
        <v>5</v>
      </c>
      <c r="D1677" s="36">
        <v>0</v>
      </c>
      <c r="E1677" s="35" t="s">
        <v>699</v>
      </c>
      <c r="F1677" s="35" t="s">
        <v>634</v>
      </c>
      <c r="G1677" s="37">
        <v>45940.513425925928</v>
      </c>
      <c r="H1677" s="37" t="str">
        <f>INDEX(_xlfn.TEXTSPLIT(mvtst[[#This Row],[QR Suivis]],"_"),1,1)</f>
        <v>OF249798-41</v>
      </c>
      <c r="I1677" s="35" t="str">
        <f>_xlfn.TEXTBEFORE(mvtst[[#This Row],[Num Suivis]],"-",,,1)</f>
        <v>OF249798</v>
      </c>
      <c r="J1677" s="36">
        <f>SUMIF(mvtst[QR Suivis],mvtst[[#This Row],[QR Suivis]],mvtst[QTE SORTIS])-SUMIF(mvtst[QR Suivis],mvtst[[#This Row],[QR Suivis]],mvtst[QTE RETOUR])</f>
        <v>5</v>
      </c>
      <c r="K1677" s="35" t="str">
        <f t="shared" si="27"/>
        <v>Usine</v>
      </c>
      <c r="L1677" s="35" t="str">
        <f>_xlfn.XLOOKUP(mvtst[[#This Row],[Sous Traitant]],coordonnee_st[Identification],coordonnee_st[SERVICE],"Non Trouvé")</f>
        <v>Frange</v>
      </c>
      <c r="M1677" s="35" t="str">
        <f>INDEX(_xlfn.TEXTSPLIT(mvtst[[#This Row],[QR Suivis]],"_"),1,2)</f>
        <v>CL00884</v>
      </c>
      <c r="N1677" s="35" t="str">
        <f>INDEX(_xlfn.TEXTSPLIT(mvtst[[#This Row],[QR Suivis]],"_"),1,3)</f>
        <v>CM-FT0119</v>
      </c>
      <c r="O1677" s="35" t="str">
        <f>INDEX(_xlfn.TEXTSPLIT(mvtst[[#This Row],[QR Suivis]],"_"),1,4)</f>
        <v>LI1020-B28-01</v>
      </c>
      <c r="P1677" s="35" t="str">
        <f>INDEX(_xlfn.TEXTSPLIT(mvtst[[#This Row],[QR Suivis]],"_"),1,5)</f>
        <v>LILI</v>
      </c>
      <c r="Q1677" s="35" t="str">
        <f>_xlfn.TEXTAFTER(mvtst[[#This Row],[QR Suivis]],"_",5)</f>
        <v>1020</v>
      </c>
      <c r="R1677" s="84" t="str">
        <f>IF(
   COUNTIFS($A$2:A1677,A1677,
             $B$2:B1677,B1677,
             $C$2:C1677,C1677,
             $D$2:D1677,D1677,
             $G$2:G1677,G1677)&gt;1,
   "Doublon",
   "Correcte"
)</f>
        <v>Correcte</v>
      </c>
    </row>
    <row r="1678" spans="1:18" x14ac:dyDescent="0.25">
      <c r="A1678" s="104" t="s">
        <v>2289</v>
      </c>
      <c r="B1678" s="35" t="s">
        <v>1090</v>
      </c>
      <c r="C1678" s="36">
        <v>5</v>
      </c>
      <c r="D1678" s="36">
        <v>0</v>
      </c>
      <c r="E1678" s="35" t="s">
        <v>699</v>
      </c>
      <c r="F1678" s="35" t="s">
        <v>634</v>
      </c>
      <c r="G1678" s="37">
        <v>45940.513553240744</v>
      </c>
      <c r="H1678" s="37" t="str">
        <f>INDEX(_xlfn.TEXTSPLIT(mvtst[[#This Row],[QR Suivis]],"_"),1,1)</f>
        <v>OF249798-46</v>
      </c>
      <c r="I1678" s="35" t="str">
        <f>_xlfn.TEXTBEFORE(mvtst[[#This Row],[Num Suivis]],"-",,,1)</f>
        <v>OF249798</v>
      </c>
      <c r="J1678" s="36">
        <f>SUMIF(mvtst[QR Suivis],mvtst[[#This Row],[QR Suivis]],mvtst[QTE SORTIS])-SUMIF(mvtst[QR Suivis],mvtst[[#This Row],[QR Suivis]],mvtst[QTE RETOUR])</f>
        <v>5</v>
      </c>
      <c r="K1678" s="35" t="str">
        <f t="shared" si="27"/>
        <v>Usine</v>
      </c>
      <c r="L1678" s="35" t="str">
        <f>_xlfn.XLOOKUP(mvtst[[#This Row],[Sous Traitant]],coordonnee_st[Identification],coordonnee_st[SERVICE],"Non Trouvé")</f>
        <v>Frange</v>
      </c>
      <c r="M1678" s="35" t="str">
        <f>INDEX(_xlfn.TEXTSPLIT(mvtst[[#This Row],[QR Suivis]],"_"),1,2)</f>
        <v>CL00884</v>
      </c>
      <c r="N1678" s="35" t="str">
        <f>INDEX(_xlfn.TEXTSPLIT(mvtst[[#This Row],[QR Suivis]],"_"),1,3)</f>
        <v>CM-FT0119</v>
      </c>
      <c r="O1678" s="35" t="str">
        <f>INDEX(_xlfn.TEXTSPLIT(mvtst[[#This Row],[QR Suivis]],"_"),1,4)</f>
        <v>LI1020-B28-01</v>
      </c>
      <c r="P1678" s="35" t="str">
        <f>INDEX(_xlfn.TEXTSPLIT(mvtst[[#This Row],[QR Suivis]],"_"),1,5)</f>
        <v>LILI</v>
      </c>
      <c r="Q1678" s="35" t="str">
        <f>_xlfn.TEXTAFTER(mvtst[[#This Row],[QR Suivis]],"_",5)</f>
        <v>1020</v>
      </c>
      <c r="R1678" s="84" t="str">
        <f>IF(
   COUNTIFS($A$2:A1678,A1678,
             $B$2:B1678,B1678,
             $C$2:C1678,C1678,
             $D$2:D1678,D1678,
             $G$2:G1678,G1678)&gt;1,
   "Doublon",
   "Correcte"
)</f>
        <v>Correcte</v>
      </c>
    </row>
    <row r="1679" spans="1:18" x14ac:dyDescent="0.25">
      <c r="A1679" s="104" t="s">
        <v>2290</v>
      </c>
      <c r="B1679" s="35" t="s">
        <v>1090</v>
      </c>
      <c r="C1679" s="36">
        <v>5</v>
      </c>
      <c r="D1679" s="36">
        <v>0</v>
      </c>
      <c r="E1679" s="35" t="s">
        <v>699</v>
      </c>
      <c r="F1679" s="35" t="s">
        <v>634</v>
      </c>
      <c r="G1679" s="37">
        <v>45940.513692129629</v>
      </c>
      <c r="H1679" s="37" t="str">
        <f>INDEX(_xlfn.TEXTSPLIT(mvtst[[#This Row],[QR Suivis]],"_"),1,1)</f>
        <v>OF249798-24</v>
      </c>
      <c r="I1679" s="35" t="str">
        <f>_xlfn.TEXTBEFORE(mvtst[[#This Row],[Num Suivis]],"-",,,1)</f>
        <v>OF249798</v>
      </c>
      <c r="J1679" s="36">
        <f>SUMIF(mvtst[QR Suivis],mvtst[[#This Row],[QR Suivis]],mvtst[QTE SORTIS])-SUMIF(mvtst[QR Suivis],mvtst[[#This Row],[QR Suivis]],mvtst[QTE RETOUR])</f>
        <v>5</v>
      </c>
      <c r="K1679" s="35" t="str">
        <f t="shared" si="27"/>
        <v>Usine</v>
      </c>
      <c r="L1679" s="35" t="str">
        <f>_xlfn.XLOOKUP(mvtst[[#This Row],[Sous Traitant]],coordonnee_st[Identification],coordonnee_st[SERVICE],"Non Trouvé")</f>
        <v>Frange</v>
      </c>
      <c r="M1679" s="35" t="str">
        <f>INDEX(_xlfn.TEXTSPLIT(mvtst[[#This Row],[QR Suivis]],"_"),1,2)</f>
        <v>CL00884</v>
      </c>
      <c r="N1679" s="35" t="str">
        <f>INDEX(_xlfn.TEXTSPLIT(mvtst[[#This Row],[QR Suivis]],"_"),1,3)</f>
        <v>CM-FT0119</v>
      </c>
      <c r="O1679" s="35" t="str">
        <f>INDEX(_xlfn.TEXTSPLIT(mvtst[[#This Row],[QR Suivis]],"_"),1,4)</f>
        <v>LI1020-B28-01</v>
      </c>
      <c r="P1679" s="35" t="str">
        <f>INDEX(_xlfn.TEXTSPLIT(mvtst[[#This Row],[QR Suivis]],"_"),1,5)</f>
        <v>LILI</v>
      </c>
      <c r="Q1679" s="35" t="str">
        <f>_xlfn.TEXTAFTER(mvtst[[#This Row],[QR Suivis]],"_",5)</f>
        <v>1020</v>
      </c>
      <c r="R1679" s="84" t="str">
        <f>IF(
   COUNTIFS($A$2:A1679,A1679,
             $B$2:B1679,B1679,
             $C$2:C1679,C1679,
             $D$2:D1679,D1679,
             $G$2:G1679,G1679)&gt;1,
   "Doublon",
   "Correcte"
)</f>
        <v>Correcte</v>
      </c>
    </row>
    <row r="1680" spans="1:18" x14ac:dyDescent="0.25">
      <c r="A1680" s="104" t="s">
        <v>2291</v>
      </c>
      <c r="B1680" s="35" t="s">
        <v>1090</v>
      </c>
      <c r="C1680" s="36">
        <v>5</v>
      </c>
      <c r="D1680" s="36">
        <v>0</v>
      </c>
      <c r="E1680" s="35" t="s">
        <v>699</v>
      </c>
      <c r="F1680" s="35" t="s">
        <v>634</v>
      </c>
      <c r="G1680" s="37">
        <v>45940.513865740744</v>
      </c>
      <c r="H1680" s="37" t="str">
        <f>INDEX(_xlfn.TEXTSPLIT(mvtst[[#This Row],[QR Suivis]],"_"),1,1)</f>
        <v>OF249798-61</v>
      </c>
      <c r="I1680" s="35" t="str">
        <f>_xlfn.TEXTBEFORE(mvtst[[#This Row],[Num Suivis]],"-",,,1)</f>
        <v>OF249798</v>
      </c>
      <c r="J1680" s="36">
        <f>SUMIF(mvtst[QR Suivis],mvtst[[#This Row],[QR Suivis]],mvtst[QTE SORTIS])-SUMIF(mvtst[QR Suivis],mvtst[[#This Row],[QR Suivis]],mvtst[QTE RETOUR])</f>
        <v>5</v>
      </c>
      <c r="K1680" s="35" t="str">
        <f t="shared" si="27"/>
        <v>Usine</v>
      </c>
      <c r="L1680" s="35" t="str">
        <f>_xlfn.XLOOKUP(mvtst[[#This Row],[Sous Traitant]],coordonnee_st[Identification],coordonnee_st[SERVICE],"Non Trouvé")</f>
        <v>Frange</v>
      </c>
      <c r="M1680" s="35" t="str">
        <f>INDEX(_xlfn.TEXTSPLIT(mvtst[[#This Row],[QR Suivis]],"_"),1,2)</f>
        <v>CL00884</v>
      </c>
      <c r="N1680" s="35" t="str">
        <f>INDEX(_xlfn.TEXTSPLIT(mvtst[[#This Row],[QR Suivis]],"_"),1,3)</f>
        <v>CM-FT0119</v>
      </c>
      <c r="O1680" s="35" t="str">
        <f>INDEX(_xlfn.TEXTSPLIT(mvtst[[#This Row],[QR Suivis]],"_"),1,4)</f>
        <v>LI1020-B28-01</v>
      </c>
      <c r="P1680" s="35" t="str">
        <f>INDEX(_xlfn.TEXTSPLIT(mvtst[[#This Row],[QR Suivis]],"_"),1,5)</f>
        <v>LILI</v>
      </c>
      <c r="Q1680" s="35" t="str">
        <f>_xlfn.TEXTAFTER(mvtst[[#This Row],[QR Suivis]],"_",5)</f>
        <v>1020</v>
      </c>
      <c r="R1680" s="84" t="str">
        <f>IF(
   COUNTIFS($A$2:A1680,A1680,
             $B$2:B1680,B1680,
             $C$2:C1680,C1680,
             $D$2:D1680,D1680,
             $G$2:G1680,G1680)&gt;1,
   "Doublon",
   "Correcte"
)</f>
        <v>Correcte</v>
      </c>
    </row>
    <row r="1681" spans="1:18" x14ac:dyDescent="0.25">
      <c r="A1681" s="104" t="s">
        <v>2292</v>
      </c>
      <c r="B1681" s="35" t="s">
        <v>1090</v>
      </c>
      <c r="C1681" s="36">
        <v>5</v>
      </c>
      <c r="D1681" s="36">
        <v>0</v>
      </c>
      <c r="E1681" s="35" t="s">
        <v>699</v>
      </c>
      <c r="F1681" s="35" t="s">
        <v>634</v>
      </c>
      <c r="G1681" s="37">
        <v>45940.514039351852</v>
      </c>
      <c r="H1681" s="37" t="str">
        <f>INDEX(_xlfn.TEXTSPLIT(mvtst[[#This Row],[QR Suivis]],"_"),1,1)</f>
        <v>OF249798-32</v>
      </c>
      <c r="I1681" s="35" t="str">
        <f>_xlfn.TEXTBEFORE(mvtst[[#This Row],[Num Suivis]],"-",,,1)</f>
        <v>OF249798</v>
      </c>
      <c r="J1681" s="36">
        <f>SUMIF(mvtst[QR Suivis],mvtst[[#This Row],[QR Suivis]],mvtst[QTE SORTIS])-SUMIF(mvtst[QR Suivis],mvtst[[#This Row],[QR Suivis]],mvtst[QTE RETOUR])</f>
        <v>5</v>
      </c>
      <c r="K1681" s="35" t="str">
        <f t="shared" si="27"/>
        <v>Usine</v>
      </c>
      <c r="L1681" s="35" t="str">
        <f>_xlfn.XLOOKUP(mvtst[[#This Row],[Sous Traitant]],coordonnee_st[Identification],coordonnee_st[SERVICE],"Non Trouvé")</f>
        <v>Frange</v>
      </c>
      <c r="M1681" s="35" t="str">
        <f>INDEX(_xlfn.TEXTSPLIT(mvtst[[#This Row],[QR Suivis]],"_"),1,2)</f>
        <v>CL00884</v>
      </c>
      <c r="N1681" s="35" t="str">
        <f>INDEX(_xlfn.TEXTSPLIT(mvtst[[#This Row],[QR Suivis]],"_"),1,3)</f>
        <v>CM-FT0119</v>
      </c>
      <c r="O1681" s="35" t="str">
        <f>INDEX(_xlfn.TEXTSPLIT(mvtst[[#This Row],[QR Suivis]],"_"),1,4)</f>
        <v>LI1020-B28-01</v>
      </c>
      <c r="P1681" s="35" t="str">
        <f>INDEX(_xlfn.TEXTSPLIT(mvtst[[#This Row],[QR Suivis]],"_"),1,5)</f>
        <v>LILI</v>
      </c>
      <c r="Q1681" s="35" t="str">
        <f>_xlfn.TEXTAFTER(mvtst[[#This Row],[QR Suivis]],"_",5)</f>
        <v>1020</v>
      </c>
      <c r="R1681" s="84" t="str">
        <f>IF(
   COUNTIFS($A$2:A1681,A1681,
             $B$2:B1681,B1681,
             $C$2:C1681,C1681,
             $D$2:D1681,D1681,
             $G$2:G1681,G1681)&gt;1,
   "Doublon",
   "Correcte"
)</f>
        <v>Correcte</v>
      </c>
    </row>
    <row r="1682" spans="1:18" x14ac:dyDescent="0.25">
      <c r="A1682" s="104" t="s">
        <v>2293</v>
      </c>
      <c r="B1682" s="35" t="s">
        <v>1090</v>
      </c>
      <c r="C1682" s="36">
        <v>5</v>
      </c>
      <c r="D1682" s="36">
        <v>0</v>
      </c>
      <c r="E1682" s="35" t="s">
        <v>699</v>
      </c>
      <c r="F1682" s="35" t="s">
        <v>634</v>
      </c>
      <c r="G1682" s="37">
        <v>45940.514236111114</v>
      </c>
      <c r="H1682" s="37" t="str">
        <f>INDEX(_xlfn.TEXTSPLIT(mvtst[[#This Row],[QR Suivis]],"_"),1,1)</f>
        <v>OF249798-63</v>
      </c>
      <c r="I1682" s="35" t="str">
        <f>_xlfn.TEXTBEFORE(mvtst[[#This Row],[Num Suivis]],"-",,,1)</f>
        <v>OF249798</v>
      </c>
      <c r="J1682" s="36">
        <f>SUMIF(mvtst[QR Suivis],mvtst[[#This Row],[QR Suivis]],mvtst[QTE SORTIS])-SUMIF(mvtst[QR Suivis],mvtst[[#This Row],[QR Suivis]],mvtst[QTE RETOUR])</f>
        <v>5</v>
      </c>
      <c r="K1682" s="35" t="str">
        <f t="shared" si="27"/>
        <v>Usine</v>
      </c>
      <c r="L1682" s="35" t="str">
        <f>_xlfn.XLOOKUP(mvtst[[#This Row],[Sous Traitant]],coordonnee_st[Identification],coordonnee_st[SERVICE],"Non Trouvé")</f>
        <v>Frange</v>
      </c>
      <c r="M1682" s="35" t="str">
        <f>INDEX(_xlfn.TEXTSPLIT(mvtst[[#This Row],[QR Suivis]],"_"),1,2)</f>
        <v>CL00884</v>
      </c>
      <c r="N1682" s="35" t="str">
        <f>INDEX(_xlfn.TEXTSPLIT(mvtst[[#This Row],[QR Suivis]],"_"),1,3)</f>
        <v>CM-FT0119</v>
      </c>
      <c r="O1682" s="35" t="str">
        <f>INDEX(_xlfn.TEXTSPLIT(mvtst[[#This Row],[QR Suivis]],"_"),1,4)</f>
        <v>LI1020-B28-01</v>
      </c>
      <c r="P1682" s="35" t="str">
        <f>INDEX(_xlfn.TEXTSPLIT(mvtst[[#This Row],[QR Suivis]],"_"),1,5)</f>
        <v>LILI</v>
      </c>
      <c r="Q1682" s="35" t="str">
        <f>_xlfn.TEXTAFTER(mvtst[[#This Row],[QR Suivis]],"_",5)</f>
        <v>1020</v>
      </c>
      <c r="R1682" s="84" t="str">
        <f>IF(
   COUNTIFS($A$2:A1682,A1682,
             $B$2:B1682,B1682,
             $C$2:C1682,C1682,
             $D$2:D1682,D1682,
             $G$2:G1682,G1682)&gt;1,
   "Doublon",
   "Correcte"
)</f>
        <v>Correcte</v>
      </c>
    </row>
    <row r="1683" spans="1:18" x14ac:dyDescent="0.25">
      <c r="A1683" s="104" t="s">
        <v>2294</v>
      </c>
      <c r="B1683" s="35" t="s">
        <v>1090</v>
      </c>
      <c r="C1683" s="36">
        <v>5</v>
      </c>
      <c r="D1683" s="36">
        <v>0</v>
      </c>
      <c r="E1683" s="35" t="s">
        <v>699</v>
      </c>
      <c r="F1683" s="35" t="s">
        <v>634</v>
      </c>
      <c r="G1683" s="37">
        <v>45940.514733796299</v>
      </c>
      <c r="H1683" s="37" t="str">
        <f>INDEX(_xlfn.TEXTSPLIT(mvtst[[#This Row],[QR Suivis]],"_"),1,1)</f>
        <v>OF249798-2</v>
      </c>
      <c r="I1683" s="35" t="str">
        <f>_xlfn.TEXTBEFORE(mvtst[[#This Row],[Num Suivis]],"-",,,1)</f>
        <v>OF249798</v>
      </c>
      <c r="J1683" s="36">
        <f>SUMIF(mvtst[QR Suivis],mvtst[[#This Row],[QR Suivis]],mvtst[QTE SORTIS])-SUMIF(mvtst[QR Suivis],mvtst[[#This Row],[QR Suivis]],mvtst[QTE RETOUR])</f>
        <v>5</v>
      </c>
      <c r="K1683" s="35" t="str">
        <f t="shared" si="27"/>
        <v>Usine</v>
      </c>
      <c r="L1683" s="35" t="str">
        <f>_xlfn.XLOOKUP(mvtst[[#This Row],[Sous Traitant]],coordonnee_st[Identification],coordonnee_st[SERVICE],"Non Trouvé")</f>
        <v>Frange</v>
      </c>
      <c r="M1683" s="35" t="str">
        <f>INDEX(_xlfn.TEXTSPLIT(mvtst[[#This Row],[QR Suivis]],"_"),1,2)</f>
        <v>CL00884</v>
      </c>
      <c r="N1683" s="35" t="str">
        <f>INDEX(_xlfn.TEXTSPLIT(mvtst[[#This Row],[QR Suivis]],"_"),1,3)</f>
        <v>CM-FT0119</v>
      </c>
      <c r="O1683" s="35" t="str">
        <f>INDEX(_xlfn.TEXTSPLIT(mvtst[[#This Row],[QR Suivis]],"_"),1,4)</f>
        <v>LI1020-B28-01</v>
      </c>
      <c r="P1683" s="35" t="str">
        <f>INDEX(_xlfn.TEXTSPLIT(mvtst[[#This Row],[QR Suivis]],"_"),1,5)</f>
        <v>LILI</v>
      </c>
      <c r="Q1683" s="35" t="str">
        <f>_xlfn.TEXTAFTER(mvtst[[#This Row],[QR Suivis]],"_",5)</f>
        <v>1020</v>
      </c>
      <c r="R1683" s="84" t="str">
        <f>IF(
   COUNTIFS($A$2:A1683,A1683,
             $B$2:B1683,B1683,
             $C$2:C1683,C1683,
             $D$2:D1683,D1683,
             $G$2:G1683,G1683)&gt;1,
   "Doublon",
   "Correcte"
)</f>
        <v>Correcte</v>
      </c>
    </row>
    <row r="1684" spans="1:18" x14ac:dyDescent="0.25">
      <c r="A1684" s="104" t="s">
        <v>2295</v>
      </c>
      <c r="B1684" s="35" t="s">
        <v>1090</v>
      </c>
      <c r="C1684" s="36">
        <v>5</v>
      </c>
      <c r="D1684" s="36">
        <v>0</v>
      </c>
      <c r="E1684" s="35" t="s">
        <v>699</v>
      </c>
      <c r="F1684" s="35" t="s">
        <v>634</v>
      </c>
      <c r="G1684" s="37">
        <v>45940.514953703707</v>
      </c>
      <c r="H1684" s="37" t="str">
        <f>INDEX(_xlfn.TEXTSPLIT(mvtst[[#This Row],[QR Suivis]],"_"),1,1)</f>
        <v>OF249798-8</v>
      </c>
      <c r="I1684" s="35" t="str">
        <f>_xlfn.TEXTBEFORE(mvtst[[#This Row],[Num Suivis]],"-",,,1)</f>
        <v>OF249798</v>
      </c>
      <c r="J1684" s="36">
        <f>SUMIF(mvtst[QR Suivis],mvtst[[#This Row],[QR Suivis]],mvtst[QTE SORTIS])-SUMIF(mvtst[QR Suivis],mvtst[[#This Row],[QR Suivis]],mvtst[QTE RETOUR])</f>
        <v>5</v>
      </c>
      <c r="K1684" s="35" t="str">
        <f t="shared" si="27"/>
        <v>Usine</v>
      </c>
      <c r="L1684" s="35" t="str">
        <f>_xlfn.XLOOKUP(mvtst[[#This Row],[Sous Traitant]],coordonnee_st[Identification],coordonnee_st[SERVICE],"Non Trouvé")</f>
        <v>Frange</v>
      </c>
      <c r="M1684" s="35" t="str">
        <f>INDEX(_xlfn.TEXTSPLIT(mvtst[[#This Row],[QR Suivis]],"_"),1,2)</f>
        <v>CL00884</v>
      </c>
      <c r="N1684" s="35" t="str">
        <f>INDEX(_xlfn.TEXTSPLIT(mvtst[[#This Row],[QR Suivis]],"_"),1,3)</f>
        <v>CM-FT0119</v>
      </c>
      <c r="O1684" s="35" t="str">
        <f>INDEX(_xlfn.TEXTSPLIT(mvtst[[#This Row],[QR Suivis]],"_"),1,4)</f>
        <v>LI1020-B28-01</v>
      </c>
      <c r="P1684" s="35" t="str">
        <f>INDEX(_xlfn.TEXTSPLIT(mvtst[[#This Row],[QR Suivis]],"_"),1,5)</f>
        <v>LILI</v>
      </c>
      <c r="Q1684" s="35" t="str">
        <f>_xlfn.TEXTAFTER(mvtst[[#This Row],[QR Suivis]],"_",5)</f>
        <v>1020</v>
      </c>
      <c r="R1684" s="84" t="str">
        <f>IF(
   COUNTIFS($A$2:A1684,A1684,
             $B$2:B1684,B1684,
             $C$2:C1684,C1684,
             $D$2:D1684,D1684,
             $G$2:G1684,G1684)&gt;1,
   "Doublon",
   "Correcte"
)</f>
        <v>Correcte</v>
      </c>
    </row>
    <row r="1685" spans="1:18" x14ac:dyDescent="0.25">
      <c r="A1685" s="104" t="s">
        <v>2296</v>
      </c>
      <c r="B1685" s="35" t="s">
        <v>1090</v>
      </c>
      <c r="C1685" s="36">
        <v>5</v>
      </c>
      <c r="D1685" s="36">
        <v>0</v>
      </c>
      <c r="E1685" s="35" t="s">
        <v>699</v>
      </c>
      <c r="F1685" s="35" t="s">
        <v>634</v>
      </c>
      <c r="G1685" s="37">
        <v>45940.515185185184</v>
      </c>
      <c r="H1685" s="37" t="str">
        <f>INDEX(_xlfn.TEXTSPLIT(mvtst[[#This Row],[QR Suivis]],"_"),1,1)</f>
        <v>OF249798-27</v>
      </c>
      <c r="I1685" s="35" t="str">
        <f>_xlfn.TEXTBEFORE(mvtst[[#This Row],[Num Suivis]],"-",,,1)</f>
        <v>OF249798</v>
      </c>
      <c r="J1685" s="36">
        <f>SUMIF(mvtst[QR Suivis],mvtst[[#This Row],[QR Suivis]],mvtst[QTE SORTIS])-SUMIF(mvtst[QR Suivis],mvtst[[#This Row],[QR Suivis]],mvtst[QTE RETOUR])</f>
        <v>5</v>
      </c>
      <c r="K1685" s="35" t="str">
        <f t="shared" si="27"/>
        <v>Usine</v>
      </c>
      <c r="L1685" s="35" t="str">
        <f>_xlfn.XLOOKUP(mvtst[[#This Row],[Sous Traitant]],coordonnee_st[Identification],coordonnee_st[SERVICE],"Non Trouvé")</f>
        <v>Frange</v>
      </c>
      <c r="M1685" s="35" t="str">
        <f>INDEX(_xlfn.TEXTSPLIT(mvtst[[#This Row],[QR Suivis]],"_"),1,2)</f>
        <v>CL00884</v>
      </c>
      <c r="N1685" s="35" t="str">
        <f>INDEX(_xlfn.TEXTSPLIT(mvtst[[#This Row],[QR Suivis]],"_"),1,3)</f>
        <v>CM-FT0119</v>
      </c>
      <c r="O1685" s="35" t="str">
        <f>INDEX(_xlfn.TEXTSPLIT(mvtst[[#This Row],[QR Suivis]],"_"),1,4)</f>
        <v>LI1020-B28-01</v>
      </c>
      <c r="P1685" s="35" t="str">
        <f>INDEX(_xlfn.TEXTSPLIT(mvtst[[#This Row],[QR Suivis]],"_"),1,5)</f>
        <v>LILI</v>
      </c>
      <c r="Q1685" s="35" t="str">
        <f>_xlfn.TEXTAFTER(mvtst[[#This Row],[QR Suivis]],"_",5)</f>
        <v>1020</v>
      </c>
      <c r="R1685" s="84" t="str">
        <f>IF(
   COUNTIFS($A$2:A1685,A1685,
             $B$2:B1685,B1685,
             $C$2:C1685,C1685,
             $D$2:D1685,D1685,
             $G$2:G1685,G1685)&gt;1,
   "Doublon",
   "Correcte"
)</f>
        <v>Correcte</v>
      </c>
    </row>
    <row r="1686" spans="1:18" x14ac:dyDescent="0.25">
      <c r="A1686" s="104" t="s">
        <v>2297</v>
      </c>
      <c r="B1686" s="35" t="s">
        <v>1090</v>
      </c>
      <c r="C1686" s="36">
        <v>5</v>
      </c>
      <c r="D1686" s="36">
        <v>0</v>
      </c>
      <c r="E1686" s="35" t="s">
        <v>699</v>
      </c>
      <c r="F1686" s="35" t="s">
        <v>634</v>
      </c>
      <c r="G1686" s="37">
        <v>45940.5153125</v>
      </c>
      <c r="H1686" s="37" t="str">
        <f>INDEX(_xlfn.TEXTSPLIT(mvtst[[#This Row],[QR Suivis]],"_"),1,1)</f>
        <v>OF249798-64</v>
      </c>
      <c r="I1686" s="35" t="str">
        <f>_xlfn.TEXTBEFORE(mvtst[[#This Row],[Num Suivis]],"-",,,1)</f>
        <v>OF249798</v>
      </c>
      <c r="J1686" s="36">
        <f>SUMIF(mvtst[QR Suivis],mvtst[[#This Row],[QR Suivis]],mvtst[QTE SORTIS])-SUMIF(mvtst[QR Suivis],mvtst[[#This Row],[QR Suivis]],mvtst[QTE RETOUR])</f>
        <v>5</v>
      </c>
      <c r="K1686" s="35" t="str">
        <f t="shared" si="27"/>
        <v>Usine</v>
      </c>
      <c r="L1686" s="35" t="str">
        <f>_xlfn.XLOOKUP(mvtst[[#This Row],[Sous Traitant]],coordonnee_st[Identification],coordonnee_st[SERVICE],"Non Trouvé")</f>
        <v>Frange</v>
      </c>
      <c r="M1686" s="35" t="str">
        <f>INDEX(_xlfn.TEXTSPLIT(mvtst[[#This Row],[QR Suivis]],"_"),1,2)</f>
        <v>CL00884</v>
      </c>
      <c r="N1686" s="35" t="str">
        <f>INDEX(_xlfn.TEXTSPLIT(mvtst[[#This Row],[QR Suivis]],"_"),1,3)</f>
        <v>CM-FT0119</v>
      </c>
      <c r="O1686" s="35" t="str">
        <f>INDEX(_xlfn.TEXTSPLIT(mvtst[[#This Row],[QR Suivis]],"_"),1,4)</f>
        <v>LI1020-B28-01</v>
      </c>
      <c r="P1686" s="35" t="str">
        <f>INDEX(_xlfn.TEXTSPLIT(mvtst[[#This Row],[QR Suivis]],"_"),1,5)</f>
        <v>LILI</v>
      </c>
      <c r="Q1686" s="35" t="str">
        <f>_xlfn.TEXTAFTER(mvtst[[#This Row],[QR Suivis]],"_",5)</f>
        <v>1020</v>
      </c>
      <c r="R1686" s="84" t="str">
        <f>IF(
   COUNTIFS($A$2:A1686,A1686,
             $B$2:B1686,B1686,
             $C$2:C1686,C1686,
             $D$2:D1686,D1686,
             $G$2:G1686,G1686)&gt;1,
   "Doublon",
   "Correcte"
)</f>
        <v>Correcte</v>
      </c>
    </row>
    <row r="1687" spans="1:18" x14ac:dyDescent="0.25">
      <c r="A1687" s="104" t="s">
        <v>2298</v>
      </c>
      <c r="B1687" s="35" t="s">
        <v>649</v>
      </c>
      <c r="C1687" s="36">
        <v>5</v>
      </c>
      <c r="D1687" s="36">
        <v>0</v>
      </c>
      <c r="E1687" s="35" t="s">
        <v>699</v>
      </c>
      <c r="F1687" s="35" t="s">
        <v>634</v>
      </c>
      <c r="G1687" s="37">
        <v>45940.521805555552</v>
      </c>
      <c r="H1687" s="37" t="str">
        <f>INDEX(_xlfn.TEXTSPLIT(mvtst[[#This Row],[QR Suivis]],"_"),1,1)</f>
        <v>OF249798-35</v>
      </c>
      <c r="I1687" s="35" t="str">
        <f>_xlfn.TEXTBEFORE(mvtst[[#This Row],[Num Suivis]],"-",,,1)</f>
        <v>OF249798</v>
      </c>
      <c r="J1687" s="36">
        <f>SUMIF(mvtst[QR Suivis],mvtst[[#This Row],[QR Suivis]],mvtst[QTE SORTIS])-SUMIF(mvtst[QR Suivis],mvtst[[#This Row],[QR Suivis]],mvtst[QTE RETOUR])</f>
        <v>5</v>
      </c>
      <c r="K1687" s="35" t="str">
        <f t="shared" si="27"/>
        <v>Usine</v>
      </c>
      <c r="L1687" s="35" t="str">
        <f>_xlfn.XLOOKUP(mvtst[[#This Row],[Sous Traitant]],coordonnee_st[Identification],coordonnee_st[SERVICE],"Non Trouvé")</f>
        <v>Frange</v>
      </c>
      <c r="M1687" s="35" t="str">
        <f>INDEX(_xlfn.TEXTSPLIT(mvtst[[#This Row],[QR Suivis]],"_"),1,2)</f>
        <v>CL00884</v>
      </c>
      <c r="N1687" s="35" t="str">
        <f>INDEX(_xlfn.TEXTSPLIT(mvtst[[#This Row],[QR Suivis]],"_"),1,3)</f>
        <v>CM-FT0119</v>
      </c>
      <c r="O1687" s="35" t="str">
        <f>INDEX(_xlfn.TEXTSPLIT(mvtst[[#This Row],[QR Suivis]],"_"),1,4)</f>
        <v>LI1020-B28-01</v>
      </c>
      <c r="P1687" s="35" t="str">
        <f>INDEX(_xlfn.TEXTSPLIT(mvtst[[#This Row],[QR Suivis]],"_"),1,5)</f>
        <v>LILI</v>
      </c>
      <c r="Q1687" s="35" t="str">
        <f>_xlfn.TEXTAFTER(mvtst[[#This Row],[QR Suivis]],"_",5)</f>
        <v>1020</v>
      </c>
      <c r="R1687" s="84" t="str">
        <f>IF(
   COUNTIFS($A$2:A1687,A1687,
             $B$2:B1687,B1687,
             $C$2:C1687,C1687,
             $D$2:D1687,D1687,
             $G$2:G1687,G1687)&gt;1,
   "Doublon",
   "Correcte"
)</f>
        <v>Correcte</v>
      </c>
    </row>
    <row r="1688" spans="1:18" x14ac:dyDescent="0.25">
      <c r="A1688" s="104" t="s">
        <v>2299</v>
      </c>
      <c r="B1688" s="35" t="s">
        <v>649</v>
      </c>
      <c r="C1688" s="36">
        <v>5</v>
      </c>
      <c r="D1688" s="36">
        <v>0</v>
      </c>
      <c r="E1688" s="35" t="s">
        <v>699</v>
      </c>
      <c r="F1688" s="35" t="s">
        <v>634</v>
      </c>
      <c r="G1688" s="37">
        <v>45940.521990740737</v>
      </c>
      <c r="H1688" s="37" t="str">
        <f>INDEX(_xlfn.TEXTSPLIT(mvtst[[#This Row],[QR Suivis]],"_"),1,1)</f>
        <v>OF249798-52</v>
      </c>
      <c r="I1688" s="35" t="str">
        <f>_xlfn.TEXTBEFORE(mvtst[[#This Row],[Num Suivis]],"-",,,1)</f>
        <v>OF249798</v>
      </c>
      <c r="J1688" s="36">
        <f>SUMIF(mvtst[QR Suivis],mvtst[[#This Row],[QR Suivis]],mvtst[QTE SORTIS])-SUMIF(mvtst[QR Suivis],mvtst[[#This Row],[QR Suivis]],mvtst[QTE RETOUR])</f>
        <v>0</v>
      </c>
      <c r="K1688" s="35" t="str">
        <f t="shared" si="27"/>
        <v>Usine</v>
      </c>
      <c r="L1688" s="35" t="str">
        <f>_xlfn.XLOOKUP(mvtst[[#This Row],[Sous Traitant]],coordonnee_st[Identification],coordonnee_st[SERVICE],"Non Trouvé")</f>
        <v>Frange</v>
      </c>
      <c r="M1688" s="35" t="str">
        <f>INDEX(_xlfn.TEXTSPLIT(mvtst[[#This Row],[QR Suivis]],"_"),1,2)</f>
        <v>CL00884</v>
      </c>
      <c r="N1688" s="35" t="str">
        <f>INDEX(_xlfn.TEXTSPLIT(mvtst[[#This Row],[QR Suivis]],"_"),1,3)</f>
        <v>CM-FT0119</v>
      </c>
      <c r="O1688" s="35" t="str">
        <f>INDEX(_xlfn.TEXTSPLIT(mvtst[[#This Row],[QR Suivis]],"_"),1,4)</f>
        <v>LI1020-B28-01</v>
      </c>
      <c r="P1688" s="35" t="str">
        <f>INDEX(_xlfn.TEXTSPLIT(mvtst[[#This Row],[QR Suivis]],"_"),1,5)</f>
        <v>LILI</v>
      </c>
      <c r="Q1688" s="35" t="str">
        <f>_xlfn.TEXTAFTER(mvtst[[#This Row],[QR Suivis]],"_",5)</f>
        <v>1020</v>
      </c>
      <c r="R1688" s="84" t="str">
        <f>IF(
   COUNTIFS($A$2:A1688,A1688,
             $B$2:B1688,B1688,
             $C$2:C1688,C1688,
             $D$2:D1688,D1688,
             $G$2:G1688,G1688)&gt;1,
   "Doublon",
   "Correcte"
)</f>
        <v>Correcte</v>
      </c>
    </row>
    <row r="1689" spans="1:18" x14ac:dyDescent="0.25">
      <c r="A1689" s="104" t="s">
        <v>2300</v>
      </c>
      <c r="B1689" s="35" t="s">
        <v>649</v>
      </c>
      <c r="C1689" s="36">
        <v>5</v>
      </c>
      <c r="D1689" s="36">
        <v>0</v>
      </c>
      <c r="E1689" s="35" t="s">
        <v>699</v>
      </c>
      <c r="F1689" s="35" t="s">
        <v>634</v>
      </c>
      <c r="G1689" s="37">
        <v>45940.52244212963</v>
      </c>
      <c r="H1689" s="37" t="str">
        <f>INDEX(_xlfn.TEXTSPLIT(mvtst[[#This Row],[QR Suivis]],"_"),1,1)</f>
        <v>OF249798-55</v>
      </c>
      <c r="I1689" s="35" t="str">
        <f>_xlfn.TEXTBEFORE(mvtst[[#This Row],[Num Suivis]],"-",,,1)</f>
        <v>OF249798</v>
      </c>
      <c r="J1689" s="36">
        <f>SUMIF(mvtst[QR Suivis],mvtst[[#This Row],[QR Suivis]],mvtst[QTE SORTIS])-SUMIF(mvtst[QR Suivis],mvtst[[#This Row],[QR Suivis]],mvtst[QTE RETOUR])</f>
        <v>5</v>
      </c>
      <c r="K1689" s="35" t="str">
        <f t="shared" si="27"/>
        <v>Usine</v>
      </c>
      <c r="L1689" s="35" t="str">
        <f>_xlfn.XLOOKUP(mvtst[[#This Row],[Sous Traitant]],coordonnee_st[Identification],coordonnee_st[SERVICE],"Non Trouvé")</f>
        <v>Frange</v>
      </c>
      <c r="M1689" s="35" t="str">
        <f>INDEX(_xlfn.TEXTSPLIT(mvtst[[#This Row],[QR Suivis]],"_"),1,2)</f>
        <v>CL00884</v>
      </c>
      <c r="N1689" s="35" t="str">
        <f>INDEX(_xlfn.TEXTSPLIT(mvtst[[#This Row],[QR Suivis]],"_"),1,3)</f>
        <v>CM-FT0119</v>
      </c>
      <c r="O1689" s="35" t="str">
        <f>INDEX(_xlfn.TEXTSPLIT(mvtst[[#This Row],[QR Suivis]],"_"),1,4)</f>
        <v>LI1020-B28-01</v>
      </c>
      <c r="P1689" s="35" t="str">
        <f>INDEX(_xlfn.TEXTSPLIT(mvtst[[#This Row],[QR Suivis]],"_"),1,5)</f>
        <v>LILI</v>
      </c>
      <c r="Q1689" s="35" t="str">
        <f>_xlfn.TEXTAFTER(mvtst[[#This Row],[QR Suivis]],"_",5)</f>
        <v>1020</v>
      </c>
      <c r="R1689" s="84" t="str">
        <f>IF(
   COUNTIFS($A$2:A1689,A1689,
             $B$2:B1689,B1689,
             $C$2:C1689,C1689,
             $D$2:D1689,D1689,
             $G$2:G1689,G1689)&gt;1,
   "Doublon",
   "Correcte"
)</f>
        <v>Correcte</v>
      </c>
    </row>
    <row r="1690" spans="1:18" x14ac:dyDescent="0.25">
      <c r="A1690" s="104" t="s">
        <v>2301</v>
      </c>
      <c r="B1690" s="35" t="s">
        <v>649</v>
      </c>
      <c r="C1690" s="36">
        <v>5</v>
      </c>
      <c r="D1690" s="36">
        <v>0</v>
      </c>
      <c r="E1690" s="35" t="s">
        <v>699</v>
      </c>
      <c r="F1690" s="35" t="s">
        <v>634</v>
      </c>
      <c r="G1690" s="37">
        <v>45940.522615740738</v>
      </c>
      <c r="H1690" s="37" t="str">
        <f>INDEX(_xlfn.TEXTSPLIT(mvtst[[#This Row],[QR Suivis]],"_"),1,1)</f>
        <v>OF249798-54</v>
      </c>
      <c r="I1690" s="35" t="str">
        <f>_xlfn.TEXTBEFORE(mvtst[[#This Row],[Num Suivis]],"-",,,1)</f>
        <v>OF249798</v>
      </c>
      <c r="J1690" s="36">
        <f>SUMIF(mvtst[QR Suivis],mvtst[[#This Row],[QR Suivis]],mvtst[QTE SORTIS])-SUMIF(mvtst[QR Suivis],mvtst[[#This Row],[QR Suivis]],mvtst[QTE RETOUR])</f>
        <v>0</v>
      </c>
      <c r="K1690" s="35" t="str">
        <f t="shared" si="27"/>
        <v>Usine</v>
      </c>
      <c r="L1690" s="35" t="str">
        <f>_xlfn.XLOOKUP(mvtst[[#This Row],[Sous Traitant]],coordonnee_st[Identification],coordonnee_st[SERVICE],"Non Trouvé")</f>
        <v>Frange</v>
      </c>
      <c r="M1690" s="35" t="str">
        <f>INDEX(_xlfn.TEXTSPLIT(mvtst[[#This Row],[QR Suivis]],"_"),1,2)</f>
        <v>CL00884</v>
      </c>
      <c r="N1690" s="35" t="str">
        <f>INDEX(_xlfn.TEXTSPLIT(mvtst[[#This Row],[QR Suivis]],"_"),1,3)</f>
        <v>CM-FT0119</v>
      </c>
      <c r="O1690" s="35" t="str">
        <f>INDEX(_xlfn.TEXTSPLIT(mvtst[[#This Row],[QR Suivis]],"_"),1,4)</f>
        <v>LI1020-B28-01</v>
      </c>
      <c r="P1690" s="35" t="str">
        <f>INDEX(_xlfn.TEXTSPLIT(mvtst[[#This Row],[QR Suivis]],"_"),1,5)</f>
        <v>LILI</v>
      </c>
      <c r="Q1690" s="35" t="str">
        <f>_xlfn.TEXTAFTER(mvtst[[#This Row],[QR Suivis]],"_",5)</f>
        <v>1020</v>
      </c>
      <c r="R1690" s="84" t="str">
        <f>IF(
   COUNTIFS($A$2:A1690,A1690,
             $B$2:B1690,B1690,
             $C$2:C1690,C1690,
             $D$2:D1690,D1690,
             $G$2:G1690,G1690)&gt;1,
   "Doublon",
   "Correcte"
)</f>
        <v>Correcte</v>
      </c>
    </row>
    <row r="1691" spans="1:18" x14ac:dyDescent="0.25">
      <c r="A1691" s="104" t="s">
        <v>2302</v>
      </c>
      <c r="B1691" s="35" t="s">
        <v>649</v>
      </c>
      <c r="C1691" s="36">
        <v>5</v>
      </c>
      <c r="D1691" s="36">
        <v>0</v>
      </c>
      <c r="E1691" s="35" t="s">
        <v>699</v>
      </c>
      <c r="F1691" s="35" t="s">
        <v>634</v>
      </c>
      <c r="G1691" s="37">
        <v>45940.52275462963</v>
      </c>
      <c r="H1691" s="37" t="str">
        <f>INDEX(_xlfn.TEXTSPLIT(mvtst[[#This Row],[QR Suivis]],"_"),1,1)</f>
        <v>OF249798-51</v>
      </c>
      <c r="I1691" s="35" t="str">
        <f>_xlfn.TEXTBEFORE(mvtst[[#This Row],[Num Suivis]],"-",,,1)</f>
        <v>OF249798</v>
      </c>
      <c r="J1691" s="36">
        <f>SUMIF(mvtst[QR Suivis],mvtst[[#This Row],[QR Suivis]],mvtst[QTE SORTIS])-SUMIF(mvtst[QR Suivis],mvtst[[#This Row],[QR Suivis]],mvtst[QTE RETOUR])</f>
        <v>0</v>
      </c>
      <c r="K1691" s="35" t="str">
        <f t="shared" si="27"/>
        <v>Usine</v>
      </c>
      <c r="L1691" s="35" t="str">
        <f>_xlfn.XLOOKUP(mvtst[[#This Row],[Sous Traitant]],coordonnee_st[Identification],coordonnee_st[SERVICE],"Non Trouvé")</f>
        <v>Frange</v>
      </c>
      <c r="M1691" s="35" t="str">
        <f>INDEX(_xlfn.TEXTSPLIT(mvtst[[#This Row],[QR Suivis]],"_"),1,2)</f>
        <v>CL00884</v>
      </c>
      <c r="N1691" s="35" t="str">
        <f>INDEX(_xlfn.TEXTSPLIT(mvtst[[#This Row],[QR Suivis]],"_"),1,3)</f>
        <v>CM-FT0119</v>
      </c>
      <c r="O1691" s="35" t="str">
        <f>INDEX(_xlfn.TEXTSPLIT(mvtst[[#This Row],[QR Suivis]],"_"),1,4)</f>
        <v>LI1020-B28-01</v>
      </c>
      <c r="P1691" s="35" t="str">
        <f>INDEX(_xlfn.TEXTSPLIT(mvtst[[#This Row],[QR Suivis]],"_"),1,5)</f>
        <v>LILI</v>
      </c>
      <c r="Q1691" s="35" t="str">
        <f>_xlfn.TEXTAFTER(mvtst[[#This Row],[QR Suivis]],"_",5)</f>
        <v>1020</v>
      </c>
      <c r="R1691" s="84" t="str">
        <f>IF(
   COUNTIFS($A$2:A1691,A1691,
             $B$2:B1691,B1691,
             $C$2:C1691,C1691,
             $D$2:D1691,D1691,
             $G$2:G1691,G1691)&gt;1,
   "Doublon",
   "Correcte"
)</f>
        <v>Correcte</v>
      </c>
    </row>
    <row r="1692" spans="1:18" x14ac:dyDescent="0.25">
      <c r="A1692" s="104" t="s">
        <v>2303</v>
      </c>
      <c r="B1692" s="35" t="s">
        <v>649</v>
      </c>
      <c r="C1692" s="36">
        <v>5</v>
      </c>
      <c r="D1692" s="36">
        <v>0</v>
      </c>
      <c r="E1692" s="35" t="s">
        <v>699</v>
      </c>
      <c r="F1692" s="35" t="s">
        <v>634</v>
      </c>
      <c r="G1692" s="37">
        <v>45940.522916666669</v>
      </c>
      <c r="H1692" s="37" t="str">
        <f>INDEX(_xlfn.TEXTSPLIT(mvtst[[#This Row],[QR Suivis]],"_"),1,1)</f>
        <v>OF249798-39</v>
      </c>
      <c r="I1692" s="35" t="str">
        <f>_xlfn.TEXTBEFORE(mvtst[[#This Row],[Num Suivis]],"-",,,1)</f>
        <v>OF249798</v>
      </c>
      <c r="J1692" s="36">
        <f>SUMIF(mvtst[QR Suivis],mvtst[[#This Row],[QR Suivis]],mvtst[QTE SORTIS])-SUMIF(mvtst[QR Suivis],mvtst[[#This Row],[QR Suivis]],mvtst[QTE RETOUR])</f>
        <v>5</v>
      </c>
      <c r="K1692" s="35" t="str">
        <f t="shared" si="27"/>
        <v>Usine</v>
      </c>
      <c r="L1692" s="35" t="str">
        <f>_xlfn.XLOOKUP(mvtst[[#This Row],[Sous Traitant]],coordonnee_st[Identification],coordonnee_st[SERVICE],"Non Trouvé")</f>
        <v>Frange</v>
      </c>
      <c r="M1692" s="35" t="str">
        <f>INDEX(_xlfn.TEXTSPLIT(mvtst[[#This Row],[QR Suivis]],"_"),1,2)</f>
        <v>CL00884</v>
      </c>
      <c r="N1692" s="35" t="str">
        <f>INDEX(_xlfn.TEXTSPLIT(mvtst[[#This Row],[QR Suivis]],"_"),1,3)</f>
        <v>CM-FT0119</v>
      </c>
      <c r="O1692" s="35" t="str">
        <f>INDEX(_xlfn.TEXTSPLIT(mvtst[[#This Row],[QR Suivis]],"_"),1,4)</f>
        <v>LI1020-B28-01</v>
      </c>
      <c r="P1692" s="35" t="str">
        <f>INDEX(_xlfn.TEXTSPLIT(mvtst[[#This Row],[QR Suivis]],"_"),1,5)</f>
        <v>LILI</v>
      </c>
      <c r="Q1692" s="35" t="str">
        <f>_xlfn.TEXTAFTER(mvtst[[#This Row],[QR Suivis]],"_",5)</f>
        <v>1020</v>
      </c>
      <c r="R1692" s="84" t="str">
        <f>IF(
   COUNTIFS($A$2:A1692,A1692,
             $B$2:B1692,B1692,
             $C$2:C1692,C1692,
             $D$2:D1692,D1692,
             $G$2:G1692,G1692)&gt;1,
   "Doublon",
   "Correcte"
)</f>
        <v>Correcte</v>
      </c>
    </row>
    <row r="1693" spans="1:18" x14ac:dyDescent="0.25">
      <c r="A1693" s="104" t="s">
        <v>2304</v>
      </c>
      <c r="B1693" s="35" t="s">
        <v>649</v>
      </c>
      <c r="C1693" s="36">
        <v>5</v>
      </c>
      <c r="D1693" s="36">
        <v>0</v>
      </c>
      <c r="E1693" s="35" t="s">
        <v>699</v>
      </c>
      <c r="F1693" s="35" t="s">
        <v>634</v>
      </c>
      <c r="G1693" s="37">
        <v>45940.523136574076</v>
      </c>
      <c r="H1693" s="37" t="str">
        <f>INDEX(_xlfn.TEXTSPLIT(mvtst[[#This Row],[QR Suivis]],"_"),1,1)</f>
        <v>OF249798-36</v>
      </c>
      <c r="I1693" s="35" t="str">
        <f>_xlfn.TEXTBEFORE(mvtst[[#This Row],[Num Suivis]],"-",,,1)</f>
        <v>OF249798</v>
      </c>
      <c r="J1693" s="36">
        <f>SUMIF(mvtst[QR Suivis],mvtst[[#This Row],[QR Suivis]],mvtst[QTE SORTIS])-SUMIF(mvtst[QR Suivis],mvtst[[#This Row],[QR Suivis]],mvtst[QTE RETOUR])</f>
        <v>5</v>
      </c>
      <c r="K1693" s="35" t="str">
        <f t="shared" ref="K1693:K1724" si="28">"Usine"</f>
        <v>Usine</v>
      </c>
      <c r="L1693" s="35" t="str">
        <f>_xlfn.XLOOKUP(mvtst[[#This Row],[Sous Traitant]],coordonnee_st[Identification],coordonnee_st[SERVICE],"Non Trouvé")</f>
        <v>Frange</v>
      </c>
      <c r="M1693" s="35" t="str">
        <f>INDEX(_xlfn.TEXTSPLIT(mvtst[[#This Row],[QR Suivis]],"_"),1,2)</f>
        <v>CL00884</v>
      </c>
      <c r="N1693" s="35" t="str">
        <f>INDEX(_xlfn.TEXTSPLIT(mvtst[[#This Row],[QR Suivis]],"_"),1,3)</f>
        <v>CM-FT0119</v>
      </c>
      <c r="O1693" s="35" t="str">
        <f>INDEX(_xlfn.TEXTSPLIT(mvtst[[#This Row],[QR Suivis]],"_"),1,4)</f>
        <v>LI1020-B28-01</v>
      </c>
      <c r="P1693" s="35" t="str">
        <f>INDEX(_xlfn.TEXTSPLIT(mvtst[[#This Row],[QR Suivis]],"_"),1,5)</f>
        <v>LILI</v>
      </c>
      <c r="Q1693" s="35" t="str">
        <f>_xlfn.TEXTAFTER(mvtst[[#This Row],[QR Suivis]],"_",5)</f>
        <v>1020</v>
      </c>
      <c r="R1693" s="84" t="str">
        <f>IF(
   COUNTIFS($A$2:A1693,A1693,
             $B$2:B1693,B1693,
             $C$2:C1693,C1693,
             $D$2:D1693,D1693,
             $G$2:G1693,G1693)&gt;1,
   "Doublon",
   "Correcte"
)</f>
        <v>Correcte</v>
      </c>
    </row>
    <row r="1694" spans="1:18" x14ac:dyDescent="0.25">
      <c r="A1694" s="104" t="s">
        <v>2305</v>
      </c>
      <c r="B1694" s="35" t="s">
        <v>649</v>
      </c>
      <c r="C1694" s="36">
        <v>5</v>
      </c>
      <c r="D1694" s="36">
        <v>0</v>
      </c>
      <c r="E1694" s="35" t="s">
        <v>699</v>
      </c>
      <c r="F1694" s="35" t="s">
        <v>634</v>
      </c>
      <c r="G1694" s="37">
        <v>45940.523275462961</v>
      </c>
      <c r="H1694" s="37" t="str">
        <f>INDEX(_xlfn.TEXTSPLIT(mvtst[[#This Row],[QR Suivis]],"_"),1,1)</f>
        <v>OF249798-40</v>
      </c>
      <c r="I1694" s="35" t="str">
        <f>_xlfn.TEXTBEFORE(mvtst[[#This Row],[Num Suivis]],"-",,,1)</f>
        <v>OF249798</v>
      </c>
      <c r="J1694" s="36">
        <f>SUMIF(mvtst[QR Suivis],mvtst[[#This Row],[QR Suivis]],mvtst[QTE SORTIS])-SUMIF(mvtst[QR Suivis],mvtst[[#This Row],[QR Suivis]],mvtst[QTE RETOUR])</f>
        <v>5</v>
      </c>
      <c r="K1694" s="35" t="str">
        <f t="shared" si="28"/>
        <v>Usine</v>
      </c>
      <c r="L1694" s="35" t="str">
        <f>_xlfn.XLOOKUP(mvtst[[#This Row],[Sous Traitant]],coordonnee_st[Identification],coordonnee_st[SERVICE],"Non Trouvé")</f>
        <v>Frange</v>
      </c>
      <c r="M1694" s="35" t="str">
        <f>INDEX(_xlfn.TEXTSPLIT(mvtst[[#This Row],[QR Suivis]],"_"),1,2)</f>
        <v>CL00884</v>
      </c>
      <c r="N1694" s="35" t="str">
        <f>INDEX(_xlfn.TEXTSPLIT(mvtst[[#This Row],[QR Suivis]],"_"),1,3)</f>
        <v>CM-FT0119</v>
      </c>
      <c r="O1694" s="35" t="str">
        <f>INDEX(_xlfn.TEXTSPLIT(mvtst[[#This Row],[QR Suivis]],"_"),1,4)</f>
        <v>LI1020-B28-01</v>
      </c>
      <c r="P1694" s="35" t="str">
        <f>INDEX(_xlfn.TEXTSPLIT(mvtst[[#This Row],[QR Suivis]],"_"),1,5)</f>
        <v>LILI</v>
      </c>
      <c r="Q1694" s="35" t="str">
        <f>_xlfn.TEXTAFTER(mvtst[[#This Row],[QR Suivis]],"_",5)</f>
        <v>1020</v>
      </c>
      <c r="R1694" s="84" t="str">
        <f>IF(
   COUNTIFS($A$2:A1694,A1694,
             $B$2:B1694,B1694,
             $C$2:C1694,C1694,
             $D$2:D1694,D1694,
             $G$2:G1694,G1694)&gt;1,
   "Doublon",
   "Correcte"
)</f>
        <v>Correcte</v>
      </c>
    </row>
    <row r="1695" spans="1:18" x14ac:dyDescent="0.25">
      <c r="A1695" s="104" t="s">
        <v>2306</v>
      </c>
      <c r="B1695" s="35" t="s">
        <v>649</v>
      </c>
      <c r="C1695" s="36">
        <v>5</v>
      </c>
      <c r="D1695" s="36">
        <v>0</v>
      </c>
      <c r="E1695" s="35" t="s">
        <v>699</v>
      </c>
      <c r="F1695" s="35" t="s">
        <v>634</v>
      </c>
      <c r="G1695" s="37">
        <v>45940.523402777777</v>
      </c>
      <c r="H1695" s="37" t="str">
        <f>INDEX(_xlfn.TEXTSPLIT(mvtst[[#This Row],[QR Suivis]],"_"),1,1)</f>
        <v>OF249798-9</v>
      </c>
      <c r="I1695" s="35" t="str">
        <f>_xlfn.TEXTBEFORE(mvtst[[#This Row],[Num Suivis]],"-",,,1)</f>
        <v>OF249798</v>
      </c>
      <c r="J1695" s="36">
        <f>SUMIF(mvtst[QR Suivis],mvtst[[#This Row],[QR Suivis]],mvtst[QTE SORTIS])-SUMIF(mvtst[QR Suivis],mvtst[[#This Row],[QR Suivis]],mvtst[QTE RETOUR])</f>
        <v>5</v>
      </c>
      <c r="K1695" s="35" t="str">
        <f t="shared" si="28"/>
        <v>Usine</v>
      </c>
      <c r="L1695" s="35" t="str">
        <f>_xlfn.XLOOKUP(mvtst[[#This Row],[Sous Traitant]],coordonnee_st[Identification],coordonnee_st[SERVICE],"Non Trouvé")</f>
        <v>Frange</v>
      </c>
      <c r="M1695" s="35" t="str">
        <f>INDEX(_xlfn.TEXTSPLIT(mvtst[[#This Row],[QR Suivis]],"_"),1,2)</f>
        <v>CL00884</v>
      </c>
      <c r="N1695" s="35" t="str">
        <f>INDEX(_xlfn.TEXTSPLIT(mvtst[[#This Row],[QR Suivis]],"_"),1,3)</f>
        <v>CM-FT0119</v>
      </c>
      <c r="O1695" s="35" t="str">
        <f>INDEX(_xlfn.TEXTSPLIT(mvtst[[#This Row],[QR Suivis]],"_"),1,4)</f>
        <v>LI1020-B28-01</v>
      </c>
      <c r="P1695" s="35" t="str">
        <f>INDEX(_xlfn.TEXTSPLIT(mvtst[[#This Row],[QR Suivis]],"_"),1,5)</f>
        <v>LILI</v>
      </c>
      <c r="Q1695" s="35" t="str">
        <f>_xlfn.TEXTAFTER(mvtst[[#This Row],[QR Suivis]],"_",5)</f>
        <v>1020</v>
      </c>
      <c r="R1695" s="84" t="str">
        <f>IF(
   COUNTIFS($A$2:A1695,A1695,
             $B$2:B1695,B1695,
             $C$2:C1695,C1695,
             $D$2:D1695,D1695,
             $G$2:G1695,G1695)&gt;1,
   "Doublon",
   "Correcte"
)</f>
        <v>Correcte</v>
      </c>
    </row>
    <row r="1696" spans="1:18" x14ac:dyDescent="0.25">
      <c r="A1696" s="104" t="s">
        <v>2307</v>
      </c>
      <c r="B1696" s="35" t="s">
        <v>649</v>
      </c>
      <c r="C1696" s="36">
        <v>5</v>
      </c>
      <c r="D1696" s="36">
        <v>0</v>
      </c>
      <c r="E1696" s="35" t="s">
        <v>699</v>
      </c>
      <c r="F1696" s="35" t="s">
        <v>634</v>
      </c>
      <c r="G1696" s="37">
        <v>45940.523599537039</v>
      </c>
      <c r="H1696" s="37" t="str">
        <f>INDEX(_xlfn.TEXTSPLIT(mvtst[[#This Row],[QR Suivis]],"_"),1,1)</f>
        <v>OF249798-18</v>
      </c>
      <c r="I1696" s="35" t="str">
        <f>_xlfn.TEXTBEFORE(mvtst[[#This Row],[Num Suivis]],"-",,,1)</f>
        <v>OF249798</v>
      </c>
      <c r="J1696" s="36">
        <f>SUMIF(mvtst[QR Suivis],mvtst[[#This Row],[QR Suivis]],mvtst[QTE SORTIS])-SUMIF(mvtst[QR Suivis],mvtst[[#This Row],[QR Suivis]],mvtst[QTE RETOUR])</f>
        <v>0</v>
      </c>
      <c r="K1696" s="35" t="str">
        <f t="shared" si="28"/>
        <v>Usine</v>
      </c>
      <c r="L1696" s="35" t="str">
        <f>_xlfn.XLOOKUP(mvtst[[#This Row],[Sous Traitant]],coordonnee_st[Identification],coordonnee_st[SERVICE],"Non Trouvé")</f>
        <v>Frange</v>
      </c>
      <c r="M1696" s="35" t="str">
        <f>INDEX(_xlfn.TEXTSPLIT(mvtst[[#This Row],[QR Suivis]],"_"),1,2)</f>
        <v>CL00884</v>
      </c>
      <c r="N1696" s="35" t="str">
        <f>INDEX(_xlfn.TEXTSPLIT(mvtst[[#This Row],[QR Suivis]],"_"),1,3)</f>
        <v>CM-FT0119</v>
      </c>
      <c r="O1696" s="35" t="str">
        <f>INDEX(_xlfn.TEXTSPLIT(mvtst[[#This Row],[QR Suivis]],"_"),1,4)</f>
        <v>LI1020-B28-01</v>
      </c>
      <c r="P1696" s="35" t="str">
        <f>INDEX(_xlfn.TEXTSPLIT(mvtst[[#This Row],[QR Suivis]],"_"),1,5)</f>
        <v>LILI</v>
      </c>
      <c r="Q1696" s="35" t="str">
        <f>_xlfn.TEXTAFTER(mvtst[[#This Row],[QR Suivis]],"_",5)</f>
        <v>1020</v>
      </c>
      <c r="R1696" s="84" t="str">
        <f>IF(
   COUNTIFS($A$2:A1696,A1696,
             $B$2:B1696,B1696,
             $C$2:C1696,C1696,
             $D$2:D1696,D1696,
             $G$2:G1696,G1696)&gt;1,
   "Doublon",
   "Correcte"
)</f>
        <v>Correcte</v>
      </c>
    </row>
    <row r="1697" spans="1:18" x14ac:dyDescent="0.25">
      <c r="A1697" s="104" t="s">
        <v>2308</v>
      </c>
      <c r="B1697" s="35" t="s">
        <v>649</v>
      </c>
      <c r="C1697" s="36">
        <v>5</v>
      </c>
      <c r="D1697" s="36">
        <v>0</v>
      </c>
      <c r="E1697" s="35" t="s">
        <v>699</v>
      </c>
      <c r="F1697" s="35" t="s">
        <v>634</v>
      </c>
      <c r="G1697" s="37">
        <v>45940.523842592593</v>
      </c>
      <c r="H1697" s="37" t="str">
        <f>INDEX(_xlfn.TEXTSPLIT(mvtst[[#This Row],[QR Suivis]],"_"),1,1)</f>
        <v>OF249798-22</v>
      </c>
      <c r="I1697" s="35" t="str">
        <f>_xlfn.TEXTBEFORE(mvtst[[#This Row],[Num Suivis]],"-",,,1)</f>
        <v>OF249798</v>
      </c>
      <c r="J1697" s="36">
        <f>SUMIF(mvtst[QR Suivis],mvtst[[#This Row],[QR Suivis]],mvtst[QTE SORTIS])-SUMIF(mvtst[QR Suivis],mvtst[[#This Row],[QR Suivis]],mvtst[QTE RETOUR])</f>
        <v>5</v>
      </c>
      <c r="K1697" s="35" t="str">
        <f t="shared" si="28"/>
        <v>Usine</v>
      </c>
      <c r="L1697" s="35" t="str">
        <f>_xlfn.XLOOKUP(mvtst[[#This Row],[Sous Traitant]],coordonnee_st[Identification],coordonnee_st[SERVICE],"Non Trouvé")</f>
        <v>Frange</v>
      </c>
      <c r="M1697" s="35" t="str">
        <f>INDEX(_xlfn.TEXTSPLIT(mvtst[[#This Row],[QR Suivis]],"_"),1,2)</f>
        <v>CL00884</v>
      </c>
      <c r="N1697" s="35" t="str">
        <f>INDEX(_xlfn.TEXTSPLIT(mvtst[[#This Row],[QR Suivis]],"_"),1,3)</f>
        <v>CM-FT0119</v>
      </c>
      <c r="O1697" s="35" t="str">
        <f>INDEX(_xlfn.TEXTSPLIT(mvtst[[#This Row],[QR Suivis]],"_"),1,4)</f>
        <v>LI1020-B28-01</v>
      </c>
      <c r="P1697" s="35" t="str">
        <f>INDEX(_xlfn.TEXTSPLIT(mvtst[[#This Row],[QR Suivis]],"_"),1,5)</f>
        <v>LILI</v>
      </c>
      <c r="Q1697" s="35" t="str">
        <f>_xlfn.TEXTAFTER(mvtst[[#This Row],[QR Suivis]],"_",5)</f>
        <v>1020</v>
      </c>
      <c r="R1697" s="84" t="str">
        <f>IF(
   COUNTIFS($A$2:A1697,A1697,
             $B$2:B1697,B1697,
             $C$2:C1697,C1697,
             $D$2:D1697,D1697,
             $G$2:G1697,G1697)&gt;1,
   "Doublon",
   "Correcte"
)</f>
        <v>Correcte</v>
      </c>
    </row>
    <row r="1698" spans="1:18" x14ac:dyDescent="0.25">
      <c r="A1698" s="104" t="s">
        <v>2309</v>
      </c>
      <c r="B1698" s="35" t="s">
        <v>649</v>
      </c>
      <c r="C1698" s="36">
        <v>5</v>
      </c>
      <c r="D1698" s="36">
        <v>0</v>
      </c>
      <c r="E1698" s="35" t="s">
        <v>699</v>
      </c>
      <c r="F1698" s="35" t="s">
        <v>634</v>
      </c>
      <c r="G1698" s="37">
        <v>45940.524004629631</v>
      </c>
      <c r="H1698" s="37" t="str">
        <f>INDEX(_xlfn.TEXTSPLIT(mvtst[[#This Row],[QR Suivis]],"_"),1,1)</f>
        <v>OF249798-26</v>
      </c>
      <c r="I1698" s="35" t="str">
        <f>_xlfn.TEXTBEFORE(mvtst[[#This Row],[Num Suivis]],"-",,,1)</f>
        <v>OF249798</v>
      </c>
      <c r="J1698" s="36">
        <f>SUMIF(mvtst[QR Suivis],mvtst[[#This Row],[QR Suivis]],mvtst[QTE SORTIS])-SUMIF(mvtst[QR Suivis],mvtst[[#This Row],[QR Suivis]],mvtst[QTE RETOUR])</f>
        <v>5</v>
      </c>
      <c r="K1698" s="35" t="str">
        <f t="shared" si="28"/>
        <v>Usine</v>
      </c>
      <c r="L1698" s="35" t="str">
        <f>_xlfn.XLOOKUP(mvtst[[#This Row],[Sous Traitant]],coordonnee_st[Identification],coordonnee_st[SERVICE],"Non Trouvé")</f>
        <v>Frange</v>
      </c>
      <c r="M1698" s="35" t="str">
        <f>INDEX(_xlfn.TEXTSPLIT(mvtst[[#This Row],[QR Suivis]],"_"),1,2)</f>
        <v>CL00884</v>
      </c>
      <c r="N1698" s="35" t="str">
        <f>INDEX(_xlfn.TEXTSPLIT(mvtst[[#This Row],[QR Suivis]],"_"),1,3)</f>
        <v>CM-FT0119</v>
      </c>
      <c r="O1698" s="35" t="str">
        <f>INDEX(_xlfn.TEXTSPLIT(mvtst[[#This Row],[QR Suivis]],"_"),1,4)</f>
        <v>LI1020-B28-01</v>
      </c>
      <c r="P1698" s="35" t="str">
        <f>INDEX(_xlfn.TEXTSPLIT(mvtst[[#This Row],[QR Suivis]],"_"),1,5)</f>
        <v>LILI</v>
      </c>
      <c r="Q1698" s="35" t="str">
        <f>_xlfn.TEXTAFTER(mvtst[[#This Row],[QR Suivis]],"_",5)</f>
        <v>1020</v>
      </c>
      <c r="R1698" s="84" t="str">
        <f>IF(
   COUNTIFS($A$2:A1698,A1698,
             $B$2:B1698,B1698,
             $C$2:C1698,C1698,
             $D$2:D1698,D1698,
             $G$2:G1698,G1698)&gt;1,
   "Doublon",
   "Correcte"
)</f>
        <v>Correcte</v>
      </c>
    </row>
    <row r="1699" spans="1:18" x14ac:dyDescent="0.25">
      <c r="A1699" s="104" t="s">
        <v>2310</v>
      </c>
      <c r="B1699" s="35" t="s">
        <v>649</v>
      </c>
      <c r="C1699" s="36">
        <v>5</v>
      </c>
      <c r="D1699" s="36">
        <v>0</v>
      </c>
      <c r="E1699" s="35" t="s">
        <v>699</v>
      </c>
      <c r="F1699" s="35" t="s">
        <v>634</v>
      </c>
      <c r="G1699" s="37">
        <v>45940.524155092593</v>
      </c>
      <c r="H1699" s="37" t="str">
        <f>INDEX(_xlfn.TEXTSPLIT(mvtst[[#This Row],[QR Suivis]],"_"),1,1)</f>
        <v>OF249798-30</v>
      </c>
      <c r="I1699" s="35" t="str">
        <f>_xlfn.TEXTBEFORE(mvtst[[#This Row],[Num Suivis]],"-",,,1)</f>
        <v>OF249798</v>
      </c>
      <c r="J1699" s="36">
        <f>SUMIF(mvtst[QR Suivis],mvtst[[#This Row],[QR Suivis]],mvtst[QTE SORTIS])-SUMIF(mvtst[QR Suivis],mvtst[[#This Row],[QR Suivis]],mvtst[QTE RETOUR])</f>
        <v>5</v>
      </c>
      <c r="K1699" s="35" t="str">
        <f t="shared" si="28"/>
        <v>Usine</v>
      </c>
      <c r="L1699" s="35" t="str">
        <f>_xlfn.XLOOKUP(mvtst[[#This Row],[Sous Traitant]],coordonnee_st[Identification],coordonnee_st[SERVICE],"Non Trouvé")</f>
        <v>Frange</v>
      </c>
      <c r="M1699" s="35" t="str">
        <f>INDEX(_xlfn.TEXTSPLIT(mvtst[[#This Row],[QR Suivis]],"_"),1,2)</f>
        <v>CL00884</v>
      </c>
      <c r="N1699" s="35" t="str">
        <f>INDEX(_xlfn.TEXTSPLIT(mvtst[[#This Row],[QR Suivis]],"_"),1,3)</f>
        <v>CM-FT0119</v>
      </c>
      <c r="O1699" s="35" t="str">
        <f>INDEX(_xlfn.TEXTSPLIT(mvtst[[#This Row],[QR Suivis]],"_"),1,4)</f>
        <v>LI1020-B28-01</v>
      </c>
      <c r="P1699" s="35" t="str">
        <f>INDEX(_xlfn.TEXTSPLIT(mvtst[[#This Row],[QR Suivis]],"_"),1,5)</f>
        <v>LILI</v>
      </c>
      <c r="Q1699" s="35" t="str">
        <f>_xlfn.TEXTAFTER(mvtst[[#This Row],[QR Suivis]],"_",5)</f>
        <v>1020</v>
      </c>
      <c r="R1699" s="84" t="str">
        <f>IF(
   COUNTIFS($A$2:A1699,A1699,
             $B$2:B1699,B1699,
             $C$2:C1699,C1699,
             $D$2:D1699,D1699,
             $G$2:G1699,G1699)&gt;1,
   "Doublon",
   "Correcte"
)</f>
        <v>Correcte</v>
      </c>
    </row>
    <row r="1700" spans="1:18" x14ac:dyDescent="0.25">
      <c r="A1700" s="104" t="s">
        <v>2311</v>
      </c>
      <c r="B1700" s="35" t="s">
        <v>649</v>
      </c>
      <c r="C1700" s="36">
        <v>5</v>
      </c>
      <c r="D1700" s="36">
        <v>0</v>
      </c>
      <c r="E1700" s="35" t="s">
        <v>699</v>
      </c>
      <c r="F1700" s="35" t="s">
        <v>634</v>
      </c>
      <c r="G1700" s="37">
        <v>45940.524351851855</v>
      </c>
      <c r="H1700" s="37" t="str">
        <f>INDEX(_xlfn.TEXTSPLIT(mvtst[[#This Row],[QR Suivis]],"_"),1,1)</f>
        <v>OF249798-57</v>
      </c>
      <c r="I1700" s="35" t="str">
        <f>_xlfn.TEXTBEFORE(mvtst[[#This Row],[Num Suivis]],"-",,,1)</f>
        <v>OF249798</v>
      </c>
      <c r="J1700" s="36">
        <f>SUMIF(mvtst[QR Suivis],mvtst[[#This Row],[QR Suivis]],mvtst[QTE SORTIS])-SUMIF(mvtst[QR Suivis],mvtst[[#This Row],[QR Suivis]],mvtst[QTE RETOUR])</f>
        <v>5</v>
      </c>
      <c r="K1700" s="35" t="str">
        <f t="shared" si="28"/>
        <v>Usine</v>
      </c>
      <c r="L1700" s="35" t="str">
        <f>_xlfn.XLOOKUP(mvtst[[#This Row],[Sous Traitant]],coordonnee_st[Identification],coordonnee_st[SERVICE],"Non Trouvé")</f>
        <v>Frange</v>
      </c>
      <c r="M1700" s="35" t="str">
        <f>INDEX(_xlfn.TEXTSPLIT(mvtst[[#This Row],[QR Suivis]],"_"),1,2)</f>
        <v>CL00884</v>
      </c>
      <c r="N1700" s="35" t="str">
        <f>INDEX(_xlfn.TEXTSPLIT(mvtst[[#This Row],[QR Suivis]],"_"),1,3)</f>
        <v>CM-FT0119</v>
      </c>
      <c r="O1700" s="35" t="str">
        <f>INDEX(_xlfn.TEXTSPLIT(mvtst[[#This Row],[QR Suivis]],"_"),1,4)</f>
        <v>LI1020-B28-01</v>
      </c>
      <c r="P1700" s="35" t="str">
        <f>INDEX(_xlfn.TEXTSPLIT(mvtst[[#This Row],[QR Suivis]],"_"),1,5)</f>
        <v>LILI</v>
      </c>
      <c r="Q1700" s="35" t="str">
        <f>_xlfn.TEXTAFTER(mvtst[[#This Row],[QR Suivis]],"_",5)</f>
        <v>1020</v>
      </c>
      <c r="R1700" s="84" t="str">
        <f>IF(
   COUNTIFS($A$2:A1700,A1700,
             $B$2:B1700,B1700,
             $C$2:C1700,C1700,
             $D$2:D1700,D1700,
             $G$2:G1700,G1700)&gt;1,
   "Doublon",
   "Correcte"
)</f>
        <v>Correcte</v>
      </c>
    </row>
    <row r="1701" spans="1:18" x14ac:dyDescent="0.25">
      <c r="A1701" s="104" t="s">
        <v>2312</v>
      </c>
      <c r="B1701" s="35" t="s">
        <v>649</v>
      </c>
      <c r="C1701" s="36">
        <v>5</v>
      </c>
      <c r="D1701" s="36">
        <v>0</v>
      </c>
      <c r="E1701" s="35" t="s">
        <v>699</v>
      </c>
      <c r="F1701" s="35" t="s">
        <v>634</v>
      </c>
      <c r="G1701" s="37">
        <v>45940.524525462963</v>
      </c>
      <c r="H1701" s="37" t="str">
        <f>INDEX(_xlfn.TEXTSPLIT(mvtst[[#This Row],[QR Suivis]],"_"),1,1)</f>
        <v>OF249798-56</v>
      </c>
      <c r="I1701" s="35" t="str">
        <f>_xlfn.TEXTBEFORE(mvtst[[#This Row],[Num Suivis]],"-",,,1)</f>
        <v>OF249798</v>
      </c>
      <c r="J1701" s="36">
        <f>SUMIF(mvtst[QR Suivis],mvtst[[#This Row],[QR Suivis]],mvtst[QTE SORTIS])-SUMIF(mvtst[QR Suivis],mvtst[[#This Row],[QR Suivis]],mvtst[QTE RETOUR])</f>
        <v>5</v>
      </c>
      <c r="K1701" s="35" t="str">
        <f t="shared" si="28"/>
        <v>Usine</v>
      </c>
      <c r="L1701" s="35" t="str">
        <f>_xlfn.XLOOKUP(mvtst[[#This Row],[Sous Traitant]],coordonnee_st[Identification],coordonnee_st[SERVICE],"Non Trouvé")</f>
        <v>Frange</v>
      </c>
      <c r="M1701" s="35" t="str">
        <f>INDEX(_xlfn.TEXTSPLIT(mvtst[[#This Row],[QR Suivis]],"_"),1,2)</f>
        <v>CL00884</v>
      </c>
      <c r="N1701" s="35" t="str">
        <f>INDEX(_xlfn.TEXTSPLIT(mvtst[[#This Row],[QR Suivis]],"_"),1,3)</f>
        <v>CM-FT0119</v>
      </c>
      <c r="O1701" s="35" t="str">
        <f>INDEX(_xlfn.TEXTSPLIT(mvtst[[#This Row],[QR Suivis]],"_"),1,4)</f>
        <v>LI1020-B28-01</v>
      </c>
      <c r="P1701" s="35" t="str">
        <f>INDEX(_xlfn.TEXTSPLIT(mvtst[[#This Row],[QR Suivis]],"_"),1,5)</f>
        <v>LILI</v>
      </c>
      <c r="Q1701" s="35" t="str">
        <f>_xlfn.TEXTAFTER(mvtst[[#This Row],[QR Suivis]],"_",5)</f>
        <v>1020</v>
      </c>
      <c r="R1701" s="84" t="str">
        <f>IF(
   COUNTIFS($A$2:A1701,A1701,
             $B$2:B1701,B1701,
             $C$2:C1701,C1701,
             $D$2:D1701,D1701,
             $G$2:G1701,G1701)&gt;1,
   "Doublon",
   "Correcte"
)</f>
        <v>Correcte</v>
      </c>
    </row>
    <row r="1702" spans="1:18" x14ac:dyDescent="0.25">
      <c r="A1702" s="104" t="s">
        <v>2313</v>
      </c>
      <c r="B1702" s="35" t="s">
        <v>649</v>
      </c>
      <c r="C1702" s="36">
        <v>5</v>
      </c>
      <c r="D1702" s="36">
        <v>0</v>
      </c>
      <c r="E1702" s="35" t="s">
        <v>699</v>
      </c>
      <c r="F1702" s="35" t="s">
        <v>634</v>
      </c>
      <c r="G1702" s="37">
        <v>45940.524710648147</v>
      </c>
      <c r="H1702" s="37" t="str">
        <f>INDEX(_xlfn.TEXTSPLIT(mvtst[[#This Row],[QR Suivis]],"_"),1,1)</f>
        <v>OF249798-31</v>
      </c>
      <c r="I1702" s="35" t="str">
        <f>_xlfn.TEXTBEFORE(mvtst[[#This Row],[Num Suivis]],"-",,,1)</f>
        <v>OF249798</v>
      </c>
      <c r="J1702" s="36">
        <f>SUMIF(mvtst[QR Suivis],mvtst[[#This Row],[QR Suivis]],mvtst[QTE SORTIS])-SUMIF(mvtst[QR Suivis],mvtst[[#This Row],[QR Suivis]],mvtst[QTE RETOUR])</f>
        <v>5</v>
      </c>
      <c r="K1702" s="35" t="str">
        <f t="shared" si="28"/>
        <v>Usine</v>
      </c>
      <c r="L1702" s="35" t="str">
        <f>_xlfn.XLOOKUP(mvtst[[#This Row],[Sous Traitant]],coordonnee_st[Identification],coordonnee_st[SERVICE],"Non Trouvé")</f>
        <v>Frange</v>
      </c>
      <c r="M1702" s="35" t="str">
        <f>INDEX(_xlfn.TEXTSPLIT(mvtst[[#This Row],[QR Suivis]],"_"),1,2)</f>
        <v>CL00884</v>
      </c>
      <c r="N1702" s="35" t="str">
        <f>INDEX(_xlfn.TEXTSPLIT(mvtst[[#This Row],[QR Suivis]],"_"),1,3)</f>
        <v>CM-FT0119</v>
      </c>
      <c r="O1702" s="35" t="str">
        <f>INDEX(_xlfn.TEXTSPLIT(mvtst[[#This Row],[QR Suivis]],"_"),1,4)</f>
        <v>LI1020-B28-01</v>
      </c>
      <c r="P1702" s="35" t="str">
        <f>INDEX(_xlfn.TEXTSPLIT(mvtst[[#This Row],[QR Suivis]],"_"),1,5)</f>
        <v>LILI</v>
      </c>
      <c r="Q1702" s="35" t="str">
        <f>_xlfn.TEXTAFTER(mvtst[[#This Row],[QR Suivis]],"_",5)</f>
        <v>1020</v>
      </c>
      <c r="R1702" s="84" t="str">
        <f>IF(
   COUNTIFS($A$2:A1702,A1702,
             $B$2:B1702,B1702,
             $C$2:C1702,C1702,
             $D$2:D1702,D1702,
             $G$2:G1702,G1702)&gt;1,
   "Doublon",
   "Correcte"
)</f>
        <v>Correcte</v>
      </c>
    </row>
    <row r="1703" spans="1:18" x14ac:dyDescent="0.25">
      <c r="A1703" s="104" t="s">
        <v>2314</v>
      </c>
      <c r="B1703" s="35" t="s">
        <v>649</v>
      </c>
      <c r="C1703" s="36">
        <v>5</v>
      </c>
      <c r="D1703" s="36">
        <v>0</v>
      </c>
      <c r="E1703" s="35" t="s">
        <v>699</v>
      </c>
      <c r="F1703" s="35" t="s">
        <v>634</v>
      </c>
      <c r="G1703" s="37">
        <v>45940.524826388886</v>
      </c>
      <c r="H1703" s="37" t="str">
        <f>INDEX(_xlfn.TEXTSPLIT(mvtst[[#This Row],[QR Suivis]],"_"),1,1)</f>
        <v>OF249798-44</v>
      </c>
      <c r="I1703" s="35" t="str">
        <f>_xlfn.TEXTBEFORE(mvtst[[#This Row],[Num Suivis]],"-",,,1)</f>
        <v>OF249798</v>
      </c>
      <c r="J1703" s="36">
        <f>SUMIF(mvtst[QR Suivis],mvtst[[#This Row],[QR Suivis]],mvtst[QTE SORTIS])-SUMIF(mvtst[QR Suivis],mvtst[[#This Row],[QR Suivis]],mvtst[QTE RETOUR])</f>
        <v>5</v>
      </c>
      <c r="K1703" s="35" t="str">
        <f t="shared" si="28"/>
        <v>Usine</v>
      </c>
      <c r="L1703" s="35" t="str">
        <f>_xlfn.XLOOKUP(mvtst[[#This Row],[Sous Traitant]],coordonnee_st[Identification],coordonnee_st[SERVICE],"Non Trouvé")</f>
        <v>Frange</v>
      </c>
      <c r="M1703" s="35" t="str">
        <f>INDEX(_xlfn.TEXTSPLIT(mvtst[[#This Row],[QR Suivis]],"_"),1,2)</f>
        <v>CL00884</v>
      </c>
      <c r="N1703" s="35" t="str">
        <f>INDEX(_xlfn.TEXTSPLIT(mvtst[[#This Row],[QR Suivis]],"_"),1,3)</f>
        <v>CM-FT0119</v>
      </c>
      <c r="O1703" s="35" t="str">
        <f>INDEX(_xlfn.TEXTSPLIT(mvtst[[#This Row],[QR Suivis]],"_"),1,4)</f>
        <v>LI1020-B28-01</v>
      </c>
      <c r="P1703" s="35" t="str">
        <f>INDEX(_xlfn.TEXTSPLIT(mvtst[[#This Row],[QR Suivis]],"_"),1,5)</f>
        <v>LILI</v>
      </c>
      <c r="Q1703" s="35" t="str">
        <f>_xlfn.TEXTAFTER(mvtst[[#This Row],[QR Suivis]],"_",5)</f>
        <v>1020</v>
      </c>
      <c r="R1703" s="84" t="str">
        <f>IF(
   COUNTIFS($A$2:A1703,A1703,
             $B$2:B1703,B1703,
             $C$2:C1703,C1703,
             $D$2:D1703,D1703,
             $G$2:G1703,G1703)&gt;1,
   "Doublon",
   "Correcte"
)</f>
        <v>Correcte</v>
      </c>
    </row>
    <row r="1704" spans="1:18" x14ac:dyDescent="0.25">
      <c r="A1704" s="104" t="s">
        <v>2315</v>
      </c>
      <c r="B1704" s="35" t="s">
        <v>649</v>
      </c>
      <c r="C1704" s="36">
        <v>5</v>
      </c>
      <c r="D1704" s="36">
        <v>0</v>
      </c>
      <c r="E1704" s="35" t="s">
        <v>699</v>
      </c>
      <c r="F1704" s="35" t="s">
        <v>634</v>
      </c>
      <c r="G1704" s="37">
        <v>45940.525046296294</v>
      </c>
      <c r="H1704" s="37" t="str">
        <f>INDEX(_xlfn.TEXTSPLIT(mvtst[[#This Row],[QR Suivis]],"_"),1,1)</f>
        <v>OF249798-60</v>
      </c>
      <c r="I1704" s="35" t="str">
        <f>_xlfn.TEXTBEFORE(mvtst[[#This Row],[Num Suivis]],"-",,,1)</f>
        <v>OF249798</v>
      </c>
      <c r="J1704" s="36">
        <f>SUMIF(mvtst[QR Suivis],mvtst[[#This Row],[QR Suivis]],mvtst[QTE SORTIS])-SUMIF(mvtst[QR Suivis],mvtst[[#This Row],[QR Suivis]],mvtst[QTE RETOUR])</f>
        <v>5</v>
      </c>
      <c r="K1704" s="35" t="str">
        <f t="shared" si="28"/>
        <v>Usine</v>
      </c>
      <c r="L1704" s="35" t="str">
        <f>_xlfn.XLOOKUP(mvtst[[#This Row],[Sous Traitant]],coordonnee_st[Identification],coordonnee_st[SERVICE],"Non Trouvé")</f>
        <v>Frange</v>
      </c>
      <c r="M1704" s="35" t="str">
        <f>INDEX(_xlfn.TEXTSPLIT(mvtst[[#This Row],[QR Suivis]],"_"),1,2)</f>
        <v>CL00884</v>
      </c>
      <c r="N1704" s="35" t="str">
        <f>INDEX(_xlfn.TEXTSPLIT(mvtst[[#This Row],[QR Suivis]],"_"),1,3)</f>
        <v>CM-FT0119</v>
      </c>
      <c r="O1704" s="35" t="str">
        <f>INDEX(_xlfn.TEXTSPLIT(mvtst[[#This Row],[QR Suivis]],"_"),1,4)</f>
        <v>LI1020-B28-01</v>
      </c>
      <c r="P1704" s="35" t="str">
        <f>INDEX(_xlfn.TEXTSPLIT(mvtst[[#This Row],[QR Suivis]],"_"),1,5)</f>
        <v>LILI</v>
      </c>
      <c r="Q1704" s="35" t="str">
        <f>_xlfn.TEXTAFTER(mvtst[[#This Row],[QR Suivis]],"_",5)</f>
        <v>1020</v>
      </c>
      <c r="R1704" s="84" t="str">
        <f>IF(
   COUNTIFS($A$2:A1704,A1704,
             $B$2:B1704,B1704,
             $C$2:C1704,C1704,
             $D$2:D1704,D1704,
             $G$2:G1704,G1704)&gt;1,
   "Doublon",
   "Correcte"
)</f>
        <v>Correcte</v>
      </c>
    </row>
    <row r="1705" spans="1:18" x14ac:dyDescent="0.25">
      <c r="A1705" s="104" t="s">
        <v>2316</v>
      </c>
      <c r="B1705" s="35" t="s">
        <v>649</v>
      </c>
      <c r="C1705" s="36">
        <v>5</v>
      </c>
      <c r="D1705" s="36">
        <v>0</v>
      </c>
      <c r="E1705" s="35" t="s">
        <v>699</v>
      </c>
      <c r="F1705" s="35" t="s">
        <v>634</v>
      </c>
      <c r="G1705" s="37">
        <v>45940.525185185186</v>
      </c>
      <c r="H1705" s="37" t="str">
        <f>INDEX(_xlfn.TEXTSPLIT(mvtst[[#This Row],[QR Suivis]],"_"),1,1)</f>
        <v>OF249798-38</v>
      </c>
      <c r="I1705" s="35" t="str">
        <f>_xlfn.TEXTBEFORE(mvtst[[#This Row],[Num Suivis]],"-",,,1)</f>
        <v>OF249798</v>
      </c>
      <c r="J1705" s="36">
        <f>SUMIF(mvtst[QR Suivis],mvtst[[#This Row],[QR Suivis]],mvtst[QTE SORTIS])-SUMIF(mvtst[QR Suivis],mvtst[[#This Row],[QR Suivis]],mvtst[QTE RETOUR])</f>
        <v>5</v>
      </c>
      <c r="K1705" s="35" t="str">
        <f t="shared" si="28"/>
        <v>Usine</v>
      </c>
      <c r="L1705" s="35" t="str">
        <f>_xlfn.XLOOKUP(mvtst[[#This Row],[Sous Traitant]],coordonnee_st[Identification],coordonnee_st[SERVICE],"Non Trouvé")</f>
        <v>Frange</v>
      </c>
      <c r="M1705" s="35" t="str">
        <f>INDEX(_xlfn.TEXTSPLIT(mvtst[[#This Row],[QR Suivis]],"_"),1,2)</f>
        <v>CL00884</v>
      </c>
      <c r="N1705" s="35" t="str">
        <f>INDEX(_xlfn.TEXTSPLIT(mvtst[[#This Row],[QR Suivis]],"_"),1,3)</f>
        <v>CM-FT0119</v>
      </c>
      <c r="O1705" s="35" t="str">
        <f>INDEX(_xlfn.TEXTSPLIT(mvtst[[#This Row],[QR Suivis]],"_"),1,4)</f>
        <v>LI1020-B28-01</v>
      </c>
      <c r="P1705" s="35" t="str">
        <f>INDEX(_xlfn.TEXTSPLIT(mvtst[[#This Row],[QR Suivis]],"_"),1,5)</f>
        <v>LILI</v>
      </c>
      <c r="Q1705" s="35" t="str">
        <f>_xlfn.TEXTAFTER(mvtst[[#This Row],[QR Suivis]],"_",5)</f>
        <v>1020</v>
      </c>
      <c r="R1705" s="84" t="str">
        <f>IF(
   COUNTIFS($A$2:A1705,A1705,
             $B$2:B1705,B1705,
             $C$2:C1705,C1705,
             $D$2:D1705,D1705,
             $G$2:G1705,G1705)&gt;1,
   "Doublon",
   "Correcte"
)</f>
        <v>Correcte</v>
      </c>
    </row>
    <row r="1706" spans="1:18" x14ac:dyDescent="0.25">
      <c r="A1706" s="104" t="s">
        <v>2317</v>
      </c>
      <c r="B1706" s="35" t="s">
        <v>649</v>
      </c>
      <c r="C1706" s="36">
        <v>5</v>
      </c>
      <c r="D1706" s="36">
        <v>0</v>
      </c>
      <c r="E1706" s="35" t="s">
        <v>699</v>
      </c>
      <c r="F1706" s="35" t="s">
        <v>634</v>
      </c>
      <c r="G1706" s="37">
        <v>45940.525324074071</v>
      </c>
      <c r="H1706" s="37" t="str">
        <f>INDEX(_xlfn.TEXTSPLIT(mvtst[[#This Row],[QR Suivis]],"_"),1,1)</f>
        <v>OF249798-37</v>
      </c>
      <c r="I1706" s="35" t="str">
        <f>_xlfn.TEXTBEFORE(mvtst[[#This Row],[Num Suivis]],"-",,,1)</f>
        <v>OF249798</v>
      </c>
      <c r="J1706" s="36">
        <f>SUMIF(mvtst[QR Suivis],mvtst[[#This Row],[QR Suivis]],mvtst[QTE SORTIS])-SUMIF(mvtst[QR Suivis],mvtst[[#This Row],[QR Suivis]],mvtst[QTE RETOUR])</f>
        <v>0</v>
      </c>
      <c r="K1706" s="35" t="str">
        <f t="shared" si="28"/>
        <v>Usine</v>
      </c>
      <c r="L1706" s="35" t="str">
        <f>_xlfn.XLOOKUP(mvtst[[#This Row],[Sous Traitant]],coordonnee_st[Identification],coordonnee_st[SERVICE],"Non Trouvé")</f>
        <v>Frange</v>
      </c>
      <c r="M1706" s="35" t="str">
        <f>INDEX(_xlfn.TEXTSPLIT(mvtst[[#This Row],[QR Suivis]],"_"),1,2)</f>
        <v>CL00884</v>
      </c>
      <c r="N1706" s="35" t="str">
        <f>INDEX(_xlfn.TEXTSPLIT(mvtst[[#This Row],[QR Suivis]],"_"),1,3)</f>
        <v>CM-FT0119</v>
      </c>
      <c r="O1706" s="35" t="str">
        <f>INDEX(_xlfn.TEXTSPLIT(mvtst[[#This Row],[QR Suivis]],"_"),1,4)</f>
        <v>LI1020-B28-01</v>
      </c>
      <c r="P1706" s="35" t="str">
        <f>INDEX(_xlfn.TEXTSPLIT(mvtst[[#This Row],[QR Suivis]],"_"),1,5)</f>
        <v>LILI</v>
      </c>
      <c r="Q1706" s="35" t="str">
        <f>_xlfn.TEXTAFTER(mvtst[[#This Row],[QR Suivis]],"_",5)</f>
        <v>1020</v>
      </c>
      <c r="R1706" s="84" t="str">
        <f>IF(
   COUNTIFS($A$2:A1706,A1706,
             $B$2:B1706,B1706,
             $C$2:C1706,C1706,
             $D$2:D1706,D1706,
             $G$2:G1706,G1706)&gt;1,
   "Doublon",
   "Correcte"
)</f>
        <v>Correcte</v>
      </c>
    </row>
    <row r="1707" spans="1:18" x14ac:dyDescent="0.25">
      <c r="A1707" s="104" t="s">
        <v>2318</v>
      </c>
      <c r="B1707" s="35" t="s">
        <v>649</v>
      </c>
      <c r="C1707" s="36">
        <v>5</v>
      </c>
      <c r="D1707" s="36">
        <v>0</v>
      </c>
      <c r="E1707" s="35" t="s">
        <v>699</v>
      </c>
      <c r="F1707" s="35" t="s">
        <v>634</v>
      </c>
      <c r="G1707" s="37">
        <v>45940.525497685187</v>
      </c>
      <c r="H1707" s="37" t="str">
        <f>INDEX(_xlfn.TEXTSPLIT(mvtst[[#This Row],[QR Suivis]],"_"),1,1)</f>
        <v>OF249798-23</v>
      </c>
      <c r="I1707" s="35" t="str">
        <f>_xlfn.TEXTBEFORE(mvtst[[#This Row],[Num Suivis]],"-",,,1)</f>
        <v>OF249798</v>
      </c>
      <c r="J1707" s="36">
        <f>SUMIF(mvtst[QR Suivis],mvtst[[#This Row],[QR Suivis]],mvtst[QTE SORTIS])-SUMIF(mvtst[QR Suivis],mvtst[[#This Row],[QR Suivis]],mvtst[QTE RETOUR])</f>
        <v>5</v>
      </c>
      <c r="K1707" s="35" t="str">
        <f t="shared" si="28"/>
        <v>Usine</v>
      </c>
      <c r="L1707" s="35" t="str">
        <f>_xlfn.XLOOKUP(mvtst[[#This Row],[Sous Traitant]],coordonnee_st[Identification],coordonnee_st[SERVICE],"Non Trouvé")</f>
        <v>Frange</v>
      </c>
      <c r="M1707" s="35" t="str">
        <f>INDEX(_xlfn.TEXTSPLIT(mvtst[[#This Row],[QR Suivis]],"_"),1,2)</f>
        <v>CL00884</v>
      </c>
      <c r="N1707" s="35" t="str">
        <f>INDEX(_xlfn.TEXTSPLIT(mvtst[[#This Row],[QR Suivis]],"_"),1,3)</f>
        <v>CM-FT0119</v>
      </c>
      <c r="O1707" s="35" t="str">
        <f>INDEX(_xlfn.TEXTSPLIT(mvtst[[#This Row],[QR Suivis]],"_"),1,4)</f>
        <v>LI1020-B28-01</v>
      </c>
      <c r="P1707" s="35" t="str">
        <f>INDEX(_xlfn.TEXTSPLIT(mvtst[[#This Row],[QR Suivis]],"_"),1,5)</f>
        <v>LILI</v>
      </c>
      <c r="Q1707" s="35" t="str">
        <f>_xlfn.TEXTAFTER(mvtst[[#This Row],[QR Suivis]],"_",5)</f>
        <v>1020</v>
      </c>
      <c r="R1707" s="84" t="str">
        <f>IF(
   COUNTIFS($A$2:A1707,A1707,
             $B$2:B1707,B1707,
             $C$2:C1707,C1707,
             $D$2:D1707,D1707,
             $G$2:G1707,G1707)&gt;1,
   "Doublon",
   "Correcte"
)</f>
        <v>Correcte</v>
      </c>
    </row>
    <row r="1708" spans="1:18" x14ac:dyDescent="0.25">
      <c r="A1708" s="104" t="s">
        <v>2319</v>
      </c>
      <c r="B1708" s="35" t="s">
        <v>649</v>
      </c>
      <c r="C1708" s="36">
        <v>5</v>
      </c>
      <c r="D1708" s="36">
        <v>0</v>
      </c>
      <c r="E1708" s="35" t="s">
        <v>699</v>
      </c>
      <c r="F1708" s="35" t="s">
        <v>634</v>
      </c>
      <c r="G1708" s="37">
        <v>45940.525729166664</v>
      </c>
      <c r="H1708" s="37" t="str">
        <f>INDEX(_xlfn.TEXTSPLIT(mvtst[[#This Row],[QR Suivis]],"_"),1,1)</f>
        <v>OF249798-49</v>
      </c>
      <c r="I1708" s="35" t="str">
        <f>_xlfn.TEXTBEFORE(mvtst[[#This Row],[Num Suivis]],"-",,,1)</f>
        <v>OF249798</v>
      </c>
      <c r="J1708" s="36">
        <f>SUMIF(mvtst[QR Suivis],mvtst[[#This Row],[QR Suivis]],mvtst[QTE SORTIS])-SUMIF(mvtst[QR Suivis],mvtst[[#This Row],[QR Suivis]],mvtst[QTE RETOUR])</f>
        <v>5</v>
      </c>
      <c r="K1708" s="35" t="str">
        <f t="shared" si="28"/>
        <v>Usine</v>
      </c>
      <c r="L1708" s="35" t="str">
        <f>_xlfn.XLOOKUP(mvtst[[#This Row],[Sous Traitant]],coordonnee_st[Identification],coordonnee_st[SERVICE],"Non Trouvé")</f>
        <v>Frange</v>
      </c>
      <c r="M1708" s="35" t="str">
        <f>INDEX(_xlfn.TEXTSPLIT(mvtst[[#This Row],[QR Suivis]],"_"),1,2)</f>
        <v>CL00884</v>
      </c>
      <c r="N1708" s="35" t="str">
        <f>INDEX(_xlfn.TEXTSPLIT(mvtst[[#This Row],[QR Suivis]],"_"),1,3)</f>
        <v>CM-FT0119</v>
      </c>
      <c r="O1708" s="35" t="str">
        <f>INDEX(_xlfn.TEXTSPLIT(mvtst[[#This Row],[QR Suivis]],"_"),1,4)</f>
        <v>LI1020-B28-01</v>
      </c>
      <c r="P1708" s="35" t="str">
        <f>INDEX(_xlfn.TEXTSPLIT(mvtst[[#This Row],[QR Suivis]],"_"),1,5)</f>
        <v>LILI</v>
      </c>
      <c r="Q1708" s="35" t="str">
        <f>_xlfn.TEXTAFTER(mvtst[[#This Row],[QR Suivis]],"_",5)</f>
        <v>1020</v>
      </c>
      <c r="R1708" s="84" t="str">
        <f>IF(
   COUNTIFS($A$2:A1708,A1708,
             $B$2:B1708,B1708,
             $C$2:C1708,C1708,
             $D$2:D1708,D1708,
             $G$2:G1708,G1708)&gt;1,
   "Doublon",
   "Correcte"
)</f>
        <v>Correcte</v>
      </c>
    </row>
    <row r="1709" spans="1:18" x14ac:dyDescent="0.25">
      <c r="A1709" s="104" t="s">
        <v>2320</v>
      </c>
      <c r="B1709" s="35" t="s">
        <v>649</v>
      </c>
      <c r="C1709" s="36">
        <v>5</v>
      </c>
      <c r="D1709" s="36">
        <v>0</v>
      </c>
      <c r="E1709" s="35" t="s">
        <v>699</v>
      </c>
      <c r="F1709" s="35" t="s">
        <v>634</v>
      </c>
      <c r="G1709" s="37">
        <v>45940.525949074072</v>
      </c>
      <c r="H1709" s="37" t="str">
        <f>INDEX(_xlfn.TEXTSPLIT(mvtst[[#This Row],[QR Suivis]],"_"),1,1)</f>
        <v>OF249798-59</v>
      </c>
      <c r="I1709" s="35" t="str">
        <f>_xlfn.TEXTBEFORE(mvtst[[#This Row],[Num Suivis]],"-",,,1)</f>
        <v>OF249798</v>
      </c>
      <c r="J1709" s="36">
        <f>SUMIF(mvtst[QR Suivis],mvtst[[#This Row],[QR Suivis]],mvtst[QTE SORTIS])-SUMIF(mvtst[QR Suivis],mvtst[[#This Row],[QR Suivis]],mvtst[QTE RETOUR])</f>
        <v>5</v>
      </c>
      <c r="K1709" s="35" t="str">
        <f t="shared" si="28"/>
        <v>Usine</v>
      </c>
      <c r="L1709" s="35" t="str">
        <f>_xlfn.XLOOKUP(mvtst[[#This Row],[Sous Traitant]],coordonnee_st[Identification],coordonnee_st[SERVICE],"Non Trouvé")</f>
        <v>Frange</v>
      </c>
      <c r="M1709" s="35" t="str">
        <f>INDEX(_xlfn.TEXTSPLIT(mvtst[[#This Row],[QR Suivis]],"_"),1,2)</f>
        <v>CL00884</v>
      </c>
      <c r="N1709" s="35" t="str">
        <f>INDEX(_xlfn.TEXTSPLIT(mvtst[[#This Row],[QR Suivis]],"_"),1,3)</f>
        <v>CM-FT0119</v>
      </c>
      <c r="O1709" s="35" t="str">
        <f>INDEX(_xlfn.TEXTSPLIT(mvtst[[#This Row],[QR Suivis]],"_"),1,4)</f>
        <v>LI1020-B28-01</v>
      </c>
      <c r="P1709" s="35" t="str">
        <f>INDEX(_xlfn.TEXTSPLIT(mvtst[[#This Row],[QR Suivis]],"_"),1,5)</f>
        <v>LILI</v>
      </c>
      <c r="Q1709" s="35" t="str">
        <f>_xlfn.TEXTAFTER(mvtst[[#This Row],[QR Suivis]],"_",5)</f>
        <v>1020</v>
      </c>
      <c r="R1709" s="84" t="str">
        <f>IF(
   COUNTIFS($A$2:A1709,A1709,
             $B$2:B1709,B1709,
             $C$2:C1709,C1709,
             $D$2:D1709,D1709,
             $G$2:G1709,G1709)&gt;1,
   "Doublon",
   "Correcte"
)</f>
        <v>Correcte</v>
      </c>
    </row>
    <row r="1710" spans="1:18" x14ac:dyDescent="0.25">
      <c r="A1710" s="104" t="s">
        <v>2321</v>
      </c>
      <c r="B1710" s="35" t="s">
        <v>649</v>
      </c>
      <c r="C1710" s="36">
        <v>5</v>
      </c>
      <c r="D1710" s="36">
        <v>0</v>
      </c>
      <c r="E1710" s="35" t="s">
        <v>699</v>
      </c>
      <c r="F1710" s="35" t="s">
        <v>634</v>
      </c>
      <c r="G1710" s="37">
        <v>45940.526076388887</v>
      </c>
      <c r="H1710" s="37" t="str">
        <f>INDEX(_xlfn.TEXTSPLIT(mvtst[[#This Row],[QR Suivis]],"_"),1,1)</f>
        <v>OF249798-58</v>
      </c>
      <c r="I1710" s="35" t="str">
        <f>_xlfn.TEXTBEFORE(mvtst[[#This Row],[Num Suivis]],"-",,,1)</f>
        <v>OF249798</v>
      </c>
      <c r="J1710" s="36">
        <f>SUMIF(mvtst[QR Suivis],mvtst[[#This Row],[QR Suivis]],mvtst[QTE SORTIS])-SUMIF(mvtst[QR Suivis],mvtst[[#This Row],[QR Suivis]],mvtst[QTE RETOUR])</f>
        <v>0</v>
      </c>
      <c r="K1710" s="35" t="str">
        <f t="shared" si="28"/>
        <v>Usine</v>
      </c>
      <c r="L1710" s="35" t="str">
        <f>_xlfn.XLOOKUP(mvtst[[#This Row],[Sous Traitant]],coordonnee_st[Identification],coordonnee_st[SERVICE],"Non Trouvé")</f>
        <v>Frange</v>
      </c>
      <c r="M1710" s="35" t="str">
        <f>INDEX(_xlfn.TEXTSPLIT(mvtst[[#This Row],[QR Suivis]],"_"),1,2)</f>
        <v>CL00884</v>
      </c>
      <c r="N1710" s="35" t="str">
        <f>INDEX(_xlfn.TEXTSPLIT(mvtst[[#This Row],[QR Suivis]],"_"),1,3)</f>
        <v>CM-FT0119</v>
      </c>
      <c r="O1710" s="35" t="str">
        <f>INDEX(_xlfn.TEXTSPLIT(mvtst[[#This Row],[QR Suivis]],"_"),1,4)</f>
        <v>LI1020-B28-01</v>
      </c>
      <c r="P1710" s="35" t="str">
        <f>INDEX(_xlfn.TEXTSPLIT(mvtst[[#This Row],[QR Suivis]],"_"),1,5)</f>
        <v>LILI</v>
      </c>
      <c r="Q1710" s="35" t="str">
        <f>_xlfn.TEXTAFTER(mvtst[[#This Row],[QR Suivis]],"_",5)</f>
        <v>1020</v>
      </c>
      <c r="R1710" s="84" t="str">
        <f>IF(
   COUNTIFS($A$2:A1710,A1710,
             $B$2:B1710,B1710,
             $C$2:C1710,C1710,
             $D$2:D1710,D1710,
             $G$2:G1710,G1710)&gt;1,
   "Doublon",
   "Correcte"
)</f>
        <v>Correcte</v>
      </c>
    </row>
    <row r="1711" spans="1:18" x14ac:dyDescent="0.25">
      <c r="A1711" s="104" t="s">
        <v>2322</v>
      </c>
      <c r="B1711" s="35" t="s">
        <v>613</v>
      </c>
      <c r="C1711" s="36">
        <v>5</v>
      </c>
      <c r="D1711" s="36">
        <v>0</v>
      </c>
      <c r="E1711" s="35" t="s">
        <v>699</v>
      </c>
      <c r="F1711" s="35" t="s">
        <v>634</v>
      </c>
      <c r="G1711" s="37">
        <v>45940.48474537037</v>
      </c>
      <c r="H1711" s="37" t="str">
        <f>INDEX(_xlfn.TEXTSPLIT(mvtst[[#This Row],[QR Suivis]],"_"),1,1)</f>
        <v>OF249798-11</v>
      </c>
      <c r="I1711" s="35" t="str">
        <f>_xlfn.TEXTBEFORE(mvtst[[#This Row],[Num Suivis]],"-",,,1)</f>
        <v>OF249798</v>
      </c>
      <c r="J1711" s="36">
        <f>SUMIF(mvtst[QR Suivis],mvtst[[#This Row],[QR Suivis]],mvtst[QTE SORTIS])-SUMIF(mvtst[QR Suivis],mvtst[[#This Row],[QR Suivis]],mvtst[QTE RETOUR])</f>
        <v>5</v>
      </c>
      <c r="K1711" s="35" t="str">
        <f t="shared" si="28"/>
        <v>Usine</v>
      </c>
      <c r="L1711" s="35" t="str">
        <f>_xlfn.XLOOKUP(mvtst[[#This Row],[Sous Traitant]],coordonnee_st[Identification],coordonnee_st[SERVICE],"Non Trouvé")</f>
        <v>Frange</v>
      </c>
      <c r="M1711" s="35" t="str">
        <f>INDEX(_xlfn.TEXTSPLIT(mvtst[[#This Row],[QR Suivis]],"_"),1,2)</f>
        <v>CL00884</v>
      </c>
      <c r="N1711" s="35" t="str">
        <f>INDEX(_xlfn.TEXTSPLIT(mvtst[[#This Row],[QR Suivis]],"_"),1,3)</f>
        <v>CM-FT0119</v>
      </c>
      <c r="O1711" s="35" t="str">
        <f>INDEX(_xlfn.TEXTSPLIT(mvtst[[#This Row],[QR Suivis]],"_"),1,4)</f>
        <v>LI1020-B28-01</v>
      </c>
      <c r="P1711" s="35" t="str">
        <f>INDEX(_xlfn.TEXTSPLIT(mvtst[[#This Row],[QR Suivis]],"_"),1,5)</f>
        <v>LILI</v>
      </c>
      <c r="Q1711" s="35" t="str">
        <f>_xlfn.TEXTAFTER(mvtst[[#This Row],[QR Suivis]],"_",5)</f>
        <v>1020</v>
      </c>
      <c r="R1711" s="84" t="str">
        <f>IF(
   COUNTIFS($A$2:A1711,A1711,
             $B$2:B1711,B1711,
             $C$2:C1711,C1711,
             $D$2:D1711,D1711,
             $G$2:G1711,G1711)&gt;1,
   "Doublon",
   "Correcte"
)</f>
        <v>Correcte</v>
      </c>
    </row>
    <row r="1712" spans="1:18" x14ac:dyDescent="0.25">
      <c r="A1712" s="104" t="s">
        <v>2323</v>
      </c>
      <c r="B1712" s="35" t="s">
        <v>613</v>
      </c>
      <c r="C1712" s="36">
        <v>5</v>
      </c>
      <c r="D1712" s="36">
        <v>0</v>
      </c>
      <c r="E1712" s="35" t="s">
        <v>699</v>
      </c>
      <c r="F1712" s="35" t="s">
        <v>634</v>
      </c>
      <c r="G1712" s="37">
        <v>45940.485000000001</v>
      </c>
      <c r="H1712" s="37" t="str">
        <f>INDEX(_xlfn.TEXTSPLIT(mvtst[[#This Row],[QR Suivis]],"_"),1,1)</f>
        <v>OF249798-14</v>
      </c>
      <c r="I1712" s="35" t="str">
        <f>_xlfn.TEXTBEFORE(mvtst[[#This Row],[Num Suivis]],"-",,,1)</f>
        <v>OF249798</v>
      </c>
      <c r="J1712" s="36">
        <f>SUMIF(mvtst[QR Suivis],mvtst[[#This Row],[QR Suivis]],mvtst[QTE SORTIS])-SUMIF(mvtst[QR Suivis],mvtst[[#This Row],[QR Suivis]],mvtst[QTE RETOUR])</f>
        <v>5</v>
      </c>
      <c r="K1712" s="35" t="str">
        <f t="shared" si="28"/>
        <v>Usine</v>
      </c>
      <c r="L1712" s="35" t="str">
        <f>_xlfn.XLOOKUP(mvtst[[#This Row],[Sous Traitant]],coordonnee_st[Identification],coordonnee_st[SERVICE],"Non Trouvé")</f>
        <v>Frange</v>
      </c>
      <c r="M1712" s="35" t="str">
        <f>INDEX(_xlfn.TEXTSPLIT(mvtst[[#This Row],[QR Suivis]],"_"),1,2)</f>
        <v>CL00884</v>
      </c>
      <c r="N1712" s="35" t="str">
        <f>INDEX(_xlfn.TEXTSPLIT(mvtst[[#This Row],[QR Suivis]],"_"),1,3)</f>
        <v>CM-FT0119</v>
      </c>
      <c r="O1712" s="35" t="str">
        <f>INDEX(_xlfn.TEXTSPLIT(mvtst[[#This Row],[QR Suivis]],"_"),1,4)</f>
        <v>LI1020-B28-01</v>
      </c>
      <c r="P1712" s="35" t="str">
        <f>INDEX(_xlfn.TEXTSPLIT(mvtst[[#This Row],[QR Suivis]],"_"),1,5)</f>
        <v>LILI</v>
      </c>
      <c r="Q1712" s="35" t="str">
        <f>_xlfn.TEXTAFTER(mvtst[[#This Row],[QR Suivis]],"_",5)</f>
        <v>1020</v>
      </c>
      <c r="R1712" s="84" t="str">
        <f>IF(
   COUNTIFS($A$2:A1712,A1712,
             $B$2:B1712,B1712,
             $C$2:C1712,C1712,
             $D$2:D1712,D1712,
             $G$2:G1712,G1712)&gt;1,
   "Doublon",
   "Correcte"
)</f>
        <v>Correcte</v>
      </c>
    </row>
    <row r="1713" spans="1:18" x14ac:dyDescent="0.25">
      <c r="A1713" s="104" t="s">
        <v>2324</v>
      </c>
      <c r="B1713" s="35" t="s">
        <v>613</v>
      </c>
      <c r="C1713" s="36">
        <v>5</v>
      </c>
      <c r="D1713" s="36">
        <v>0</v>
      </c>
      <c r="E1713" s="35" t="s">
        <v>699</v>
      </c>
      <c r="F1713" s="35" t="s">
        <v>634</v>
      </c>
      <c r="G1713" s="37">
        <v>45940.485821759263</v>
      </c>
      <c r="H1713" s="37" t="str">
        <f>INDEX(_xlfn.TEXTSPLIT(mvtst[[#This Row],[QR Suivis]],"_"),1,1)</f>
        <v>OF249798-3</v>
      </c>
      <c r="I1713" s="35" t="str">
        <f>_xlfn.TEXTBEFORE(mvtst[[#This Row],[Num Suivis]],"-",,,1)</f>
        <v>OF249798</v>
      </c>
      <c r="J1713" s="36">
        <f>SUMIF(mvtst[QR Suivis],mvtst[[#This Row],[QR Suivis]],mvtst[QTE SORTIS])-SUMIF(mvtst[QR Suivis],mvtst[[#This Row],[QR Suivis]],mvtst[QTE RETOUR])</f>
        <v>5</v>
      </c>
      <c r="K1713" s="35" t="str">
        <f t="shared" si="28"/>
        <v>Usine</v>
      </c>
      <c r="L1713" s="35" t="str">
        <f>_xlfn.XLOOKUP(mvtst[[#This Row],[Sous Traitant]],coordonnee_st[Identification],coordonnee_st[SERVICE],"Non Trouvé")</f>
        <v>Frange</v>
      </c>
      <c r="M1713" s="35" t="str">
        <f>INDEX(_xlfn.TEXTSPLIT(mvtst[[#This Row],[QR Suivis]],"_"),1,2)</f>
        <v>CL00884</v>
      </c>
      <c r="N1713" s="35" t="str">
        <f>INDEX(_xlfn.TEXTSPLIT(mvtst[[#This Row],[QR Suivis]],"_"),1,3)</f>
        <v>CM-FT0119</v>
      </c>
      <c r="O1713" s="35" t="str">
        <f>INDEX(_xlfn.TEXTSPLIT(mvtst[[#This Row],[QR Suivis]],"_"),1,4)</f>
        <v>LI1020-B28-01</v>
      </c>
      <c r="P1713" s="35" t="str">
        <f>INDEX(_xlfn.TEXTSPLIT(mvtst[[#This Row],[QR Suivis]],"_"),1,5)</f>
        <v>LILI</v>
      </c>
      <c r="Q1713" s="35" t="str">
        <f>_xlfn.TEXTAFTER(mvtst[[#This Row],[QR Suivis]],"_",5)</f>
        <v>1020</v>
      </c>
      <c r="R1713" s="84" t="str">
        <f>IF(
   COUNTIFS($A$2:A1713,A1713,
             $B$2:B1713,B1713,
             $C$2:C1713,C1713,
             $D$2:D1713,D1713,
             $G$2:G1713,G1713)&gt;1,
   "Doublon",
   "Correcte"
)</f>
        <v>Correcte</v>
      </c>
    </row>
    <row r="1714" spans="1:18" x14ac:dyDescent="0.25">
      <c r="A1714" s="104" t="s">
        <v>2325</v>
      </c>
      <c r="B1714" s="35" t="s">
        <v>613</v>
      </c>
      <c r="C1714" s="36">
        <v>5</v>
      </c>
      <c r="D1714" s="36">
        <v>0</v>
      </c>
      <c r="E1714" s="35" t="s">
        <v>699</v>
      </c>
      <c r="F1714" s="35" t="s">
        <v>634</v>
      </c>
      <c r="G1714" s="37">
        <v>45940.486111111109</v>
      </c>
      <c r="H1714" s="37" t="str">
        <f>INDEX(_xlfn.TEXTSPLIT(mvtst[[#This Row],[QR Suivis]],"_"),1,1)</f>
        <v>OF249798-7</v>
      </c>
      <c r="I1714" s="35" t="str">
        <f>_xlfn.TEXTBEFORE(mvtst[[#This Row],[Num Suivis]],"-",,,1)</f>
        <v>OF249798</v>
      </c>
      <c r="J1714" s="36">
        <f>SUMIF(mvtst[QR Suivis],mvtst[[#This Row],[QR Suivis]],mvtst[QTE SORTIS])-SUMIF(mvtst[QR Suivis],mvtst[[#This Row],[QR Suivis]],mvtst[QTE RETOUR])</f>
        <v>5</v>
      </c>
      <c r="K1714" s="35" t="str">
        <f t="shared" si="28"/>
        <v>Usine</v>
      </c>
      <c r="L1714" s="35" t="str">
        <f>_xlfn.XLOOKUP(mvtst[[#This Row],[Sous Traitant]],coordonnee_st[Identification],coordonnee_st[SERVICE],"Non Trouvé")</f>
        <v>Frange</v>
      </c>
      <c r="M1714" s="35" t="str">
        <f>INDEX(_xlfn.TEXTSPLIT(mvtst[[#This Row],[QR Suivis]],"_"),1,2)</f>
        <v>CL00884</v>
      </c>
      <c r="N1714" s="35" t="str">
        <f>INDEX(_xlfn.TEXTSPLIT(mvtst[[#This Row],[QR Suivis]],"_"),1,3)</f>
        <v>CM-FT0119</v>
      </c>
      <c r="O1714" s="35" t="str">
        <f>INDEX(_xlfn.TEXTSPLIT(mvtst[[#This Row],[QR Suivis]],"_"),1,4)</f>
        <v>LI1020-B28-01</v>
      </c>
      <c r="P1714" s="35" t="str">
        <f>INDEX(_xlfn.TEXTSPLIT(mvtst[[#This Row],[QR Suivis]],"_"),1,5)</f>
        <v>LILI</v>
      </c>
      <c r="Q1714" s="35" t="str">
        <f>_xlfn.TEXTAFTER(mvtst[[#This Row],[QR Suivis]],"_",5)</f>
        <v>1020</v>
      </c>
      <c r="R1714" s="84" t="str">
        <f>IF(
   COUNTIFS($A$2:A1714,A1714,
             $B$2:B1714,B1714,
             $C$2:C1714,C1714,
             $D$2:D1714,D1714,
             $G$2:G1714,G1714)&gt;1,
   "Doublon",
   "Correcte"
)</f>
        <v>Correcte</v>
      </c>
    </row>
    <row r="1715" spans="1:18" x14ac:dyDescent="0.25">
      <c r="A1715" s="104" t="s">
        <v>2326</v>
      </c>
      <c r="B1715" s="35" t="s">
        <v>613</v>
      </c>
      <c r="C1715" s="36">
        <v>5</v>
      </c>
      <c r="D1715" s="36">
        <v>0</v>
      </c>
      <c r="E1715" s="35" t="s">
        <v>699</v>
      </c>
      <c r="F1715" s="35" t="s">
        <v>634</v>
      </c>
      <c r="G1715" s="37">
        <v>45940.484560185185</v>
      </c>
      <c r="H1715" s="37" t="str">
        <f>INDEX(_xlfn.TEXTSPLIT(mvtst[[#This Row],[QR Suivis]],"_"),1,1)</f>
        <v>OF249798-1</v>
      </c>
      <c r="I1715" s="35" t="str">
        <f>_xlfn.TEXTBEFORE(mvtst[[#This Row],[Num Suivis]],"-",,,1)</f>
        <v>OF249798</v>
      </c>
      <c r="J1715" s="36">
        <f>SUMIF(mvtst[QR Suivis],mvtst[[#This Row],[QR Suivis]],mvtst[QTE SORTIS])-SUMIF(mvtst[QR Suivis],mvtst[[#This Row],[QR Suivis]],mvtst[QTE RETOUR])</f>
        <v>5</v>
      </c>
      <c r="K1715" s="35" t="str">
        <f t="shared" si="28"/>
        <v>Usine</v>
      </c>
      <c r="L1715" s="35" t="str">
        <f>_xlfn.XLOOKUP(mvtst[[#This Row],[Sous Traitant]],coordonnee_st[Identification],coordonnee_st[SERVICE],"Non Trouvé")</f>
        <v>Frange</v>
      </c>
      <c r="M1715" s="35" t="str">
        <f>INDEX(_xlfn.TEXTSPLIT(mvtst[[#This Row],[QR Suivis]],"_"),1,2)</f>
        <v>CL00884</v>
      </c>
      <c r="N1715" s="35" t="str">
        <f>INDEX(_xlfn.TEXTSPLIT(mvtst[[#This Row],[QR Suivis]],"_"),1,3)</f>
        <v>CM-FT0119</v>
      </c>
      <c r="O1715" s="35" t="str">
        <f>INDEX(_xlfn.TEXTSPLIT(mvtst[[#This Row],[QR Suivis]],"_"),1,4)</f>
        <v>LI1020-B28-01</v>
      </c>
      <c r="P1715" s="35" t="str">
        <f>INDEX(_xlfn.TEXTSPLIT(mvtst[[#This Row],[QR Suivis]],"_"),1,5)</f>
        <v>LILI</v>
      </c>
      <c r="Q1715" s="35" t="str">
        <f>_xlfn.TEXTAFTER(mvtst[[#This Row],[QR Suivis]],"_",5)</f>
        <v>1020</v>
      </c>
      <c r="R1715" s="84" t="str">
        <f>IF(
   COUNTIFS($A$2:A1715,A1715,
             $B$2:B1715,B1715,
             $C$2:C1715,C1715,
             $D$2:D1715,D1715,
             $G$2:G1715,G1715)&gt;1,
   "Doublon",
   "Correcte"
)</f>
        <v>Correcte</v>
      </c>
    </row>
    <row r="1716" spans="1:18" x14ac:dyDescent="0.25">
      <c r="A1716" s="104" t="s">
        <v>2327</v>
      </c>
      <c r="B1716" s="35" t="s">
        <v>613</v>
      </c>
      <c r="C1716" s="36">
        <v>5</v>
      </c>
      <c r="D1716" s="36">
        <v>0</v>
      </c>
      <c r="E1716" s="35" t="s">
        <v>699</v>
      </c>
      <c r="F1716" s="35" t="s">
        <v>634</v>
      </c>
      <c r="G1716" s="37">
        <v>45940.484293981484</v>
      </c>
      <c r="H1716" s="37" t="str">
        <f>INDEX(_xlfn.TEXTSPLIT(mvtst[[#This Row],[QR Suivis]],"_"),1,1)</f>
        <v>OF249798-16</v>
      </c>
      <c r="I1716" s="35" t="str">
        <f>_xlfn.TEXTBEFORE(mvtst[[#This Row],[Num Suivis]],"-",,,1)</f>
        <v>OF249798</v>
      </c>
      <c r="J1716" s="36">
        <f>SUMIF(mvtst[QR Suivis],mvtst[[#This Row],[QR Suivis]],mvtst[QTE SORTIS])-SUMIF(mvtst[QR Suivis],mvtst[[#This Row],[QR Suivis]],mvtst[QTE RETOUR])</f>
        <v>5</v>
      </c>
      <c r="K1716" s="35" t="str">
        <f t="shared" si="28"/>
        <v>Usine</v>
      </c>
      <c r="L1716" s="35" t="str">
        <f>_xlfn.XLOOKUP(mvtst[[#This Row],[Sous Traitant]],coordonnee_st[Identification],coordonnee_st[SERVICE],"Non Trouvé")</f>
        <v>Frange</v>
      </c>
      <c r="M1716" s="35" t="str">
        <f>INDEX(_xlfn.TEXTSPLIT(mvtst[[#This Row],[QR Suivis]],"_"),1,2)</f>
        <v>CL00884</v>
      </c>
      <c r="N1716" s="35" t="str">
        <f>INDEX(_xlfn.TEXTSPLIT(mvtst[[#This Row],[QR Suivis]],"_"),1,3)</f>
        <v>CM-FT0119</v>
      </c>
      <c r="O1716" s="35" t="str">
        <f>INDEX(_xlfn.TEXTSPLIT(mvtst[[#This Row],[QR Suivis]],"_"),1,4)</f>
        <v>LI1020-B28-01</v>
      </c>
      <c r="P1716" s="35" t="str">
        <f>INDEX(_xlfn.TEXTSPLIT(mvtst[[#This Row],[QR Suivis]],"_"),1,5)</f>
        <v>LILI</v>
      </c>
      <c r="Q1716" s="35" t="str">
        <f>_xlfn.TEXTAFTER(mvtst[[#This Row],[QR Suivis]],"_",5)</f>
        <v>1020</v>
      </c>
      <c r="R1716" s="84" t="str">
        <f>IF(
   COUNTIFS($A$2:A1716,A1716,
             $B$2:B1716,B1716,
             $C$2:C1716,C1716,
             $D$2:D1716,D1716,
             $G$2:G1716,G1716)&gt;1,
   "Doublon",
   "Correcte"
)</f>
        <v>Correcte</v>
      </c>
    </row>
    <row r="1717" spans="1:18" x14ac:dyDescent="0.25">
      <c r="A1717" s="104" t="s">
        <v>2328</v>
      </c>
      <c r="B1717" s="35" t="s">
        <v>613</v>
      </c>
      <c r="C1717" s="36">
        <v>1</v>
      </c>
      <c r="D1717" s="36">
        <v>0</v>
      </c>
      <c r="E1717" s="35" t="s">
        <v>699</v>
      </c>
      <c r="F1717" s="35" t="s">
        <v>634</v>
      </c>
      <c r="G1717" s="37">
        <v>45940.484027777777</v>
      </c>
      <c r="H1717" s="37" t="str">
        <f>INDEX(_xlfn.TEXTSPLIT(mvtst[[#This Row],[QR Suivis]],"_"),1,1)</f>
        <v>OF249798-65</v>
      </c>
      <c r="I1717" s="35" t="str">
        <f>_xlfn.TEXTBEFORE(mvtst[[#This Row],[Num Suivis]],"-",,,1)</f>
        <v>OF249798</v>
      </c>
      <c r="J1717" s="36">
        <f>SUMIF(mvtst[QR Suivis],mvtst[[#This Row],[QR Suivis]],mvtst[QTE SORTIS])-SUMIF(mvtst[QR Suivis],mvtst[[#This Row],[QR Suivis]],mvtst[QTE RETOUR])</f>
        <v>1</v>
      </c>
      <c r="K1717" s="35" t="str">
        <f t="shared" si="28"/>
        <v>Usine</v>
      </c>
      <c r="L1717" s="35" t="str">
        <f>_xlfn.XLOOKUP(mvtst[[#This Row],[Sous Traitant]],coordonnee_st[Identification],coordonnee_st[SERVICE],"Non Trouvé")</f>
        <v>Frange</v>
      </c>
      <c r="M1717" s="35" t="str">
        <f>INDEX(_xlfn.TEXTSPLIT(mvtst[[#This Row],[QR Suivis]],"_"),1,2)</f>
        <v>CL00884</v>
      </c>
      <c r="N1717" s="35" t="str">
        <f>INDEX(_xlfn.TEXTSPLIT(mvtst[[#This Row],[QR Suivis]],"_"),1,3)</f>
        <v>CM-FT0119</v>
      </c>
      <c r="O1717" s="35" t="str">
        <f>INDEX(_xlfn.TEXTSPLIT(mvtst[[#This Row],[QR Suivis]],"_"),1,4)</f>
        <v>LI1020-B28-01</v>
      </c>
      <c r="P1717" s="35" t="str">
        <f>INDEX(_xlfn.TEXTSPLIT(mvtst[[#This Row],[QR Suivis]],"_"),1,5)</f>
        <v>LILI</v>
      </c>
      <c r="Q1717" s="35" t="str">
        <f>_xlfn.TEXTAFTER(mvtst[[#This Row],[QR Suivis]],"_",5)</f>
        <v>1020</v>
      </c>
      <c r="R1717" s="84" t="str">
        <f>IF(
   COUNTIFS($A$2:A1717,A1717,
             $B$2:B1717,B1717,
             $C$2:C1717,C1717,
             $D$2:D1717,D1717,
             $G$2:G1717,G1717)&gt;1,
   "Doublon",
   "Correcte"
)</f>
        <v>Correcte</v>
      </c>
    </row>
    <row r="1718" spans="1:18" x14ac:dyDescent="0.25">
      <c r="A1718" s="104" t="s">
        <v>2329</v>
      </c>
      <c r="B1718" s="35" t="s">
        <v>613</v>
      </c>
      <c r="C1718" s="36">
        <v>5</v>
      </c>
      <c r="D1718" s="36">
        <v>0</v>
      </c>
      <c r="E1718" s="35" t="s">
        <v>699</v>
      </c>
      <c r="F1718" s="35" t="s">
        <v>634</v>
      </c>
      <c r="G1718" s="37">
        <v>45940.483668981484</v>
      </c>
      <c r="H1718" s="37" t="str">
        <f>INDEX(_xlfn.TEXTSPLIT(mvtst[[#This Row],[QR Suivis]],"_"),1,1)</f>
        <v>OF249798-62</v>
      </c>
      <c r="I1718" s="35" t="str">
        <f>_xlfn.TEXTBEFORE(mvtst[[#This Row],[Num Suivis]],"-",,,1)</f>
        <v>OF249798</v>
      </c>
      <c r="J1718" s="36">
        <f>SUMIF(mvtst[QR Suivis],mvtst[[#This Row],[QR Suivis]],mvtst[QTE SORTIS])-SUMIF(mvtst[QR Suivis],mvtst[[#This Row],[QR Suivis]],mvtst[QTE RETOUR])</f>
        <v>5</v>
      </c>
      <c r="K1718" s="35" t="str">
        <f t="shared" si="28"/>
        <v>Usine</v>
      </c>
      <c r="L1718" s="35" t="str">
        <f>_xlfn.XLOOKUP(mvtst[[#This Row],[Sous Traitant]],coordonnee_st[Identification],coordonnee_st[SERVICE],"Non Trouvé")</f>
        <v>Frange</v>
      </c>
      <c r="M1718" s="35" t="str">
        <f>INDEX(_xlfn.TEXTSPLIT(mvtst[[#This Row],[QR Suivis]],"_"),1,2)</f>
        <v>CL00884</v>
      </c>
      <c r="N1718" s="35" t="str">
        <f>INDEX(_xlfn.TEXTSPLIT(mvtst[[#This Row],[QR Suivis]],"_"),1,3)</f>
        <v>CM-FT0119</v>
      </c>
      <c r="O1718" s="35" t="str">
        <f>INDEX(_xlfn.TEXTSPLIT(mvtst[[#This Row],[QR Suivis]],"_"),1,4)</f>
        <v>LI1020-B28-01</v>
      </c>
      <c r="P1718" s="35" t="str">
        <f>INDEX(_xlfn.TEXTSPLIT(mvtst[[#This Row],[QR Suivis]],"_"),1,5)</f>
        <v>LILI</v>
      </c>
      <c r="Q1718" s="35" t="str">
        <f>_xlfn.TEXTAFTER(mvtst[[#This Row],[QR Suivis]],"_",5)</f>
        <v>1020</v>
      </c>
      <c r="R1718" s="84" t="str">
        <f>IF(
   COUNTIFS($A$2:A1718,A1718,
             $B$2:B1718,B1718,
             $C$2:C1718,C1718,
             $D$2:D1718,D1718,
             $G$2:G1718,G1718)&gt;1,
   "Doublon",
   "Correcte"
)</f>
        <v>Correcte</v>
      </c>
    </row>
    <row r="1719" spans="1:18" x14ac:dyDescent="0.25">
      <c r="A1719" s="104" t="s">
        <v>2330</v>
      </c>
      <c r="B1719" s="35" t="s">
        <v>613</v>
      </c>
      <c r="C1719" s="36">
        <v>5</v>
      </c>
      <c r="D1719" s="36">
        <v>0</v>
      </c>
      <c r="E1719" s="35" t="s">
        <v>699</v>
      </c>
      <c r="F1719" s="35" t="s">
        <v>634</v>
      </c>
      <c r="G1719" s="37">
        <v>45940.483287037037</v>
      </c>
      <c r="H1719" s="37" t="str">
        <f>INDEX(_xlfn.TEXTSPLIT(mvtst[[#This Row],[QR Suivis]],"_"),1,1)</f>
        <v>OF249798-5</v>
      </c>
      <c r="I1719" s="35" t="str">
        <f>_xlfn.TEXTBEFORE(mvtst[[#This Row],[Num Suivis]],"-",,,1)</f>
        <v>OF249798</v>
      </c>
      <c r="J1719" s="36">
        <f>SUMIF(mvtst[QR Suivis],mvtst[[#This Row],[QR Suivis]],mvtst[QTE SORTIS])-SUMIF(mvtst[QR Suivis],mvtst[[#This Row],[QR Suivis]],mvtst[QTE RETOUR])</f>
        <v>5</v>
      </c>
      <c r="K1719" s="35" t="str">
        <f t="shared" si="28"/>
        <v>Usine</v>
      </c>
      <c r="L1719" s="35" t="str">
        <f>_xlfn.XLOOKUP(mvtst[[#This Row],[Sous Traitant]],coordonnee_st[Identification],coordonnee_st[SERVICE],"Non Trouvé")</f>
        <v>Frange</v>
      </c>
      <c r="M1719" s="35" t="str">
        <f>INDEX(_xlfn.TEXTSPLIT(mvtst[[#This Row],[QR Suivis]],"_"),1,2)</f>
        <v>CL00884</v>
      </c>
      <c r="N1719" s="35" t="str">
        <f>INDEX(_xlfn.TEXTSPLIT(mvtst[[#This Row],[QR Suivis]],"_"),1,3)</f>
        <v>CM-FT0119</v>
      </c>
      <c r="O1719" s="35" t="str">
        <f>INDEX(_xlfn.TEXTSPLIT(mvtst[[#This Row],[QR Suivis]],"_"),1,4)</f>
        <v>LI1020-B28-01</v>
      </c>
      <c r="P1719" s="35" t="str">
        <f>INDEX(_xlfn.TEXTSPLIT(mvtst[[#This Row],[QR Suivis]],"_"),1,5)</f>
        <v>LILI</v>
      </c>
      <c r="Q1719" s="35" t="str">
        <f>_xlfn.TEXTAFTER(mvtst[[#This Row],[QR Suivis]],"_",5)</f>
        <v>1020</v>
      </c>
      <c r="R1719" s="84" t="str">
        <f>IF(
   COUNTIFS($A$2:A1719,A1719,
             $B$2:B1719,B1719,
             $C$2:C1719,C1719,
             $D$2:D1719,D1719,
             $G$2:G1719,G1719)&gt;1,
   "Doublon",
   "Correcte"
)</f>
        <v>Correcte</v>
      </c>
    </row>
    <row r="1720" spans="1:18" x14ac:dyDescent="0.25">
      <c r="A1720" s="104" t="s">
        <v>2331</v>
      </c>
      <c r="B1720" s="35" t="s">
        <v>613</v>
      </c>
      <c r="C1720" s="36">
        <v>5</v>
      </c>
      <c r="D1720" s="36">
        <v>0</v>
      </c>
      <c r="E1720" s="35" t="s">
        <v>699</v>
      </c>
      <c r="F1720" s="35" t="s">
        <v>634</v>
      </c>
      <c r="G1720" s="37">
        <v>45940.482928240737</v>
      </c>
      <c r="H1720" s="37" t="str">
        <f>INDEX(_xlfn.TEXTSPLIT(mvtst[[#This Row],[QR Suivis]],"_"),1,1)</f>
        <v>OF249798-4</v>
      </c>
      <c r="I1720" s="35" t="str">
        <f>_xlfn.TEXTBEFORE(mvtst[[#This Row],[Num Suivis]],"-",,,1)</f>
        <v>OF249798</v>
      </c>
      <c r="J1720" s="36">
        <f>SUMIF(mvtst[QR Suivis],mvtst[[#This Row],[QR Suivis]],mvtst[QTE SORTIS])-SUMIF(mvtst[QR Suivis],mvtst[[#This Row],[QR Suivis]],mvtst[QTE RETOUR])</f>
        <v>5</v>
      </c>
      <c r="K1720" s="35" t="str">
        <f t="shared" si="28"/>
        <v>Usine</v>
      </c>
      <c r="L1720" s="35" t="str">
        <f>_xlfn.XLOOKUP(mvtst[[#This Row],[Sous Traitant]],coordonnee_st[Identification],coordonnee_st[SERVICE],"Non Trouvé")</f>
        <v>Frange</v>
      </c>
      <c r="M1720" s="35" t="str">
        <f>INDEX(_xlfn.TEXTSPLIT(mvtst[[#This Row],[QR Suivis]],"_"),1,2)</f>
        <v>CL00884</v>
      </c>
      <c r="N1720" s="35" t="str">
        <f>INDEX(_xlfn.TEXTSPLIT(mvtst[[#This Row],[QR Suivis]],"_"),1,3)</f>
        <v>CM-FT0119</v>
      </c>
      <c r="O1720" s="35" t="str">
        <f>INDEX(_xlfn.TEXTSPLIT(mvtst[[#This Row],[QR Suivis]],"_"),1,4)</f>
        <v>LI1020-B28-01</v>
      </c>
      <c r="P1720" s="35" t="str">
        <f>INDEX(_xlfn.TEXTSPLIT(mvtst[[#This Row],[QR Suivis]],"_"),1,5)</f>
        <v>LILI</v>
      </c>
      <c r="Q1720" s="35" t="str">
        <f>_xlfn.TEXTAFTER(mvtst[[#This Row],[QR Suivis]],"_",5)</f>
        <v>1020</v>
      </c>
      <c r="R1720" s="84" t="str">
        <f>IF(
   COUNTIFS($A$2:A1720,A1720,
             $B$2:B1720,B1720,
             $C$2:C1720,C1720,
             $D$2:D1720,D1720,
             $G$2:G1720,G1720)&gt;1,
   "Doublon",
   "Correcte"
)</f>
        <v>Correcte</v>
      </c>
    </row>
    <row r="1721" spans="1:18" x14ac:dyDescent="0.25">
      <c r="A1721" s="104" t="s">
        <v>2332</v>
      </c>
      <c r="B1721" s="35" t="s">
        <v>613</v>
      </c>
      <c r="C1721" s="36">
        <v>5</v>
      </c>
      <c r="D1721" s="36">
        <v>0</v>
      </c>
      <c r="E1721" s="35" t="s">
        <v>699</v>
      </c>
      <c r="F1721" s="35" t="s">
        <v>634</v>
      </c>
      <c r="G1721" s="37">
        <v>45940.482662037037</v>
      </c>
      <c r="H1721" s="37" t="str">
        <f>INDEX(_xlfn.TEXTSPLIT(mvtst[[#This Row],[QR Suivis]],"_"),1,1)</f>
        <v>OF249798-19</v>
      </c>
      <c r="I1721" s="35" t="str">
        <f>_xlfn.TEXTBEFORE(mvtst[[#This Row],[Num Suivis]],"-",,,1)</f>
        <v>OF249798</v>
      </c>
      <c r="J1721" s="36">
        <f>SUMIF(mvtst[QR Suivis],mvtst[[#This Row],[QR Suivis]],mvtst[QTE SORTIS])-SUMIF(mvtst[QR Suivis],mvtst[[#This Row],[QR Suivis]],mvtst[QTE RETOUR])</f>
        <v>5</v>
      </c>
      <c r="K1721" s="35" t="str">
        <f t="shared" si="28"/>
        <v>Usine</v>
      </c>
      <c r="L1721" s="35" t="str">
        <f>_xlfn.XLOOKUP(mvtst[[#This Row],[Sous Traitant]],coordonnee_st[Identification],coordonnee_st[SERVICE],"Non Trouvé")</f>
        <v>Frange</v>
      </c>
      <c r="M1721" s="35" t="str">
        <f>INDEX(_xlfn.TEXTSPLIT(mvtst[[#This Row],[QR Suivis]],"_"),1,2)</f>
        <v>CL00884</v>
      </c>
      <c r="N1721" s="35" t="str">
        <f>INDEX(_xlfn.TEXTSPLIT(mvtst[[#This Row],[QR Suivis]],"_"),1,3)</f>
        <v>CM-FT0119</v>
      </c>
      <c r="O1721" s="35" t="str">
        <f>INDEX(_xlfn.TEXTSPLIT(mvtst[[#This Row],[QR Suivis]],"_"),1,4)</f>
        <v>LI1020-B28-01</v>
      </c>
      <c r="P1721" s="35" t="str">
        <f>INDEX(_xlfn.TEXTSPLIT(mvtst[[#This Row],[QR Suivis]],"_"),1,5)</f>
        <v>LILI</v>
      </c>
      <c r="Q1721" s="35" t="str">
        <f>_xlfn.TEXTAFTER(mvtst[[#This Row],[QR Suivis]],"_",5)</f>
        <v>1020</v>
      </c>
      <c r="R1721" s="84" t="str">
        <f>IF(
   COUNTIFS($A$2:A1721,A1721,
             $B$2:B1721,B1721,
             $C$2:C1721,C1721,
             $D$2:D1721,D1721,
             $G$2:G1721,G1721)&gt;1,
   "Doublon",
   "Correcte"
)</f>
        <v>Correcte</v>
      </c>
    </row>
    <row r="1722" spans="1:18" x14ac:dyDescent="0.25">
      <c r="A1722" s="104" t="s">
        <v>2333</v>
      </c>
      <c r="B1722" s="35" t="s">
        <v>613</v>
      </c>
      <c r="C1722" s="36">
        <v>5</v>
      </c>
      <c r="D1722" s="36">
        <v>0</v>
      </c>
      <c r="E1722" s="35" t="s">
        <v>699</v>
      </c>
      <c r="F1722" s="35" t="s">
        <v>634</v>
      </c>
      <c r="G1722" s="37">
        <v>45940.486342592594</v>
      </c>
      <c r="H1722" s="37" t="str">
        <f>INDEX(_xlfn.TEXTSPLIT(mvtst[[#This Row],[QR Suivis]],"_"),1,1)</f>
        <v>OF249798-17</v>
      </c>
      <c r="I1722" s="35" t="str">
        <f>_xlfn.TEXTBEFORE(mvtst[[#This Row],[Num Suivis]],"-",,,1)</f>
        <v>OF249798</v>
      </c>
      <c r="J1722" s="36">
        <f>SUMIF(mvtst[QR Suivis],mvtst[[#This Row],[QR Suivis]],mvtst[QTE SORTIS])-SUMIF(mvtst[QR Suivis],mvtst[[#This Row],[QR Suivis]],mvtst[QTE RETOUR])</f>
        <v>5</v>
      </c>
      <c r="K1722" s="35" t="str">
        <f t="shared" si="28"/>
        <v>Usine</v>
      </c>
      <c r="L1722" s="35" t="str">
        <f>_xlfn.XLOOKUP(mvtst[[#This Row],[Sous Traitant]],coordonnee_st[Identification],coordonnee_st[SERVICE],"Non Trouvé")</f>
        <v>Frange</v>
      </c>
      <c r="M1722" s="35" t="str">
        <f>INDEX(_xlfn.TEXTSPLIT(mvtst[[#This Row],[QR Suivis]],"_"),1,2)</f>
        <v>CL00884</v>
      </c>
      <c r="N1722" s="35" t="str">
        <f>INDEX(_xlfn.TEXTSPLIT(mvtst[[#This Row],[QR Suivis]],"_"),1,3)</f>
        <v>CM-FT0119</v>
      </c>
      <c r="O1722" s="35" t="str">
        <f>INDEX(_xlfn.TEXTSPLIT(mvtst[[#This Row],[QR Suivis]],"_"),1,4)</f>
        <v>LI1020-B28-01</v>
      </c>
      <c r="P1722" s="35" t="str">
        <f>INDEX(_xlfn.TEXTSPLIT(mvtst[[#This Row],[QR Suivis]],"_"),1,5)</f>
        <v>LILI</v>
      </c>
      <c r="Q1722" s="35" t="str">
        <f>_xlfn.TEXTAFTER(mvtst[[#This Row],[QR Suivis]],"_",5)</f>
        <v>1020</v>
      </c>
      <c r="R1722" s="84" t="str">
        <f>IF(
   COUNTIFS($A$2:A1722,A1722,
             $B$2:B1722,B1722,
             $C$2:C1722,C1722,
             $D$2:D1722,D1722,
             $G$2:G1722,G1722)&gt;1,
   "Doublon",
   "Correcte"
)</f>
        <v>Correcte</v>
      </c>
    </row>
    <row r="1723" spans="1:18" x14ac:dyDescent="0.25">
      <c r="A1723" s="104" t="s">
        <v>2334</v>
      </c>
      <c r="B1723" s="35" t="s">
        <v>613</v>
      </c>
      <c r="C1723" s="36">
        <v>5</v>
      </c>
      <c r="D1723" s="36">
        <v>0</v>
      </c>
      <c r="E1723" s="35" t="s">
        <v>699</v>
      </c>
      <c r="F1723" s="35" t="s">
        <v>634</v>
      </c>
      <c r="G1723" s="37">
        <v>45940.486574074072</v>
      </c>
      <c r="H1723" s="37" t="str">
        <f>INDEX(_xlfn.TEXTSPLIT(mvtst[[#This Row],[QR Suivis]],"_"),1,1)</f>
        <v>OF249798-20</v>
      </c>
      <c r="I1723" s="35" t="str">
        <f>_xlfn.TEXTBEFORE(mvtst[[#This Row],[Num Suivis]],"-",,,1)</f>
        <v>OF249798</v>
      </c>
      <c r="J1723" s="36">
        <f>SUMIF(mvtst[QR Suivis],mvtst[[#This Row],[QR Suivis]],mvtst[QTE SORTIS])-SUMIF(mvtst[QR Suivis],mvtst[[#This Row],[QR Suivis]],mvtst[QTE RETOUR])</f>
        <v>5</v>
      </c>
      <c r="K1723" s="35" t="str">
        <f t="shared" si="28"/>
        <v>Usine</v>
      </c>
      <c r="L1723" s="35" t="str">
        <f>_xlfn.XLOOKUP(mvtst[[#This Row],[Sous Traitant]],coordonnee_st[Identification],coordonnee_st[SERVICE],"Non Trouvé")</f>
        <v>Frange</v>
      </c>
      <c r="M1723" s="35" t="str">
        <f>INDEX(_xlfn.TEXTSPLIT(mvtst[[#This Row],[QR Suivis]],"_"),1,2)</f>
        <v>CL00884</v>
      </c>
      <c r="N1723" s="35" t="str">
        <f>INDEX(_xlfn.TEXTSPLIT(mvtst[[#This Row],[QR Suivis]],"_"),1,3)</f>
        <v>CM-FT0119</v>
      </c>
      <c r="O1723" s="35" t="str">
        <f>INDEX(_xlfn.TEXTSPLIT(mvtst[[#This Row],[QR Suivis]],"_"),1,4)</f>
        <v>LI1020-B28-01</v>
      </c>
      <c r="P1723" s="35" t="str">
        <f>INDEX(_xlfn.TEXTSPLIT(mvtst[[#This Row],[QR Suivis]],"_"),1,5)</f>
        <v>LILI</v>
      </c>
      <c r="Q1723" s="35" t="str">
        <f>_xlfn.TEXTAFTER(mvtst[[#This Row],[QR Suivis]],"_",5)</f>
        <v>1020</v>
      </c>
      <c r="R1723" s="84" t="str">
        <f>IF(
   COUNTIFS($A$2:A1723,A1723,
             $B$2:B1723,B1723,
             $C$2:C1723,C1723,
             $D$2:D1723,D1723,
             $G$2:G1723,G1723)&gt;1,
   "Doublon",
   "Correcte"
)</f>
        <v>Correcte</v>
      </c>
    </row>
    <row r="1724" spans="1:18" x14ac:dyDescent="0.25">
      <c r="A1724" s="104" t="s">
        <v>2335</v>
      </c>
      <c r="B1724" s="35" t="s">
        <v>613</v>
      </c>
      <c r="C1724" s="36">
        <v>5</v>
      </c>
      <c r="D1724" s="36">
        <v>0</v>
      </c>
      <c r="E1724" s="35" t="s">
        <v>699</v>
      </c>
      <c r="F1724" s="35" t="s">
        <v>634</v>
      </c>
      <c r="G1724" s="37">
        <v>45940.486817129633</v>
      </c>
      <c r="H1724" s="37" t="str">
        <f>INDEX(_xlfn.TEXTSPLIT(mvtst[[#This Row],[QR Suivis]],"_"),1,1)</f>
        <v>OF249798-6</v>
      </c>
      <c r="I1724" s="35" t="str">
        <f>_xlfn.TEXTBEFORE(mvtst[[#This Row],[Num Suivis]],"-",,,1)</f>
        <v>OF249798</v>
      </c>
      <c r="J1724" s="36">
        <f>SUMIF(mvtst[QR Suivis],mvtst[[#This Row],[QR Suivis]],mvtst[QTE SORTIS])-SUMIF(mvtst[QR Suivis],mvtst[[#This Row],[QR Suivis]],mvtst[QTE RETOUR])</f>
        <v>5</v>
      </c>
      <c r="K1724" s="35" t="str">
        <f t="shared" si="28"/>
        <v>Usine</v>
      </c>
      <c r="L1724" s="35" t="str">
        <f>_xlfn.XLOOKUP(mvtst[[#This Row],[Sous Traitant]],coordonnee_st[Identification],coordonnee_st[SERVICE],"Non Trouvé")</f>
        <v>Frange</v>
      </c>
      <c r="M1724" s="35" t="str">
        <f>INDEX(_xlfn.TEXTSPLIT(mvtst[[#This Row],[QR Suivis]],"_"),1,2)</f>
        <v>CL00884</v>
      </c>
      <c r="N1724" s="35" t="str">
        <f>INDEX(_xlfn.TEXTSPLIT(mvtst[[#This Row],[QR Suivis]],"_"),1,3)</f>
        <v>CM-FT0119</v>
      </c>
      <c r="O1724" s="35" t="str">
        <f>INDEX(_xlfn.TEXTSPLIT(mvtst[[#This Row],[QR Suivis]],"_"),1,4)</f>
        <v>LI1020-B28-01</v>
      </c>
      <c r="P1724" s="35" t="str">
        <f>INDEX(_xlfn.TEXTSPLIT(mvtst[[#This Row],[QR Suivis]],"_"),1,5)</f>
        <v>LILI</v>
      </c>
      <c r="Q1724" s="35" t="str">
        <f>_xlfn.TEXTAFTER(mvtst[[#This Row],[QR Suivis]],"_",5)</f>
        <v>1020</v>
      </c>
      <c r="R1724" s="84" t="str">
        <f>IF(
   COUNTIFS($A$2:A1724,A1724,
             $B$2:B1724,B1724,
             $C$2:C1724,C1724,
             $D$2:D1724,D1724,
             $G$2:G1724,G1724)&gt;1,
   "Doublon",
   "Correcte"
)</f>
        <v>Correcte</v>
      </c>
    </row>
    <row r="1725" spans="1:18" x14ac:dyDescent="0.25">
      <c r="A1725" s="104" t="s">
        <v>2336</v>
      </c>
      <c r="B1725" s="35" t="s">
        <v>613</v>
      </c>
      <c r="C1725" s="36">
        <v>5</v>
      </c>
      <c r="D1725" s="36">
        <v>0</v>
      </c>
      <c r="E1725" s="35" t="s">
        <v>699</v>
      </c>
      <c r="F1725" s="35" t="s">
        <v>634</v>
      </c>
      <c r="G1725" s="37">
        <v>45940.487002314818</v>
      </c>
      <c r="H1725" s="37" t="str">
        <f>INDEX(_xlfn.TEXTSPLIT(mvtst[[#This Row],[QR Suivis]],"_"),1,1)</f>
        <v>OF249798-15</v>
      </c>
      <c r="I1725" s="35" t="str">
        <f>_xlfn.TEXTBEFORE(mvtst[[#This Row],[Num Suivis]],"-",,,1)</f>
        <v>OF249798</v>
      </c>
      <c r="J1725" s="36">
        <f>SUMIF(mvtst[QR Suivis],mvtst[[#This Row],[QR Suivis]],mvtst[QTE SORTIS])-SUMIF(mvtst[QR Suivis],mvtst[[#This Row],[QR Suivis]],mvtst[QTE RETOUR])</f>
        <v>5</v>
      </c>
      <c r="K1725" s="35" t="str">
        <f t="shared" ref="K1725:K1756" si="29">"Usine"</f>
        <v>Usine</v>
      </c>
      <c r="L1725" s="35" t="str">
        <f>_xlfn.XLOOKUP(mvtst[[#This Row],[Sous Traitant]],coordonnee_st[Identification],coordonnee_st[SERVICE],"Non Trouvé")</f>
        <v>Frange</v>
      </c>
      <c r="M1725" s="35" t="str">
        <f>INDEX(_xlfn.TEXTSPLIT(mvtst[[#This Row],[QR Suivis]],"_"),1,2)</f>
        <v>CL00884</v>
      </c>
      <c r="N1725" s="35" t="str">
        <f>INDEX(_xlfn.TEXTSPLIT(mvtst[[#This Row],[QR Suivis]],"_"),1,3)</f>
        <v>CM-FT0119</v>
      </c>
      <c r="O1725" s="35" t="str">
        <f>INDEX(_xlfn.TEXTSPLIT(mvtst[[#This Row],[QR Suivis]],"_"),1,4)</f>
        <v>LI1020-B28-01</v>
      </c>
      <c r="P1725" s="35" t="str">
        <f>INDEX(_xlfn.TEXTSPLIT(mvtst[[#This Row],[QR Suivis]],"_"),1,5)</f>
        <v>LILI</v>
      </c>
      <c r="Q1725" s="35" t="str">
        <f>_xlfn.TEXTAFTER(mvtst[[#This Row],[QR Suivis]],"_",5)</f>
        <v>1020</v>
      </c>
      <c r="R1725" s="84" t="str">
        <f>IF(
   COUNTIFS($A$2:A1725,A1725,
             $B$2:B1725,B1725,
             $C$2:C1725,C1725,
             $D$2:D1725,D1725,
             $G$2:G1725,G1725)&gt;1,
   "Doublon",
   "Correcte"
)</f>
        <v>Correcte</v>
      </c>
    </row>
    <row r="1726" spans="1:18" x14ac:dyDescent="0.25">
      <c r="A1726" s="104" t="s">
        <v>2337</v>
      </c>
      <c r="B1726" s="35" t="s">
        <v>613</v>
      </c>
      <c r="C1726" s="36">
        <v>5</v>
      </c>
      <c r="D1726" s="36">
        <v>0</v>
      </c>
      <c r="E1726" s="35" t="s">
        <v>699</v>
      </c>
      <c r="F1726" s="35" t="s">
        <v>634</v>
      </c>
      <c r="G1726" s="37">
        <v>45940.487256944441</v>
      </c>
      <c r="H1726" s="37" t="str">
        <f>INDEX(_xlfn.TEXTSPLIT(mvtst[[#This Row],[QR Suivis]],"_"),1,1)</f>
        <v>OF249798-10</v>
      </c>
      <c r="I1726" s="35" t="str">
        <f>_xlfn.TEXTBEFORE(mvtst[[#This Row],[Num Suivis]],"-",,,1)</f>
        <v>OF249798</v>
      </c>
      <c r="J1726" s="36">
        <f>SUMIF(mvtst[QR Suivis],mvtst[[#This Row],[QR Suivis]],mvtst[QTE SORTIS])-SUMIF(mvtst[QR Suivis],mvtst[[#This Row],[QR Suivis]],mvtst[QTE RETOUR])</f>
        <v>5</v>
      </c>
      <c r="K1726" s="35" t="str">
        <f t="shared" si="29"/>
        <v>Usine</v>
      </c>
      <c r="L1726" s="35" t="str">
        <f>_xlfn.XLOOKUP(mvtst[[#This Row],[Sous Traitant]],coordonnee_st[Identification],coordonnee_st[SERVICE],"Non Trouvé")</f>
        <v>Frange</v>
      </c>
      <c r="M1726" s="35" t="str">
        <f>INDEX(_xlfn.TEXTSPLIT(mvtst[[#This Row],[QR Suivis]],"_"),1,2)</f>
        <v>CL00884</v>
      </c>
      <c r="N1726" s="35" t="str">
        <f>INDEX(_xlfn.TEXTSPLIT(mvtst[[#This Row],[QR Suivis]],"_"),1,3)</f>
        <v>CM-FT0119</v>
      </c>
      <c r="O1726" s="35" t="str">
        <f>INDEX(_xlfn.TEXTSPLIT(mvtst[[#This Row],[QR Suivis]],"_"),1,4)</f>
        <v>LI1020-B28-01</v>
      </c>
      <c r="P1726" s="35" t="str">
        <f>INDEX(_xlfn.TEXTSPLIT(mvtst[[#This Row],[QR Suivis]],"_"),1,5)</f>
        <v>LILI</v>
      </c>
      <c r="Q1726" s="35" t="str">
        <f>_xlfn.TEXTAFTER(mvtst[[#This Row],[QR Suivis]],"_",5)</f>
        <v>1020</v>
      </c>
      <c r="R1726" s="84" t="str">
        <f>IF(
   COUNTIFS($A$2:A1726,A1726,
             $B$2:B1726,B1726,
             $C$2:C1726,C1726,
             $D$2:D1726,D1726,
             $G$2:G1726,G1726)&gt;1,
   "Doublon",
   "Correcte"
)</f>
        <v>Correcte</v>
      </c>
    </row>
    <row r="1727" spans="1:18" x14ac:dyDescent="0.25">
      <c r="A1727" s="104" t="s">
        <v>2338</v>
      </c>
      <c r="B1727" s="35" t="s">
        <v>613</v>
      </c>
      <c r="C1727" s="36">
        <v>5</v>
      </c>
      <c r="D1727" s="36">
        <v>0</v>
      </c>
      <c r="E1727" s="35" t="s">
        <v>699</v>
      </c>
      <c r="F1727" s="35" t="s">
        <v>634</v>
      </c>
      <c r="G1727" s="37">
        <v>45940.487546296295</v>
      </c>
      <c r="H1727" s="37" t="str">
        <f>INDEX(_xlfn.TEXTSPLIT(mvtst[[#This Row],[QR Suivis]],"_"),1,1)</f>
        <v>OF249798-12</v>
      </c>
      <c r="I1727" s="35" t="str">
        <f>_xlfn.TEXTBEFORE(mvtst[[#This Row],[Num Suivis]],"-",,,1)</f>
        <v>OF249798</v>
      </c>
      <c r="J1727" s="36">
        <f>SUMIF(mvtst[QR Suivis],mvtst[[#This Row],[QR Suivis]],mvtst[QTE SORTIS])-SUMIF(mvtst[QR Suivis],mvtst[[#This Row],[QR Suivis]],mvtst[QTE RETOUR])</f>
        <v>5</v>
      </c>
      <c r="K1727" s="35" t="str">
        <f t="shared" si="29"/>
        <v>Usine</v>
      </c>
      <c r="L1727" s="35" t="str">
        <f>_xlfn.XLOOKUP(mvtst[[#This Row],[Sous Traitant]],coordonnee_st[Identification],coordonnee_st[SERVICE],"Non Trouvé")</f>
        <v>Frange</v>
      </c>
      <c r="M1727" s="35" t="str">
        <f>INDEX(_xlfn.TEXTSPLIT(mvtst[[#This Row],[QR Suivis]],"_"),1,2)</f>
        <v>CL00884</v>
      </c>
      <c r="N1727" s="35" t="str">
        <f>INDEX(_xlfn.TEXTSPLIT(mvtst[[#This Row],[QR Suivis]],"_"),1,3)</f>
        <v>CM-FT0119</v>
      </c>
      <c r="O1727" s="35" t="str">
        <f>INDEX(_xlfn.TEXTSPLIT(mvtst[[#This Row],[QR Suivis]],"_"),1,4)</f>
        <v>LI1020-B28-01</v>
      </c>
      <c r="P1727" s="35" t="str">
        <f>INDEX(_xlfn.TEXTSPLIT(mvtst[[#This Row],[QR Suivis]],"_"),1,5)</f>
        <v>LILI</v>
      </c>
      <c r="Q1727" s="35" t="str">
        <f>_xlfn.TEXTAFTER(mvtst[[#This Row],[QR Suivis]],"_",5)</f>
        <v>1020</v>
      </c>
      <c r="R1727" s="84" t="str">
        <f>IF(
   COUNTIFS($A$2:A1727,A1727,
             $B$2:B1727,B1727,
             $C$2:C1727,C1727,
             $D$2:D1727,D1727,
             $G$2:G1727,G1727)&gt;1,
   "Doublon",
   "Correcte"
)</f>
        <v>Correcte</v>
      </c>
    </row>
    <row r="1728" spans="1:18" x14ac:dyDescent="0.25">
      <c r="A1728" s="104" t="s">
        <v>2339</v>
      </c>
      <c r="B1728" s="35" t="s">
        <v>613</v>
      </c>
      <c r="C1728" s="36">
        <v>5</v>
      </c>
      <c r="D1728" s="36">
        <v>0</v>
      </c>
      <c r="E1728" s="35" t="s">
        <v>699</v>
      </c>
      <c r="F1728" s="35" t="s">
        <v>634</v>
      </c>
      <c r="G1728" s="37">
        <v>45940.487766203703</v>
      </c>
      <c r="H1728" s="37" t="str">
        <f>INDEX(_xlfn.TEXTSPLIT(mvtst[[#This Row],[QR Suivis]],"_"),1,1)</f>
        <v>OF249798-13</v>
      </c>
      <c r="I1728" s="35" t="str">
        <f>_xlfn.TEXTBEFORE(mvtst[[#This Row],[Num Suivis]],"-",,,1)</f>
        <v>OF249798</v>
      </c>
      <c r="J1728" s="36">
        <f>SUMIF(mvtst[QR Suivis],mvtst[[#This Row],[QR Suivis]],mvtst[QTE SORTIS])-SUMIF(mvtst[QR Suivis],mvtst[[#This Row],[QR Suivis]],mvtst[QTE RETOUR])</f>
        <v>5</v>
      </c>
      <c r="K1728" s="35" t="str">
        <f t="shared" si="29"/>
        <v>Usine</v>
      </c>
      <c r="L1728" s="35" t="str">
        <f>_xlfn.XLOOKUP(mvtst[[#This Row],[Sous Traitant]],coordonnee_st[Identification],coordonnee_st[SERVICE],"Non Trouvé")</f>
        <v>Frange</v>
      </c>
      <c r="M1728" s="35" t="str">
        <f>INDEX(_xlfn.TEXTSPLIT(mvtst[[#This Row],[QR Suivis]],"_"),1,2)</f>
        <v>CL00884</v>
      </c>
      <c r="N1728" s="35" t="str">
        <f>INDEX(_xlfn.TEXTSPLIT(mvtst[[#This Row],[QR Suivis]],"_"),1,3)</f>
        <v>CM-FT0119</v>
      </c>
      <c r="O1728" s="35" t="str">
        <f>INDEX(_xlfn.TEXTSPLIT(mvtst[[#This Row],[QR Suivis]],"_"),1,4)</f>
        <v>LI1020-B28-01</v>
      </c>
      <c r="P1728" s="35" t="str">
        <f>INDEX(_xlfn.TEXTSPLIT(mvtst[[#This Row],[QR Suivis]],"_"),1,5)</f>
        <v>LILI</v>
      </c>
      <c r="Q1728" s="35" t="str">
        <f>_xlfn.TEXTAFTER(mvtst[[#This Row],[QR Suivis]],"_",5)</f>
        <v>1020</v>
      </c>
      <c r="R1728" s="84" t="str">
        <f>IF(
   COUNTIFS($A$2:A1728,A1728,
             $B$2:B1728,B1728,
             $C$2:C1728,C1728,
             $D$2:D1728,D1728,
             $G$2:G1728,G1728)&gt;1,
   "Doublon",
   "Correcte"
)</f>
        <v>Correcte</v>
      </c>
    </row>
    <row r="1729" spans="1:18" x14ac:dyDescent="0.25">
      <c r="A1729" s="104" t="s">
        <v>2340</v>
      </c>
      <c r="B1729" s="35" t="s">
        <v>613</v>
      </c>
      <c r="C1729" s="36">
        <v>5</v>
      </c>
      <c r="D1729" s="36">
        <v>0</v>
      </c>
      <c r="E1729" s="35" t="s">
        <v>699</v>
      </c>
      <c r="F1729" s="35" t="s">
        <v>634</v>
      </c>
      <c r="G1729" s="37">
        <v>45940.488020833334</v>
      </c>
      <c r="H1729" s="37" t="str">
        <f>INDEX(_xlfn.TEXTSPLIT(mvtst[[#This Row],[QR Suivis]],"_"),1,1)</f>
        <v>OF249798-28</v>
      </c>
      <c r="I1729" s="35" t="str">
        <f>_xlfn.TEXTBEFORE(mvtst[[#This Row],[Num Suivis]],"-",,,1)</f>
        <v>OF249798</v>
      </c>
      <c r="J1729" s="36">
        <f>SUMIF(mvtst[QR Suivis],mvtst[[#This Row],[QR Suivis]],mvtst[QTE SORTIS])-SUMIF(mvtst[QR Suivis],mvtst[[#This Row],[QR Suivis]],mvtst[QTE RETOUR])</f>
        <v>5</v>
      </c>
      <c r="K1729" s="35" t="str">
        <f t="shared" si="29"/>
        <v>Usine</v>
      </c>
      <c r="L1729" s="35" t="str">
        <f>_xlfn.XLOOKUP(mvtst[[#This Row],[Sous Traitant]],coordonnee_st[Identification],coordonnee_st[SERVICE],"Non Trouvé")</f>
        <v>Frange</v>
      </c>
      <c r="M1729" s="35" t="str">
        <f>INDEX(_xlfn.TEXTSPLIT(mvtst[[#This Row],[QR Suivis]],"_"),1,2)</f>
        <v>CL00884</v>
      </c>
      <c r="N1729" s="35" t="str">
        <f>INDEX(_xlfn.TEXTSPLIT(mvtst[[#This Row],[QR Suivis]],"_"),1,3)</f>
        <v>CM-FT0119</v>
      </c>
      <c r="O1729" s="35" t="str">
        <f>INDEX(_xlfn.TEXTSPLIT(mvtst[[#This Row],[QR Suivis]],"_"),1,4)</f>
        <v>LI1020-B28-01</v>
      </c>
      <c r="P1729" s="35" t="str">
        <f>INDEX(_xlfn.TEXTSPLIT(mvtst[[#This Row],[QR Suivis]],"_"),1,5)</f>
        <v>LILI</v>
      </c>
      <c r="Q1729" s="35" t="str">
        <f>_xlfn.TEXTAFTER(mvtst[[#This Row],[QR Suivis]],"_",5)</f>
        <v>1020</v>
      </c>
      <c r="R1729" s="84" t="str">
        <f>IF(
   COUNTIFS($A$2:A1729,A1729,
             $B$2:B1729,B1729,
             $C$2:C1729,C1729,
             $D$2:D1729,D1729,
             $G$2:G1729,G1729)&gt;1,
   "Doublon",
   "Correcte"
)</f>
        <v>Correcte</v>
      </c>
    </row>
    <row r="1730" spans="1:18" x14ac:dyDescent="0.25">
      <c r="A1730" s="104" t="s">
        <v>2341</v>
      </c>
      <c r="B1730" s="35" t="s">
        <v>613</v>
      </c>
      <c r="C1730" s="36">
        <v>5</v>
      </c>
      <c r="D1730" s="36">
        <v>0</v>
      </c>
      <c r="E1730" s="35" t="s">
        <v>699</v>
      </c>
      <c r="F1730" s="35" t="s">
        <v>634</v>
      </c>
      <c r="G1730" s="37">
        <v>45940.489282407405</v>
      </c>
      <c r="H1730" s="37" t="str">
        <f>INDEX(_xlfn.TEXTSPLIT(mvtst[[#This Row],[QR Suivis]],"_"),1,1)</f>
        <v>OF249798-33</v>
      </c>
      <c r="I1730" s="35" t="str">
        <f>_xlfn.TEXTBEFORE(mvtst[[#This Row],[Num Suivis]],"-",,,1)</f>
        <v>OF249798</v>
      </c>
      <c r="J1730" s="36">
        <f>SUMIF(mvtst[QR Suivis],mvtst[[#This Row],[QR Suivis]],mvtst[QTE SORTIS])-SUMIF(mvtst[QR Suivis],mvtst[[#This Row],[QR Suivis]],mvtst[QTE RETOUR])</f>
        <v>5</v>
      </c>
      <c r="K1730" s="35" t="str">
        <f t="shared" si="29"/>
        <v>Usine</v>
      </c>
      <c r="L1730" s="35" t="str">
        <f>_xlfn.XLOOKUP(mvtst[[#This Row],[Sous Traitant]],coordonnee_st[Identification],coordonnee_st[SERVICE],"Non Trouvé")</f>
        <v>Frange</v>
      </c>
      <c r="M1730" s="35" t="str">
        <f>INDEX(_xlfn.TEXTSPLIT(mvtst[[#This Row],[QR Suivis]],"_"),1,2)</f>
        <v>CL00884</v>
      </c>
      <c r="N1730" s="35" t="str">
        <f>INDEX(_xlfn.TEXTSPLIT(mvtst[[#This Row],[QR Suivis]],"_"),1,3)</f>
        <v>CM-FT0119</v>
      </c>
      <c r="O1730" s="35" t="str">
        <f>INDEX(_xlfn.TEXTSPLIT(mvtst[[#This Row],[QR Suivis]],"_"),1,4)</f>
        <v>LI1020-B28-01</v>
      </c>
      <c r="P1730" s="35" t="str">
        <f>INDEX(_xlfn.TEXTSPLIT(mvtst[[#This Row],[QR Suivis]],"_"),1,5)</f>
        <v>LILI</v>
      </c>
      <c r="Q1730" s="35" t="str">
        <f>_xlfn.TEXTAFTER(mvtst[[#This Row],[QR Suivis]],"_",5)</f>
        <v>1020</v>
      </c>
      <c r="R1730" s="84" t="str">
        <f>IF(
   COUNTIFS($A$2:A1730,A1730,
             $B$2:B1730,B1730,
             $C$2:C1730,C1730,
             $D$2:D1730,D1730,
             $G$2:G1730,G1730)&gt;1,
   "Doublon",
   "Correcte"
)</f>
        <v>Correcte</v>
      </c>
    </row>
    <row r="1731" spans="1:18" x14ac:dyDescent="0.25">
      <c r="A1731" s="104" t="s">
        <v>2048</v>
      </c>
      <c r="B1731" s="35" t="s">
        <v>712</v>
      </c>
      <c r="C1731" s="36">
        <v>0</v>
      </c>
      <c r="D1731" s="36">
        <v>5</v>
      </c>
      <c r="E1731" s="35" t="s">
        <v>699</v>
      </c>
      <c r="F1731" s="35" t="s">
        <v>634</v>
      </c>
      <c r="G1731" s="37">
        <v>45941.514849537038</v>
      </c>
      <c r="H1731" s="37" t="str">
        <f>INDEX(_xlfn.TEXTSPLIT(mvtst[[#This Row],[QR Suivis]],"_"),1,1)</f>
        <v>OF249848-5</v>
      </c>
      <c r="I1731" s="35" t="str">
        <f>_xlfn.TEXTBEFORE(mvtst[[#This Row],[Num Suivis]],"-",,,1)</f>
        <v>OF249848</v>
      </c>
      <c r="J1731" s="36">
        <f>SUMIF(mvtst[QR Suivis],mvtst[[#This Row],[QR Suivis]],mvtst[QTE SORTIS])-SUMIF(mvtst[QR Suivis],mvtst[[#This Row],[QR Suivis]],mvtst[QTE RETOUR])</f>
        <v>0</v>
      </c>
      <c r="K1731" s="35" t="str">
        <f t="shared" si="29"/>
        <v>Usine</v>
      </c>
      <c r="L1731" s="35" t="str">
        <f>_xlfn.XLOOKUP(mvtst[[#This Row],[Sous Traitant]],coordonnee_st[Identification],coordonnee_st[SERVICE],"Non Trouvé")</f>
        <v>Frange</v>
      </c>
      <c r="M1731" s="35" t="str">
        <f>INDEX(_xlfn.TEXTSPLIT(mvtst[[#This Row],[QR Suivis]],"_"),1,2)</f>
        <v>CL00884</v>
      </c>
      <c r="N1731" s="35" t="str">
        <f>INDEX(_xlfn.TEXTSPLIT(mvtst[[#This Row],[QR Suivis]],"_"),1,3)</f>
        <v>CM-FT0119</v>
      </c>
      <c r="O1731" s="35" t="str">
        <f>INDEX(_xlfn.TEXTSPLIT(mvtst[[#This Row],[QR Suivis]],"_"),1,4)</f>
        <v>ST1020-S14-16-17</v>
      </c>
      <c r="P1731" s="35" t="str">
        <f>INDEX(_xlfn.TEXTSPLIT(mvtst[[#This Row],[QR Suivis]],"_"),1,5)</f>
        <v>ST TROPEZ</v>
      </c>
      <c r="Q1731" s="35" t="str">
        <f>_xlfn.TEXTAFTER(mvtst[[#This Row],[QR Suivis]],"_",5)</f>
        <v>1020</v>
      </c>
      <c r="R1731" s="84" t="str">
        <f>IF(
   COUNTIFS($A$2:A1731,A1731,
             $B$2:B1731,B1731,
             $C$2:C1731,C1731,
             $D$2:D1731,D1731,
             $G$2:G1731,G1731)&gt;1,
   "Doublon",
   "Correcte"
)</f>
        <v>Correcte</v>
      </c>
    </row>
    <row r="1732" spans="1:18" x14ac:dyDescent="0.25">
      <c r="A1732" s="104" t="s">
        <v>2093</v>
      </c>
      <c r="B1732" s="35" t="s">
        <v>712</v>
      </c>
      <c r="C1732" s="36">
        <v>0</v>
      </c>
      <c r="D1732" s="36">
        <v>5</v>
      </c>
      <c r="E1732" s="35" t="s">
        <v>699</v>
      </c>
      <c r="F1732" s="35" t="s">
        <v>634</v>
      </c>
      <c r="G1732" s="37">
        <v>45941.514999999999</v>
      </c>
      <c r="H1732" s="37" t="str">
        <f>INDEX(_xlfn.TEXTSPLIT(mvtst[[#This Row],[QR Suivis]],"_"),1,1)</f>
        <v>OF249946-48</v>
      </c>
      <c r="I1732" s="35" t="str">
        <f>_xlfn.TEXTBEFORE(mvtst[[#This Row],[Num Suivis]],"-",,,1)</f>
        <v>OF249946</v>
      </c>
      <c r="J1732" s="36">
        <f>SUMIF(mvtst[QR Suivis],mvtst[[#This Row],[QR Suivis]],mvtst[QTE SORTIS])-SUMIF(mvtst[QR Suivis],mvtst[[#This Row],[QR Suivis]],mvtst[QTE RETOUR])</f>
        <v>0</v>
      </c>
      <c r="K1732" s="35" t="str">
        <f t="shared" si="29"/>
        <v>Usine</v>
      </c>
      <c r="L1732" s="35" t="str">
        <f>_xlfn.XLOOKUP(mvtst[[#This Row],[Sous Traitant]],coordonnee_st[Identification],coordonnee_st[SERVICE],"Non Trouvé")</f>
        <v>Frange</v>
      </c>
      <c r="M1732" s="35" t="str">
        <f>INDEX(_xlfn.TEXTSPLIT(mvtst[[#This Row],[QR Suivis]],"_"),1,2)</f>
        <v>CL00884</v>
      </c>
      <c r="N1732" s="35" t="str">
        <f>INDEX(_xlfn.TEXTSPLIT(mvtst[[#This Row],[QR Suivis]],"_"),1,3)</f>
        <v>CM-FT0120</v>
      </c>
      <c r="O1732" s="35" t="str">
        <f>INDEX(_xlfn.TEXTSPLIT(mvtst[[#This Row],[QR Suivis]],"_"),1,4)</f>
        <v>ST1020-S14-16-17</v>
      </c>
      <c r="P1732" s="35" t="str">
        <f>INDEX(_xlfn.TEXTSPLIT(mvtst[[#This Row],[QR Suivis]],"_"),1,5)</f>
        <v>ST TROPEZ</v>
      </c>
      <c r="Q1732" s="35" t="str">
        <f>_xlfn.TEXTAFTER(mvtst[[#This Row],[QR Suivis]],"_",5)</f>
        <v>1020</v>
      </c>
      <c r="R1732" s="84" t="str">
        <f>IF(
   COUNTIFS($A$2:A1732,A1732,
             $B$2:B1732,B1732,
             $C$2:C1732,C1732,
             $D$2:D1732,D1732,
             $G$2:G1732,G1732)&gt;1,
   "Doublon",
   "Correcte"
)</f>
        <v>Correcte</v>
      </c>
    </row>
    <row r="1733" spans="1:18" x14ac:dyDescent="0.25">
      <c r="A1733" s="104" t="s">
        <v>2043</v>
      </c>
      <c r="B1733" s="35" t="s">
        <v>712</v>
      </c>
      <c r="C1733" s="36">
        <v>0</v>
      </c>
      <c r="D1733" s="36">
        <v>5</v>
      </c>
      <c r="E1733" s="35" t="s">
        <v>699</v>
      </c>
      <c r="F1733" s="35" t="s">
        <v>634</v>
      </c>
      <c r="G1733" s="37">
        <v>45941.515416666669</v>
      </c>
      <c r="H1733" s="37" t="str">
        <f>INDEX(_xlfn.TEXTSPLIT(mvtst[[#This Row],[QR Suivis]],"_"),1,1)</f>
        <v>OF249848-10</v>
      </c>
      <c r="I1733" s="35" t="str">
        <f>_xlfn.TEXTBEFORE(mvtst[[#This Row],[Num Suivis]],"-",,,1)</f>
        <v>OF249848</v>
      </c>
      <c r="J1733" s="36">
        <f>SUMIF(mvtst[QR Suivis],mvtst[[#This Row],[QR Suivis]],mvtst[QTE SORTIS])-SUMIF(mvtst[QR Suivis],mvtst[[#This Row],[QR Suivis]],mvtst[QTE RETOUR])</f>
        <v>0</v>
      </c>
      <c r="K1733" s="35" t="str">
        <f t="shared" si="29"/>
        <v>Usine</v>
      </c>
      <c r="L1733" s="35" t="str">
        <f>_xlfn.XLOOKUP(mvtst[[#This Row],[Sous Traitant]],coordonnee_st[Identification],coordonnee_st[SERVICE],"Non Trouvé")</f>
        <v>Frange</v>
      </c>
      <c r="M1733" s="35" t="str">
        <f>INDEX(_xlfn.TEXTSPLIT(mvtst[[#This Row],[QR Suivis]],"_"),1,2)</f>
        <v>CL00884</v>
      </c>
      <c r="N1733" s="35" t="str">
        <f>INDEX(_xlfn.TEXTSPLIT(mvtst[[#This Row],[QR Suivis]],"_"),1,3)</f>
        <v>CM-FT0119</v>
      </c>
      <c r="O1733" s="35" t="str">
        <f>INDEX(_xlfn.TEXTSPLIT(mvtst[[#This Row],[QR Suivis]],"_"),1,4)</f>
        <v>ST1020-S14-16-17</v>
      </c>
      <c r="P1733" s="35" t="str">
        <f>INDEX(_xlfn.TEXTSPLIT(mvtst[[#This Row],[QR Suivis]],"_"),1,5)</f>
        <v>ST TROPEZ</v>
      </c>
      <c r="Q1733" s="35" t="str">
        <f>_xlfn.TEXTAFTER(mvtst[[#This Row],[QR Suivis]],"_",5)</f>
        <v>1020</v>
      </c>
      <c r="R1733" s="84" t="str">
        <f>IF(
   COUNTIFS($A$2:A1733,A1733,
             $B$2:B1733,B1733,
             $C$2:C1733,C1733,
             $D$2:D1733,D1733,
             $G$2:G1733,G1733)&gt;1,
   "Doublon",
   "Correcte"
)</f>
        <v>Correcte</v>
      </c>
    </row>
    <row r="1734" spans="1:18" x14ac:dyDescent="0.25">
      <c r="A1734" s="104" t="s">
        <v>2052</v>
      </c>
      <c r="B1734" s="35" t="s">
        <v>712</v>
      </c>
      <c r="C1734" s="36">
        <v>0</v>
      </c>
      <c r="D1734" s="36">
        <v>5</v>
      </c>
      <c r="E1734" s="35" t="s">
        <v>699</v>
      </c>
      <c r="F1734" s="35" t="s">
        <v>634</v>
      </c>
      <c r="G1734" s="37">
        <v>45941.515567129631</v>
      </c>
      <c r="H1734" s="37" t="str">
        <f>INDEX(_xlfn.TEXTSPLIT(mvtst[[#This Row],[QR Suivis]],"_"),1,1)</f>
        <v>OF249848-1</v>
      </c>
      <c r="I1734" s="35" t="str">
        <f>_xlfn.TEXTBEFORE(mvtst[[#This Row],[Num Suivis]],"-",,,1)</f>
        <v>OF249848</v>
      </c>
      <c r="J1734" s="36">
        <f>SUMIF(mvtst[QR Suivis],mvtst[[#This Row],[QR Suivis]],mvtst[QTE SORTIS])-SUMIF(mvtst[QR Suivis],mvtst[[#This Row],[QR Suivis]],mvtst[QTE RETOUR])</f>
        <v>0</v>
      </c>
      <c r="K1734" s="35" t="str">
        <f t="shared" si="29"/>
        <v>Usine</v>
      </c>
      <c r="L1734" s="35" t="str">
        <f>_xlfn.XLOOKUP(mvtst[[#This Row],[Sous Traitant]],coordonnee_st[Identification],coordonnee_st[SERVICE],"Non Trouvé")</f>
        <v>Frange</v>
      </c>
      <c r="M1734" s="35" t="str">
        <f>INDEX(_xlfn.TEXTSPLIT(mvtst[[#This Row],[QR Suivis]],"_"),1,2)</f>
        <v>CL00884</v>
      </c>
      <c r="N1734" s="35" t="str">
        <f>INDEX(_xlfn.TEXTSPLIT(mvtst[[#This Row],[QR Suivis]],"_"),1,3)</f>
        <v>CM-FT0119</v>
      </c>
      <c r="O1734" s="35" t="str">
        <f>INDEX(_xlfn.TEXTSPLIT(mvtst[[#This Row],[QR Suivis]],"_"),1,4)</f>
        <v>ST1020-S14-16-17</v>
      </c>
      <c r="P1734" s="35" t="str">
        <f>INDEX(_xlfn.TEXTSPLIT(mvtst[[#This Row],[QR Suivis]],"_"),1,5)</f>
        <v>ST TROPEZ</v>
      </c>
      <c r="Q1734" s="35" t="str">
        <f>_xlfn.TEXTAFTER(mvtst[[#This Row],[QR Suivis]],"_",5)</f>
        <v>1020</v>
      </c>
      <c r="R1734" s="84" t="str">
        <f>IF(
   COUNTIFS($A$2:A1734,A1734,
             $B$2:B1734,B1734,
             $C$2:C1734,C1734,
             $D$2:D1734,D1734,
             $G$2:G1734,G1734)&gt;1,
   "Doublon",
   "Correcte"
)</f>
        <v>Correcte</v>
      </c>
    </row>
    <row r="1735" spans="1:18" x14ac:dyDescent="0.25">
      <c r="A1735" s="104" t="s">
        <v>2077</v>
      </c>
      <c r="B1735" s="35" t="s">
        <v>712</v>
      </c>
      <c r="C1735" s="36">
        <v>0</v>
      </c>
      <c r="D1735" s="36">
        <v>5</v>
      </c>
      <c r="E1735" s="35" t="s">
        <v>699</v>
      </c>
      <c r="F1735" s="35" t="s">
        <v>634</v>
      </c>
      <c r="G1735" s="37">
        <v>45941.515821759262</v>
      </c>
      <c r="H1735" s="37" t="str">
        <f>INDEX(_xlfn.TEXTSPLIT(mvtst[[#This Row],[QR Suivis]],"_"),1,1)</f>
        <v>OF249946-53</v>
      </c>
      <c r="I1735" s="35" t="str">
        <f>_xlfn.TEXTBEFORE(mvtst[[#This Row],[Num Suivis]],"-",,,1)</f>
        <v>OF249946</v>
      </c>
      <c r="J1735" s="36">
        <f>SUMIF(mvtst[QR Suivis],mvtst[[#This Row],[QR Suivis]],mvtst[QTE SORTIS])-SUMIF(mvtst[QR Suivis],mvtst[[#This Row],[QR Suivis]],mvtst[QTE RETOUR])</f>
        <v>0</v>
      </c>
      <c r="K1735" s="35" t="str">
        <f t="shared" si="29"/>
        <v>Usine</v>
      </c>
      <c r="L1735" s="35" t="str">
        <f>_xlfn.XLOOKUP(mvtst[[#This Row],[Sous Traitant]],coordonnee_st[Identification],coordonnee_st[SERVICE],"Non Trouvé")</f>
        <v>Frange</v>
      </c>
      <c r="M1735" s="35" t="str">
        <f>INDEX(_xlfn.TEXTSPLIT(mvtst[[#This Row],[QR Suivis]],"_"),1,2)</f>
        <v>CL00884</v>
      </c>
      <c r="N1735" s="35" t="str">
        <f>INDEX(_xlfn.TEXTSPLIT(mvtst[[#This Row],[QR Suivis]],"_"),1,3)</f>
        <v>CM-FT0120</v>
      </c>
      <c r="O1735" s="35" t="str">
        <f>INDEX(_xlfn.TEXTSPLIT(mvtst[[#This Row],[QR Suivis]],"_"),1,4)</f>
        <v>ST1020-S14-16-17</v>
      </c>
      <c r="P1735" s="35" t="str">
        <f>INDEX(_xlfn.TEXTSPLIT(mvtst[[#This Row],[QR Suivis]],"_"),1,5)</f>
        <v>ST TROPEZ</v>
      </c>
      <c r="Q1735" s="35" t="str">
        <f>_xlfn.TEXTAFTER(mvtst[[#This Row],[QR Suivis]],"_",5)</f>
        <v>1020</v>
      </c>
      <c r="R1735" s="84" t="str">
        <f>IF(
   COUNTIFS($A$2:A1735,A1735,
             $B$2:B1735,B1735,
             $C$2:C1735,C1735,
             $D$2:D1735,D1735,
             $G$2:G1735,G1735)&gt;1,
   "Doublon",
   "Correcte"
)</f>
        <v>Correcte</v>
      </c>
    </row>
    <row r="1736" spans="1:18" x14ac:dyDescent="0.25">
      <c r="A1736" s="104" t="s">
        <v>2055</v>
      </c>
      <c r="B1736" s="35" t="s">
        <v>712</v>
      </c>
      <c r="C1736" s="36">
        <v>0</v>
      </c>
      <c r="D1736" s="36">
        <v>5</v>
      </c>
      <c r="E1736" s="35" t="s">
        <v>699</v>
      </c>
      <c r="F1736" s="35" t="s">
        <v>634</v>
      </c>
      <c r="G1736" s="37">
        <v>45941.515972222223</v>
      </c>
      <c r="H1736" s="37" t="str">
        <f>INDEX(_xlfn.TEXTSPLIT(mvtst[[#This Row],[QR Suivis]],"_"),1,1)</f>
        <v>OF249848-13</v>
      </c>
      <c r="I1736" s="35" t="str">
        <f>_xlfn.TEXTBEFORE(mvtst[[#This Row],[Num Suivis]],"-",,,1)</f>
        <v>OF249848</v>
      </c>
      <c r="J1736" s="36">
        <f>SUMIF(mvtst[QR Suivis],mvtst[[#This Row],[QR Suivis]],mvtst[QTE SORTIS])-SUMIF(mvtst[QR Suivis],mvtst[[#This Row],[QR Suivis]],mvtst[QTE RETOUR])</f>
        <v>0</v>
      </c>
      <c r="K1736" s="35" t="str">
        <f t="shared" si="29"/>
        <v>Usine</v>
      </c>
      <c r="L1736" s="35" t="str">
        <f>_xlfn.XLOOKUP(mvtst[[#This Row],[Sous Traitant]],coordonnee_st[Identification],coordonnee_st[SERVICE],"Non Trouvé")</f>
        <v>Frange</v>
      </c>
      <c r="M1736" s="35" t="str">
        <f>INDEX(_xlfn.TEXTSPLIT(mvtst[[#This Row],[QR Suivis]],"_"),1,2)</f>
        <v>CL00884</v>
      </c>
      <c r="N1736" s="35" t="str">
        <f>INDEX(_xlfn.TEXTSPLIT(mvtst[[#This Row],[QR Suivis]],"_"),1,3)</f>
        <v>CM-FT0119</v>
      </c>
      <c r="O1736" s="35" t="str">
        <f>INDEX(_xlfn.TEXTSPLIT(mvtst[[#This Row],[QR Suivis]],"_"),1,4)</f>
        <v>ST1020-S14-16-17</v>
      </c>
      <c r="P1736" s="35" t="str">
        <f>INDEX(_xlfn.TEXTSPLIT(mvtst[[#This Row],[QR Suivis]],"_"),1,5)</f>
        <v>ST TROPEZ</v>
      </c>
      <c r="Q1736" s="35" t="str">
        <f>_xlfn.TEXTAFTER(mvtst[[#This Row],[QR Suivis]],"_",5)</f>
        <v>1020</v>
      </c>
      <c r="R1736" s="84" t="str">
        <f>IF(
   COUNTIFS($A$2:A1736,A1736,
             $B$2:B1736,B1736,
             $C$2:C1736,C1736,
             $D$2:D1736,D1736,
             $G$2:G1736,G1736)&gt;1,
   "Doublon",
   "Correcte"
)</f>
        <v>Correcte</v>
      </c>
    </row>
    <row r="1737" spans="1:18" x14ac:dyDescent="0.25">
      <c r="A1737" s="104" t="s">
        <v>2091</v>
      </c>
      <c r="B1737" s="35" t="s">
        <v>712</v>
      </c>
      <c r="C1737" s="36">
        <v>0</v>
      </c>
      <c r="D1737" s="36">
        <v>5</v>
      </c>
      <c r="E1737" s="35" t="s">
        <v>699</v>
      </c>
      <c r="F1737" s="35" t="s">
        <v>634</v>
      </c>
      <c r="G1737" s="37">
        <v>45941.516145833331</v>
      </c>
      <c r="H1737" s="37" t="str">
        <f>INDEX(_xlfn.TEXTSPLIT(mvtst[[#This Row],[QR Suivis]],"_"),1,1)</f>
        <v>OF249946-35</v>
      </c>
      <c r="I1737" s="35" t="str">
        <f>_xlfn.TEXTBEFORE(mvtst[[#This Row],[Num Suivis]],"-",,,1)</f>
        <v>OF249946</v>
      </c>
      <c r="J1737" s="36">
        <f>SUMIF(mvtst[QR Suivis],mvtst[[#This Row],[QR Suivis]],mvtst[QTE SORTIS])-SUMIF(mvtst[QR Suivis],mvtst[[#This Row],[QR Suivis]],mvtst[QTE RETOUR])</f>
        <v>0</v>
      </c>
      <c r="K1737" s="35" t="str">
        <f t="shared" si="29"/>
        <v>Usine</v>
      </c>
      <c r="L1737" s="35" t="str">
        <f>_xlfn.XLOOKUP(mvtst[[#This Row],[Sous Traitant]],coordonnee_st[Identification],coordonnee_st[SERVICE],"Non Trouvé")</f>
        <v>Frange</v>
      </c>
      <c r="M1737" s="35" t="str">
        <f>INDEX(_xlfn.TEXTSPLIT(mvtst[[#This Row],[QR Suivis]],"_"),1,2)</f>
        <v>CL00884</v>
      </c>
      <c r="N1737" s="35" t="str">
        <f>INDEX(_xlfn.TEXTSPLIT(mvtst[[#This Row],[QR Suivis]],"_"),1,3)</f>
        <v>CM-FT0120</v>
      </c>
      <c r="O1737" s="35" t="str">
        <f>INDEX(_xlfn.TEXTSPLIT(mvtst[[#This Row],[QR Suivis]],"_"),1,4)</f>
        <v>ST1020-S14-16-17</v>
      </c>
      <c r="P1737" s="35" t="str">
        <f>INDEX(_xlfn.TEXTSPLIT(mvtst[[#This Row],[QR Suivis]],"_"),1,5)</f>
        <v>ST TROPEZ</v>
      </c>
      <c r="Q1737" s="35" t="str">
        <f>_xlfn.TEXTAFTER(mvtst[[#This Row],[QR Suivis]],"_",5)</f>
        <v>1020</v>
      </c>
      <c r="R1737" s="84" t="str">
        <f>IF(
   COUNTIFS($A$2:A1737,A1737,
             $B$2:B1737,B1737,
             $C$2:C1737,C1737,
             $D$2:D1737,D1737,
             $G$2:G1737,G1737)&gt;1,
   "Doublon",
   "Correcte"
)</f>
        <v>Correcte</v>
      </c>
    </row>
    <row r="1738" spans="1:18" x14ac:dyDescent="0.25">
      <c r="A1738" s="104" t="s">
        <v>2160</v>
      </c>
      <c r="B1738" s="35" t="s">
        <v>712</v>
      </c>
      <c r="C1738" s="36">
        <v>0</v>
      </c>
      <c r="D1738" s="36">
        <v>5</v>
      </c>
      <c r="E1738" s="35" t="s">
        <v>699</v>
      </c>
      <c r="F1738" s="35" t="s">
        <v>634</v>
      </c>
      <c r="G1738" s="37">
        <v>45941.516643518517</v>
      </c>
      <c r="H1738" s="37" t="str">
        <f>INDEX(_xlfn.TEXTSPLIT(mvtst[[#This Row],[QR Suivis]],"_"),1,1)</f>
        <v>OF249858-13</v>
      </c>
      <c r="I1738" s="35" t="str">
        <f>_xlfn.TEXTBEFORE(mvtst[[#This Row],[Num Suivis]],"-",,,1)</f>
        <v>OF249858</v>
      </c>
      <c r="J1738" s="36">
        <f>SUMIF(mvtst[QR Suivis],mvtst[[#This Row],[QR Suivis]],mvtst[QTE SORTIS])-SUMIF(mvtst[QR Suivis],mvtst[[#This Row],[QR Suivis]],mvtst[QTE RETOUR])</f>
        <v>0</v>
      </c>
      <c r="K1738" s="35" t="str">
        <f t="shared" si="29"/>
        <v>Usine</v>
      </c>
      <c r="L1738" s="35" t="str">
        <f>_xlfn.XLOOKUP(mvtst[[#This Row],[Sous Traitant]],coordonnee_st[Identification],coordonnee_st[SERVICE],"Non Trouvé")</f>
        <v>Frange</v>
      </c>
      <c r="M1738" s="35" t="str">
        <f>INDEX(_xlfn.TEXTSPLIT(mvtst[[#This Row],[QR Suivis]],"_"),1,2)</f>
        <v>CL00884</v>
      </c>
      <c r="N1738" s="35" t="str">
        <f>INDEX(_xlfn.TEXTSPLIT(mvtst[[#This Row],[QR Suivis]],"_"),1,3)</f>
        <v>CM-FT0119</v>
      </c>
      <c r="O1738" s="35" t="str">
        <f>INDEX(_xlfn.TEXTSPLIT(mvtst[[#This Row],[QR Suivis]],"_"),1,4)</f>
        <v>AR2020-B23-01</v>
      </c>
      <c r="P1738" s="35" t="str">
        <f>INDEX(_xlfn.TEXTSPLIT(mvtst[[#This Row],[QR Suivis]],"_"),1,5)</f>
        <v>ARTHUR</v>
      </c>
      <c r="Q1738" s="35" t="str">
        <f>_xlfn.TEXTAFTER(mvtst[[#This Row],[QR Suivis]],"_",5)</f>
        <v>2020</v>
      </c>
      <c r="R1738" s="84" t="str">
        <f>IF(
   COUNTIFS($A$2:A1738,A1738,
             $B$2:B1738,B1738,
             $C$2:C1738,C1738,
             $D$2:D1738,D1738,
             $G$2:G1738,G1738)&gt;1,
   "Doublon",
   "Correcte"
)</f>
        <v>Correcte</v>
      </c>
    </row>
    <row r="1739" spans="1:18" x14ac:dyDescent="0.25">
      <c r="A1739" s="104" t="s">
        <v>2183</v>
      </c>
      <c r="B1739" s="35" t="s">
        <v>712</v>
      </c>
      <c r="C1739" s="36">
        <v>0</v>
      </c>
      <c r="D1739" s="36">
        <v>5</v>
      </c>
      <c r="E1739" s="35" t="s">
        <v>699</v>
      </c>
      <c r="F1739" s="35" t="s">
        <v>634</v>
      </c>
      <c r="G1739" s="37">
        <v>45941.516840277778</v>
      </c>
      <c r="H1739" s="37" t="str">
        <f>INDEX(_xlfn.TEXTSPLIT(mvtst[[#This Row],[QR Suivis]],"_"),1,1)</f>
        <v>OF249858-9</v>
      </c>
      <c r="I1739" s="35" t="str">
        <f>_xlfn.TEXTBEFORE(mvtst[[#This Row],[Num Suivis]],"-",,,1)</f>
        <v>OF249858</v>
      </c>
      <c r="J1739" s="36">
        <f>SUMIF(mvtst[QR Suivis],mvtst[[#This Row],[QR Suivis]],mvtst[QTE SORTIS])-SUMIF(mvtst[QR Suivis],mvtst[[#This Row],[QR Suivis]],mvtst[QTE RETOUR])</f>
        <v>0</v>
      </c>
      <c r="K1739" s="35" t="str">
        <f t="shared" si="29"/>
        <v>Usine</v>
      </c>
      <c r="L1739" s="35" t="str">
        <f>_xlfn.XLOOKUP(mvtst[[#This Row],[Sous Traitant]],coordonnee_st[Identification],coordonnee_st[SERVICE],"Non Trouvé")</f>
        <v>Frange</v>
      </c>
      <c r="M1739" s="35" t="str">
        <f>INDEX(_xlfn.TEXTSPLIT(mvtst[[#This Row],[QR Suivis]],"_"),1,2)</f>
        <v>CL00884</v>
      </c>
      <c r="N1739" s="35" t="str">
        <f>INDEX(_xlfn.TEXTSPLIT(mvtst[[#This Row],[QR Suivis]],"_"),1,3)</f>
        <v>CM-FT0119</v>
      </c>
      <c r="O1739" s="35" t="str">
        <f>INDEX(_xlfn.TEXTSPLIT(mvtst[[#This Row],[QR Suivis]],"_"),1,4)</f>
        <v>AR2020-B23-01</v>
      </c>
      <c r="P1739" s="35" t="str">
        <f>INDEX(_xlfn.TEXTSPLIT(mvtst[[#This Row],[QR Suivis]],"_"),1,5)</f>
        <v>ARTHUR</v>
      </c>
      <c r="Q1739" s="35" t="str">
        <f>_xlfn.TEXTAFTER(mvtst[[#This Row],[QR Suivis]],"_",5)</f>
        <v>2020</v>
      </c>
      <c r="R1739" s="84" t="str">
        <f>IF(
   COUNTIFS($A$2:A1739,A1739,
             $B$2:B1739,B1739,
             $C$2:C1739,C1739,
             $D$2:D1739,D1739,
             $G$2:G1739,G1739)&gt;1,
   "Doublon",
   "Correcte"
)</f>
        <v>Correcte</v>
      </c>
    </row>
    <row r="1740" spans="1:18" x14ac:dyDescent="0.25">
      <c r="A1740" s="104" t="s">
        <v>2162</v>
      </c>
      <c r="B1740" s="35" t="s">
        <v>712</v>
      </c>
      <c r="C1740" s="36">
        <v>0</v>
      </c>
      <c r="D1740" s="36">
        <v>5</v>
      </c>
      <c r="E1740" s="35" t="s">
        <v>699</v>
      </c>
      <c r="F1740" s="35" t="s">
        <v>634</v>
      </c>
      <c r="G1740" s="37">
        <v>45941.51699074074</v>
      </c>
      <c r="H1740" s="37" t="str">
        <f>INDEX(_xlfn.TEXTSPLIT(mvtst[[#This Row],[QR Suivis]],"_"),1,1)</f>
        <v>OF249858-15</v>
      </c>
      <c r="I1740" s="35" t="str">
        <f>_xlfn.TEXTBEFORE(mvtst[[#This Row],[Num Suivis]],"-",,,1)</f>
        <v>OF249858</v>
      </c>
      <c r="J1740" s="36">
        <f>SUMIF(mvtst[QR Suivis],mvtst[[#This Row],[QR Suivis]],mvtst[QTE SORTIS])-SUMIF(mvtst[QR Suivis],mvtst[[#This Row],[QR Suivis]],mvtst[QTE RETOUR])</f>
        <v>0</v>
      </c>
      <c r="K1740" s="35" t="str">
        <f t="shared" si="29"/>
        <v>Usine</v>
      </c>
      <c r="L1740" s="35" t="str">
        <f>_xlfn.XLOOKUP(mvtst[[#This Row],[Sous Traitant]],coordonnee_st[Identification],coordonnee_st[SERVICE],"Non Trouvé")</f>
        <v>Frange</v>
      </c>
      <c r="M1740" s="35" t="str">
        <f>INDEX(_xlfn.TEXTSPLIT(mvtst[[#This Row],[QR Suivis]],"_"),1,2)</f>
        <v>CL00884</v>
      </c>
      <c r="N1740" s="35" t="str">
        <f>INDEX(_xlfn.TEXTSPLIT(mvtst[[#This Row],[QR Suivis]],"_"),1,3)</f>
        <v>CM-FT0119</v>
      </c>
      <c r="O1740" s="35" t="str">
        <f>INDEX(_xlfn.TEXTSPLIT(mvtst[[#This Row],[QR Suivis]],"_"),1,4)</f>
        <v>AR2020-B23-01</v>
      </c>
      <c r="P1740" s="35" t="str">
        <f>INDEX(_xlfn.TEXTSPLIT(mvtst[[#This Row],[QR Suivis]],"_"),1,5)</f>
        <v>ARTHUR</v>
      </c>
      <c r="Q1740" s="35" t="str">
        <f>_xlfn.TEXTAFTER(mvtst[[#This Row],[QR Suivis]],"_",5)</f>
        <v>2020</v>
      </c>
      <c r="R1740" s="84" t="str">
        <f>IF(
   COUNTIFS($A$2:A1740,A1740,
             $B$2:B1740,B1740,
             $C$2:C1740,C1740,
             $D$2:D1740,D1740,
             $G$2:G1740,G1740)&gt;1,
   "Doublon",
   "Correcte"
)</f>
        <v>Correcte</v>
      </c>
    </row>
    <row r="1741" spans="1:18" x14ac:dyDescent="0.25">
      <c r="A1741" s="104" t="s">
        <v>2080</v>
      </c>
      <c r="B1741" s="35" t="s">
        <v>712</v>
      </c>
      <c r="C1741" s="36">
        <v>0</v>
      </c>
      <c r="D1741" s="36">
        <v>5</v>
      </c>
      <c r="E1741" s="35" t="s">
        <v>699</v>
      </c>
      <c r="F1741" s="35" t="s">
        <v>634</v>
      </c>
      <c r="G1741" s="37">
        <v>45941.517129629632</v>
      </c>
      <c r="H1741" s="37" t="str">
        <f>INDEX(_xlfn.TEXTSPLIT(mvtst[[#This Row],[QR Suivis]],"_"),1,1)</f>
        <v>OF249946-44</v>
      </c>
      <c r="I1741" s="35" t="str">
        <f>_xlfn.TEXTBEFORE(mvtst[[#This Row],[Num Suivis]],"-",,,1)</f>
        <v>OF249946</v>
      </c>
      <c r="J1741" s="36">
        <f>SUMIF(mvtst[QR Suivis],mvtst[[#This Row],[QR Suivis]],mvtst[QTE SORTIS])-SUMIF(mvtst[QR Suivis],mvtst[[#This Row],[QR Suivis]],mvtst[QTE RETOUR])</f>
        <v>0</v>
      </c>
      <c r="K1741" s="35" t="str">
        <f t="shared" si="29"/>
        <v>Usine</v>
      </c>
      <c r="L1741" s="35" t="str">
        <f>_xlfn.XLOOKUP(mvtst[[#This Row],[Sous Traitant]],coordonnee_st[Identification],coordonnee_st[SERVICE],"Non Trouvé")</f>
        <v>Frange</v>
      </c>
      <c r="M1741" s="35" t="str">
        <f>INDEX(_xlfn.TEXTSPLIT(mvtst[[#This Row],[QR Suivis]],"_"),1,2)</f>
        <v>CL00884</v>
      </c>
      <c r="N1741" s="35" t="str">
        <f>INDEX(_xlfn.TEXTSPLIT(mvtst[[#This Row],[QR Suivis]],"_"),1,3)</f>
        <v>CM-FT0120</v>
      </c>
      <c r="O1741" s="35" t="str">
        <f>INDEX(_xlfn.TEXTSPLIT(mvtst[[#This Row],[QR Suivis]],"_"),1,4)</f>
        <v>ST1020-S14-16-17</v>
      </c>
      <c r="P1741" s="35" t="str">
        <f>INDEX(_xlfn.TEXTSPLIT(mvtst[[#This Row],[QR Suivis]],"_"),1,5)</f>
        <v>ST TROPEZ</v>
      </c>
      <c r="Q1741" s="35" t="str">
        <f>_xlfn.TEXTAFTER(mvtst[[#This Row],[QR Suivis]],"_",5)</f>
        <v>1020</v>
      </c>
      <c r="R1741" s="84" t="str">
        <f>IF(
   COUNTIFS($A$2:A1741,A1741,
             $B$2:B1741,B1741,
             $C$2:C1741,C1741,
             $D$2:D1741,D1741,
             $G$2:G1741,G1741)&gt;1,
   "Doublon",
   "Correcte"
)</f>
        <v>Correcte</v>
      </c>
    </row>
    <row r="1742" spans="1:18" x14ac:dyDescent="0.25">
      <c r="A1742" s="104" t="s">
        <v>2085</v>
      </c>
      <c r="B1742" s="35" t="s">
        <v>712</v>
      </c>
      <c r="C1742" s="36">
        <v>0</v>
      </c>
      <c r="D1742" s="36">
        <v>5</v>
      </c>
      <c r="E1742" s="35" t="s">
        <v>699</v>
      </c>
      <c r="F1742" s="35" t="s">
        <v>634</v>
      </c>
      <c r="G1742" s="37">
        <v>45941.517314814817</v>
      </c>
      <c r="H1742" s="37" t="str">
        <f>INDEX(_xlfn.TEXTSPLIT(mvtst[[#This Row],[QR Suivis]],"_"),1,1)</f>
        <v>OF249946-36</v>
      </c>
      <c r="I1742" s="35" t="str">
        <f>_xlfn.TEXTBEFORE(mvtst[[#This Row],[Num Suivis]],"-",,,1)</f>
        <v>OF249946</v>
      </c>
      <c r="J1742" s="36">
        <f>SUMIF(mvtst[QR Suivis],mvtst[[#This Row],[QR Suivis]],mvtst[QTE SORTIS])-SUMIF(mvtst[QR Suivis],mvtst[[#This Row],[QR Suivis]],mvtst[QTE RETOUR])</f>
        <v>0</v>
      </c>
      <c r="K1742" s="35" t="str">
        <f t="shared" si="29"/>
        <v>Usine</v>
      </c>
      <c r="L1742" s="35" t="str">
        <f>_xlfn.XLOOKUP(mvtst[[#This Row],[Sous Traitant]],coordonnee_st[Identification],coordonnee_st[SERVICE],"Non Trouvé")</f>
        <v>Frange</v>
      </c>
      <c r="M1742" s="35" t="str">
        <f>INDEX(_xlfn.TEXTSPLIT(mvtst[[#This Row],[QR Suivis]],"_"),1,2)</f>
        <v>CL00884</v>
      </c>
      <c r="N1742" s="35" t="str">
        <f>INDEX(_xlfn.TEXTSPLIT(mvtst[[#This Row],[QR Suivis]],"_"),1,3)</f>
        <v>CM-FT0120</v>
      </c>
      <c r="O1742" s="35" t="str">
        <f>INDEX(_xlfn.TEXTSPLIT(mvtst[[#This Row],[QR Suivis]],"_"),1,4)</f>
        <v>ST1020-S14-16-17</v>
      </c>
      <c r="P1742" s="35" t="str">
        <f>INDEX(_xlfn.TEXTSPLIT(mvtst[[#This Row],[QR Suivis]],"_"),1,5)</f>
        <v>ST TROPEZ</v>
      </c>
      <c r="Q1742" s="35" t="str">
        <f>_xlfn.TEXTAFTER(mvtst[[#This Row],[QR Suivis]],"_",5)</f>
        <v>1020</v>
      </c>
      <c r="R1742" s="84" t="str">
        <f>IF(
   COUNTIFS($A$2:A1742,A1742,
             $B$2:B1742,B1742,
             $C$2:C1742,C1742,
             $D$2:D1742,D1742,
             $G$2:G1742,G1742)&gt;1,
   "Doublon",
   "Correcte"
)</f>
        <v>Correcte</v>
      </c>
    </row>
    <row r="1743" spans="1:18" x14ac:dyDescent="0.25">
      <c r="A1743" s="104" t="s">
        <v>2099</v>
      </c>
      <c r="B1743" s="35" t="s">
        <v>712</v>
      </c>
      <c r="C1743" s="36">
        <v>0</v>
      </c>
      <c r="D1743" s="36">
        <v>5</v>
      </c>
      <c r="E1743" s="35" t="s">
        <v>699</v>
      </c>
      <c r="F1743" s="35" t="s">
        <v>634</v>
      </c>
      <c r="G1743" s="37">
        <v>45941.517500000002</v>
      </c>
      <c r="H1743" s="37" t="str">
        <f>INDEX(_xlfn.TEXTSPLIT(mvtst[[#This Row],[QR Suivis]],"_"),1,1)</f>
        <v>CA250035-2</v>
      </c>
      <c r="I1743" s="35" t="str">
        <f>_xlfn.TEXTBEFORE(mvtst[[#This Row],[Num Suivis]],"-",,,1)</f>
        <v>CA250035</v>
      </c>
      <c r="J1743" s="36">
        <f>SUMIF(mvtst[QR Suivis],mvtst[[#This Row],[QR Suivis]],mvtst[QTE SORTIS])-SUMIF(mvtst[QR Suivis],mvtst[[#This Row],[QR Suivis]],mvtst[QTE RETOUR])</f>
        <v>0</v>
      </c>
      <c r="K1743" s="35" t="str">
        <f t="shared" si="29"/>
        <v>Usine</v>
      </c>
      <c r="L1743" s="35" t="str">
        <f>_xlfn.XLOOKUP(mvtst[[#This Row],[Sous Traitant]],coordonnee_st[Identification],coordonnee_st[SERVICE],"Non Trouvé")</f>
        <v>Frange</v>
      </c>
      <c r="M1743" s="35" t="str">
        <f>INDEX(_xlfn.TEXTSPLIT(mvtst[[#This Row],[QR Suivis]],"_"),1,2)</f>
        <v>All by Fouta</v>
      </c>
      <c r="N1743" s="35" t="str">
        <f>INDEX(_xlfn.TEXTSPLIT(mvtst[[#This Row],[QR Suivis]],"_"),1,3)</f>
        <v>Stock</v>
      </c>
      <c r="O1743" s="35" t="str">
        <f>INDEX(_xlfn.TEXTSPLIT(mvtst[[#This Row],[QR Suivis]],"_"),1,4)</f>
        <v>UNS2020-26</v>
      </c>
      <c r="P1743" s="35" t="str">
        <f>INDEX(_xlfn.TEXTSPLIT(mvtst[[#This Row],[QR Suivis]],"_"),1,5)</f>
        <v>UNI SURPIQUE</v>
      </c>
      <c r="Q1743" s="35" t="str">
        <f>_xlfn.TEXTAFTER(mvtst[[#This Row],[QR Suivis]],"_",5)</f>
        <v>2020</v>
      </c>
      <c r="R1743" s="84" t="str">
        <f>IF(
   COUNTIFS($A$2:A1743,A1743,
             $B$2:B1743,B1743,
             $C$2:C1743,C1743,
             $D$2:D1743,D1743,
             $G$2:G1743,G1743)&gt;1,
   "Doublon",
   "Correcte"
)</f>
        <v>Correcte</v>
      </c>
    </row>
    <row r="1744" spans="1:18" x14ac:dyDescent="0.25">
      <c r="A1744" s="104" t="s">
        <v>2173</v>
      </c>
      <c r="B1744" s="35" t="s">
        <v>712</v>
      </c>
      <c r="C1744" s="36">
        <v>0</v>
      </c>
      <c r="D1744" s="36">
        <v>5</v>
      </c>
      <c r="E1744" s="35" t="s">
        <v>699</v>
      </c>
      <c r="F1744" s="35" t="s">
        <v>634</v>
      </c>
      <c r="G1744" s="37">
        <v>45941.517627314817</v>
      </c>
      <c r="H1744" s="37" t="str">
        <f>INDEX(_xlfn.TEXTSPLIT(mvtst[[#This Row],[QR Suivis]],"_"),1,1)</f>
        <v>OF249858-6</v>
      </c>
      <c r="I1744" s="35" t="str">
        <f>_xlfn.TEXTBEFORE(mvtst[[#This Row],[Num Suivis]],"-",,,1)</f>
        <v>OF249858</v>
      </c>
      <c r="J1744" s="36">
        <f>SUMIF(mvtst[QR Suivis],mvtst[[#This Row],[QR Suivis]],mvtst[QTE SORTIS])-SUMIF(mvtst[QR Suivis],mvtst[[#This Row],[QR Suivis]],mvtst[QTE RETOUR])</f>
        <v>0</v>
      </c>
      <c r="K1744" s="35" t="str">
        <f t="shared" si="29"/>
        <v>Usine</v>
      </c>
      <c r="L1744" s="35" t="str">
        <f>_xlfn.XLOOKUP(mvtst[[#This Row],[Sous Traitant]],coordonnee_st[Identification],coordonnee_st[SERVICE],"Non Trouvé")</f>
        <v>Frange</v>
      </c>
      <c r="M1744" s="35" t="str">
        <f>INDEX(_xlfn.TEXTSPLIT(mvtst[[#This Row],[QR Suivis]],"_"),1,2)</f>
        <v>CL00884</v>
      </c>
      <c r="N1744" s="35" t="str">
        <f>INDEX(_xlfn.TEXTSPLIT(mvtst[[#This Row],[QR Suivis]],"_"),1,3)</f>
        <v>CM-FT0119</v>
      </c>
      <c r="O1744" s="35" t="str">
        <f>INDEX(_xlfn.TEXTSPLIT(mvtst[[#This Row],[QR Suivis]],"_"),1,4)</f>
        <v>AR2020-B23-01</v>
      </c>
      <c r="P1744" s="35" t="str">
        <f>INDEX(_xlfn.TEXTSPLIT(mvtst[[#This Row],[QR Suivis]],"_"),1,5)</f>
        <v>ARTHUR</v>
      </c>
      <c r="Q1744" s="35" t="str">
        <f>_xlfn.TEXTAFTER(mvtst[[#This Row],[QR Suivis]],"_",5)</f>
        <v>2020</v>
      </c>
      <c r="R1744" s="84" t="str">
        <f>IF(
   COUNTIFS($A$2:A1744,A1744,
             $B$2:B1744,B1744,
             $C$2:C1744,C1744,
             $D$2:D1744,D1744,
             $G$2:G1744,G1744)&gt;1,
   "Doublon",
   "Correcte"
)</f>
        <v>Correcte</v>
      </c>
    </row>
    <row r="1745" spans="1:18" x14ac:dyDescent="0.25">
      <c r="A1745" s="104" t="s">
        <v>2062</v>
      </c>
      <c r="B1745" s="35" t="s">
        <v>712</v>
      </c>
      <c r="C1745" s="36">
        <v>0</v>
      </c>
      <c r="D1745" s="36">
        <v>4</v>
      </c>
      <c r="E1745" s="35" t="s">
        <v>699</v>
      </c>
      <c r="F1745" s="35" t="s">
        <v>634</v>
      </c>
      <c r="G1745" s="37">
        <v>45941.518692129626</v>
      </c>
      <c r="H1745" s="37" t="str">
        <f>INDEX(_xlfn.TEXTSPLIT(mvtst[[#This Row],[QR Suivis]],"_"),1,1)</f>
        <v>OF249946-65</v>
      </c>
      <c r="I1745" s="35" t="str">
        <f>_xlfn.TEXTBEFORE(mvtst[[#This Row],[Num Suivis]],"-",,,1)</f>
        <v>OF249946</v>
      </c>
      <c r="J1745" s="36">
        <f>SUMIF(mvtst[QR Suivis],mvtst[[#This Row],[QR Suivis]],mvtst[QTE SORTIS])-SUMIF(mvtst[QR Suivis],mvtst[[#This Row],[QR Suivis]],mvtst[QTE RETOUR])</f>
        <v>0</v>
      </c>
      <c r="K1745" s="35" t="str">
        <f t="shared" si="29"/>
        <v>Usine</v>
      </c>
      <c r="L1745" s="35" t="str">
        <f>_xlfn.XLOOKUP(mvtst[[#This Row],[Sous Traitant]],coordonnee_st[Identification],coordonnee_st[SERVICE],"Non Trouvé")</f>
        <v>Frange</v>
      </c>
      <c r="M1745" s="35" t="str">
        <f>INDEX(_xlfn.TEXTSPLIT(mvtst[[#This Row],[QR Suivis]],"_"),1,2)</f>
        <v>CL00884</v>
      </c>
      <c r="N1745" s="35" t="str">
        <f>INDEX(_xlfn.TEXTSPLIT(mvtst[[#This Row],[QR Suivis]],"_"),1,3)</f>
        <v>CM-FT0120</v>
      </c>
      <c r="O1745" s="35" t="str">
        <f>INDEX(_xlfn.TEXTSPLIT(mvtst[[#This Row],[QR Suivis]],"_"),1,4)</f>
        <v>ST1020-S14-16-17</v>
      </c>
      <c r="P1745" s="35" t="str">
        <f>INDEX(_xlfn.TEXTSPLIT(mvtst[[#This Row],[QR Suivis]],"_"),1,5)</f>
        <v>ST TROPEZ</v>
      </c>
      <c r="Q1745" s="35" t="str">
        <f>_xlfn.TEXTAFTER(mvtst[[#This Row],[QR Suivis]],"_",5)</f>
        <v>1020</v>
      </c>
      <c r="R1745" s="84" t="str">
        <f>IF(
   COUNTIFS($A$2:A1745,A1745,
             $B$2:B1745,B1745,
             $C$2:C1745,C1745,
             $D$2:D1745,D1745,
             $G$2:G1745,G1745)&gt;1,
   "Doublon",
   "Correcte"
)</f>
        <v>Correcte</v>
      </c>
    </row>
    <row r="1746" spans="1:18" x14ac:dyDescent="0.25">
      <c r="A1746" s="104" t="s">
        <v>2060</v>
      </c>
      <c r="B1746" s="35" t="s">
        <v>712</v>
      </c>
      <c r="C1746" s="36">
        <v>0</v>
      </c>
      <c r="D1746" s="36">
        <v>5</v>
      </c>
      <c r="E1746" s="35" t="s">
        <v>699</v>
      </c>
      <c r="F1746" s="35" t="s">
        <v>634</v>
      </c>
      <c r="G1746" s="37">
        <v>45941.518888888888</v>
      </c>
      <c r="H1746" s="37" t="str">
        <f>INDEX(_xlfn.TEXTSPLIT(mvtst[[#This Row],[QR Suivis]],"_"),1,1)</f>
        <v>OF249946-62</v>
      </c>
      <c r="I1746" s="35" t="str">
        <f>_xlfn.TEXTBEFORE(mvtst[[#This Row],[Num Suivis]],"-",,,1)</f>
        <v>OF249946</v>
      </c>
      <c r="J1746" s="36">
        <f>SUMIF(mvtst[QR Suivis],mvtst[[#This Row],[QR Suivis]],mvtst[QTE SORTIS])-SUMIF(mvtst[QR Suivis],mvtst[[#This Row],[QR Suivis]],mvtst[QTE RETOUR])</f>
        <v>0</v>
      </c>
      <c r="K1746" s="35" t="str">
        <f t="shared" si="29"/>
        <v>Usine</v>
      </c>
      <c r="L1746" s="35" t="str">
        <f>_xlfn.XLOOKUP(mvtst[[#This Row],[Sous Traitant]],coordonnee_st[Identification],coordonnee_st[SERVICE],"Non Trouvé")</f>
        <v>Frange</v>
      </c>
      <c r="M1746" s="35" t="str">
        <f>INDEX(_xlfn.TEXTSPLIT(mvtst[[#This Row],[QR Suivis]],"_"),1,2)</f>
        <v>CL00884</v>
      </c>
      <c r="N1746" s="35" t="str">
        <f>INDEX(_xlfn.TEXTSPLIT(mvtst[[#This Row],[QR Suivis]],"_"),1,3)</f>
        <v>CM-FT0120</v>
      </c>
      <c r="O1746" s="35" t="str">
        <f>INDEX(_xlfn.TEXTSPLIT(mvtst[[#This Row],[QR Suivis]],"_"),1,4)</f>
        <v>ST1020-S14-16-17</v>
      </c>
      <c r="P1746" s="35" t="str">
        <f>INDEX(_xlfn.TEXTSPLIT(mvtst[[#This Row],[QR Suivis]],"_"),1,5)</f>
        <v>ST TROPEZ</v>
      </c>
      <c r="Q1746" s="35" t="str">
        <f>_xlfn.TEXTAFTER(mvtst[[#This Row],[QR Suivis]],"_",5)</f>
        <v>1020</v>
      </c>
      <c r="R1746" s="84" t="str">
        <f>IF(
   COUNTIFS($A$2:A1746,A1746,
             $B$2:B1746,B1746,
             $C$2:C1746,C1746,
             $D$2:D1746,D1746,
             $G$2:G1746,G1746)&gt;1,
   "Doublon",
   "Correcte"
)</f>
        <v>Correcte</v>
      </c>
    </row>
    <row r="1747" spans="1:18" x14ac:dyDescent="0.25">
      <c r="A1747" s="104" t="s">
        <v>2076</v>
      </c>
      <c r="B1747" s="35" t="s">
        <v>712</v>
      </c>
      <c r="C1747" s="36">
        <v>0</v>
      </c>
      <c r="D1747" s="36">
        <v>5</v>
      </c>
      <c r="E1747" s="35" t="s">
        <v>699</v>
      </c>
      <c r="F1747" s="35" t="s">
        <v>634</v>
      </c>
      <c r="G1747" s="37">
        <v>45941.51902777778</v>
      </c>
      <c r="H1747" s="37" t="str">
        <f>INDEX(_xlfn.TEXTSPLIT(mvtst[[#This Row],[QR Suivis]],"_"),1,1)</f>
        <v>OF249946-54</v>
      </c>
      <c r="I1747" s="35" t="str">
        <f>_xlfn.TEXTBEFORE(mvtst[[#This Row],[Num Suivis]],"-",,,1)</f>
        <v>OF249946</v>
      </c>
      <c r="J1747" s="36">
        <f>SUMIF(mvtst[QR Suivis],mvtst[[#This Row],[QR Suivis]],mvtst[QTE SORTIS])-SUMIF(mvtst[QR Suivis],mvtst[[#This Row],[QR Suivis]],mvtst[QTE RETOUR])</f>
        <v>0</v>
      </c>
      <c r="K1747" s="35" t="str">
        <f t="shared" si="29"/>
        <v>Usine</v>
      </c>
      <c r="L1747" s="35" t="str">
        <f>_xlfn.XLOOKUP(mvtst[[#This Row],[Sous Traitant]],coordonnee_st[Identification],coordonnee_st[SERVICE],"Non Trouvé")</f>
        <v>Frange</v>
      </c>
      <c r="M1747" s="35" t="str">
        <f>INDEX(_xlfn.TEXTSPLIT(mvtst[[#This Row],[QR Suivis]],"_"),1,2)</f>
        <v>CL00884</v>
      </c>
      <c r="N1747" s="35" t="str">
        <f>INDEX(_xlfn.TEXTSPLIT(mvtst[[#This Row],[QR Suivis]],"_"),1,3)</f>
        <v>CM-FT0120</v>
      </c>
      <c r="O1747" s="35" t="str">
        <f>INDEX(_xlfn.TEXTSPLIT(mvtst[[#This Row],[QR Suivis]],"_"),1,4)</f>
        <v>ST1020-S14-16-17</v>
      </c>
      <c r="P1747" s="35" t="str">
        <f>INDEX(_xlfn.TEXTSPLIT(mvtst[[#This Row],[QR Suivis]],"_"),1,5)</f>
        <v>ST TROPEZ</v>
      </c>
      <c r="Q1747" s="35" t="str">
        <f>_xlfn.TEXTAFTER(mvtst[[#This Row],[QR Suivis]],"_",5)</f>
        <v>1020</v>
      </c>
      <c r="R1747" s="84" t="str">
        <f>IF(
   COUNTIFS($A$2:A1747,A1747,
             $B$2:B1747,B1747,
             $C$2:C1747,C1747,
             $D$2:D1747,D1747,
             $G$2:G1747,G1747)&gt;1,
   "Doublon",
   "Correcte"
)</f>
        <v>Correcte</v>
      </c>
    </row>
    <row r="1748" spans="1:18" x14ac:dyDescent="0.25">
      <c r="A1748" s="104" t="s">
        <v>2051</v>
      </c>
      <c r="B1748" s="35" t="s">
        <v>712</v>
      </c>
      <c r="C1748" s="36">
        <v>0</v>
      </c>
      <c r="D1748" s="36">
        <v>5</v>
      </c>
      <c r="E1748" s="35" t="s">
        <v>699</v>
      </c>
      <c r="F1748" s="35" t="s">
        <v>634</v>
      </c>
      <c r="G1748" s="37">
        <v>45941.519155092596</v>
      </c>
      <c r="H1748" s="37" t="str">
        <f>INDEX(_xlfn.TEXTSPLIT(mvtst[[#This Row],[QR Suivis]],"_"),1,1)</f>
        <v>OF249848-2</v>
      </c>
      <c r="I1748" s="35" t="str">
        <f>_xlfn.TEXTBEFORE(mvtst[[#This Row],[Num Suivis]],"-",,,1)</f>
        <v>OF249848</v>
      </c>
      <c r="J1748" s="36">
        <f>SUMIF(mvtst[QR Suivis],mvtst[[#This Row],[QR Suivis]],mvtst[QTE SORTIS])-SUMIF(mvtst[QR Suivis],mvtst[[#This Row],[QR Suivis]],mvtst[QTE RETOUR])</f>
        <v>0</v>
      </c>
      <c r="K1748" s="35" t="str">
        <f t="shared" si="29"/>
        <v>Usine</v>
      </c>
      <c r="L1748" s="35" t="str">
        <f>_xlfn.XLOOKUP(mvtst[[#This Row],[Sous Traitant]],coordonnee_st[Identification],coordonnee_st[SERVICE],"Non Trouvé")</f>
        <v>Frange</v>
      </c>
      <c r="M1748" s="35" t="str">
        <f>INDEX(_xlfn.TEXTSPLIT(mvtst[[#This Row],[QR Suivis]],"_"),1,2)</f>
        <v>CL00884</v>
      </c>
      <c r="N1748" s="35" t="str">
        <f>INDEX(_xlfn.TEXTSPLIT(mvtst[[#This Row],[QR Suivis]],"_"),1,3)</f>
        <v>CM-FT0119</v>
      </c>
      <c r="O1748" s="35" t="str">
        <f>INDEX(_xlfn.TEXTSPLIT(mvtst[[#This Row],[QR Suivis]],"_"),1,4)</f>
        <v>ST1020-S14-16-17</v>
      </c>
      <c r="P1748" s="35" t="str">
        <f>INDEX(_xlfn.TEXTSPLIT(mvtst[[#This Row],[QR Suivis]],"_"),1,5)</f>
        <v>ST TROPEZ</v>
      </c>
      <c r="Q1748" s="35" t="str">
        <f>_xlfn.TEXTAFTER(mvtst[[#This Row],[QR Suivis]],"_",5)</f>
        <v>1020</v>
      </c>
      <c r="R1748" s="84" t="str">
        <f>IF(
   COUNTIFS($A$2:A1748,A1748,
             $B$2:B1748,B1748,
             $C$2:C1748,C1748,
             $D$2:D1748,D1748,
             $G$2:G1748,G1748)&gt;1,
   "Doublon",
   "Correcte"
)</f>
        <v>Correcte</v>
      </c>
    </row>
    <row r="1749" spans="1:18" x14ac:dyDescent="0.25">
      <c r="A1749" s="104" t="s">
        <v>2070</v>
      </c>
      <c r="B1749" s="35" t="s">
        <v>712</v>
      </c>
      <c r="C1749" s="36">
        <v>0</v>
      </c>
      <c r="D1749" s="36">
        <v>5</v>
      </c>
      <c r="E1749" s="35" t="s">
        <v>699</v>
      </c>
      <c r="F1749" s="35" t="s">
        <v>634</v>
      </c>
      <c r="G1749" s="37">
        <v>45941.519328703704</v>
      </c>
      <c r="H1749" s="37" t="str">
        <f>INDEX(_xlfn.TEXTSPLIT(mvtst[[#This Row],[QR Suivis]],"_"),1,1)</f>
        <v>OF249946-51</v>
      </c>
      <c r="I1749" s="35" t="str">
        <f>_xlfn.TEXTBEFORE(mvtst[[#This Row],[Num Suivis]],"-",,,1)</f>
        <v>OF249946</v>
      </c>
      <c r="J1749" s="36">
        <f>SUMIF(mvtst[QR Suivis],mvtst[[#This Row],[QR Suivis]],mvtst[QTE SORTIS])-SUMIF(mvtst[QR Suivis],mvtst[[#This Row],[QR Suivis]],mvtst[QTE RETOUR])</f>
        <v>0</v>
      </c>
      <c r="K1749" s="35" t="str">
        <f t="shared" si="29"/>
        <v>Usine</v>
      </c>
      <c r="L1749" s="35" t="str">
        <f>_xlfn.XLOOKUP(mvtst[[#This Row],[Sous Traitant]],coordonnee_st[Identification],coordonnee_st[SERVICE],"Non Trouvé")</f>
        <v>Frange</v>
      </c>
      <c r="M1749" s="35" t="str">
        <f>INDEX(_xlfn.TEXTSPLIT(mvtst[[#This Row],[QR Suivis]],"_"),1,2)</f>
        <v>CL00884</v>
      </c>
      <c r="N1749" s="35" t="str">
        <f>INDEX(_xlfn.TEXTSPLIT(mvtst[[#This Row],[QR Suivis]],"_"),1,3)</f>
        <v>CM-FT0120</v>
      </c>
      <c r="O1749" s="35" t="str">
        <f>INDEX(_xlfn.TEXTSPLIT(mvtst[[#This Row],[QR Suivis]],"_"),1,4)</f>
        <v>ST1020-S14-16-17</v>
      </c>
      <c r="P1749" s="35" t="str">
        <f>INDEX(_xlfn.TEXTSPLIT(mvtst[[#This Row],[QR Suivis]],"_"),1,5)</f>
        <v>ST TROPEZ</v>
      </c>
      <c r="Q1749" s="35" t="str">
        <f>_xlfn.TEXTAFTER(mvtst[[#This Row],[QR Suivis]],"_",5)</f>
        <v>1020</v>
      </c>
      <c r="R1749" s="84" t="str">
        <f>IF(
   COUNTIFS($A$2:A1749,A1749,
             $B$2:B1749,B1749,
             $C$2:C1749,C1749,
             $D$2:D1749,D1749,
             $G$2:G1749,G1749)&gt;1,
   "Doublon",
   "Correcte"
)</f>
        <v>Correcte</v>
      </c>
    </row>
    <row r="1750" spans="1:18" x14ac:dyDescent="0.25">
      <c r="A1750" s="104" t="s">
        <v>2054</v>
      </c>
      <c r="B1750" s="35" t="s">
        <v>712</v>
      </c>
      <c r="C1750" s="36">
        <v>0</v>
      </c>
      <c r="D1750" s="36">
        <v>5</v>
      </c>
      <c r="E1750" s="35" t="s">
        <v>699</v>
      </c>
      <c r="F1750" s="35" t="s">
        <v>634</v>
      </c>
      <c r="G1750" s="37">
        <v>45941.519768518519</v>
      </c>
      <c r="H1750" s="37" t="str">
        <f>INDEX(_xlfn.TEXTSPLIT(mvtst[[#This Row],[QR Suivis]],"_"),1,1)</f>
        <v>OF249848-17</v>
      </c>
      <c r="I1750" s="35" t="str">
        <f>_xlfn.TEXTBEFORE(mvtst[[#This Row],[Num Suivis]],"-",,,1)</f>
        <v>OF249848</v>
      </c>
      <c r="J1750" s="36">
        <f>SUMIF(mvtst[QR Suivis],mvtst[[#This Row],[QR Suivis]],mvtst[QTE SORTIS])-SUMIF(mvtst[QR Suivis],mvtst[[#This Row],[QR Suivis]],mvtst[QTE RETOUR])</f>
        <v>0</v>
      </c>
      <c r="K1750" s="35" t="str">
        <f t="shared" si="29"/>
        <v>Usine</v>
      </c>
      <c r="L1750" s="35" t="str">
        <f>_xlfn.XLOOKUP(mvtst[[#This Row],[Sous Traitant]],coordonnee_st[Identification],coordonnee_st[SERVICE],"Non Trouvé")</f>
        <v>Frange</v>
      </c>
      <c r="M1750" s="35" t="str">
        <f>INDEX(_xlfn.TEXTSPLIT(mvtst[[#This Row],[QR Suivis]],"_"),1,2)</f>
        <v>CL00884</v>
      </c>
      <c r="N1750" s="35" t="str">
        <f>INDEX(_xlfn.TEXTSPLIT(mvtst[[#This Row],[QR Suivis]],"_"),1,3)</f>
        <v>CM-FT0119</v>
      </c>
      <c r="O1750" s="35" t="str">
        <f>INDEX(_xlfn.TEXTSPLIT(mvtst[[#This Row],[QR Suivis]],"_"),1,4)</f>
        <v>ST1020-S14-16-17</v>
      </c>
      <c r="P1750" s="35" t="str">
        <f>INDEX(_xlfn.TEXTSPLIT(mvtst[[#This Row],[QR Suivis]],"_"),1,5)</f>
        <v>ST TROPEZ</v>
      </c>
      <c r="Q1750" s="35" t="str">
        <f>_xlfn.TEXTAFTER(mvtst[[#This Row],[QR Suivis]],"_",5)</f>
        <v>1020</v>
      </c>
      <c r="R1750" s="84" t="str">
        <f>IF(
   COUNTIFS($A$2:A1750,A1750,
             $B$2:B1750,B1750,
             $C$2:C1750,C1750,
             $D$2:D1750,D1750,
             $G$2:G1750,G1750)&gt;1,
   "Doublon",
   "Correcte"
)</f>
        <v>Correcte</v>
      </c>
    </row>
    <row r="1751" spans="1:18" x14ac:dyDescent="0.25">
      <c r="A1751" s="104" t="s">
        <v>2053</v>
      </c>
      <c r="B1751" s="35" t="s">
        <v>712</v>
      </c>
      <c r="C1751" s="36">
        <v>0</v>
      </c>
      <c r="D1751" s="36">
        <v>5</v>
      </c>
      <c r="E1751" s="35" t="s">
        <v>699</v>
      </c>
      <c r="F1751" s="35" t="s">
        <v>634</v>
      </c>
      <c r="G1751" s="37">
        <v>45941.520138888889</v>
      </c>
      <c r="H1751" s="37" t="str">
        <f>INDEX(_xlfn.TEXTSPLIT(mvtst[[#This Row],[QR Suivis]],"_"),1,1)</f>
        <v>OF249848-18</v>
      </c>
      <c r="I1751" s="35" t="str">
        <f>_xlfn.TEXTBEFORE(mvtst[[#This Row],[Num Suivis]],"-",,,1)</f>
        <v>OF249848</v>
      </c>
      <c r="J1751" s="36">
        <f>SUMIF(mvtst[QR Suivis],mvtst[[#This Row],[QR Suivis]],mvtst[QTE SORTIS])-SUMIF(mvtst[QR Suivis],mvtst[[#This Row],[QR Suivis]],mvtst[QTE RETOUR])</f>
        <v>0</v>
      </c>
      <c r="K1751" s="35" t="str">
        <f t="shared" si="29"/>
        <v>Usine</v>
      </c>
      <c r="L1751" s="35" t="str">
        <f>_xlfn.XLOOKUP(mvtst[[#This Row],[Sous Traitant]],coordonnee_st[Identification],coordonnee_st[SERVICE],"Non Trouvé")</f>
        <v>Frange</v>
      </c>
      <c r="M1751" s="35" t="str">
        <f>INDEX(_xlfn.TEXTSPLIT(mvtst[[#This Row],[QR Suivis]],"_"),1,2)</f>
        <v>CL00884</v>
      </c>
      <c r="N1751" s="35" t="str">
        <f>INDEX(_xlfn.TEXTSPLIT(mvtst[[#This Row],[QR Suivis]],"_"),1,3)</f>
        <v>CM-FT0119</v>
      </c>
      <c r="O1751" s="35" t="str">
        <f>INDEX(_xlfn.TEXTSPLIT(mvtst[[#This Row],[QR Suivis]],"_"),1,4)</f>
        <v>ST1020-S14-16-17</v>
      </c>
      <c r="P1751" s="35" t="str">
        <f>INDEX(_xlfn.TEXTSPLIT(mvtst[[#This Row],[QR Suivis]],"_"),1,5)</f>
        <v>ST TROPEZ</v>
      </c>
      <c r="Q1751" s="35" t="str">
        <f>_xlfn.TEXTAFTER(mvtst[[#This Row],[QR Suivis]],"_",5)</f>
        <v>1020</v>
      </c>
      <c r="R1751" s="84" t="str">
        <f>IF(
   COUNTIFS($A$2:A1751,A1751,
             $B$2:B1751,B1751,
             $C$2:C1751,C1751,
             $D$2:D1751,D1751,
             $G$2:G1751,G1751)&gt;1,
   "Doublon",
   "Correcte"
)</f>
        <v>Correcte</v>
      </c>
    </row>
    <row r="1752" spans="1:18" x14ac:dyDescent="0.25">
      <c r="A1752" s="104" t="s">
        <v>2063</v>
      </c>
      <c r="B1752" s="35" t="s">
        <v>712</v>
      </c>
      <c r="C1752" s="36">
        <v>0</v>
      </c>
      <c r="D1752" s="36">
        <v>5</v>
      </c>
      <c r="E1752" s="35" t="s">
        <v>699</v>
      </c>
      <c r="F1752" s="35" t="s">
        <v>634</v>
      </c>
      <c r="G1752" s="37">
        <v>45941.520474537036</v>
      </c>
      <c r="H1752" s="37" t="str">
        <f>INDEX(_xlfn.TEXTSPLIT(mvtst[[#This Row],[QR Suivis]],"_"),1,1)</f>
        <v>CA250034-4</v>
      </c>
      <c r="I1752" s="35" t="str">
        <f>_xlfn.TEXTBEFORE(mvtst[[#This Row],[Num Suivis]],"-",,,1)</f>
        <v>CA250034</v>
      </c>
      <c r="J1752" s="36">
        <f>SUMIF(mvtst[QR Suivis],mvtst[[#This Row],[QR Suivis]],mvtst[QTE SORTIS])-SUMIF(mvtst[QR Suivis],mvtst[[#This Row],[QR Suivis]],mvtst[QTE RETOUR])</f>
        <v>0</v>
      </c>
      <c r="K1752" s="35" t="str">
        <f t="shared" si="29"/>
        <v>Usine</v>
      </c>
      <c r="L1752" s="35" t="str">
        <f>_xlfn.XLOOKUP(mvtst[[#This Row],[Sous Traitant]],coordonnee_st[Identification],coordonnee_st[SERVICE],"Non Trouvé")</f>
        <v>Frange</v>
      </c>
      <c r="M1752" s="35" t="str">
        <f>INDEX(_xlfn.TEXTSPLIT(mvtst[[#This Row],[QR Suivis]],"_"),1,2)</f>
        <v>All by Fouta</v>
      </c>
      <c r="N1752" s="35" t="str">
        <f>INDEX(_xlfn.TEXTSPLIT(mvtst[[#This Row],[QR Suivis]],"_"),1,3)</f>
        <v>Stock</v>
      </c>
      <c r="O1752" s="35" t="str">
        <f>INDEX(_xlfn.TEXTSPLIT(mvtst[[#This Row],[QR Suivis]],"_"),1,4)</f>
        <v>UNS2020-24</v>
      </c>
      <c r="P1752" s="35" t="str">
        <f>INDEX(_xlfn.TEXTSPLIT(mvtst[[#This Row],[QR Suivis]],"_"),1,5)</f>
        <v>UNI SURPIQUE</v>
      </c>
      <c r="Q1752" s="35" t="str">
        <f>_xlfn.TEXTAFTER(mvtst[[#This Row],[QR Suivis]],"_",5)</f>
        <v>2020</v>
      </c>
      <c r="R1752" s="84" t="str">
        <f>IF(
   COUNTIFS($A$2:A1752,A1752,
             $B$2:B1752,B1752,
             $C$2:C1752,C1752,
             $D$2:D1752,D1752,
             $G$2:G1752,G1752)&gt;1,
   "Doublon",
   "Correcte"
)</f>
        <v>Correcte</v>
      </c>
    </row>
    <row r="1753" spans="1:18" x14ac:dyDescent="0.25">
      <c r="A1753" s="104" t="s">
        <v>2078</v>
      </c>
      <c r="B1753" s="35" t="s">
        <v>712</v>
      </c>
      <c r="C1753" s="36">
        <v>0</v>
      </c>
      <c r="D1753" s="36">
        <v>5</v>
      </c>
      <c r="E1753" s="35" t="s">
        <v>699</v>
      </c>
      <c r="F1753" s="35" t="s">
        <v>634</v>
      </c>
      <c r="G1753" s="37">
        <v>45941.520798611113</v>
      </c>
      <c r="H1753" s="37" t="str">
        <f>INDEX(_xlfn.TEXTSPLIT(mvtst[[#This Row],[QR Suivis]],"_"),1,1)</f>
        <v>CA250034-1</v>
      </c>
      <c r="I1753" s="35" t="str">
        <f>_xlfn.TEXTBEFORE(mvtst[[#This Row],[Num Suivis]],"-",,,1)</f>
        <v>CA250034</v>
      </c>
      <c r="J1753" s="36">
        <f>SUMIF(mvtst[QR Suivis],mvtst[[#This Row],[QR Suivis]],mvtst[QTE SORTIS])-SUMIF(mvtst[QR Suivis],mvtst[[#This Row],[QR Suivis]],mvtst[QTE RETOUR])</f>
        <v>0</v>
      </c>
      <c r="K1753" s="35" t="str">
        <f t="shared" si="29"/>
        <v>Usine</v>
      </c>
      <c r="L1753" s="35" t="str">
        <f>_xlfn.XLOOKUP(mvtst[[#This Row],[Sous Traitant]],coordonnee_st[Identification],coordonnee_st[SERVICE],"Non Trouvé")</f>
        <v>Frange</v>
      </c>
      <c r="M1753" s="35" t="str">
        <f>INDEX(_xlfn.TEXTSPLIT(mvtst[[#This Row],[QR Suivis]],"_"),1,2)</f>
        <v>All by Fouta</v>
      </c>
      <c r="N1753" s="35" t="str">
        <f>INDEX(_xlfn.TEXTSPLIT(mvtst[[#This Row],[QR Suivis]],"_"),1,3)</f>
        <v>Stock</v>
      </c>
      <c r="O1753" s="35" t="str">
        <f>INDEX(_xlfn.TEXTSPLIT(mvtst[[#This Row],[QR Suivis]],"_"),1,4)</f>
        <v>UNS2020-24</v>
      </c>
      <c r="P1753" s="35" t="str">
        <f>INDEX(_xlfn.TEXTSPLIT(mvtst[[#This Row],[QR Suivis]],"_"),1,5)</f>
        <v>UNI SURPIQUE</v>
      </c>
      <c r="Q1753" s="35" t="str">
        <f>_xlfn.TEXTAFTER(mvtst[[#This Row],[QR Suivis]],"_",5)</f>
        <v>2020</v>
      </c>
      <c r="R1753" s="84" t="str">
        <f>IF(
   COUNTIFS($A$2:A1753,A1753,
             $B$2:B1753,B1753,
             $C$2:C1753,C1753,
             $D$2:D1753,D1753,
             $G$2:G1753,G1753)&gt;1,
   "Doublon",
   "Correcte"
)</f>
        <v>Correcte</v>
      </c>
    </row>
    <row r="1754" spans="1:18" x14ac:dyDescent="0.25">
      <c r="A1754" s="104" t="s">
        <v>2083</v>
      </c>
      <c r="B1754" s="35" t="s">
        <v>712</v>
      </c>
      <c r="C1754" s="36">
        <v>0</v>
      </c>
      <c r="D1754" s="36">
        <v>5</v>
      </c>
      <c r="E1754" s="35" t="s">
        <v>699</v>
      </c>
      <c r="F1754" s="35" t="s">
        <v>634</v>
      </c>
      <c r="G1754" s="37">
        <v>45941.521585648145</v>
      </c>
      <c r="H1754" s="37" t="str">
        <f>INDEX(_xlfn.TEXTSPLIT(mvtst[[#This Row],[QR Suivis]],"_"),1,1)</f>
        <v>OF249946-38</v>
      </c>
      <c r="I1754" s="35" t="str">
        <f>_xlfn.TEXTBEFORE(mvtst[[#This Row],[Num Suivis]],"-",,,1)</f>
        <v>OF249946</v>
      </c>
      <c r="J1754" s="36">
        <f>SUMIF(mvtst[QR Suivis],mvtst[[#This Row],[QR Suivis]],mvtst[QTE SORTIS])-SUMIF(mvtst[QR Suivis],mvtst[[#This Row],[QR Suivis]],mvtst[QTE RETOUR])</f>
        <v>0</v>
      </c>
      <c r="K1754" s="35" t="str">
        <f t="shared" si="29"/>
        <v>Usine</v>
      </c>
      <c r="L1754" s="35" t="str">
        <f>_xlfn.XLOOKUP(mvtst[[#This Row],[Sous Traitant]],coordonnee_st[Identification],coordonnee_st[SERVICE],"Non Trouvé")</f>
        <v>Frange</v>
      </c>
      <c r="M1754" s="35" t="str">
        <f>INDEX(_xlfn.TEXTSPLIT(mvtst[[#This Row],[QR Suivis]],"_"),1,2)</f>
        <v>CL00884</v>
      </c>
      <c r="N1754" s="35" t="str">
        <f>INDEX(_xlfn.TEXTSPLIT(mvtst[[#This Row],[QR Suivis]],"_"),1,3)</f>
        <v>CM-FT0120</v>
      </c>
      <c r="O1754" s="35" t="str">
        <f>INDEX(_xlfn.TEXTSPLIT(mvtst[[#This Row],[QR Suivis]],"_"),1,4)</f>
        <v>ST1020-S14-16-17</v>
      </c>
      <c r="P1754" s="35" t="str">
        <f>INDEX(_xlfn.TEXTSPLIT(mvtst[[#This Row],[QR Suivis]],"_"),1,5)</f>
        <v>ST TROPEZ</v>
      </c>
      <c r="Q1754" s="35" t="str">
        <f>_xlfn.TEXTAFTER(mvtst[[#This Row],[QR Suivis]],"_",5)</f>
        <v>1020</v>
      </c>
      <c r="R1754" s="84" t="str">
        <f>IF(
   COUNTIFS($A$2:A1754,A1754,
             $B$2:B1754,B1754,
             $C$2:C1754,C1754,
             $D$2:D1754,D1754,
             $G$2:G1754,G1754)&gt;1,
   "Doublon",
   "Correcte"
)</f>
        <v>Correcte</v>
      </c>
    </row>
    <row r="1755" spans="1:18" x14ac:dyDescent="0.25">
      <c r="A1755" s="104" t="s">
        <v>2056</v>
      </c>
      <c r="B1755" s="35" t="s">
        <v>712</v>
      </c>
      <c r="C1755" s="36">
        <v>0</v>
      </c>
      <c r="D1755" s="36">
        <v>5</v>
      </c>
      <c r="E1755" s="35" t="s">
        <v>699</v>
      </c>
      <c r="F1755" s="35" t="s">
        <v>634</v>
      </c>
      <c r="G1755" s="37">
        <v>45941.521747685183</v>
      </c>
      <c r="H1755" s="37" t="str">
        <f>INDEX(_xlfn.TEXTSPLIT(mvtst[[#This Row],[QR Suivis]],"_"),1,1)</f>
        <v>OF249848-14</v>
      </c>
      <c r="I1755" s="35" t="str">
        <f>_xlfn.TEXTBEFORE(mvtst[[#This Row],[Num Suivis]],"-",,,1)</f>
        <v>OF249848</v>
      </c>
      <c r="J1755" s="36">
        <f>SUMIF(mvtst[QR Suivis],mvtst[[#This Row],[QR Suivis]],mvtst[QTE SORTIS])-SUMIF(mvtst[QR Suivis],mvtst[[#This Row],[QR Suivis]],mvtst[QTE RETOUR])</f>
        <v>0</v>
      </c>
      <c r="K1755" s="35" t="str">
        <f t="shared" si="29"/>
        <v>Usine</v>
      </c>
      <c r="L1755" s="35" t="str">
        <f>_xlfn.XLOOKUP(mvtst[[#This Row],[Sous Traitant]],coordonnee_st[Identification],coordonnee_st[SERVICE],"Non Trouvé")</f>
        <v>Frange</v>
      </c>
      <c r="M1755" s="35" t="str">
        <f>INDEX(_xlfn.TEXTSPLIT(mvtst[[#This Row],[QR Suivis]],"_"),1,2)</f>
        <v>CL00884</v>
      </c>
      <c r="N1755" s="35" t="str">
        <f>INDEX(_xlfn.TEXTSPLIT(mvtst[[#This Row],[QR Suivis]],"_"),1,3)</f>
        <v>CM-FT0119</v>
      </c>
      <c r="O1755" s="35" t="str">
        <f>INDEX(_xlfn.TEXTSPLIT(mvtst[[#This Row],[QR Suivis]],"_"),1,4)</f>
        <v>ST1020-S14-16-17</v>
      </c>
      <c r="P1755" s="35" t="str">
        <f>INDEX(_xlfn.TEXTSPLIT(mvtst[[#This Row],[QR Suivis]],"_"),1,5)</f>
        <v>ST TROPEZ</v>
      </c>
      <c r="Q1755" s="35" t="str">
        <f>_xlfn.TEXTAFTER(mvtst[[#This Row],[QR Suivis]],"_",5)</f>
        <v>1020</v>
      </c>
      <c r="R1755" s="84" t="str">
        <f>IF(
   COUNTIFS($A$2:A1755,A1755,
             $B$2:B1755,B1755,
             $C$2:C1755,C1755,
             $D$2:D1755,D1755,
             $G$2:G1755,G1755)&gt;1,
   "Doublon",
   "Correcte"
)</f>
        <v>Correcte</v>
      </c>
    </row>
    <row r="1756" spans="1:18" x14ac:dyDescent="0.25">
      <c r="A1756" s="104" t="s">
        <v>2044</v>
      </c>
      <c r="B1756" s="35" t="s">
        <v>712</v>
      </c>
      <c r="C1756" s="36">
        <v>0</v>
      </c>
      <c r="D1756" s="36">
        <v>5</v>
      </c>
      <c r="E1756" s="35" t="s">
        <v>699</v>
      </c>
      <c r="F1756" s="35" t="s">
        <v>634</v>
      </c>
      <c r="G1756" s="37">
        <v>45941.521932870368</v>
      </c>
      <c r="H1756" s="37" t="str">
        <f>INDEX(_xlfn.TEXTSPLIT(mvtst[[#This Row],[QR Suivis]],"_"),1,1)</f>
        <v>OF249848-9</v>
      </c>
      <c r="I1756" s="35" t="str">
        <f>_xlfn.TEXTBEFORE(mvtst[[#This Row],[Num Suivis]],"-",,,1)</f>
        <v>OF249848</v>
      </c>
      <c r="J1756" s="36">
        <f>SUMIF(mvtst[QR Suivis],mvtst[[#This Row],[QR Suivis]],mvtst[QTE SORTIS])-SUMIF(mvtst[QR Suivis],mvtst[[#This Row],[QR Suivis]],mvtst[QTE RETOUR])</f>
        <v>0</v>
      </c>
      <c r="K1756" s="35" t="str">
        <f t="shared" si="29"/>
        <v>Usine</v>
      </c>
      <c r="L1756" s="35" t="str">
        <f>_xlfn.XLOOKUP(mvtst[[#This Row],[Sous Traitant]],coordonnee_st[Identification],coordonnee_st[SERVICE],"Non Trouvé")</f>
        <v>Frange</v>
      </c>
      <c r="M1756" s="35" t="str">
        <f>INDEX(_xlfn.TEXTSPLIT(mvtst[[#This Row],[QR Suivis]],"_"),1,2)</f>
        <v>CL00884</v>
      </c>
      <c r="N1756" s="35" t="str">
        <f>INDEX(_xlfn.TEXTSPLIT(mvtst[[#This Row],[QR Suivis]],"_"),1,3)</f>
        <v>CM-FT0119</v>
      </c>
      <c r="O1756" s="35" t="str">
        <f>INDEX(_xlfn.TEXTSPLIT(mvtst[[#This Row],[QR Suivis]],"_"),1,4)</f>
        <v>ST1020-S14-16-17</v>
      </c>
      <c r="P1756" s="35" t="str">
        <f>INDEX(_xlfn.TEXTSPLIT(mvtst[[#This Row],[QR Suivis]],"_"),1,5)</f>
        <v>ST TROPEZ</v>
      </c>
      <c r="Q1756" s="35" t="str">
        <f>_xlfn.TEXTAFTER(mvtst[[#This Row],[QR Suivis]],"_",5)</f>
        <v>1020</v>
      </c>
      <c r="R1756" s="84" t="str">
        <f>IF(
   COUNTIFS($A$2:A1756,A1756,
             $B$2:B1756,B1756,
             $C$2:C1756,C1756,
             $D$2:D1756,D1756,
             $G$2:G1756,G1756)&gt;1,
   "Doublon",
   "Correcte"
)</f>
        <v>Correcte</v>
      </c>
    </row>
    <row r="1757" spans="1:18" x14ac:dyDescent="0.25">
      <c r="A1757" s="104" t="s">
        <v>2045</v>
      </c>
      <c r="B1757" s="35" t="s">
        <v>712</v>
      </c>
      <c r="C1757" s="36">
        <v>0</v>
      </c>
      <c r="D1757" s="36">
        <v>5</v>
      </c>
      <c r="E1757" s="35" t="s">
        <v>699</v>
      </c>
      <c r="F1757" s="35" t="s">
        <v>634</v>
      </c>
      <c r="G1757" s="37">
        <v>45941.522094907406</v>
      </c>
      <c r="H1757" s="37" t="str">
        <f>INDEX(_xlfn.TEXTSPLIT(mvtst[[#This Row],[QR Suivis]],"_"),1,1)</f>
        <v>OF249848-8</v>
      </c>
      <c r="I1757" s="35" t="str">
        <f>_xlfn.TEXTBEFORE(mvtst[[#This Row],[Num Suivis]],"-",,,1)</f>
        <v>OF249848</v>
      </c>
      <c r="J1757" s="36">
        <f>SUMIF(mvtst[QR Suivis],mvtst[[#This Row],[QR Suivis]],mvtst[QTE SORTIS])-SUMIF(mvtst[QR Suivis],mvtst[[#This Row],[QR Suivis]],mvtst[QTE RETOUR])</f>
        <v>0</v>
      </c>
      <c r="K1757" s="35" t="str">
        <f t="shared" ref="K1757:K1783" si="30">"Usine"</f>
        <v>Usine</v>
      </c>
      <c r="L1757" s="35" t="str">
        <f>_xlfn.XLOOKUP(mvtst[[#This Row],[Sous Traitant]],coordonnee_st[Identification],coordonnee_st[SERVICE],"Non Trouvé")</f>
        <v>Frange</v>
      </c>
      <c r="M1757" s="35" t="str">
        <f>INDEX(_xlfn.TEXTSPLIT(mvtst[[#This Row],[QR Suivis]],"_"),1,2)</f>
        <v>CL00884</v>
      </c>
      <c r="N1757" s="35" t="str">
        <f>INDEX(_xlfn.TEXTSPLIT(mvtst[[#This Row],[QR Suivis]],"_"),1,3)</f>
        <v>CM-FT0119</v>
      </c>
      <c r="O1757" s="35" t="str">
        <f>INDEX(_xlfn.TEXTSPLIT(mvtst[[#This Row],[QR Suivis]],"_"),1,4)</f>
        <v>ST1020-S14-16-17</v>
      </c>
      <c r="P1757" s="35" t="str">
        <f>INDEX(_xlfn.TEXTSPLIT(mvtst[[#This Row],[QR Suivis]],"_"),1,5)</f>
        <v>ST TROPEZ</v>
      </c>
      <c r="Q1757" s="35" t="str">
        <f>_xlfn.TEXTAFTER(mvtst[[#This Row],[QR Suivis]],"_",5)</f>
        <v>1020</v>
      </c>
      <c r="R1757" s="84" t="str">
        <f>IF(
   COUNTIFS($A$2:A1757,A1757,
             $B$2:B1757,B1757,
             $C$2:C1757,C1757,
             $D$2:D1757,D1757,
             $G$2:G1757,G1757)&gt;1,
   "Doublon",
   "Correcte"
)</f>
        <v>Correcte</v>
      </c>
    </row>
    <row r="1758" spans="1:18" x14ac:dyDescent="0.25">
      <c r="A1758" s="104" t="s">
        <v>2084</v>
      </c>
      <c r="B1758" s="35" t="s">
        <v>712</v>
      </c>
      <c r="C1758" s="36">
        <v>0</v>
      </c>
      <c r="D1758" s="36">
        <v>5</v>
      </c>
      <c r="E1758" s="35" t="s">
        <v>699</v>
      </c>
      <c r="F1758" s="35" t="s">
        <v>634</v>
      </c>
      <c r="G1758" s="37">
        <v>45941.522245370368</v>
      </c>
      <c r="H1758" s="37" t="str">
        <f>INDEX(_xlfn.TEXTSPLIT(mvtst[[#This Row],[QR Suivis]],"_"),1,1)</f>
        <v>OF249946-37</v>
      </c>
      <c r="I1758" s="35" t="str">
        <f>_xlfn.TEXTBEFORE(mvtst[[#This Row],[Num Suivis]],"-",,,1)</f>
        <v>OF249946</v>
      </c>
      <c r="J1758" s="36">
        <f>SUMIF(mvtst[QR Suivis],mvtst[[#This Row],[QR Suivis]],mvtst[QTE SORTIS])-SUMIF(mvtst[QR Suivis],mvtst[[#This Row],[QR Suivis]],mvtst[QTE RETOUR])</f>
        <v>0</v>
      </c>
      <c r="K1758" s="35" t="str">
        <f t="shared" si="30"/>
        <v>Usine</v>
      </c>
      <c r="L1758" s="35" t="str">
        <f>_xlfn.XLOOKUP(mvtst[[#This Row],[Sous Traitant]],coordonnee_st[Identification],coordonnee_st[SERVICE],"Non Trouvé")</f>
        <v>Frange</v>
      </c>
      <c r="M1758" s="35" t="str">
        <f>INDEX(_xlfn.TEXTSPLIT(mvtst[[#This Row],[QR Suivis]],"_"),1,2)</f>
        <v>CL00884</v>
      </c>
      <c r="N1758" s="35" t="str">
        <f>INDEX(_xlfn.TEXTSPLIT(mvtst[[#This Row],[QR Suivis]],"_"),1,3)</f>
        <v>CM-FT0120</v>
      </c>
      <c r="O1758" s="35" t="str">
        <f>INDEX(_xlfn.TEXTSPLIT(mvtst[[#This Row],[QR Suivis]],"_"),1,4)</f>
        <v>ST1020-S14-16-17</v>
      </c>
      <c r="P1758" s="35" t="str">
        <f>INDEX(_xlfn.TEXTSPLIT(mvtst[[#This Row],[QR Suivis]],"_"),1,5)</f>
        <v>ST TROPEZ</v>
      </c>
      <c r="Q1758" s="35" t="str">
        <f>_xlfn.TEXTAFTER(mvtst[[#This Row],[QR Suivis]],"_",5)</f>
        <v>1020</v>
      </c>
      <c r="R1758" s="84" t="str">
        <f>IF(
   COUNTIFS($A$2:A1758,A1758,
             $B$2:B1758,B1758,
             $C$2:C1758,C1758,
             $D$2:D1758,D1758,
             $G$2:G1758,G1758)&gt;1,
   "Doublon",
   "Correcte"
)</f>
        <v>Correcte</v>
      </c>
    </row>
    <row r="1759" spans="1:18" x14ac:dyDescent="0.25">
      <c r="A1759" s="104" t="s">
        <v>2073</v>
      </c>
      <c r="B1759" s="35" t="s">
        <v>712</v>
      </c>
      <c r="C1759" s="36">
        <v>0</v>
      </c>
      <c r="D1759" s="36">
        <v>5</v>
      </c>
      <c r="E1759" s="35" t="s">
        <v>699</v>
      </c>
      <c r="F1759" s="35" t="s">
        <v>634</v>
      </c>
      <c r="G1759" s="37">
        <v>45941.522407407407</v>
      </c>
      <c r="H1759" s="37" t="str">
        <f>INDEX(_xlfn.TEXTSPLIT(mvtst[[#This Row],[QR Suivis]],"_"),1,1)</f>
        <v>OF249946-55</v>
      </c>
      <c r="I1759" s="35" t="str">
        <f>_xlfn.TEXTBEFORE(mvtst[[#This Row],[Num Suivis]],"-",,,1)</f>
        <v>OF249946</v>
      </c>
      <c r="J1759" s="36">
        <f>SUMIF(mvtst[QR Suivis],mvtst[[#This Row],[QR Suivis]],mvtst[QTE SORTIS])-SUMIF(mvtst[QR Suivis],mvtst[[#This Row],[QR Suivis]],mvtst[QTE RETOUR])</f>
        <v>0</v>
      </c>
      <c r="K1759" s="35" t="str">
        <f t="shared" si="30"/>
        <v>Usine</v>
      </c>
      <c r="L1759" s="35" t="str">
        <f>_xlfn.XLOOKUP(mvtst[[#This Row],[Sous Traitant]],coordonnee_st[Identification],coordonnee_st[SERVICE],"Non Trouvé")</f>
        <v>Frange</v>
      </c>
      <c r="M1759" s="35" t="str">
        <f>INDEX(_xlfn.TEXTSPLIT(mvtst[[#This Row],[QR Suivis]],"_"),1,2)</f>
        <v>CL00884</v>
      </c>
      <c r="N1759" s="35" t="str">
        <f>INDEX(_xlfn.TEXTSPLIT(mvtst[[#This Row],[QR Suivis]],"_"),1,3)</f>
        <v>CM-FT0120</v>
      </c>
      <c r="O1759" s="35" t="str">
        <f>INDEX(_xlfn.TEXTSPLIT(mvtst[[#This Row],[QR Suivis]],"_"),1,4)</f>
        <v>ST1020-S14-16-17</v>
      </c>
      <c r="P1759" s="35" t="str">
        <f>INDEX(_xlfn.TEXTSPLIT(mvtst[[#This Row],[QR Suivis]],"_"),1,5)</f>
        <v>ST TROPEZ</v>
      </c>
      <c r="Q1759" s="35" t="str">
        <f>_xlfn.TEXTAFTER(mvtst[[#This Row],[QR Suivis]],"_",5)</f>
        <v>1020</v>
      </c>
      <c r="R1759" s="84" t="str">
        <f>IF(
   COUNTIFS($A$2:A1759,A1759,
             $B$2:B1759,B1759,
             $C$2:C1759,C1759,
             $D$2:D1759,D1759,
             $G$2:G1759,G1759)&gt;1,
   "Doublon",
   "Correcte"
)</f>
        <v>Correcte</v>
      </c>
    </row>
    <row r="1760" spans="1:18" x14ac:dyDescent="0.25">
      <c r="A1760" s="104" t="s">
        <v>2071</v>
      </c>
      <c r="B1760" s="35" t="s">
        <v>712</v>
      </c>
      <c r="C1760" s="36">
        <v>0</v>
      </c>
      <c r="D1760" s="36">
        <v>5</v>
      </c>
      <c r="E1760" s="35" t="s">
        <v>699</v>
      </c>
      <c r="F1760" s="35" t="s">
        <v>634</v>
      </c>
      <c r="G1760" s="37">
        <v>45941.522581018522</v>
      </c>
      <c r="H1760" s="37" t="str">
        <f>INDEX(_xlfn.TEXTSPLIT(mvtst[[#This Row],[QR Suivis]],"_"),1,1)</f>
        <v>OF249946-50</v>
      </c>
      <c r="I1760" s="35" t="str">
        <f>_xlfn.TEXTBEFORE(mvtst[[#This Row],[Num Suivis]],"-",,,1)</f>
        <v>OF249946</v>
      </c>
      <c r="J1760" s="36">
        <f>SUMIF(mvtst[QR Suivis],mvtst[[#This Row],[QR Suivis]],mvtst[QTE SORTIS])-SUMIF(mvtst[QR Suivis],mvtst[[#This Row],[QR Suivis]],mvtst[QTE RETOUR])</f>
        <v>0</v>
      </c>
      <c r="K1760" s="35" t="str">
        <f t="shared" si="30"/>
        <v>Usine</v>
      </c>
      <c r="L1760" s="35" t="str">
        <f>_xlfn.XLOOKUP(mvtst[[#This Row],[Sous Traitant]],coordonnee_st[Identification],coordonnee_st[SERVICE],"Non Trouvé")</f>
        <v>Frange</v>
      </c>
      <c r="M1760" s="35" t="str">
        <f>INDEX(_xlfn.TEXTSPLIT(mvtst[[#This Row],[QR Suivis]],"_"),1,2)</f>
        <v>CL00884</v>
      </c>
      <c r="N1760" s="35" t="str">
        <f>INDEX(_xlfn.TEXTSPLIT(mvtst[[#This Row],[QR Suivis]],"_"),1,3)</f>
        <v>CM-FT0120</v>
      </c>
      <c r="O1760" s="35" t="str">
        <f>INDEX(_xlfn.TEXTSPLIT(mvtst[[#This Row],[QR Suivis]],"_"),1,4)</f>
        <v>ST1020-S14-16-17</v>
      </c>
      <c r="P1760" s="35" t="str">
        <f>INDEX(_xlfn.TEXTSPLIT(mvtst[[#This Row],[QR Suivis]],"_"),1,5)</f>
        <v>ST TROPEZ</v>
      </c>
      <c r="Q1760" s="35" t="str">
        <f>_xlfn.TEXTAFTER(mvtst[[#This Row],[QR Suivis]],"_",5)</f>
        <v>1020</v>
      </c>
      <c r="R1760" s="84" t="str">
        <f>IF(
   COUNTIFS($A$2:A1760,A1760,
             $B$2:B1760,B1760,
             $C$2:C1760,C1760,
             $D$2:D1760,D1760,
             $G$2:G1760,G1760)&gt;1,
   "Doublon",
   "Correcte"
)</f>
        <v>Correcte</v>
      </c>
    </row>
    <row r="1761" spans="1:18" x14ac:dyDescent="0.25">
      <c r="A1761" s="104" t="s">
        <v>2058</v>
      </c>
      <c r="B1761" s="35" t="s">
        <v>712</v>
      </c>
      <c r="C1761" s="36">
        <v>0</v>
      </c>
      <c r="D1761" s="36">
        <v>5</v>
      </c>
      <c r="E1761" s="35" t="s">
        <v>699</v>
      </c>
      <c r="F1761" s="35" t="s">
        <v>634</v>
      </c>
      <c r="G1761" s="37">
        <v>45941.522696759261</v>
      </c>
      <c r="H1761" s="37" t="str">
        <f>INDEX(_xlfn.TEXTSPLIT(mvtst[[#This Row],[QR Suivis]],"_"),1,1)</f>
        <v>OF249946-64</v>
      </c>
      <c r="I1761" s="35" t="str">
        <f>_xlfn.TEXTBEFORE(mvtst[[#This Row],[Num Suivis]],"-",,,1)</f>
        <v>OF249946</v>
      </c>
      <c r="J1761" s="36">
        <f>SUMIF(mvtst[QR Suivis],mvtst[[#This Row],[QR Suivis]],mvtst[QTE SORTIS])-SUMIF(mvtst[QR Suivis],mvtst[[#This Row],[QR Suivis]],mvtst[QTE RETOUR])</f>
        <v>0</v>
      </c>
      <c r="K1761" s="35" t="str">
        <f t="shared" si="30"/>
        <v>Usine</v>
      </c>
      <c r="L1761" s="35" t="str">
        <f>_xlfn.XLOOKUP(mvtst[[#This Row],[Sous Traitant]],coordonnee_st[Identification],coordonnee_st[SERVICE],"Non Trouvé")</f>
        <v>Frange</v>
      </c>
      <c r="M1761" s="35" t="str">
        <f>INDEX(_xlfn.TEXTSPLIT(mvtst[[#This Row],[QR Suivis]],"_"),1,2)</f>
        <v>CL00884</v>
      </c>
      <c r="N1761" s="35" t="str">
        <f>INDEX(_xlfn.TEXTSPLIT(mvtst[[#This Row],[QR Suivis]],"_"),1,3)</f>
        <v>CM-FT0120</v>
      </c>
      <c r="O1761" s="35" t="str">
        <f>INDEX(_xlfn.TEXTSPLIT(mvtst[[#This Row],[QR Suivis]],"_"),1,4)</f>
        <v>ST1020-S14-16-17</v>
      </c>
      <c r="P1761" s="35" t="str">
        <f>INDEX(_xlfn.TEXTSPLIT(mvtst[[#This Row],[QR Suivis]],"_"),1,5)</f>
        <v>ST TROPEZ</v>
      </c>
      <c r="Q1761" s="35" t="str">
        <f>_xlfn.TEXTAFTER(mvtst[[#This Row],[QR Suivis]],"_",5)</f>
        <v>1020</v>
      </c>
      <c r="R1761" s="84" t="str">
        <f>IF(
   COUNTIFS($A$2:A1761,A1761,
             $B$2:B1761,B1761,
             $C$2:C1761,C1761,
             $D$2:D1761,D1761,
             $G$2:G1761,G1761)&gt;1,
   "Doublon",
   "Correcte"
)</f>
        <v>Correcte</v>
      </c>
    </row>
    <row r="1762" spans="1:18" x14ac:dyDescent="0.25">
      <c r="A1762" s="104" t="s">
        <v>2074</v>
      </c>
      <c r="B1762" s="35" t="s">
        <v>712</v>
      </c>
      <c r="C1762" s="36">
        <v>0</v>
      </c>
      <c r="D1762" s="36">
        <v>5</v>
      </c>
      <c r="E1762" s="35" t="s">
        <v>699</v>
      </c>
      <c r="F1762" s="35" t="s">
        <v>634</v>
      </c>
      <c r="G1762" s="37">
        <v>45941.522858796299</v>
      </c>
      <c r="H1762" s="37" t="str">
        <f>INDEX(_xlfn.TEXTSPLIT(mvtst[[#This Row],[QR Suivis]],"_"),1,1)</f>
        <v>OF249946-58</v>
      </c>
      <c r="I1762" s="35" t="str">
        <f>_xlfn.TEXTBEFORE(mvtst[[#This Row],[Num Suivis]],"-",,,1)</f>
        <v>OF249946</v>
      </c>
      <c r="J1762" s="36">
        <f>SUMIF(mvtst[QR Suivis],mvtst[[#This Row],[QR Suivis]],mvtst[QTE SORTIS])-SUMIF(mvtst[QR Suivis],mvtst[[#This Row],[QR Suivis]],mvtst[QTE RETOUR])</f>
        <v>0</v>
      </c>
      <c r="K1762" s="35" t="str">
        <f t="shared" si="30"/>
        <v>Usine</v>
      </c>
      <c r="L1762" s="35" t="str">
        <f>_xlfn.XLOOKUP(mvtst[[#This Row],[Sous Traitant]],coordonnee_st[Identification],coordonnee_st[SERVICE],"Non Trouvé")</f>
        <v>Frange</v>
      </c>
      <c r="M1762" s="35" t="str">
        <f>INDEX(_xlfn.TEXTSPLIT(mvtst[[#This Row],[QR Suivis]],"_"),1,2)</f>
        <v>CL00884</v>
      </c>
      <c r="N1762" s="35" t="str">
        <f>INDEX(_xlfn.TEXTSPLIT(mvtst[[#This Row],[QR Suivis]],"_"),1,3)</f>
        <v>CM-FT0120</v>
      </c>
      <c r="O1762" s="35" t="str">
        <f>INDEX(_xlfn.TEXTSPLIT(mvtst[[#This Row],[QR Suivis]],"_"),1,4)</f>
        <v>ST1020-S14-16-17</v>
      </c>
      <c r="P1762" s="35" t="str">
        <f>INDEX(_xlfn.TEXTSPLIT(mvtst[[#This Row],[QR Suivis]],"_"),1,5)</f>
        <v>ST TROPEZ</v>
      </c>
      <c r="Q1762" s="35" t="str">
        <f>_xlfn.TEXTAFTER(mvtst[[#This Row],[QR Suivis]],"_",5)</f>
        <v>1020</v>
      </c>
      <c r="R1762" s="84" t="str">
        <f>IF(
   COUNTIFS($A$2:A1762,A1762,
             $B$2:B1762,B1762,
             $C$2:C1762,C1762,
             $D$2:D1762,D1762,
             $G$2:G1762,G1762)&gt;1,
   "Doublon",
   "Correcte"
)</f>
        <v>Correcte</v>
      </c>
    </row>
    <row r="1763" spans="1:18" x14ac:dyDescent="0.25">
      <c r="A1763" s="104" t="s">
        <v>2057</v>
      </c>
      <c r="B1763" s="35" t="s">
        <v>712</v>
      </c>
      <c r="C1763" s="36">
        <v>0</v>
      </c>
      <c r="D1763" s="36">
        <v>5</v>
      </c>
      <c r="E1763" s="35" t="s">
        <v>699</v>
      </c>
      <c r="F1763" s="35" t="s">
        <v>634</v>
      </c>
      <c r="G1763" s="37">
        <v>45941.523043981484</v>
      </c>
      <c r="H1763" s="37" t="str">
        <f>INDEX(_xlfn.TEXTSPLIT(mvtst[[#This Row],[QR Suivis]],"_"),1,1)</f>
        <v>OF249848-15</v>
      </c>
      <c r="I1763" s="35" t="str">
        <f>_xlfn.TEXTBEFORE(mvtst[[#This Row],[Num Suivis]],"-",,,1)</f>
        <v>OF249848</v>
      </c>
      <c r="J1763" s="36">
        <f>SUMIF(mvtst[QR Suivis],mvtst[[#This Row],[QR Suivis]],mvtst[QTE SORTIS])-SUMIF(mvtst[QR Suivis],mvtst[[#This Row],[QR Suivis]],mvtst[QTE RETOUR])</f>
        <v>0</v>
      </c>
      <c r="K1763" s="35" t="str">
        <f t="shared" si="30"/>
        <v>Usine</v>
      </c>
      <c r="L1763" s="35" t="str">
        <f>_xlfn.XLOOKUP(mvtst[[#This Row],[Sous Traitant]],coordonnee_st[Identification],coordonnee_st[SERVICE],"Non Trouvé")</f>
        <v>Frange</v>
      </c>
      <c r="M1763" s="35" t="str">
        <f>INDEX(_xlfn.TEXTSPLIT(mvtst[[#This Row],[QR Suivis]],"_"),1,2)</f>
        <v>CL00884</v>
      </c>
      <c r="N1763" s="35" t="str">
        <f>INDEX(_xlfn.TEXTSPLIT(mvtst[[#This Row],[QR Suivis]],"_"),1,3)</f>
        <v>CM-FT0119</v>
      </c>
      <c r="O1763" s="35" t="str">
        <f>INDEX(_xlfn.TEXTSPLIT(mvtst[[#This Row],[QR Suivis]],"_"),1,4)</f>
        <v>ST1020-S14-16-17</v>
      </c>
      <c r="P1763" s="35" t="str">
        <f>INDEX(_xlfn.TEXTSPLIT(mvtst[[#This Row],[QR Suivis]],"_"),1,5)</f>
        <v>ST TROPEZ</v>
      </c>
      <c r="Q1763" s="35" t="str">
        <f>_xlfn.TEXTAFTER(mvtst[[#This Row],[QR Suivis]],"_",5)</f>
        <v>1020</v>
      </c>
      <c r="R1763" s="84" t="str">
        <f>IF(
   COUNTIFS($A$2:A1763,A1763,
             $B$2:B1763,B1763,
             $C$2:C1763,C1763,
             $D$2:D1763,D1763,
             $G$2:G1763,G1763)&gt;1,
   "Doublon",
   "Correcte"
)</f>
        <v>Correcte</v>
      </c>
    </row>
    <row r="1764" spans="1:18" x14ac:dyDescent="0.25">
      <c r="A1764" s="104" t="s">
        <v>2090</v>
      </c>
      <c r="B1764" s="35" t="s">
        <v>712</v>
      </c>
      <c r="C1764" s="36">
        <v>0</v>
      </c>
      <c r="D1764" s="36">
        <v>5</v>
      </c>
      <c r="E1764" s="35" t="s">
        <v>699</v>
      </c>
      <c r="F1764" s="35" t="s">
        <v>634</v>
      </c>
      <c r="G1764" s="37">
        <v>45941.523217592592</v>
      </c>
      <c r="H1764" s="37" t="str">
        <f>INDEX(_xlfn.TEXTSPLIT(mvtst[[#This Row],[QR Suivis]],"_"),1,1)</f>
        <v>OF249946-42</v>
      </c>
      <c r="I1764" s="35" t="str">
        <f>_xlfn.TEXTBEFORE(mvtst[[#This Row],[Num Suivis]],"-",,,1)</f>
        <v>OF249946</v>
      </c>
      <c r="J1764" s="36">
        <f>SUMIF(mvtst[QR Suivis],mvtst[[#This Row],[QR Suivis]],mvtst[QTE SORTIS])-SUMIF(mvtst[QR Suivis],mvtst[[#This Row],[QR Suivis]],mvtst[QTE RETOUR])</f>
        <v>0</v>
      </c>
      <c r="K1764" s="35" t="str">
        <f t="shared" si="30"/>
        <v>Usine</v>
      </c>
      <c r="L1764" s="35" t="str">
        <f>_xlfn.XLOOKUP(mvtst[[#This Row],[Sous Traitant]],coordonnee_st[Identification],coordonnee_st[SERVICE],"Non Trouvé")</f>
        <v>Frange</v>
      </c>
      <c r="M1764" s="35" t="str">
        <f>INDEX(_xlfn.TEXTSPLIT(mvtst[[#This Row],[QR Suivis]],"_"),1,2)</f>
        <v>CL00884</v>
      </c>
      <c r="N1764" s="35" t="str">
        <f>INDEX(_xlfn.TEXTSPLIT(mvtst[[#This Row],[QR Suivis]],"_"),1,3)</f>
        <v>CM-FT0120</v>
      </c>
      <c r="O1764" s="35" t="str">
        <f>INDEX(_xlfn.TEXTSPLIT(mvtst[[#This Row],[QR Suivis]],"_"),1,4)</f>
        <v>ST1020-S14-16-17</v>
      </c>
      <c r="P1764" s="35" t="str">
        <f>INDEX(_xlfn.TEXTSPLIT(mvtst[[#This Row],[QR Suivis]],"_"),1,5)</f>
        <v>ST TROPEZ</v>
      </c>
      <c r="Q1764" s="35" t="str">
        <f>_xlfn.TEXTAFTER(mvtst[[#This Row],[QR Suivis]],"_",5)</f>
        <v>1020</v>
      </c>
      <c r="R1764" s="84" t="str">
        <f>IF(
   COUNTIFS($A$2:A1764,A1764,
             $B$2:B1764,B1764,
             $C$2:C1764,C1764,
             $D$2:D1764,D1764,
             $G$2:G1764,G1764)&gt;1,
   "Doublon",
   "Correcte"
)</f>
        <v>Correcte</v>
      </c>
    </row>
    <row r="1765" spans="1:18" x14ac:dyDescent="0.25">
      <c r="A1765" s="104" t="s">
        <v>2068</v>
      </c>
      <c r="B1765" s="35" t="s">
        <v>712</v>
      </c>
      <c r="C1765" s="36">
        <v>0</v>
      </c>
      <c r="D1765" s="36">
        <v>5</v>
      </c>
      <c r="E1765" s="35" t="s">
        <v>699</v>
      </c>
      <c r="F1765" s="35" t="s">
        <v>634</v>
      </c>
      <c r="G1765" s="37">
        <v>45941.523449074077</v>
      </c>
      <c r="H1765" s="37" t="str">
        <f>INDEX(_xlfn.TEXTSPLIT(mvtst[[#This Row],[QR Suivis]],"_"),1,1)</f>
        <v>OF249946-56</v>
      </c>
      <c r="I1765" s="35" t="str">
        <f>_xlfn.TEXTBEFORE(mvtst[[#This Row],[Num Suivis]],"-",,,1)</f>
        <v>OF249946</v>
      </c>
      <c r="J1765" s="36">
        <f>SUMIF(mvtst[QR Suivis],mvtst[[#This Row],[QR Suivis]],mvtst[QTE SORTIS])-SUMIF(mvtst[QR Suivis],mvtst[[#This Row],[QR Suivis]],mvtst[QTE RETOUR])</f>
        <v>0</v>
      </c>
      <c r="K1765" s="35" t="str">
        <f t="shared" si="30"/>
        <v>Usine</v>
      </c>
      <c r="L1765" s="35" t="str">
        <f>_xlfn.XLOOKUP(mvtst[[#This Row],[Sous Traitant]],coordonnee_st[Identification],coordonnee_st[SERVICE],"Non Trouvé")</f>
        <v>Frange</v>
      </c>
      <c r="M1765" s="35" t="str">
        <f>INDEX(_xlfn.TEXTSPLIT(mvtst[[#This Row],[QR Suivis]],"_"),1,2)</f>
        <v>CL00884</v>
      </c>
      <c r="N1765" s="35" t="str">
        <f>INDEX(_xlfn.TEXTSPLIT(mvtst[[#This Row],[QR Suivis]],"_"),1,3)</f>
        <v>CM-FT0120</v>
      </c>
      <c r="O1765" s="35" t="str">
        <f>INDEX(_xlfn.TEXTSPLIT(mvtst[[#This Row],[QR Suivis]],"_"),1,4)</f>
        <v>ST1020-S14-16-17</v>
      </c>
      <c r="P1765" s="35" t="str">
        <f>INDEX(_xlfn.TEXTSPLIT(mvtst[[#This Row],[QR Suivis]],"_"),1,5)</f>
        <v>ST TROPEZ</v>
      </c>
      <c r="Q1765" s="35" t="str">
        <f>_xlfn.TEXTAFTER(mvtst[[#This Row],[QR Suivis]],"_",5)</f>
        <v>1020</v>
      </c>
      <c r="R1765" s="84" t="str">
        <f>IF(
   COUNTIFS($A$2:A1765,A1765,
             $B$2:B1765,B1765,
             $C$2:C1765,C1765,
             $D$2:D1765,D1765,
             $G$2:G1765,G1765)&gt;1,
   "Doublon",
   "Correcte"
)</f>
        <v>Correcte</v>
      </c>
    </row>
    <row r="1766" spans="1:18" x14ac:dyDescent="0.25">
      <c r="A1766" s="104" t="s">
        <v>2103</v>
      </c>
      <c r="B1766" s="35" t="s">
        <v>712</v>
      </c>
      <c r="C1766" s="36">
        <v>0</v>
      </c>
      <c r="D1766" s="36">
        <v>5</v>
      </c>
      <c r="E1766" s="35" t="s">
        <v>699</v>
      </c>
      <c r="F1766" s="35" t="s">
        <v>634</v>
      </c>
      <c r="G1766" s="37">
        <v>45941.523657407408</v>
      </c>
      <c r="H1766" s="37" t="str">
        <f>INDEX(_xlfn.TEXTSPLIT(mvtst[[#This Row],[QR Suivis]],"_"),1,1)</f>
        <v>CA250035-3</v>
      </c>
      <c r="I1766" s="35" t="str">
        <f>_xlfn.TEXTBEFORE(mvtst[[#This Row],[Num Suivis]],"-",,,1)</f>
        <v>CA250035</v>
      </c>
      <c r="J1766" s="36">
        <f>SUMIF(mvtst[QR Suivis],mvtst[[#This Row],[QR Suivis]],mvtst[QTE SORTIS])-SUMIF(mvtst[QR Suivis],mvtst[[#This Row],[QR Suivis]],mvtst[QTE RETOUR])</f>
        <v>0</v>
      </c>
      <c r="K1766" s="35" t="str">
        <f t="shared" si="30"/>
        <v>Usine</v>
      </c>
      <c r="L1766" s="35" t="str">
        <f>_xlfn.XLOOKUP(mvtst[[#This Row],[Sous Traitant]],coordonnee_st[Identification],coordonnee_st[SERVICE],"Non Trouvé")</f>
        <v>Frange</v>
      </c>
      <c r="M1766" s="35" t="str">
        <f>INDEX(_xlfn.TEXTSPLIT(mvtst[[#This Row],[QR Suivis]],"_"),1,2)</f>
        <v>All by Fouta</v>
      </c>
      <c r="N1766" s="35" t="str">
        <f>INDEX(_xlfn.TEXTSPLIT(mvtst[[#This Row],[QR Suivis]],"_"),1,3)</f>
        <v>Stock</v>
      </c>
      <c r="O1766" s="35" t="str">
        <f>INDEX(_xlfn.TEXTSPLIT(mvtst[[#This Row],[QR Suivis]],"_"),1,4)</f>
        <v>UNS2020-26</v>
      </c>
      <c r="P1766" s="35" t="str">
        <f>INDEX(_xlfn.TEXTSPLIT(mvtst[[#This Row],[QR Suivis]],"_"),1,5)</f>
        <v>UNI SURPIQUE</v>
      </c>
      <c r="Q1766" s="35" t="str">
        <f>_xlfn.TEXTAFTER(mvtst[[#This Row],[QR Suivis]],"_",5)</f>
        <v>2020</v>
      </c>
      <c r="R1766" s="84" t="str">
        <f>IF(
   COUNTIFS($A$2:A1766,A1766,
             $B$2:B1766,B1766,
             $C$2:C1766,C1766,
             $D$2:D1766,D1766,
             $G$2:G1766,G1766)&gt;1,
   "Doublon",
   "Correcte"
)</f>
        <v>Correcte</v>
      </c>
    </row>
    <row r="1767" spans="1:18" x14ac:dyDescent="0.25">
      <c r="A1767" s="104" t="s">
        <v>2065</v>
      </c>
      <c r="B1767" s="35" t="s">
        <v>712</v>
      </c>
      <c r="C1767" s="36">
        <v>0</v>
      </c>
      <c r="D1767" s="36">
        <v>5</v>
      </c>
      <c r="E1767" s="35" t="s">
        <v>699</v>
      </c>
      <c r="F1767" s="35" t="s">
        <v>634</v>
      </c>
      <c r="G1767" s="37">
        <v>45941.523900462962</v>
      </c>
      <c r="H1767" s="37" t="str">
        <f>INDEX(_xlfn.TEXTSPLIT(mvtst[[#This Row],[QR Suivis]],"_"),1,1)</f>
        <v>CA250034-3</v>
      </c>
      <c r="I1767" s="35" t="str">
        <f>_xlfn.TEXTBEFORE(mvtst[[#This Row],[Num Suivis]],"-",,,1)</f>
        <v>CA250034</v>
      </c>
      <c r="J1767" s="36">
        <f>SUMIF(mvtst[QR Suivis],mvtst[[#This Row],[QR Suivis]],mvtst[QTE SORTIS])-SUMIF(mvtst[QR Suivis],mvtst[[#This Row],[QR Suivis]],mvtst[QTE RETOUR])</f>
        <v>0</v>
      </c>
      <c r="K1767" s="35" t="str">
        <f t="shared" si="30"/>
        <v>Usine</v>
      </c>
      <c r="L1767" s="35" t="str">
        <f>_xlfn.XLOOKUP(mvtst[[#This Row],[Sous Traitant]],coordonnee_st[Identification],coordonnee_st[SERVICE],"Non Trouvé")</f>
        <v>Frange</v>
      </c>
      <c r="M1767" s="35" t="str">
        <f>INDEX(_xlfn.TEXTSPLIT(mvtst[[#This Row],[QR Suivis]],"_"),1,2)</f>
        <v>All by Fouta</v>
      </c>
      <c r="N1767" s="35" t="str">
        <f>INDEX(_xlfn.TEXTSPLIT(mvtst[[#This Row],[QR Suivis]],"_"),1,3)</f>
        <v>Stock</v>
      </c>
      <c r="O1767" s="35" t="str">
        <f>INDEX(_xlfn.TEXTSPLIT(mvtst[[#This Row],[QR Suivis]],"_"),1,4)</f>
        <v>UNS2020-24</v>
      </c>
      <c r="P1767" s="35" t="str">
        <f>INDEX(_xlfn.TEXTSPLIT(mvtst[[#This Row],[QR Suivis]],"_"),1,5)</f>
        <v>UNI SURPIQUE</v>
      </c>
      <c r="Q1767" s="35" t="str">
        <f>_xlfn.TEXTAFTER(mvtst[[#This Row],[QR Suivis]],"_",5)</f>
        <v>2020</v>
      </c>
      <c r="R1767" s="84" t="str">
        <f>IF(
   COUNTIFS($A$2:A1767,A1767,
             $B$2:B1767,B1767,
             $C$2:C1767,C1767,
             $D$2:D1767,D1767,
             $G$2:G1767,G1767)&gt;1,
   "Doublon",
   "Correcte"
)</f>
        <v>Correcte</v>
      </c>
    </row>
    <row r="1768" spans="1:18" x14ac:dyDescent="0.25">
      <c r="A1768" s="104" t="s">
        <v>2067</v>
      </c>
      <c r="B1768" s="35" t="s">
        <v>712</v>
      </c>
      <c r="C1768" s="36">
        <v>0</v>
      </c>
      <c r="D1768" s="36">
        <v>5</v>
      </c>
      <c r="E1768" s="35" t="s">
        <v>699</v>
      </c>
      <c r="F1768" s="35" t="s">
        <v>634</v>
      </c>
      <c r="G1768" s="37">
        <v>45941.524050925924</v>
      </c>
      <c r="H1768" s="37" t="str">
        <f>INDEX(_xlfn.TEXTSPLIT(mvtst[[#This Row],[QR Suivis]],"_"),1,1)</f>
        <v>CA250034-5</v>
      </c>
      <c r="I1768" s="35" t="str">
        <f>_xlfn.TEXTBEFORE(mvtst[[#This Row],[Num Suivis]],"-",,,1)</f>
        <v>CA250034</v>
      </c>
      <c r="J1768" s="36">
        <f>SUMIF(mvtst[QR Suivis],mvtst[[#This Row],[QR Suivis]],mvtst[QTE SORTIS])-SUMIF(mvtst[QR Suivis],mvtst[[#This Row],[QR Suivis]],mvtst[QTE RETOUR])</f>
        <v>0</v>
      </c>
      <c r="K1768" s="35" t="str">
        <f t="shared" si="30"/>
        <v>Usine</v>
      </c>
      <c r="L1768" s="35" t="str">
        <f>_xlfn.XLOOKUP(mvtst[[#This Row],[Sous Traitant]],coordonnee_st[Identification],coordonnee_st[SERVICE],"Non Trouvé")</f>
        <v>Frange</v>
      </c>
      <c r="M1768" s="35" t="str">
        <f>INDEX(_xlfn.TEXTSPLIT(mvtst[[#This Row],[QR Suivis]],"_"),1,2)</f>
        <v>All by Fouta</v>
      </c>
      <c r="N1768" s="35" t="str">
        <f>INDEX(_xlfn.TEXTSPLIT(mvtst[[#This Row],[QR Suivis]],"_"),1,3)</f>
        <v>Stock</v>
      </c>
      <c r="O1768" s="35" t="str">
        <f>INDEX(_xlfn.TEXTSPLIT(mvtst[[#This Row],[QR Suivis]],"_"),1,4)</f>
        <v>UNS2020-24</v>
      </c>
      <c r="P1768" s="35" t="str">
        <f>INDEX(_xlfn.TEXTSPLIT(mvtst[[#This Row],[QR Suivis]],"_"),1,5)</f>
        <v>UNI SURPIQUE</v>
      </c>
      <c r="Q1768" s="35" t="str">
        <f>_xlfn.TEXTAFTER(mvtst[[#This Row],[QR Suivis]],"_",5)</f>
        <v>2020</v>
      </c>
      <c r="R1768" s="84" t="str">
        <f>IF(
   COUNTIFS($A$2:A1768,A1768,
             $B$2:B1768,B1768,
             $C$2:C1768,C1768,
             $D$2:D1768,D1768,
             $G$2:G1768,G1768)&gt;1,
   "Doublon",
   "Correcte"
)</f>
        <v>Correcte</v>
      </c>
    </row>
    <row r="1769" spans="1:18" x14ac:dyDescent="0.25">
      <c r="A1769" s="104" t="s">
        <v>2086</v>
      </c>
      <c r="B1769" s="35" t="s">
        <v>712</v>
      </c>
      <c r="C1769" s="36">
        <v>0</v>
      </c>
      <c r="D1769" s="36">
        <v>5</v>
      </c>
      <c r="E1769" s="35" t="s">
        <v>699</v>
      </c>
      <c r="F1769" s="35" t="s">
        <v>634</v>
      </c>
      <c r="G1769" s="37">
        <v>45941.524942129632</v>
      </c>
      <c r="H1769" s="37" t="str">
        <f>INDEX(_xlfn.TEXTSPLIT(mvtst[[#This Row],[QR Suivis]],"_"),1,1)</f>
        <v>OF249946-47</v>
      </c>
      <c r="I1769" s="35" t="str">
        <f>_xlfn.TEXTBEFORE(mvtst[[#This Row],[Num Suivis]],"-",,,1)</f>
        <v>OF249946</v>
      </c>
      <c r="J1769" s="36">
        <f>SUMIF(mvtst[QR Suivis],mvtst[[#This Row],[QR Suivis]],mvtst[QTE SORTIS])-SUMIF(mvtst[QR Suivis],mvtst[[#This Row],[QR Suivis]],mvtst[QTE RETOUR])</f>
        <v>0</v>
      </c>
      <c r="K1769" s="35" t="str">
        <f t="shared" si="30"/>
        <v>Usine</v>
      </c>
      <c r="L1769" s="35" t="str">
        <f>_xlfn.XLOOKUP(mvtst[[#This Row],[Sous Traitant]],coordonnee_st[Identification],coordonnee_st[SERVICE],"Non Trouvé")</f>
        <v>Frange</v>
      </c>
      <c r="M1769" s="35" t="str">
        <f>INDEX(_xlfn.TEXTSPLIT(mvtst[[#This Row],[QR Suivis]],"_"),1,2)</f>
        <v>CL00884</v>
      </c>
      <c r="N1769" s="35" t="str">
        <f>INDEX(_xlfn.TEXTSPLIT(mvtst[[#This Row],[QR Suivis]],"_"),1,3)</f>
        <v>CM-FT0120</v>
      </c>
      <c r="O1769" s="35" t="str">
        <f>INDEX(_xlfn.TEXTSPLIT(mvtst[[#This Row],[QR Suivis]],"_"),1,4)</f>
        <v>ST1020-S14-16-17</v>
      </c>
      <c r="P1769" s="35" t="str">
        <f>INDEX(_xlfn.TEXTSPLIT(mvtst[[#This Row],[QR Suivis]],"_"),1,5)</f>
        <v>ST TROPEZ</v>
      </c>
      <c r="Q1769" s="35" t="str">
        <f>_xlfn.TEXTAFTER(mvtst[[#This Row],[QR Suivis]],"_",5)</f>
        <v>1020</v>
      </c>
      <c r="R1769" s="84" t="str">
        <f>IF(
   COUNTIFS($A$2:A1769,A1769,
             $B$2:B1769,B1769,
             $C$2:C1769,C1769,
             $D$2:D1769,D1769,
             $G$2:G1769,G1769)&gt;1,
   "Doublon",
   "Correcte"
)</f>
        <v>Correcte</v>
      </c>
    </row>
    <row r="1770" spans="1:18" x14ac:dyDescent="0.25">
      <c r="A1770" s="104" t="s">
        <v>2081</v>
      </c>
      <c r="B1770" s="35" t="s">
        <v>712</v>
      </c>
      <c r="C1770" s="36">
        <v>0</v>
      </c>
      <c r="D1770" s="36">
        <v>5</v>
      </c>
      <c r="E1770" s="35" t="s">
        <v>699</v>
      </c>
      <c r="F1770" s="35" t="s">
        <v>634</v>
      </c>
      <c r="G1770" s="37">
        <v>45941.525312500002</v>
      </c>
      <c r="H1770" s="37" t="str">
        <f>INDEX(_xlfn.TEXTSPLIT(mvtst[[#This Row],[QR Suivis]],"_"),1,1)</f>
        <v>OF249946-40</v>
      </c>
      <c r="I1770" s="35" t="str">
        <f>_xlfn.TEXTBEFORE(mvtst[[#This Row],[Num Suivis]],"-",,,1)</f>
        <v>OF249946</v>
      </c>
      <c r="J1770" s="36">
        <f>SUMIF(mvtst[QR Suivis],mvtst[[#This Row],[QR Suivis]],mvtst[QTE SORTIS])-SUMIF(mvtst[QR Suivis],mvtst[[#This Row],[QR Suivis]],mvtst[QTE RETOUR])</f>
        <v>0</v>
      </c>
      <c r="K1770" s="35" t="str">
        <f t="shared" si="30"/>
        <v>Usine</v>
      </c>
      <c r="L1770" s="35" t="str">
        <f>_xlfn.XLOOKUP(mvtst[[#This Row],[Sous Traitant]],coordonnee_st[Identification],coordonnee_st[SERVICE],"Non Trouvé")</f>
        <v>Frange</v>
      </c>
      <c r="M1770" s="35" t="str">
        <f>INDEX(_xlfn.TEXTSPLIT(mvtst[[#This Row],[QR Suivis]],"_"),1,2)</f>
        <v>CL00884</v>
      </c>
      <c r="N1770" s="35" t="str">
        <f>INDEX(_xlfn.TEXTSPLIT(mvtst[[#This Row],[QR Suivis]],"_"),1,3)</f>
        <v>CM-FT0120</v>
      </c>
      <c r="O1770" s="35" t="str">
        <f>INDEX(_xlfn.TEXTSPLIT(mvtst[[#This Row],[QR Suivis]],"_"),1,4)</f>
        <v>ST1020-S14-16-17</v>
      </c>
      <c r="P1770" s="35" t="str">
        <f>INDEX(_xlfn.TEXTSPLIT(mvtst[[#This Row],[QR Suivis]],"_"),1,5)</f>
        <v>ST TROPEZ</v>
      </c>
      <c r="Q1770" s="35" t="str">
        <f>_xlfn.TEXTAFTER(mvtst[[#This Row],[QR Suivis]],"_",5)</f>
        <v>1020</v>
      </c>
      <c r="R1770" s="84" t="str">
        <f>IF(
   COUNTIFS($A$2:A1770,A1770,
             $B$2:B1770,B1770,
             $C$2:C1770,C1770,
             $D$2:D1770,D1770,
             $G$2:G1770,G1770)&gt;1,
   "Doublon",
   "Correcte"
)</f>
        <v>Correcte</v>
      </c>
    </row>
    <row r="1771" spans="1:18" x14ac:dyDescent="0.25">
      <c r="A1771" s="104" t="s">
        <v>2094</v>
      </c>
      <c r="B1771" s="35" t="s">
        <v>712</v>
      </c>
      <c r="C1771" s="36">
        <v>0</v>
      </c>
      <c r="D1771" s="36">
        <v>5</v>
      </c>
      <c r="E1771" s="35" t="s">
        <v>699</v>
      </c>
      <c r="F1771" s="35" t="s">
        <v>634</v>
      </c>
      <c r="G1771" s="37">
        <v>45941.525648148148</v>
      </c>
      <c r="H1771" s="37" t="str">
        <f>INDEX(_xlfn.TEXTSPLIT(mvtst[[#This Row],[QR Suivis]],"_"),1,1)</f>
        <v>OF249946-49</v>
      </c>
      <c r="I1771" s="35" t="str">
        <f>_xlfn.TEXTBEFORE(mvtst[[#This Row],[Num Suivis]],"-",,,1)</f>
        <v>OF249946</v>
      </c>
      <c r="J1771" s="36">
        <f>SUMIF(mvtst[QR Suivis],mvtst[[#This Row],[QR Suivis]],mvtst[QTE SORTIS])-SUMIF(mvtst[QR Suivis],mvtst[[#This Row],[QR Suivis]],mvtst[QTE RETOUR])</f>
        <v>0</v>
      </c>
      <c r="K1771" s="35" t="str">
        <f t="shared" si="30"/>
        <v>Usine</v>
      </c>
      <c r="L1771" s="35" t="str">
        <f>_xlfn.XLOOKUP(mvtst[[#This Row],[Sous Traitant]],coordonnee_st[Identification],coordonnee_st[SERVICE],"Non Trouvé")</f>
        <v>Frange</v>
      </c>
      <c r="M1771" s="35" t="str">
        <f>INDEX(_xlfn.TEXTSPLIT(mvtst[[#This Row],[QR Suivis]],"_"),1,2)</f>
        <v>CL00884</v>
      </c>
      <c r="N1771" s="35" t="str">
        <f>INDEX(_xlfn.TEXTSPLIT(mvtst[[#This Row],[QR Suivis]],"_"),1,3)</f>
        <v>CM-FT0120</v>
      </c>
      <c r="O1771" s="35" t="str">
        <f>INDEX(_xlfn.TEXTSPLIT(mvtst[[#This Row],[QR Suivis]],"_"),1,4)</f>
        <v>ST1020-S14-16-17</v>
      </c>
      <c r="P1771" s="35" t="str">
        <f>INDEX(_xlfn.TEXTSPLIT(mvtst[[#This Row],[QR Suivis]],"_"),1,5)</f>
        <v>ST TROPEZ</v>
      </c>
      <c r="Q1771" s="35" t="str">
        <f>_xlfn.TEXTAFTER(mvtst[[#This Row],[QR Suivis]],"_",5)</f>
        <v>1020</v>
      </c>
      <c r="R1771" s="84" t="str">
        <f>IF(
   COUNTIFS($A$2:A1771,A1771,
             $B$2:B1771,B1771,
             $C$2:C1771,C1771,
             $D$2:D1771,D1771,
             $G$2:G1771,G1771)&gt;1,
   "Doublon",
   "Correcte"
)</f>
        <v>Correcte</v>
      </c>
    </row>
    <row r="1772" spans="1:18" x14ac:dyDescent="0.25">
      <c r="A1772" s="104" t="s">
        <v>2157</v>
      </c>
      <c r="B1772" s="35" t="s">
        <v>712</v>
      </c>
      <c r="C1772" s="36">
        <v>0</v>
      </c>
      <c r="D1772" s="36">
        <v>5</v>
      </c>
      <c r="E1772" s="35" t="s">
        <v>699</v>
      </c>
      <c r="F1772" s="35" t="s">
        <v>634</v>
      </c>
      <c r="G1772" s="37">
        <v>45941.525821759256</v>
      </c>
      <c r="H1772" s="37" t="str">
        <f>INDEX(_xlfn.TEXTSPLIT(mvtst[[#This Row],[QR Suivis]],"_"),1,1)</f>
        <v>OF249946-29</v>
      </c>
      <c r="I1772" s="35" t="str">
        <f>_xlfn.TEXTBEFORE(mvtst[[#This Row],[Num Suivis]],"-",,,1)</f>
        <v>OF249946</v>
      </c>
      <c r="J1772" s="36">
        <f>SUMIF(mvtst[QR Suivis],mvtst[[#This Row],[QR Suivis]],mvtst[QTE SORTIS])-SUMIF(mvtst[QR Suivis],mvtst[[#This Row],[QR Suivis]],mvtst[QTE RETOUR])</f>
        <v>0</v>
      </c>
      <c r="K1772" s="35" t="str">
        <f t="shared" si="30"/>
        <v>Usine</v>
      </c>
      <c r="L1772" s="35" t="str">
        <f>_xlfn.XLOOKUP(mvtst[[#This Row],[Sous Traitant]],coordonnee_st[Identification],coordonnee_st[SERVICE],"Non Trouvé")</f>
        <v>Frange</v>
      </c>
      <c r="M1772" s="35" t="str">
        <f>INDEX(_xlfn.TEXTSPLIT(mvtst[[#This Row],[QR Suivis]],"_"),1,2)</f>
        <v>CL00884</v>
      </c>
      <c r="N1772" s="35" t="str">
        <f>INDEX(_xlfn.TEXTSPLIT(mvtst[[#This Row],[QR Suivis]],"_"),1,3)</f>
        <v>CM-FT0120</v>
      </c>
      <c r="O1772" s="35" t="str">
        <f>INDEX(_xlfn.TEXTSPLIT(mvtst[[#This Row],[QR Suivis]],"_"),1,4)</f>
        <v>ST1020-S14-16-17</v>
      </c>
      <c r="P1772" s="35" t="str">
        <f>INDEX(_xlfn.TEXTSPLIT(mvtst[[#This Row],[QR Suivis]],"_"),1,5)</f>
        <v>ST TROPEZ</v>
      </c>
      <c r="Q1772" s="35" t="str">
        <f>_xlfn.TEXTAFTER(mvtst[[#This Row],[QR Suivis]],"_",5)</f>
        <v>1020</v>
      </c>
      <c r="R1772" s="84" t="str">
        <f>IF(
   COUNTIFS($A$2:A1772,A1772,
             $B$2:B1772,B1772,
             $C$2:C1772,C1772,
             $D$2:D1772,D1772,
             $G$2:G1772,G1772)&gt;1,
   "Doublon",
   "Correcte"
)</f>
        <v>Correcte</v>
      </c>
    </row>
    <row r="1773" spans="1:18" x14ac:dyDescent="0.25">
      <c r="A1773" s="104" t="s">
        <v>2069</v>
      </c>
      <c r="B1773" s="35" t="s">
        <v>712</v>
      </c>
      <c r="C1773" s="36">
        <v>0</v>
      </c>
      <c r="D1773" s="36">
        <v>5</v>
      </c>
      <c r="E1773" s="35" t="s">
        <v>699</v>
      </c>
      <c r="F1773" s="35" t="s">
        <v>634</v>
      </c>
      <c r="G1773" s="37">
        <v>45941.525949074072</v>
      </c>
      <c r="H1773" s="37" t="str">
        <f>INDEX(_xlfn.TEXTSPLIT(mvtst[[#This Row],[QR Suivis]],"_"),1,1)</f>
        <v>OF249946-52</v>
      </c>
      <c r="I1773" s="35" t="str">
        <f>_xlfn.TEXTBEFORE(mvtst[[#This Row],[Num Suivis]],"-",,,1)</f>
        <v>OF249946</v>
      </c>
      <c r="J1773" s="36">
        <f>SUMIF(mvtst[QR Suivis],mvtst[[#This Row],[QR Suivis]],mvtst[QTE SORTIS])-SUMIF(mvtst[QR Suivis],mvtst[[#This Row],[QR Suivis]],mvtst[QTE RETOUR])</f>
        <v>0</v>
      </c>
      <c r="K1773" s="35" t="str">
        <f t="shared" si="30"/>
        <v>Usine</v>
      </c>
      <c r="L1773" s="35" t="str">
        <f>_xlfn.XLOOKUP(mvtst[[#This Row],[Sous Traitant]],coordonnee_st[Identification],coordonnee_st[SERVICE],"Non Trouvé")</f>
        <v>Frange</v>
      </c>
      <c r="M1773" s="35" t="str">
        <f>INDEX(_xlfn.TEXTSPLIT(mvtst[[#This Row],[QR Suivis]],"_"),1,2)</f>
        <v>CL00884</v>
      </c>
      <c r="N1773" s="35" t="str">
        <f>INDEX(_xlfn.TEXTSPLIT(mvtst[[#This Row],[QR Suivis]],"_"),1,3)</f>
        <v>CM-FT0120</v>
      </c>
      <c r="O1773" s="35" t="str">
        <f>INDEX(_xlfn.TEXTSPLIT(mvtst[[#This Row],[QR Suivis]],"_"),1,4)</f>
        <v>ST1020-S14-16-17</v>
      </c>
      <c r="P1773" s="35" t="str">
        <f>INDEX(_xlfn.TEXTSPLIT(mvtst[[#This Row],[QR Suivis]],"_"),1,5)</f>
        <v>ST TROPEZ</v>
      </c>
      <c r="Q1773" s="35" t="str">
        <f>_xlfn.TEXTAFTER(mvtst[[#This Row],[QR Suivis]],"_",5)</f>
        <v>1020</v>
      </c>
      <c r="R1773" s="84" t="str">
        <f>IF(
   COUNTIFS($A$2:A1773,A1773,
             $B$2:B1773,B1773,
             $C$2:C1773,C1773,
             $D$2:D1773,D1773,
             $G$2:G1773,G1773)&gt;1,
   "Doublon",
   "Correcte"
)</f>
        <v>Correcte</v>
      </c>
    </row>
    <row r="1774" spans="1:18" x14ac:dyDescent="0.25">
      <c r="A1774" s="104" t="s">
        <v>2098</v>
      </c>
      <c r="B1774" s="35" t="s">
        <v>712</v>
      </c>
      <c r="C1774" s="36">
        <v>0</v>
      </c>
      <c r="D1774" s="36">
        <v>5</v>
      </c>
      <c r="E1774" s="35" t="s">
        <v>699</v>
      </c>
      <c r="F1774" s="35" t="s">
        <v>634</v>
      </c>
      <c r="G1774" s="37">
        <v>45941.52615740741</v>
      </c>
      <c r="H1774" s="37" t="str">
        <f>INDEX(_xlfn.TEXTSPLIT(mvtst[[#This Row],[QR Suivis]],"_"),1,1)</f>
        <v>CA250035-1</v>
      </c>
      <c r="I1774" s="35" t="str">
        <f>_xlfn.TEXTBEFORE(mvtst[[#This Row],[Num Suivis]],"-",,,1)</f>
        <v>CA250035</v>
      </c>
      <c r="J1774" s="36">
        <f>SUMIF(mvtst[QR Suivis],mvtst[[#This Row],[QR Suivis]],mvtst[QTE SORTIS])-SUMIF(mvtst[QR Suivis],mvtst[[#This Row],[QR Suivis]],mvtst[QTE RETOUR])</f>
        <v>0</v>
      </c>
      <c r="K1774" s="35" t="str">
        <f t="shared" si="30"/>
        <v>Usine</v>
      </c>
      <c r="L1774" s="35" t="str">
        <f>_xlfn.XLOOKUP(mvtst[[#This Row],[Sous Traitant]],coordonnee_st[Identification],coordonnee_st[SERVICE],"Non Trouvé")</f>
        <v>Frange</v>
      </c>
      <c r="M1774" s="35" t="str">
        <f>INDEX(_xlfn.TEXTSPLIT(mvtst[[#This Row],[QR Suivis]],"_"),1,2)</f>
        <v>All by Fouta</v>
      </c>
      <c r="N1774" s="35" t="str">
        <f>INDEX(_xlfn.TEXTSPLIT(mvtst[[#This Row],[QR Suivis]],"_"),1,3)</f>
        <v>Stock</v>
      </c>
      <c r="O1774" s="35" t="str">
        <f>INDEX(_xlfn.TEXTSPLIT(mvtst[[#This Row],[QR Suivis]],"_"),1,4)</f>
        <v>UNS2020-26</v>
      </c>
      <c r="P1774" s="35" t="str">
        <f>INDEX(_xlfn.TEXTSPLIT(mvtst[[#This Row],[QR Suivis]],"_"),1,5)</f>
        <v>UNI SURPIQUE</v>
      </c>
      <c r="Q1774" s="35" t="str">
        <f>_xlfn.TEXTAFTER(mvtst[[#This Row],[QR Suivis]],"_",5)</f>
        <v>2020</v>
      </c>
      <c r="R1774" s="84" t="str">
        <f>IF(
   COUNTIFS($A$2:A1774,A1774,
             $B$2:B1774,B1774,
             $C$2:C1774,C1774,
             $D$2:D1774,D1774,
             $G$2:G1774,G1774)&gt;1,
   "Doublon",
   "Correcte"
)</f>
        <v>Correcte</v>
      </c>
    </row>
    <row r="1775" spans="1:18" x14ac:dyDescent="0.25">
      <c r="A1775" s="104" t="s">
        <v>2101</v>
      </c>
      <c r="B1775" s="35" t="s">
        <v>712</v>
      </c>
      <c r="C1775" s="36">
        <v>0</v>
      </c>
      <c r="D1775" s="36">
        <v>5</v>
      </c>
      <c r="E1775" s="35" t="s">
        <v>699</v>
      </c>
      <c r="F1775" s="35" t="s">
        <v>634</v>
      </c>
      <c r="G1775" s="37">
        <v>45941.526354166665</v>
      </c>
      <c r="H1775" s="37" t="str">
        <f>INDEX(_xlfn.TEXTSPLIT(mvtst[[#This Row],[QR Suivis]],"_"),1,1)</f>
        <v>CA250035-4</v>
      </c>
      <c r="I1775" s="35" t="str">
        <f>_xlfn.TEXTBEFORE(mvtst[[#This Row],[Num Suivis]],"-",,,1)</f>
        <v>CA250035</v>
      </c>
      <c r="J1775" s="36">
        <f>SUMIF(mvtst[QR Suivis],mvtst[[#This Row],[QR Suivis]],mvtst[QTE SORTIS])-SUMIF(mvtst[QR Suivis],mvtst[[#This Row],[QR Suivis]],mvtst[QTE RETOUR])</f>
        <v>0</v>
      </c>
      <c r="K1775" s="35" t="str">
        <f t="shared" si="30"/>
        <v>Usine</v>
      </c>
      <c r="L1775" s="35" t="str">
        <f>_xlfn.XLOOKUP(mvtst[[#This Row],[Sous Traitant]],coordonnee_st[Identification],coordonnee_st[SERVICE],"Non Trouvé")</f>
        <v>Frange</v>
      </c>
      <c r="M1775" s="35" t="str">
        <f>INDEX(_xlfn.TEXTSPLIT(mvtst[[#This Row],[QR Suivis]],"_"),1,2)</f>
        <v>All by Fouta</v>
      </c>
      <c r="N1775" s="35" t="str">
        <f>INDEX(_xlfn.TEXTSPLIT(mvtst[[#This Row],[QR Suivis]],"_"),1,3)</f>
        <v>Stock</v>
      </c>
      <c r="O1775" s="35" t="str">
        <f>INDEX(_xlfn.TEXTSPLIT(mvtst[[#This Row],[QR Suivis]],"_"),1,4)</f>
        <v>UNS2020-26</v>
      </c>
      <c r="P1775" s="35" t="str">
        <f>INDEX(_xlfn.TEXTSPLIT(mvtst[[#This Row],[QR Suivis]],"_"),1,5)</f>
        <v>UNI SURPIQUE</v>
      </c>
      <c r="Q1775" s="35" t="str">
        <f>_xlfn.TEXTAFTER(mvtst[[#This Row],[QR Suivis]],"_",5)</f>
        <v>2020</v>
      </c>
      <c r="R1775" s="84" t="str">
        <f>IF(
   COUNTIFS($A$2:A1775,A1775,
             $B$2:B1775,B1775,
             $C$2:C1775,C1775,
             $D$2:D1775,D1775,
             $G$2:G1775,G1775)&gt;1,
   "Doublon",
   "Correcte"
)</f>
        <v>Correcte</v>
      </c>
    </row>
    <row r="1776" spans="1:18" x14ac:dyDescent="0.25">
      <c r="A1776" s="104" t="s">
        <v>2050</v>
      </c>
      <c r="B1776" s="35" t="s">
        <v>712</v>
      </c>
      <c r="C1776" s="36">
        <v>0</v>
      </c>
      <c r="D1776" s="36">
        <v>5</v>
      </c>
      <c r="E1776" s="35" t="s">
        <v>699</v>
      </c>
      <c r="F1776" s="35" t="s">
        <v>634</v>
      </c>
      <c r="G1776" s="37">
        <v>45941.526550925926</v>
      </c>
      <c r="H1776" s="37" t="str">
        <f>INDEX(_xlfn.TEXTSPLIT(mvtst[[#This Row],[QR Suivis]],"_"),1,1)</f>
        <v>OF249848-3</v>
      </c>
      <c r="I1776" s="35" t="str">
        <f>_xlfn.TEXTBEFORE(mvtst[[#This Row],[Num Suivis]],"-",,,1)</f>
        <v>OF249848</v>
      </c>
      <c r="J1776" s="36">
        <f>SUMIF(mvtst[QR Suivis],mvtst[[#This Row],[QR Suivis]],mvtst[QTE SORTIS])-SUMIF(mvtst[QR Suivis],mvtst[[#This Row],[QR Suivis]],mvtst[QTE RETOUR])</f>
        <v>0</v>
      </c>
      <c r="K1776" s="35" t="str">
        <f t="shared" si="30"/>
        <v>Usine</v>
      </c>
      <c r="L1776" s="35" t="str">
        <f>_xlfn.XLOOKUP(mvtst[[#This Row],[Sous Traitant]],coordonnee_st[Identification],coordonnee_st[SERVICE],"Non Trouvé")</f>
        <v>Frange</v>
      </c>
      <c r="M1776" s="35" t="str">
        <f>INDEX(_xlfn.TEXTSPLIT(mvtst[[#This Row],[QR Suivis]],"_"),1,2)</f>
        <v>CL00884</v>
      </c>
      <c r="N1776" s="35" t="str">
        <f>INDEX(_xlfn.TEXTSPLIT(mvtst[[#This Row],[QR Suivis]],"_"),1,3)</f>
        <v>CM-FT0119</v>
      </c>
      <c r="O1776" s="35" t="str">
        <f>INDEX(_xlfn.TEXTSPLIT(mvtst[[#This Row],[QR Suivis]],"_"),1,4)</f>
        <v>ST1020-S14-16-17</v>
      </c>
      <c r="P1776" s="35" t="str">
        <f>INDEX(_xlfn.TEXTSPLIT(mvtst[[#This Row],[QR Suivis]],"_"),1,5)</f>
        <v>ST TROPEZ</v>
      </c>
      <c r="Q1776" s="35" t="str">
        <f>_xlfn.TEXTAFTER(mvtst[[#This Row],[QR Suivis]],"_",5)</f>
        <v>1020</v>
      </c>
      <c r="R1776" s="84" t="str">
        <f>IF(
   COUNTIFS($A$2:A1776,A1776,
             $B$2:B1776,B1776,
             $C$2:C1776,C1776,
             $D$2:D1776,D1776,
             $G$2:G1776,G1776)&gt;1,
   "Doublon",
   "Correcte"
)</f>
        <v>Correcte</v>
      </c>
    </row>
    <row r="1777" spans="1:18" x14ac:dyDescent="0.25">
      <c r="A1777" s="104" t="s">
        <v>2100</v>
      </c>
      <c r="B1777" s="35" t="s">
        <v>712</v>
      </c>
      <c r="C1777" s="36">
        <v>0</v>
      </c>
      <c r="D1777" s="36">
        <v>5</v>
      </c>
      <c r="E1777" s="35" t="s">
        <v>699</v>
      </c>
      <c r="F1777" s="35" t="s">
        <v>634</v>
      </c>
      <c r="G1777" s="37">
        <v>45941.526724537034</v>
      </c>
      <c r="H1777" s="37" t="str">
        <f>INDEX(_xlfn.TEXTSPLIT(mvtst[[#This Row],[QR Suivis]],"_"),1,1)</f>
        <v>CA250035-5</v>
      </c>
      <c r="I1777" s="35" t="str">
        <f>_xlfn.TEXTBEFORE(mvtst[[#This Row],[Num Suivis]],"-",,,1)</f>
        <v>CA250035</v>
      </c>
      <c r="J1777" s="36">
        <f>SUMIF(mvtst[QR Suivis],mvtst[[#This Row],[QR Suivis]],mvtst[QTE SORTIS])-SUMIF(mvtst[QR Suivis],mvtst[[#This Row],[QR Suivis]],mvtst[QTE RETOUR])</f>
        <v>0</v>
      </c>
      <c r="K1777" s="35" t="str">
        <f t="shared" si="30"/>
        <v>Usine</v>
      </c>
      <c r="L1777" s="35" t="str">
        <f>_xlfn.XLOOKUP(mvtst[[#This Row],[Sous Traitant]],coordonnee_st[Identification],coordonnee_st[SERVICE],"Non Trouvé")</f>
        <v>Frange</v>
      </c>
      <c r="M1777" s="35" t="str">
        <f>INDEX(_xlfn.TEXTSPLIT(mvtst[[#This Row],[QR Suivis]],"_"),1,2)</f>
        <v>All by Fouta</v>
      </c>
      <c r="N1777" s="35" t="str">
        <f>INDEX(_xlfn.TEXTSPLIT(mvtst[[#This Row],[QR Suivis]],"_"),1,3)</f>
        <v>Stock</v>
      </c>
      <c r="O1777" s="35" t="str">
        <f>INDEX(_xlfn.TEXTSPLIT(mvtst[[#This Row],[QR Suivis]],"_"),1,4)</f>
        <v>UNS2020-26</v>
      </c>
      <c r="P1777" s="35" t="str">
        <f>INDEX(_xlfn.TEXTSPLIT(mvtst[[#This Row],[QR Suivis]],"_"),1,5)</f>
        <v>UNI SURPIQUE</v>
      </c>
      <c r="Q1777" s="35" t="str">
        <f>_xlfn.TEXTAFTER(mvtst[[#This Row],[QR Suivis]],"_",5)</f>
        <v>2020</v>
      </c>
      <c r="R1777" s="84" t="str">
        <f>IF(
   COUNTIFS($A$2:A1777,A1777,
             $B$2:B1777,B1777,
             $C$2:C1777,C1777,
             $D$2:D1777,D1777,
             $G$2:G1777,G1777)&gt;1,
   "Doublon",
   "Correcte"
)</f>
        <v>Correcte</v>
      </c>
    </row>
    <row r="1778" spans="1:18" x14ac:dyDescent="0.25">
      <c r="A1778" s="104" t="s">
        <v>2102</v>
      </c>
      <c r="B1778" s="35" t="s">
        <v>712</v>
      </c>
      <c r="C1778" s="36">
        <v>0</v>
      </c>
      <c r="D1778" s="36">
        <v>5</v>
      </c>
      <c r="E1778" s="35" t="s">
        <v>699</v>
      </c>
      <c r="F1778" s="35" t="s">
        <v>634</v>
      </c>
      <c r="G1778" s="37">
        <v>45941.526898148149</v>
      </c>
      <c r="H1778" s="37" t="str">
        <f>INDEX(_xlfn.TEXTSPLIT(mvtst[[#This Row],[QR Suivis]],"_"),1,1)</f>
        <v>CA250035-6</v>
      </c>
      <c r="I1778" s="35" t="str">
        <f>_xlfn.TEXTBEFORE(mvtst[[#This Row],[Num Suivis]],"-",,,1)</f>
        <v>CA250035</v>
      </c>
      <c r="J1778" s="36">
        <f>SUMIF(mvtst[QR Suivis],mvtst[[#This Row],[QR Suivis]],mvtst[QTE SORTIS])-SUMIF(mvtst[QR Suivis],mvtst[[#This Row],[QR Suivis]],mvtst[QTE RETOUR])</f>
        <v>0</v>
      </c>
      <c r="K1778" s="35" t="str">
        <f t="shared" si="30"/>
        <v>Usine</v>
      </c>
      <c r="L1778" s="35" t="str">
        <f>_xlfn.XLOOKUP(mvtst[[#This Row],[Sous Traitant]],coordonnee_st[Identification],coordonnee_st[SERVICE],"Non Trouvé")</f>
        <v>Frange</v>
      </c>
      <c r="M1778" s="35" t="str">
        <f>INDEX(_xlfn.TEXTSPLIT(mvtst[[#This Row],[QR Suivis]],"_"),1,2)</f>
        <v>All by Fouta</v>
      </c>
      <c r="N1778" s="35" t="str">
        <f>INDEX(_xlfn.TEXTSPLIT(mvtst[[#This Row],[QR Suivis]],"_"),1,3)</f>
        <v>Stock</v>
      </c>
      <c r="O1778" s="35" t="str">
        <f>INDEX(_xlfn.TEXTSPLIT(mvtst[[#This Row],[QR Suivis]],"_"),1,4)</f>
        <v>UNS2020-26</v>
      </c>
      <c r="P1778" s="35" t="str">
        <f>INDEX(_xlfn.TEXTSPLIT(mvtst[[#This Row],[QR Suivis]],"_"),1,5)</f>
        <v>UNI SURPIQUE</v>
      </c>
      <c r="Q1778" s="35" t="str">
        <f>_xlfn.TEXTAFTER(mvtst[[#This Row],[QR Suivis]],"_",5)</f>
        <v>2020</v>
      </c>
      <c r="R1778" s="84" t="str">
        <f>IF(
   COUNTIFS($A$2:A1778,A1778,
             $B$2:B1778,B1778,
             $C$2:C1778,C1778,
             $D$2:D1778,D1778,
             $G$2:G1778,G1778)&gt;1,
   "Doublon",
   "Correcte"
)</f>
        <v>Correcte</v>
      </c>
    </row>
    <row r="1779" spans="1:18" x14ac:dyDescent="0.25">
      <c r="A1779" s="104" t="s">
        <v>2104</v>
      </c>
      <c r="B1779" s="35" t="s">
        <v>712</v>
      </c>
      <c r="C1779" s="36">
        <v>0</v>
      </c>
      <c r="D1779" s="36">
        <v>1</v>
      </c>
      <c r="E1779" s="35" t="s">
        <v>699</v>
      </c>
      <c r="F1779" s="35" t="s">
        <v>634</v>
      </c>
      <c r="G1779" s="37">
        <v>45941.527129629627</v>
      </c>
      <c r="H1779" s="37" t="str">
        <f>INDEX(_xlfn.TEXTSPLIT(mvtst[[#This Row],[QR Suivis]],"_"),1,1)</f>
        <v>CA250035-7</v>
      </c>
      <c r="I1779" s="35" t="str">
        <f>_xlfn.TEXTBEFORE(mvtst[[#This Row],[Num Suivis]],"-",,,1)</f>
        <v>CA250035</v>
      </c>
      <c r="J1779" s="36">
        <f>SUMIF(mvtst[QR Suivis],mvtst[[#This Row],[QR Suivis]],mvtst[QTE SORTIS])-SUMIF(mvtst[QR Suivis],mvtst[[#This Row],[QR Suivis]],mvtst[QTE RETOUR])</f>
        <v>0</v>
      </c>
      <c r="K1779" s="35" t="str">
        <f t="shared" si="30"/>
        <v>Usine</v>
      </c>
      <c r="L1779" s="35" t="str">
        <f>_xlfn.XLOOKUP(mvtst[[#This Row],[Sous Traitant]],coordonnee_st[Identification],coordonnee_st[SERVICE],"Non Trouvé")</f>
        <v>Frange</v>
      </c>
      <c r="M1779" s="35" t="str">
        <f>INDEX(_xlfn.TEXTSPLIT(mvtst[[#This Row],[QR Suivis]],"_"),1,2)</f>
        <v>All by Fouta</v>
      </c>
      <c r="N1779" s="35" t="str">
        <f>INDEX(_xlfn.TEXTSPLIT(mvtst[[#This Row],[QR Suivis]],"_"),1,3)</f>
        <v>Stock</v>
      </c>
      <c r="O1779" s="35" t="str">
        <f>INDEX(_xlfn.TEXTSPLIT(mvtst[[#This Row],[QR Suivis]],"_"),1,4)</f>
        <v>UNS2020-26</v>
      </c>
      <c r="P1779" s="35" t="str">
        <f>INDEX(_xlfn.TEXTSPLIT(mvtst[[#This Row],[QR Suivis]],"_"),1,5)</f>
        <v>UNI SURPIQUE</v>
      </c>
      <c r="Q1779" s="35" t="str">
        <f>_xlfn.TEXTAFTER(mvtst[[#This Row],[QR Suivis]],"_",5)</f>
        <v>2020</v>
      </c>
      <c r="R1779" s="84" t="str">
        <f>IF(
   COUNTIFS($A$2:A1779,A1779,
             $B$2:B1779,B1779,
             $C$2:C1779,C1779,
             $D$2:D1779,D1779,
             $G$2:G1779,G1779)&gt;1,
   "Doublon",
   "Correcte"
)</f>
        <v>Correcte</v>
      </c>
    </row>
    <row r="1780" spans="1:18" x14ac:dyDescent="0.25">
      <c r="A1780" s="104" t="s">
        <v>2087</v>
      </c>
      <c r="B1780" s="35" t="s">
        <v>712</v>
      </c>
      <c r="C1780" s="36">
        <v>0</v>
      </c>
      <c r="D1780" s="36">
        <v>1</v>
      </c>
      <c r="E1780" s="35" t="s">
        <v>699</v>
      </c>
      <c r="F1780" s="35" t="s">
        <v>634</v>
      </c>
      <c r="G1780" s="37">
        <v>45941.527233796296</v>
      </c>
      <c r="H1780" s="37" t="str">
        <f>INDEX(_xlfn.TEXTSPLIT(mvtst[[#This Row],[QR Suivis]],"_"),1,1)</f>
        <v>CA250016-13</v>
      </c>
      <c r="I1780" s="35" t="str">
        <f>_xlfn.TEXTBEFORE(mvtst[[#This Row],[Num Suivis]],"-",,,1)</f>
        <v>CA250016</v>
      </c>
      <c r="J1780" s="36">
        <f>SUMIF(mvtst[QR Suivis],mvtst[[#This Row],[QR Suivis]],mvtst[QTE SORTIS])-SUMIF(mvtst[QR Suivis],mvtst[[#This Row],[QR Suivis]],mvtst[QTE RETOUR])</f>
        <v>0</v>
      </c>
      <c r="K1780" s="35" t="str">
        <f t="shared" si="30"/>
        <v>Usine</v>
      </c>
      <c r="L1780" s="35" t="str">
        <f>_xlfn.XLOOKUP(mvtst[[#This Row],[Sous Traitant]],coordonnee_st[Identification],coordonnee_st[SERVICE],"Non Trouvé")</f>
        <v>Frange</v>
      </c>
      <c r="M1780" s="35" t="str">
        <f>INDEX(_xlfn.TEXTSPLIT(mvtst[[#This Row],[QR Suivis]],"_"),1,2)</f>
        <v>All by Fouta</v>
      </c>
      <c r="N1780" s="35" t="str">
        <f>INDEX(_xlfn.TEXTSPLIT(mvtst[[#This Row],[QR Suivis]],"_"),1,3)</f>
        <v>Stock</v>
      </c>
      <c r="O1780" s="35" t="str">
        <f>INDEX(_xlfn.TEXTSPLIT(mvtst[[#This Row],[QR Suivis]],"_"),1,4)</f>
        <v>UNS1020-27</v>
      </c>
      <c r="P1780" s="35" t="str">
        <f>INDEX(_xlfn.TEXTSPLIT(mvtst[[#This Row],[QR Suivis]],"_"),1,5)</f>
        <v>UNI SURPIQUE</v>
      </c>
      <c r="Q1780" s="35" t="str">
        <f>_xlfn.TEXTAFTER(mvtst[[#This Row],[QR Suivis]],"_",5)</f>
        <v>1020</v>
      </c>
      <c r="R1780" s="84" t="str">
        <f>IF(
   COUNTIFS($A$2:A1780,A1780,
             $B$2:B1780,B1780,
             $C$2:C1780,C1780,
             $D$2:D1780,D1780,
             $G$2:G1780,G1780)&gt;1,
   "Doublon",
   "Correcte"
)</f>
        <v>Correcte</v>
      </c>
    </row>
    <row r="1781" spans="1:18" x14ac:dyDescent="0.25">
      <c r="A1781" s="104" t="s">
        <v>2097</v>
      </c>
      <c r="B1781" s="35" t="s">
        <v>712</v>
      </c>
      <c r="C1781" s="36">
        <v>0</v>
      </c>
      <c r="D1781" s="36">
        <v>5</v>
      </c>
      <c r="E1781" s="35" t="s">
        <v>699</v>
      </c>
      <c r="F1781" s="35" t="s">
        <v>634</v>
      </c>
      <c r="G1781" s="37">
        <v>45941.527511574073</v>
      </c>
      <c r="H1781" s="37" t="str">
        <f>INDEX(_xlfn.TEXTSPLIT(mvtst[[#This Row],[QR Suivis]],"_"),1,1)</f>
        <v>OF249946-32</v>
      </c>
      <c r="I1781" s="35" t="str">
        <f>_xlfn.TEXTBEFORE(mvtst[[#This Row],[Num Suivis]],"-",,,1)</f>
        <v>OF249946</v>
      </c>
      <c r="J1781" s="36">
        <f>SUMIF(mvtst[QR Suivis],mvtst[[#This Row],[QR Suivis]],mvtst[QTE SORTIS])-SUMIF(mvtst[QR Suivis],mvtst[[#This Row],[QR Suivis]],mvtst[QTE RETOUR])</f>
        <v>0</v>
      </c>
      <c r="K1781" s="35" t="str">
        <f t="shared" si="30"/>
        <v>Usine</v>
      </c>
      <c r="L1781" s="35" t="str">
        <f>_xlfn.XLOOKUP(mvtst[[#This Row],[Sous Traitant]],coordonnee_st[Identification],coordonnee_st[SERVICE],"Non Trouvé")</f>
        <v>Frange</v>
      </c>
      <c r="M1781" s="35" t="str">
        <f>INDEX(_xlfn.TEXTSPLIT(mvtst[[#This Row],[QR Suivis]],"_"),1,2)</f>
        <v>CL00884</v>
      </c>
      <c r="N1781" s="35" t="str">
        <f>INDEX(_xlfn.TEXTSPLIT(mvtst[[#This Row],[QR Suivis]],"_"),1,3)</f>
        <v>CM-FT0120</v>
      </c>
      <c r="O1781" s="35" t="str">
        <f>INDEX(_xlfn.TEXTSPLIT(mvtst[[#This Row],[QR Suivis]],"_"),1,4)</f>
        <v>ST1020-S14-16-17</v>
      </c>
      <c r="P1781" s="35" t="str">
        <f>INDEX(_xlfn.TEXTSPLIT(mvtst[[#This Row],[QR Suivis]],"_"),1,5)</f>
        <v>ST TROPEZ</v>
      </c>
      <c r="Q1781" s="35" t="str">
        <f>_xlfn.TEXTAFTER(mvtst[[#This Row],[QR Suivis]],"_",5)</f>
        <v>1020</v>
      </c>
      <c r="R1781" s="84" t="str">
        <f>IF(
   COUNTIFS($A$2:A1781,A1781,
             $B$2:B1781,B1781,
             $C$2:C1781,C1781,
             $D$2:D1781,D1781,
             $G$2:G1781,G1781)&gt;1,
   "Doublon",
   "Correcte"
)</f>
        <v>Correcte</v>
      </c>
    </row>
    <row r="1782" spans="1:18" x14ac:dyDescent="0.25">
      <c r="A1782" s="104" t="s">
        <v>2079</v>
      </c>
      <c r="B1782" s="35" t="s">
        <v>712</v>
      </c>
      <c r="C1782" s="36">
        <v>0</v>
      </c>
      <c r="D1782" s="36">
        <v>5</v>
      </c>
      <c r="E1782" s="35" t="s">
        <v>699</v>
      </c>
      <c r="F1782" s="35" t="s">
        <v>634</v>
      </c>
      <c r="G1782" s="37">
        <v>45941.527650462966</v>
      </c>
      <c r="H1782" s="37" t="str">
        <f>INDEX(_xlfn.TEXTSPLIT(mvtst[[#This Row],[QR Suivis]],"_"),1,1)</f>
        <v>OF249946-43</v>
      </c>
      <c r="I1782" s="35" t="str">
        <f>_xlfn.TEXTBEFORE(mvtst[[#This Row],[Num Suivis]],"-",,,1)</f>
        <v>OF249946</v>
      </c>
      <c r="J1782" s="36">
        <f>SUMIF(mvtst[QR Suivis],mvtst[[#This Row],[QR Suivis]],mvtst[QTE SORTIS])-SUMIF(mvtst[QR Suivis],mvtst[[#This Row],[QR Suivis]],mvtst[QTE RETOUR])</f>
        <v>0</v>
      </c>
      <c r="K1782" s="35" t="str">
        <f t="shared" si="30"/>
        <v>Usine</v>
      </c>
      <c r="L1782" s="35" t="str">
        <f>_xlfn.XLOOKUP(mvtst[[#This Row],[Sous Traitant]],coordonnee_st[Identification],coordonnee_st[SERVICE],"Non Trouvé")</f>
        <v>Frange</v>
      </c>
      <c r="M1782" s="35" t="str">
        <f>INDEX(_xlfn.TEXTSPLIT(mvtst[[#This Row],[QR Suivis]],"_"),1,2)</f>
        <v>CL00884</v>
      </c>
      <c r="N1782" s="35" t="str">
        <f>INDEX(_xlfn.TEXTSPLIT(mvtst[[#This Row],[QR Suivis]],"_"),1,3)</f>
        <v>CM-FT0120</v>
      </c>
      <c r="O1782" s="35" t="str">
        <f>INDEX(_xlfn.TEXTSPLIT(mvtst[[#This Row],[QR Suivis]],"_"),1,4)</f>
        <v>ST1020-S14-16-17</v>
      </c>
      <c r="P1782" s="35" t="str">
        <f>INDEX(_xlfn.TEXTSPLIT(mvtst[[#This Row],[QR Suivis]],"_"),1,5)</f>
        <v>ST TROPEZ</v>
      </c>
      <c r="Q1782" s="35" t="str">
        <f>_xlfn.TEXTAFTER(mvtst[[#This Row],[QR Suivis]],"_",5)</f>
        <v>1020</v>
      </c>
      <c r="R1782" s="84" t="str">
        <f>IF(
   COUNTIFS($A$2:A1782,A1782,
             $B$2:B1782,B1782,
             $C$2:C1782,C1782,
             $D$2:D1782,D1782,
             $G$2:G1782,G1782)&gt;1,
   "Doublon",
   "Correcte"
)</f>
        <v>Correcte</v>
      </c>
    </row>
    <row r="1783" spans="1:18" x14ac:dyDescent="0.25">
      <c r="A1783" s="104" t="s">
        <v>2072</v>
      </c>
      <c r="B1783" s="35" t="s">
        <v>712</v>
      </c>
      <c r="C1783" s="36">
        <v>0</v>
      </c>
      <c r="D1783" s="36">
        <v>5</v>
      </c>
      <c r="E1783" s="35" t="s">
        <v>699</v>
      </c>
      <c r="F1783" s="35" t="s">
        <v>634</v>
      </c>
      <c r="G1783" s="37">
        <v>45941.527812499997</v>
      </c>
      <c r="H1783" s="37" t="str">
        <f>INDEX(_xlfn.TEXTSPLIT(mvtst[[#This Row],[QR Suivis]],"_"),1,1)</f>
        <v>OF249946-60</v>
      </c>
      <c r="I1783" s="35" t="str">
        <f>_xlfn.TEXTBEFORE(mvtst[[#This Row],[Num Suivis]],"-",,,1)</f>
        <v>OF249946</v>
      </c>
      <c r="J1783" s="36">
        <f>SUMIF(mvtst[QR Suivis],mvtst[[#This Row],[QR Suivis]],mvtst[QTE SORTIS])-SUMIF(mvtst[QR Suivis],mvtst[[#This Row],[QR Suivis]],mvtst[QTE RETOUR])</f>
        <v>0</v>
      </c>
      <c r="K1783" s="35" t="str">
        <f t="shared" si="30"/>
        <v>Usine</v>
      </c>
      <c r="L1783" s="35" t="str">
        <f>_xlfn.XLOOKUP(mvtst[[#This Row],[Sous Traitant]],coordonnee_st[Identification],coordonnee_st[SERVICE],"Non Trouvé")</f>
        <v>Frange</v>
      </c>
      <c r="M1783" s="35" t="str">
        <f>INDEX(_xlfn.TEXTSPLIT(mvtst[[#This Row],[QR Suivis]],"_"),1,2)</f>
        <v>CL00884</v>
      </c>
      <c r="N1783" s="35" t="str">
        <f>INDEX(_xlfn.TEXTSPLIT(mvtst[[#This Row],[QR Suivis]],"_"),1,3)</f>
        <v>CM-FT0120</v>
      </c>
      <c r="O1783" s="35" t="str">
        <f>INDEX(_xlfn.TEXTSPLIT(mvtst[[#This Row],[QR Suivis]],"_"),1,4)</f>
        <v>ST1020-S14-16-17</v>
      </c>
      <c r="P1783" s="35" t="str">
        <f>INDEX(_xlfn.TEXTSPLIT(mvtst[[#This Row],[QR Suivis]],"_"),1,5)</f>
        <v>ST TROPEZ</v>
      </c>
      <c r="Q1783" s="35" t="str">
        <f>_xlfn.TEXTAFTER(mvtst[[#This Row],[QR Suivis]],"_",5)</f>
        <v>1020</v>
      </c>
      <c r="R1783" s="84" t="str">
        <f>IF(
   COUNTIFS($A$2:A1783,A1783,
             $B$2:B1783,B1783,
             $C$2:C1783,C1783,
             $D$2:D1783,D1783,
             $G$2:G1783,G1783)&gt;1,
   "Doublon",
   "Correcte"
)</f>
        <v>Correcte</v>
      </c>
    </row>
    <row r="1784" spans="1:18" x14ac:dyDescent="0.25">
      <c r="A1784" s="104" t="s">
        <v>2342</v>
      </c>
      <c r="B1784" s="35" t="s">
        <v>595</v>
      </c>
      <c r="C1784" s="36">
        <v>5</v>
      </c>
      <c r="D1784" s="36">
        <v>0</v>
      </c>
      <c r="E1784" s="35" t="s">
        <v>699</v>
      </c>
      <c r="F1784" s="35" t="s">
        <v>634</v>
      </c>
      <c r="G1784" s="37">
        <v>45943.485324074078</v>
      </c>
      <c r="H1784" s="37" t="str">
        <f>INDEX(_xlfn.TEXTSPLIT(mvtst[[#This Row],[QR Suivis]],"_"),1,1)</f>
        <v>OF249940-26</v>
      </c>
      <c r="I1784" s="35" t="str">
        <f>_xlfn.TEXTBEFORE(mvtst[[#This Row],[Num Suivis]],"-",,,1)</f>
        <v>OF249940</v>
      </c>
      <c r="J1784" s="36">
        <f>SUMIF(mvtst[QR Suivis],mvtst[[#This Row],[QR Suivis]],mvtst[QTE SORTIS])-SUMIF(mvtst[QR Suivis],mvtst[[#This Row],[QR Suivis]],mvtst[QTE RETOUR])</f>
        <v>5</v>
      </c>
      <c r="K1784" s="35" t="str">
        <f t="shared" ref="K1784:K1846" si="31">"Usine"</f>
        <v>Usine</v>
      </c>
      <c r="L1784" s="35" t="str">
        <f>_xlfn.XLOOKUP(mvtst[[#This Row],[Sous Traitant]],coordonnee_st[Identification],coordonnee_st[SERVICE],"Non Trouvé")</f>
        <v>Frange</v>
      </c>
      <c r="M1784" s="35" t="str">
        <f>INDEX(_xlfn.TEXTSPLIT(mvtst[[#This Row],[QR Suivis]],"_"),1,2)</f>
        <v>CL00884</v>
      </c>
      <c r="N1784" s="35" t="str">
        <f>INDEX(_xlfn.TEXTSPLIT(mvtst[[#This Row],[QR Suivis]],"_"),1,3)</f>
        <v>CM-FT0120</v>
      </c>
      <c r="O1784" s="35" t="str">
        <f>INDEX(_xlfn.TEXTSPLIT(mvtst[[#This Row],[QR Suivis]],"_"),1,4)</f>
        <v>FI1020-C28-25-24</v>
      </c>
      <c r="P1784" s="35" t="str">
        <f>INDEX(_xlfn.TEXTSPLIT(mvtst[[#This Row],[QR Suivis]],"_"),1,5)</f>
        <v>FIVE</v>
      </c>
      <c r="Q1784" s="35" t="str">
        <f>_xlfn.TEXTAFTER(mvtst[[#This Row],[QR Suivis]],"_",5)</f>
        <v>1020</v>
      </c>
      <c r="R1784" s="84" t="str">
        <f>IF(
   COUNTIFS($A$2:A1784,A1784,
             $B$2:B1784,B1784,
             $C$2:C1784,C1784,
             $D$2:D1784,D1784,
             $G$2:G1784,G1784)&gt;1,
   "Doublon",
   "Correcte"
)</f>
        <v>Correcte</v>
      </c>
    </row>
    <row r="1785" spans="1:18" x14ac:dyDescent="0.25">
      <c r="A1785" s="104" t="s">
        <v>2343</v>
      </c>
      <c r="B1785" s="35" t="s">
        <v>595</v>
      </c>
      <c r="C1785" s="36">
        <v>5</v>
      </c>
      <c r="D1785" s="36">
        <v>0</v>
      </c>
      <c r="E1785" s="35" t="s">
        <v>699</v>
      </c>
      <c r="F1785" s="35" t="s">
        <v>634</v>
      </c>
      <c r="G1785" s="37">
        <v>45943.485555555555</v>
      </c>
      <c r="H1785" s="37" t="str">
        <f>INDEX(_xlfn.TEXTSPLIT(mvtst[[#This Row],[QR Suivis]],"_"),1,1)</f>
        <v>OF249940-47</v>
      </c>
      <c r="I1785" s="35" t="str">
        <f>_xlfn.TEXTBEFORE(mvtst[[#This Row],[Num Suivis]],"-",,,1)</f>
        <v>OF249940</v>
      </c>
      <c r="J1785" s="36">
        <f>SUMIF(mvtst[QR Suivis],mvtst[[#This Row],[QR Suivis]],mvtst[QTE SORTIS])-SUMIF(mvtst[QR Suivis],mvtst[[#This Row],[QR Suivis]],mvtst[QTE RETOUR])</f>
        <v>5</v>
      </c>
      <c r="K1785" s="35" t="str">
        <f t="shared" si="31"/>
        <v>Usine</v>
      </c>
      <c r="L1785" s="35" t="str">
        <f>_xlfn.XLOOKUP(mvtst[[#This Row],[Sous Traitant]],coordonnee_st[Identification],coordonnee_st[SERVICE],"Non Trouvé")</f>
        <v>Frange</v>
      </c>
      <c r="M1785" s="35" t="str">
        <f>INDEX(_xlfn.TEXTSPLIT(mvtst[[#This Row],[QR Suivis]],"_"),1,2)</f>
        <v>CL00884</v>
      </c>
      <c r="N1785" s="35" t="str">
        <f>INDEX(_xlfn.TEXTSPLIT(mvtst[[#This Row],[QR Suivis]],"_"),1,3)</f>
        <v>CM-FT0120</v>
      </c>
      <c r="O1785" s="35" t="str">
        <f>INDEX(_xlfn.TEXTSPLIT(mvtst[[#This Row],[QR Suivis]],"_"),1,4)</f>
        <v>FI1020-C28-25-24</v>
      </c>
      <c r="P1785" s="35" t="str">
        <f>INDEX(_xlfn.TEXTSPLIT(mvtst[[#This Row],[QR Suivis]],"_"),1,5)</f>
        <v>FIVE</v>
      </c>
      <c r="Q1785" s="35" t="str">
        <f>_xlfn.TEXTAFTER(mvtst[[#This Row],[QR Suivis]],"_",5)</f>
        <v>1020</v>
      </c>
      <c r="R1785" s="84" t="str">
        <f>IF(
   COUNTIFS($A$2:A1785,A1785,
             $B$2:B1785,B1785,
             $C$2:C1785,C1785,
             $D$2:D1785,D1785,
             $G$2:G1785,G1785)&gt;1,
   "Doublon",
   "Correcte"
)</f>
        <v>Correcte</v>
      </c>
    </row>
    <row r="1786" spans="1:18" x14ac:dyDescent="0.25">
      <c r="A1786" s="104" t="s">
        <v>2344</v>
      </c>
      <c r="B1786" s="35" t="s">
        <v>595</v>
      </c>
      <c r="C1786" s="36">
        <v>5</v>
      </c>
      <c r="D1786" s="36">
        <v>0</v>
      </c>
      <c r="E1786" s="35" t="s">
        <v>699</v>
      </c>
      <c r="F1786" s="35" t="s">
        <v>634</v>
      </c>
      <c r="G1786" s="37">
        <v>45943.485706018517</v>
      </c>
      <c r="H1786" s="37" t="str">
        <f>INDEX(_xlfn.TEXTSPLIT(mvtst[[#This Row],[QR Suivis]],"_"),1,1)</f>
        <v>OF249940-48</v>
      </c>
      <c r="I1786" s="35" t="str">
        <f>_xlfn.TEXTBEFORE(mvtst[[#This Row],[Num Suivis]],"-",,,1)</f>
        <v>OF249940</v>
      </c>
      <c r="J1786" s="36">
        <f>SUMIF(mvtst[QR Suivis],mvtst[[#This Row],[QR Suivis]],mvtst[QTE SORTIS])-SUMIF(mvtst[QR Suivis],mvtst[[#This Row],[QR Suivis]],mvtst[QTE RETOUR])</f>
        <v>5</v>
      </c>
      <c r="K1786" s="35" t="str">
        <f t="shared" si="31"/>
        <v>Usine</v>
      </c>
      <c r="L1786" s="35" t="str">
        <f>_xlfn.XLOOKUP(mvtst[[#This Row],[Sous Traitant]],coordonnee_st[Identification],coordonnee_st[SERVICE],"Non Trouvé")</f>
        <v>Frange</v>
      </c>
      <c r="M1786" s="35" t="str">
        <f>INDEX(_xlfn.TEXTSPLIT(mvtst[[#This Row],[QR Suivis]],"_"),1,2)</f>
        <v>CL00884</v>
      </c>
      <c r="N1786" s="35" t="str">
        <f>INDEX(_xlfn.TEXTSPLIT(mvtst[[#This Row],[QR Suivis]],"_"),1,3)</f>
        <v>CM-FT0120</v>
      </c>
      <c r="O1786" s="35" t="str">
        <f>INDEX(_xlfn.TEXTSPLIT(mvtst[[#This Row],[QR Suivis]],"_"),1,4)</f>
        <v>FI1020-C28-25-24</v>
      </c>
      <c r="P1786" s="35" t="str">
        <f>INDEX(_xlfn.TEXTSPLIT(mvtst[[#This Row],[QR Suivis]],"_"),1,5)</f>
        <v>FIVE</v>
      </c>
      <c r="Q1786" s="35" t="str">
        <f>_xlfn.TEXTAFTER(mvtst[[#This Row],[QR Suivis]],"_",5)</f>
        <v>1020</v>
      </c>
      <c r="R1786" s="84" t="str">
        <f>IF(
   COUNTIFS($A$2:A1786,A1786,
             $B$2:B1786,B1786,
             $C$2:C1786,C1786,
             $D$2:D1786,D1786,
             $G$2:G1786,G1786)&gt;1,
   "Doublon",
   "Correcte"
)</f>
        <v>Correcte</v>
      </c>
    </row>
    <row r="1787" spans="1:18" x14ac:dyDescent="0.25">
      <c r="A1787" s="104" t="s">
        <v>2345</v>
      </c>
      <c r="B1787" s="35" t="s">
        <v>595</v>
      </c>
      <c r="C1787" s="36">
        <v>5</v>
      </c>
      <c r="D1787" s="36">
        <v>0</v>
      </c>
      <c r="E1787" s="35" t="s">
        <v>699</v>
      </c>
      <c r="F1787" s="35" t="s">
        <v>634</v>
      </c>
      <c r="G1787" s="37">
        <v>45943.48605324074</v>
      </c>
      <c r="H1787" s="37" t="str">
        <f>INDEX(_xlfn.TEXTSPLIT(mvtst[[#This Row],[QR Suivis]],"_"),1,1)</f>
        <v>OF249940-18</v>
      </c>
      <c r="I1787" s="35" t="str">
        <f>_xlfn.TEXTBEFORE(mvtst[[#This Row],[Num Suivis]],"-",,,1)</f>
        <v>OF249940</v>
      </c>
      <c r="J1787" s="36">
        <f>SUMIF(mvtst[QR Suivis],mvtst[[#This Row],[QR Suivis]],mvtst[QTE SORTIS])-SUMIF(mvtst[QR Suivis],mvtst[[#This Row],[QR Suivis]],mvtst[QTE RETOUR])</f>
        <v>5</v>
      </c>
      <c r="K1787" s="35" t="str">
        <f t="shared" si="31"/>
        <v>Usine</v>
      </c>
      <c r="L1787" s="35" t="str">
        <f>_xlfn.XLOOKUP(mvtst[[#This Row],[Sous Traitant]],coordonnee_st[Identification],coordonnee_st[SERVICE],"Non Trouvé")</f>
        <v>Frange</v>
      </c>
      <c r="M1787" s="35" t="str">
        <f>INDEX(_xlfn.TEXTSPLIT(mvtst[[#This Row],[QR Suivis]],"_"),1,2)</f>
        <v>CL00884</v>
      </c>
      <c r="N1787" s="35" t="str">
        <f>INDEX(_xlfn.TEXTSPLIT(mvtst[[#This Row],[QR Suivis]],"_"),1,3)</f>
        <v>CM-FT0120</v>
      </c>
      <c r="O1787" s="35" t="str">
        <f>INDEX(_xlfn.TEXTSPLIT(mvtst[[#This Row],[QR Suivis]],"_"),1,4)</f>
        <v>FI1020-C28-25-24</v>
      </c>
      <c r="P1787" s="35" t="str">
        <f>INDEX(_xlfn.TEXTSPLIT(mvtst[[#This Row],[QR Suivis]],"_"),1,5)</f>
        <v>FIVE</v>
      </c>
      <c r="Q1787" s="35" t="str">
        <f>_xlfn.TEXTAFTER(mvtst[[#This Row],[QR Suivis]],"_",5)</f>
        <v>1020</v>
      </c>
      <c r="R1787" s="84" t="str">
        <f>IF(
   COUNTIFS($A$2:A1787,A1787,
             $B$2:B1787,B1787,
             $C$2:C1787,C1787,
             $D$2:D1787,D1787,
             $G$2:G1787,G1787)&gt;1,
   "Doublon",
   "Correcte"
)</f>
        <v>Correcte</v>
      </c>
    </row>
    <row r="1788" spans="1:18" x14ac:dyDescent="0.25">
      <c r="A1788" s="104" t="s">
        <v>2346</v>
      </c>
      <c r="B1788" s="35" t="s">
        <v>595</v>
      </c>
      <c r="C1788" s="36">
        <v>5</v>
      </c>
      <c r="D1788" s="36">
        <v>0</v>
      </c>
      <c r="E1788" s="35" t="s">
        <v>699</v>
      </c>
      <c r="F1788" s="35" t="s">
        <v>634</v>
      </c>
      <c r="G1788" s="37">
        <v>45943.486226851855</v>
      </c>
      <c r="H1788" s="37" t="str">
        <f>INDEX(_xlfn.TEXTSPLIT(mvtst[[#This Row],[QR Suivis]],"_"),1,1)</f>
        <v>OF249940-31</v>
      </c>
      <c r="I1788" s="35" t="str">
        <f>_xlfn.TEXTBEFORE(mvtst[[#This Row],[Num Suivis]],"-",,,1)</f>
        <v>OF249940</v>
      </c>
      <c r="J1788" s="36">
        <f>SUMIF(mvtst[QR Suivis],mvtst[[#This Row],[QR Suivis]],mvtst[QTE SORTIS])-SUMIF(mvtst[QR Suivis],mvtst[[#This Row],[QR Suivis]],mvtst[QTE RETOUR])</f>
        <v>5</v>
      </c>
      <c r="K1788" s="35" t="str">
        <f t="shared" si="31"/>
        <v>Usine</v>
      </c>
      <c r="L1788" s="35" t="str">
        <f>_xlfn.XLOOKUP(mvtst[[#This Row],[Sous Traitant]],coordonnee_st[Identification],coordonnee_st[SERVICE],"Non Trouvé")</f>
        <v>Frange</v>
      </c>
      <c r="M1788" s="35" t="str">
        <f>INDEX(_xlfn.TEXTSPLIT(mvtst[[#This Row],[QR Suivis]],"_"),1,2)</f>
        <v>CL00884</v>
      </c>
      <c r="N1788" s="35" t="str">
        <f>INDEX(_xlfn.TEXTSPLIT(mvtst[[#This Row],[QR Suivis]],"_"),1,3)</f>
        <v>CM-FT0120</v>
      </c>
      <c r="O1788" s="35" t="str">
        <f>INDEX(_xlfn.TEXTSPLIT(mvtst[[#This Row],[QR Suivis]],"_"),1,4)</f>
        <v>FI1020-C28-25-24</v>
      </c>
      <c r="P1788" s="35" t="str">
        <f>INDEX(_xlfn.TEXTSPLIT(mvtst[[#This Row],[QR Suivis]],"_"),1,5)</f>
        <v>FIVE</v>
      </c>
      <c r="Q1788" s="35" t="str">
        <f>_xlfn.TEXTAFTER(mvtst[[#This Row],[QR Suivis]],"_",5)</f>
        <v>1020</v>
      </c>
      <c r="R1788" s="84" t="str">
        <f>IF(
   COUNTIFS($A$2:A1788,A1788,
             $B$2:B1788,B1788,
             $C$2:C1788,C1788,
             $D$2:D1788,D1788,
             $G$2:G1788,G1788)&gt;1,
   "Doublon",
   "Correcte"
)</f>
        <v>Correcte</v>
      </c>
    </row>
    <row r="1789" spans="1:18" x14ac:dyDescent="0.25">
      <c r="A1789" s="104" t="s">
        <v>2347</v>
      </c>
      <c r="B1789" s="35" t="s">
        <v>595</v>
      </c>
      <c r="C1789" s="36">
        <v>5</v>
      </c>
      <c r="D1789" s="36">
        <v>0</v>
      </c>
      <c r="E1789" s="35" t="s">
        <v>699</v>
      </c>
      <c r="F1789" s="35" t="s">
        <v>634</v>
      </c>
      <c r="G1789" s="37">
        <v>45943.486481481479</v>
      </c>
      <c r="H1789" s="37" t="str">
        <f>INDEX(_xlfn.TEXTSPLIT(mvtst[[#This Row],[QR Suivis]],"_"),1,1)</f>
        <v>OF249940-45</v>
      </c>
      <c r="I1789" s="35" t="str">
        <f>_xlfn.TEXTBEFORE(mvtst[[#This Row],[Num Suivis]],"-",,,1)</f>
        <v>OF249940</v>
      </c>
      <c r="J1789" s="36">
        <f>SUMIF(mvtst[QR Suivis],mvtst[[#This Row],[QR Suivis]],mvtst[QTE SORTIS])-SUMIF(mvtst[QR Suivis],mvtst[[#This Row],[QR Suivis]],mvtst[QTE RETOUR])</f>
        <v>5</v>
      </c>
      <c r="K1789" s="35" t="str">
        <f t="shared" si="31"/>
        <v>Usine</v>
      </c>
      <c r="L1789" s="35" t="str">
        <f>_xlfn.XLOOKUP(mvtst[[#This Row],[Sous Traitant]],coordonnee_st[Identification],coordonnee_st[SERVICE],"Non Trouvé")</f>
        <v>Frange</v>
      </c>
      <c r="M1789" s="35" t="str">
        <f>INDEX(_xlfn.TEXTSPLIT(mvtst[[#This Row],[QR Suivis]],"_"),1,2)</f>
        <v>CL00884</v>
      </c>
      <c r="N1789" s="35" t="str">
        <f>INDEX(_xlfn.TEXTSPLIT(mvtst[[#This Row],[QR Suivis]],"_"),1,3)</f>
        <v>CM-FT0120</v>
      </c>
      <c r="O1789" s="35" t="str">
        <f>INDEX(_xlfn.TEXTSPLIT(mvtst[[#This Row],[QR Suivis]],"_"),1,4)</f>
        <v>FI1020-C28-25-24</v>
      </c>
      <c r="P1789" s="35" t="str">
        <f>INDEX(_xlfn.TEXTSPLIT(mvtst[[#This Row],[QR Suivis]],"_"),1,5)</f>
        <v>FIVE</v>
      </c>
      <c r="Q1789" s="35" t="str">
        <f>_xlfn.TEXTAFTER(mvtst[[#This Row],[QR Suivis]],"_",5)</f>
        <v>1020</v>
      </c>
      <c r="R1789" s="84" t="str">
        <f>IF(
   COUNTIFS($A$2:A1789,A1789,
             $B$2:B1789,B1789,
             $C$2:C1789,C1789,
             $D$2:D1789,D1789,
             $G$2:G1789,G1789)&gt;1,
   "Doublon",
   "Correcte"
)</f>
        <v>Correcte</v>
      </c>
    </row>
    <row r="1790" spans="1:18" x14ac:dyDescent="0.25">
      <c r="A1790" s="104" t="s">
        <v>2348</v>
      </c>
      <c r="B1790" s="35" t="s">
        <v>595</v>
      </c>
      <c r="C1790" s="36">
        <v>5</v>
      </c>
      <c r="D1790" s="36">
        <v>0</v>
      </c>
      <c r="E1790" s="35" t="s">
        <v>699</v>
      </c>
      <c r="F1790" s="35" t="s">
        <v>634</v>
      </c>
      <c r="G1790" s="37">
        <v>45943.486666666664</v>
      </c>
      <c r="H1790" s="37" t="str">
        <f>INDEX(_xlfn.TEXTSPLIT(mvtst[[#This Row],[QR Suivis]],"_"),1,1)</f>
        <v>OF249940-41</v>
      </c>
      <c r="I1790" s="35" t="str">
        <f>_xlfn.TEXTBEFORE(mvtst[[#This Row],[Num Suivis]],"-",,,1)</f>
        <v>OF249940</v>
      </c>
      <c r="J1790" s="36">
        <f>SUMIF(mvtst[QR Suivis],mvtst[[#This Row],[QR Suivis]],mvtst[QTE SORTIS])-SUMIF(mvtst[QR Suivis],mvtst[[#This Row],[QR Suivis]],mvtst[QTE RETOUR])</f>
        <v>5</v>
      </c>
      <c r="K1790" s="35" t="str">
        <f t="shared" si="31"/>
        <v>Usine</v>
      </c>
      <c r="L1790" s="35" t="str">
        <f>_xlfn.XLOOKUP(mvtst[[#This Row],[Sous Traitant]],coordonnee_st[Identification],coordonnee_st[SERVICE],"Non Trouvé")</f>
        <v>Frange</v>
      </c>
      <c r="M1790" s="35" t="str">
        <f>INDEX(_xlfn.TEXTSPLIT(mvtst[[#This Row],[QR Suivis]],"_"),1,2)</f>
        <v>CL00884</v>
      </c>
      <c r="N1790" s="35" t="str">
        <f>INDEX(_xlfn.TEXTSPLIT(mvtst[[#This Row],[QR Suivis]],"_"),1,3)</f>
        <v>CM-FT0120</v>
      </c>
      <c r="O1790" s="35" t="str">
        <f>INDEX(_xlfn.TEXTSPLIT(mvtst[[#This Row],[QR Suivis]],"_"),1,4)</f>
        <v>FI1020-C28-25-24</v>
      </c>
      <c r="P1790" s="35" t="str">
        <f>INDEX(_xlfn.TEXTSPLIT(mvtst[[#This Row],[QR Suivis]],"_"),1,5)</f>
        <v>FIVE</v>
      </c>
      <c r="Q1790" s="35" t="str">
        <f>_xlfn.TEXTAFTER(mvtst[[#This Row],[QR Suivis]],"_",5)</f>
        <v>1020</v>
      </c>
      <c r="R1790" s="84" t="str">
        <f>IF(
   COUNTIFS($A$2:A1790,A1790,
             $B$2:B1790,B1790,
             $C$2:C1790,C1790,
             $D$2:D1790,D1790,
             $G$2:G1790,G1790)&gt;1,
   "Doublon",
   "Correcte"
)</f>
        <v>Correcte</v>
      </c>
    </row>
    <row r="1791" spans="1:18" x14ac:dyDescent="0.25">
      <c r="A1791" s="104" t="s">
        <v>2349</v>
      </c>
      <c r="B1791" s="35" t="s">
        <v>595</v>
      </c>
      <c r="C1791" s="36">
        <v>5</v>
      </c>
      <c r="D1791" s="36">
        <v>0</v>
      </c>
      <c r="E1791" s="35" t="s">
        <v>699</v>
      </c>
      <c r="F1791" s="35" t="s">
        <v>634</v>
      </c>
      <c r="G1791" s="37">
        <v>45943.487187500003</v>
      </c>
      <c r="H1791" s="37" t="str">
        <f>INDEX(_xlfn.TEXTSPLIT(mvtst[[#This Row],[QR Suivis]],"_"),1,1)</f>
        <v>OF249940-44</v>
      </c>
      <c r="I1791" s="35" t="str">
        <f>_xlfn.TEXTBEFORE(mvtst[[#This Row],[Num Suivis]],"-",,,1)</f>
        <v>OF249940</v>
      </c>
      <c r="J1791" s="36">
        <f>SUMIF(mvtst[QR Suivis],mvtst[[#This Row],[QR Suivis]],mvtst[QTE SORTIS])-SUMIF(mvtst[QR Suivis],mvtst[[#This Row],[QR Suivis]],mvtst[QTE RETOUR])</f>
        <v>5</v>
      </c>
      <c r="K1791" s="35" t="str">
        <f t="shared" si="31"/>
        <v>Usine</v>
      </c>
      <c r="L1791" s="35" t="str">
        <f>_xlfn.XLOOKUP(mvtst[[#This Row],[Sous Traitant]],coordonnee_st[Identification],coordonnee_st[SERVICE],"Non Trouvé")</f>
        <v>Frange</v>
      </c>
      <c r="M1791" s="35" t="str">
        <f>INDEX(_xlfn.TEXTSPLIT(mvtst[[#This Row],[QR Suivis]],"_"),1,2)</f>
        <v>CL00884</v>
      </c>
      <c r="N1791" s="35" t="str">
        <f>INDEX(_xlfn.TEXTSPLIT(mvtst[[#This Row],[QR Suivis]],"_"),1,3)</f>
        <v>CM-FT0120</v>
      </c>
      <c r="O1791" s="35" t="str">
        <f>INDEX(_xlfn.TEXTSPLIT(mvtst[[#This Row],[QR Suivis]],"_"),1,4)</f>
        <v>FI1020-C28-25-24</v>
      </c>
      <c r="P1791" s="35" t="str">
        <f>INDEX(_xlfn.TEXTSPLIT(mvtst[[#This Row],[QR Suivis]],"_"),1,5)</f>
        <v>FIVE</v>
      </c>
      <c r="Q1791" s="35" t="str">
        <f>_xlfn.TEXTAFTER(mvtst[[#This Row],[QR Suivis]],"_",5)</f>
        <v>1020</v>
      </c>
      <c r="R1791" s="84" t="str">
        <f>IF(
   COUNTIFS($A$2:A1791,A1791,
             $B$2:B1791,B1791,
             $C$2:C1791,C1791,
             $D$2:D1791,D1791,
             $G$2:G1791,G1791)&gt;1,
   "Doublon",
   "Correcte"
)</f>
        <v>Correcte</v>
      </c>
    </row>
    <row r="1792" spans="1:18" x14ac:dyDescent="0.25">
      <c r="A1792" s="104" t="s">
        <v>2350</v>
      </c>
      <c r="B1792" s="35" t="s">
        <v>595</v>
      </c>
      <c r="C1792" s="36">
        <v>5</v>
      </c>
      <c r="D1792" s="36">
        <v>0</v>
      </c>
      <c r="E1792" s="35" t="s">
        <v>699</v>
      </c>
      <c r="F1792" s="35" t="s">
        <v>634</v>
      </c>
      <c r="G1792" s="37">
        <v>45943.487476851849</v>
      </c>
      <c r="H1792" s="37" t="str">
        <f>INDEX(_xlfn.TEXTSPLIT(mvtst[[#This Row],[QR Suivis]],"_"),1,1)</f>
        <v>OF249940-49</v>
      </c>
      <c r="I1792" s="35" t="str">
        <f>_xlfn.TEXTBEFORE(mvtst[[#This Row],[Num Suivis]],"-",,,1)</f>
        <v>OF249940</v>
      </c>
      <c r="J1792" s="36">
        <f>SUMIF(mvtst[QR Suivis],mvtst[[#This Row],[QR Suivis]],mvtst[QTE SORTIS])-SUMIF(mvtst[QR Suivis],mvtst[[#This Row],[QR Suivis]],mvtst[QTE RETOUR])</f>
        <v>5</v>
      </c>
      <c r="K1792" s="35" t="str">
        <f t="shared" si="31"/>
        <v>Usine</v>
      </c>
      <c r="L1792" s="35" t="str">
        <f>_xlfn.XLOOKUP(mvtst[[#This Row],[Sous Traitant]],coordonnee_st[Identification],coordonnee_st[SERVICE],"Non Trouvé")</f>
        <v>Frange</v>
      </c>
      <c r="M1792" s="35" t="str">
        <f>INDEX(_xlfn.TEXTSPLIT(mvtst[[#This Row],[QR Suivis]],"_"),1,2)</f>
        <v>CL00884</v>
      </c>
      <c r="N1792" s="35" t="str">
        <f>INDEX(_xlfn.TEXTSPLIT(mvtst[[#This Row],[QR Suivis]],"_"),1,3)</f>
        <v>CM-FT0120</v>
      </c>
      <c r="O1792" s="35" t="str">
        <f>INDEX(_xlfn.TEXTSPLIT(mvtst[[#This Row],[QR Suivis]],"_"),1,4)</f>
        <v>FI1020-C28-25-24</v>
      </c>
      <c r="P1792" s="35" t="str">
        <f>INDEX(_xlfn.TEXTSPLIT(mvtst[[#This Row],[QR Suivis]],"_"),1,5)</f>
        <v>FIVE</v>
      </c>
      <c r="Q1792" s="35" t="str">
        <f>_xlfn.TEXTAFTER(mvtst[[#This Row],[QR Suivis]],"_",5)</f>
        <v>1020</v>
      </c>
      <c r="R1792" s="84" t="str">
        <f>IF(
   COUNTIFS($A$2:A1792,A1792,
             $B$2:B1792,B1792,
             $C$2:C1792,C1792,
             $D$2:D1792,D1792,
             $G$2:G1792,G1792)&gt;1,
   "Doublon",
   "Correcte"
)</f>
        <v>Correcte</v>
      </c>
    </row>
    <row r="1793" spans="1:18" x14ac:dyDescent="0.25">
      <c r="A1793" s="104" t="s">
        <v>2351</v>
      </c>
      <c r="B1793" s="35" t="s">
        <v>595</v>
      </c>
      <c r="C1793" s="36">
        <v>5</v>
      </c>
      <c r="D1793" s="36">
        <v>0</v>
      </c>
      <c r="E1793" s="35" t="s">
        <v>699</v>
      </c>
      <c r="F1793" s="35" t="s">
        <v>634</v>
      </c>
      <c r="G1793" s="37">
        <v>45943.487673611111</v>
      </c>
      <c r="H1793" s="37" t="str">
        <f>INDEX(_xlfn.TEXTSPLIT(mvtst[[#This Row],[QR Suivis]],"_"),1,1)</f>
        <v>OF249940-46</v>
      </c>
      <c r="I1793" s="35" t="str">
        <f>_xlfn.TEXTBEFORE(mvtst[[#This Row],[Num Suivis]],"-",,,1)</f>
        <v>OF249940</v>
      </c>
      <c r="J1793" s="36">
        <f>SUMIF(mvtst[QR Suivis],mvtst[[#This Row],[QR Suivis]],mvtst[QTE SORTIS])-SUMIF(mvtst[QR Suivis],mvtst[[#This Row],[QR Suivis]],mvtst[QTE RETOUR])</f>
        <v>5</v>
      </c>
      <c r="K1793" s="35" t="str">
        <f t="shared" si="31"/>
        <v>Usine</v>
      </c>
      <c r="L1793" s="35" t="str">
        <f>_xlfn.XLOOKUP(mvtst[[#This Row],[Sous Traitant]],coordonnee_st[Identification],coordonnee_st[SERVICE],"Non Trouvé")</f>
        <v>Frange</v>
      </c>
      <c r="M1793" s="35" t="str">
        <f>INDEX(_xlfn.TEXTSPLIT(mvtst[[#This Row],[QR Suivis]],"_"),1,2)</f>
        <v>CL00884</v>
      </c>
      <c r="N1793" s="35" t="str">
        <f>INDEX(_xlfn.TEXTSPLIT(mvtst[[#This Row],[QR Suivis]],"_"),1,3)</f>
        <v>CM-FT0120</v>
      </c>
      <c r="O1793" s="35" t="str">
        <f>INDEX(_xlfn.TEXTSPLIT(mvtst[[#This Row],[QR Suivis]],"_"),1,4)</f>
        <v>FI1020-C28-25-24</v>
      </c>
      <c r="P1793" s="35" t="str">
        <f>INDEX(_xlfn.TEXTSPLIT(mvtst[[#This Row],[QR Suivis]],"_"),1,5)</f>
        <v>FIVE</v>
      </c>
      <c r="Q1793" s="35" t="str">
        <f>_xlfn.TEXTAFTER(mvtst[[#This Row],[QR Suivis]],"_",5)</f>
        <v>1020</v>
      </c>
      <c r="R1793" s="84" t="str">
        <f>IF(
   COUNTIFS($A$2:A1793,A1793,
             $B$2:B1793,B1793,
             $C$2:C1793,C1793,
             $D$2:D1793,D1793,
             $G$2:G1793,G1793)&gt;1,
   "Doublon",
   "Correcte"
)</f>
        <v>Correcte</v>
      </c>
    </row>
    <row r="1794" spans="1:18" x14ac:dyDescent="0.25">
      <c r="A1794" s="104" t="s">
        <v>2352</v>
      </c>
      <c r="B1794" s="35" t="s">
        <v>595</v>
      </c>
      <c r="C1794" s="36">
        <v>5</v>
      </c>
      <c r="D1794" s="36">
        <v>0</v>
      </c>
      <c r="E1794" s="35" t="s">
        <v>699</v>
      </c>
      <c r="F1794" s="35" t="s">
        <v>634</v>
      </c>
      <c r="G1794" s="37">
        <v>45943.48814814815</v>
      </c>
      <c r="H1794" s="37" t="str">
        <f>INDEX(_xlfn.TEXTSPLIT(mvtst[[#This Row],[QR Suivis]],"_"),1,1)</f>
        <v>OF249940-36</v>
      </c>
      <c r="I1794" s="35" t="str">
        <f>_xlfn.TEXTBEFORE(mvtst[[#This Row],[Num Suivis]],"-",,,1)</f>
        <v>OF249940</v>
      </c>
      <c r="J1794" s="36">
        <f>SUMIF(mvtst[QR Suivis],mvtst[[#This Row],[QR Suivis]],mvtst[QTE SORTIS])-SUMIF(mvtst[QR Suivis],mvtst[[#This Row],[QR Suivis]],mvtst[QTE RETOUR])</f>
        <v>5</v>
      </c>
      <c r="K1794" s="35" t="str">
        <f t="shared" si="31"/>
        <v>Usine</v>
      </c>
      <c r="L1794" s="35" t="str">
        <f>_xlfn.XLOOKUP(mvtst[[#This Row],[Sous Traitant]],coordonnee_st[Identification],coordonnee_st[SERVICE],"Non Trouvé")</f>
        <v>Frange</v>
      </c>
      <c r="M1794" s="35" t="str">
        <f>INDEX(_xlfn.TEXTSPLIT(mvtst[[#This Row],[QR Suivis]],"_"),1,2)</f>
        <v>CL00884</v>
      </c>
      <c r="N1794" s="35" t="str">
        <f>INDEX(_xlfn.TEXTSPLIT(mvtst[[#This Row],[QR Suivis]],"_"),1,3)</f>
        <v>CM-FT0120</v>
      </c>
      <c r="O1794" s="35" t="str">
        <f>INDEX(_xlfn.TEXTSPLIT(mvtst[[#This Row],[QR Suivis]],"_"),1,4)</f>
        <v>FI1020-C28-25-24</v>
      </c>
      <c r="P1794" s="35" t="str">
        <f>INDEX(_xlfn.TEXTSPLIT(mvtst[[#This Row],[QR Suivis]],"_"),1,5)</f>
        <v>FIVE</v>
      </c>
      <c r="Q1794" s="35" t="str">
        <f>_xlfn.TEXTAFTER(mvtst[[#This Row],[QR Suivis]],"_",5)</f>
        <v>1020</v>
      </c>
      <c r="R1794" s="84" t="str">
        <f>IF(
   COUNTIFS($A$2:A1794,A1794,
             $B$2:B1794,B1794,
             $C$2:C1794,C1794,
             $D$2:D1794,D1794,
             $G$2:G1794,G1794)&gt;1,
   "Doublon",
   "Correcte"
)</f>
        <v>Correcte</v>
      </c>
    </row>
    <row r="1795" spans="1:18" x14ac:dyDescent="0.25">
      <c r="A1795" s="104" t="s">
        <v>2353</v>
      </c>
      <c r="B1795" s="35" t="s">
        <v>595</v>
      </c>
      <c r="C1795" s="36">
        <v>5</v>
      </c>
      <c r="D1795" s="36">
        <v>0</v>
      </c>
      <c r="E1795" s="35" t="s">
        <v>699</v>
      </c>
      <c r="F1795" s="35" t="s">
        <v>634</v>
      </c>
      <c r="G1795" s="37">
        <v>45943.488599537035</v>
      </c>
      <c r="H1795" s="37" t="str">
        <f>INDEX(_xlfn.TEXTSPLIT(mvtst[[#This Row],[QR Suivis]],"_"),1,1)</f>
        <v>OF249940-43</v>
      </c>
      <c r="I1795" s="35" t="str">
        <f>_xlfn.TEXTBEFORE(mvtst[[#This Row],[Num Suivis]],"-",,,1)</f>
        <v>OF249940</v>
      </c>
      <c r="J1795" s="36">
        <f>SUMIF(mvtst[QR Suivis],mvtst[[#This Row],[QR Suivis]],mvtst[QTE SORTIS])-SUMIF(mvtst[QR Suivis],mvtst[[#This Row],[QR Suivis]],mvtst[QTE RETOUR])</f>
        <v>5</v>
      </c>
      <c r="K1795" s="35" t="str">
        <f t="shared" si="31"/>
        <v>Usine</v>
      </c>
      <c r="L1795" s="35" t="str">
        <f>_xlfn.XLOOKUP(mvtst[[#This Row],[Sous Traitant]],coordonnee_st[Identification],coordonnee_st[SERVICE],"Non Trouvé")</f>
        <v>Frange</v>
      </c>
      <c r="M1795" s="35" t="str">
        <f>INDEX(_xlfn.TEXTSPLIT(mvtst[[#This Row],[QR Suivis]],"_"),1,2)</f>
        <v>CL00884</v>
      </c>
      <c r="N1795" s="35" t="str">
        <f>INDEX(_xlfn.TEXTSPLIT(mvtst[[#This Row],[QR Suivis]],"_"),1,3)</f>
        <v>CM-FT0120</v>
      </c>
      <c r="O1795" s="35" t="str">
        <f>INDEX(_xlfn.TEXTSPLIT(mvtst[[#This Row],[QR Suivis]],"_"),1,4)</f>
        <v>FI1020-C28-25-24</v>
      </c>
      <c r="P1795" s="35" t="str">
        <f>INDEX(_xlfn.TEXTSPLIT(mvtst[[#This Row],[QR Suivis]],"_"),1,5)</f>
        <v>FIVE</v>
      </c>
      <c r="Q1795" s="35" t="str">
        <f>_xlfn.TEXTAFTER(mvtst[[#This Row],[QR Suivis]],"_",5)</f>
        <v>1020</v>
      </c>
      <c r="R1795" s="84" t="str">
        <f>IF(
   COUNTIFS($A$2:A1795,A1795,
             $B$2:B1795,B1795,
             $C$2:C1795,C1795,
             $D$2:D1795,D1795,
             $G$2:G1795,G1795)&gt;1,
   "Doublon",
   "Correcte"
)</f>
        <v>Correcte</v>
      </c>
    </row>
    <row r="1796" spans="1:18" x14ac:dyDescent="0.25">
      <c r="A1796" s="104" t="s">
        <v>2354</v>
      </c>
      <c r="B1796" s="35" t="s">
        <v>595</v>
      </c>
      <c r="C1796" s="36">
        <v>5</v>
      </c>
      <c r="D1796" s="36">
        <v>0</v>
      </c>
      <c r="E1796" s="35" t="s">
        <v>699</v>
      </c>
      <c r="F1796" s="35" t="s">
        <v>634</v>
      </c>
      <c r="G1796" s="37">
        <v>45943.488819444443</v>
      </c>
      <c r="H1796" s="37" t="str">
        <f>INDEX(_xlfn.TEXTSPLIT(mvtst[[#This Row],[QR Suivis]],"_"),1,1)</f>
        <v>OF249940-40</v>
      </c>
      <c r="I1796" s="35" t="str">
        <f>_xlfn.TEXTBEFORE(mvtst[[#This Row],[Num Suivis]],"-",,,1)</f>
        <v>OF249940</v>
      </c>
      <c r="J1796" s="36">
        <f>SUMIF(mvtst[QR Suivis],mvtst[[#This Row],[QR Suivis]],mvtst[QTE SORTIS])-SUMIF(mvtst[QR Suivis],mvtst[[#This Row],[QR Suivis]],mvtst[QTE RETOUR])</f>
        <v>5</v>
      </c>
      <c r="K1796" s="35" t="str">
        <f t="shared" si="31"/>
        <v>Usine</v>
      </c>
      <c r="L1796" s="35" t="str">
        <f>_xlfn.XLOOKUP(mvtst[[#This Row],[Sous Traitant]],coordonnee_st[Identification],coordonnee_st[SERVICE],"Non Trouvé")</f>
        <v>Frange</v>
      </c>
      <c r="M1796" s="35" t="str">
        <f>INDEX(_xlfn.TEXTSPLIT(mvtst[[#This Row],[QR Suivis]],"_"),1,2)</f>
        <v>CL00884</v>
      </c>
      <c r="N1796" s="35" t="str">
        <f>INDEX(_xlfn.TEXTSPLIT(mvtst[[#This Row],[QR Suivis]],"_"),1,3)</f>
        <v>CM-FT0120</v>
      </c>
      <c r="O1796" s="35" t="str">
        <f>INDEX(_xlfn.TEXTSPLIT(mvtst[[#This Row],[QR Suivis]],"_"),1,4)</f>
        <v>FI1020-C28-25-24</v>
      </c>
      <c r="P1796" s="35" t="str">
        <f>INDEX(_xlfn.TEXTSPLIT(mvtst[[#This Row],[QR Suivis]],"_"),1,5)</f>
        <v>FIVE</v>
      </c>
      <c r="Q1796" s="35" t="str">
        <f>_xlfn.TEXTAFTER(mvtst[[#This Row],[QR Suivis]],"_",5)</f>
        <v>1020</v>
      </c>
      <c r="R1796" s="84" t="str">
        <f>IF(
   COUNTIFS($A$2:A1796,A1796,
             $B$2:B1796,B1796,
             $C$2:C1796,C1796,
             $D$2:D1796,D1796,
             $G$2:G1796,G1796)&gt;1,
   "Doublon",
   "Correcte"
)</f>
        <v>Correcte</v>
      </c>
    </row>
    <row r="1797" spans="1:18" x14ac:dyDescent="0.25">
      <c r="A1797" s="104" t="s">
        <v>2355</v>
      </c>
      <c r="B1797" s="35" t="s">
        <v>595</v>
      </c>
      <c r="C1797" s="36">
        <v>5</v>
      </c>
      <c r="D1797" s="36">
        <v>0</v>
      </c>
      <c r="E1797" s="35" t="s">
        <v>699</v>
      </c>
      <c r="F1797" s="35" t="s">
        <v>634</v>
      </c>
      <c r="G1797" s="37">
        <v>45943.489004629628</v>
      </c>
      <c r="H1797" s="37" t="str">
        <f>INDEX(_xlfn.TEXTSPLIT(mvtst[[#This Row],[QR Suivis]],"_"),1,1)</f>
        <v>OF249940-33</v>
      </c>
      <c r="I1797" s="35" t="str">
        <f>_xlfn.TEXTBEFORE(mvtst[[#This Row],[Num Suivis]],"-",,,1)</f>
        <v>OF249940</v>
      </c>
      <c r="J1797" s="36">
        <f>SUMIF(mvtst[QR Suivis],mvtst[[#This Row],[QR Suivis]],mvtst[QTE SORTIS])-SUMIF(mvtst[QR Suivis],mvtst[[#This Row],[QR Suivis]],mvtst[QTE RETOUR])</f>
        <v>5</v>
      </c>
      <c r="K1797" s="35" t="str">
        <f t="shared" si="31"/>
        <v>Usine</v>
      </c>
      <c r="L1797" s="35" t="str">
        <f>_xlfn.XLOOKUP(mvtst[[#This Row],[Sous Traitant]],coordonnee_st[Identification],coordonnee_st[SERVICE],"Non Trouvé")</f>
        <v>Frange</v>
      </c>
      <c r="M1797" s="35" t="str">
        <f>INDEX(_xlfn.TEXTSPLIT(mvtst[[#This Row],[QR Suivis]],"_"),1,2)</f>
        <v>CL00884</v>
      </c>
      <c r="N1797" s="35" t="str">
        <f>INDEX(_xlfn.TEXTSPLIT(mvtst[[#This Row],[QR Suivis]],"_"),1,3)</f>
        <v>CM-FT0120</v>
      </c>
      <c r="O1797" s="35" t="str">
        <f>INDEX(_xlfn.TEXTSPLIT(mvtst[[#This Row],[QR Suivis]],"_"),1,4)</f>
        <v>FI1020-C28-25-24</v>
      </c>
      <c r="P1797" s="35" t="str">
        <f>INDEX(_xlfn.TEXTSPLIT(mvtst[[#This Row],[QR Suivis]],"_"),1,5)</f>
        <v>FIVE</v>
      </c>
      <c r="Q1797" s="35" t="str">
        <f>_xlfn.TEXTAFTER(mvtst[[#This Row],[QR Suivis]],"_",5)</f>
        <v>1020</v>
      </c>
      <c r="R1797" s="84" t="str">
        <f>IF(
   COUNTIFS($A$2:A1797,A1797,
             $B$2:B1797,B1797,
             $C$2:C1797,C1797,
             $D$2:D1797,D1797,
             $G$2:G1797,G1797)&gt;1,
   "Doublon",
   "Correcte"
)</f>
        <v>Correcte</v>
      </c>
    </row>
    <row r="1798" spans="1:18" x14ac:dyDescent="0.25">
      <c r="A1798" s="104" t="s">
        <v>2356</v>
      </c>
      <c r="B1798" s="35" t="s">
        <v>595</v>
      </c>
      <c r="C1798" s="36">
        <v>5</v>
      </c>
      <c r="D1798" s="36">
        <v>0</v>
      </c>
      <c r="E1798" s="35" t="s">
        <v>699</v>
      </c>
      <c r="F1798" s="35" t="s">
        <v>634</v>
      </c>
      <c r="G1798" s="37">
        <v>45943.489108796297</v>
      </c>
      <c r="H1798" s="37" t="str">
        <f>INDEX(_xlfn.TEXTSPLIT(mvtst[[#This Row],[QR Suivis]],"_"),1,1)</f>
        <v>OF249940-37</v>
      </c>
      <c r="I1798" s="35" t="str">
        <f>_xlfn.TEXTBEFORE(mvtst[[#This Row],[Num Suivis]],"-",,,1)</f>
        <v>OF249940</v>
      </c>
      <c r="J1798" s="36">
        <f>SUMIF(mvtst[QR Suivis],mvtst[[#This Row],[QR Suivis]],mvtst[QTE SORTIS])-SUMIF(mvtst[QR Suivis],mvtst[[#This Row],[QR Suivis]],mvtst[QTE RETOUR])</f>
        <v>5</v>
      </c>
      <c r="K1798" s="35" t="str">
        <f t="shared" si="31"/>
        <v>Usine</v>
      </c>
      <c r="L1798" s="35" t="str">
        <f>_xlfn.XLOOKUP(mvtst[[#This Row],[Sous Traitant]],coordonnee_st[Identification],coordonnee_st[SERVICE],"Non Trouvé")</f>
        <v>Frange</v>
      </c>
      <c r="M1798" s="35" t="str">
        <f>INDEX(_xlfn.TEXTSPLIT(mvtst[[#This Row],[QR Suivis]],"_"),1,2)</f>
        <v>CL00884</v>
      </c>
      <c r="N1798" s="35" t="str">
        <f>INDEX(_xlfn.TEXTSPLIT(mvtst[[#This Row],[QR Suivis]],"_"),1,3)</f>
        <v>CM-FT0120</v>
      </c>
      <c r="O1798" s="35" t="str">
        <f>INDEX(_xlfn.TEXTSPLIT(mvtst[[#This Row],[QR Suivis]],"_"),1,4)</f>
        <v>FI1020-C28-25-24</v>
      </c>
      <c r="P1798" s="35" t="str">
        <f>INDEX(_xlfn.TEXTSPLIT(mvtst[[#This Row],[QR Suivis]],"_"),1,5)</f>
        <v>FIVE</v>
      </c>
      <c r="Q1798" s="35" t="str">
        <f>_xlfn.TEXTAFTER(mvtst[[#This Row],[QR Suivis]],"_",5)</f>
        <v>1020</v>
      </c>
      <c r="R1798" s="84" t="str">
        <f>IF(
   COUNTIFS($A$2:A1798,A1798,
             $B$2:B1798,B1798,
             $C$2:C1798,C1798,
             $D$2:D1798,D1798,
             $G$2:G1798,G1798)&gt;1,
   "Doublon",
   "Correcte"
)</f>
        <v>Correcte</v>
      </c>
    </row>
    <row r="1799" spans="1:18" x14ac:dyDescent="0.25">
      <c r="A1799" s="104" t="s">
        <v>2357</v>
      </c>
      <c r="B1799" s="35" t="s">
        <v>595</v>
      </c>
      <c r="C1799" s="36">
        <v>5</v>
      </c>
      <c r="D1799" s="36">
        <v>0</v>
      </c>
      <c r="E1799" s="35" t="s">
        <v>699</v>
      </c>
      <c r="F1799" s="35" t="s">
        <v>634</v>
      </c>
      <c r="G1799" s="37">
        <v>45943.489398148151</v>
      </c>
      <c r="H1799" s="37" t="str">
        <f>INDEX(_xlfn.TEXTSPLIT(mvtst[[#This Row],[QR Suivis]],"_"),1,1)</f>
        <v>OF249940-30</v>
      </c>
      <c r="I1799" s="35" t="str">
        <f>_xlfn.TEXTBEFORE(mvtst[[#This Row],[Num Suivis]],"-",,,1)</f>
        <v>OF249940</v>
      </c>
      <c r="J1799" s="36">
        <f>SUMIF(mvtst[QR Suivis],mvtst[[#This Row],[QR Suivis]],mvtst[QTE SORTIS])-SUMIF(mvtst[QR Suivis],mvtst[[#This Row],[QR Suivis]],mvtst[QTE RETOUR])</f>
        <v>5</v>
      </c>
      <c r="K1799" s="35" t="str">
        <f t="shared" si="31"/>
        <v>Usine</v>
      </c>
      <c r="L1799" s="35" t="str">
        <f>_xlfn.XLOOKUP(mvtst[[#This Row],[Sous Traitant]],coordonnee_st[Identification],coordonnee_st[SERVICE],"Non Trouvé")</f>
        <v>Frange</v>
      </c>
      <c r="M1799" s="35" t="str">
        <f>INDEX(_xlfn.TEXTSPLIT(mvtst[[#This Row],[QR Suivis]],"_"),1,2)</f>
        <v>CL00884</v>
      </c>
      <c r="N1799" s="35" t="str">
        <f>INDEX(_xlfn.TEXTSPLIT(mvtst[[#This Row],[QR Suivis]],"_"),1,3)</f>
        <v>CM-FT0120</v>
      </c>
      <c r="O1799" s="35" t="str">
        <f>INDEX(_xlfn.TEXTSPLIT(mvtst[[#This Row],[QR Suivis]],"_"),1,4)</f>
        <v>FI1020-C28-25-24</v>
      </c>
      <c r="P1799" s="35" t="str">
        <f>INDEX(_xlfn.TEXTSPLIT(mvtst[[#This Row],[QR Suivis]],"_"),1,5)</f>
        <v>FIVE</v>
      </c>
      <c r="Q1799" s="35" t="str">
        <f>_xlfn.TEXTAFTER(mvtst[[#This Row],[QR Suivis]],"_",5)</f>
        <v>1020</v>
      </c>
      <c r="R1799" s="84" t="str">
        <f>IF(
   COUNTIFS($A$2:A1799,A1799,
             $B$2:B1799,B1799,
             $C$2:C1799,C1799,
             $D$2:D1799,D1799,
             $G$2:G1799,G1799)&gt;1,
   "Doublon",
   "Correcte"
)</f>
        <v>Correcte</v>
      </c>
    </row>
    <row r="1800" spans="1:18" x14ac:dyDescent="0.25">
      <c r="A1800" s="104" t="s">
        <v>2358</v>
      </c>
      <c r="B1800" s="35" t="s">
        <v>595</v>
      </c>
      <c r="C1800" s="36">
        <v>5</v>
      </c>
      <c r="D1800" s="36">
        <v>0</v>
      </c>
      <c r="E1800" s="35" t="s">
        <v>699</v>
      </c>
      <c r="F1800" s="35" t="s">
        <v>634</v>
      </c>
      <c r="G1800" s="37">
        <v>45943.489641203705</v>
      </c>
      <c r="H1800" s="37" t="str">
        <f>INDEX(_xlfn.TEXTSPLIT(mvtst[[#This Row],[QR Suivis]],"_"),1,1)</f>
        <v>OF249940-34</v>
      </c>
      <c r="I1800" s="35" t="str">
        <f>_xlfn.TEXTBEFORE(mvtst[[#This Row],[Num Suivis]],"-",,,1)</f>
        <v>OF249940</v>
      </c>
      <c r="J1800" s="36">
        <f>SUMIF(mvtst[QR Suivis],mvtst[[#This Row],[QR Suivis]],mvtst[QTE SORTIS])-SUMIF(mvtst[QR Suivis],mvtst[[#This Row],[QR Suivis]],mvtst[QTE RETOUR])</f>
        <v>5</v>
      </c>
      <c r="K1800" s="35" t="str">
        <f t="shared" si="31"/>
        <v>Usine</v>
      </c>
      <c r="L1800" s="35" t="str">
        <f>_xlfn.XLOOKUP(mvtst[[#This Row],[Sous Traitant]],coordonnee_st[Identification],coordonnee_st[SERVICE],"Non Trouvé")</f>
        <v>Frange</v>
      </c>
      <c r="M1800" s="35" t="str">
        <f>INDEX(_xlfn.TEXTSPLIT(mvtst[[#This Row],[QR Suivis]],"_"),1,2)</f>
        <v>CL00884</v>
      </c>
      <c r="N1800" s="35" t="str">
        <f>INDEX(_xlfn.TEXTSPLIT(mvtst[[#This Row],[QR Suivis]],"_"),1,3)</f>
        <v>CM-FT0120</v>
      </c>
      <c r="O1800" s="35" t="str">
        <f>INDEX(_xlfn.TEXTSPLIT(mvtst[[#This Row],[QR Suivis]],"_"),1,4)</f>
        <v>FI1020-C28-25-24</v>
      </c>
      <c r="P1800" s="35" t="str">
        <f>INDEX(_xlfn.TEXTSPLIT(mvtst[[#This Row],[QR Suivis]],"_"),1,5)</f>
        <v>FIVE</v>
      </c>
      <c r="Q1800" s="35" t="str">
        <f>_xlfn.TEXTAFTER(mvtst[[#This Row],[QR Suivis]],"_",5)</f>
        <v>1020</v>
      </c>
      <c r="R1800" s="84" t="str">
        <f>IF(
   COUNTIFS($A$2:A1800,A1800,
             $B$2:B1800,B1800,
             $C$2:C1800,C1800,
             $D$2:D1800,D1800,
             $G$2:G1800,G1800)&gt;1,
   "Doublon",
   "Correcte"
)</f>
        <v>Correcte</v>
      </c>
    </row>
    <row r="1801" spans="1:18" x14ac:dyDescent="0.25">
      <c r="A1801" s="104" t="s">
        <v>2359</v>
      </c>
      <c r="B1801" s="35" t="s">
        <v>595</v>
      </c>
      <c r="C1801" s="36">
        <v>5</v>
      </c>
      <c r="D1801" s="36">
        <v>0</v>
      </c>
      <c r="E1801" s="35" t="s">
        <v>699</v>
      </c>
      <c r="F1801" s="35" t="s">
        <v>634</v>
      </c>
      <c r="G1801" s="37">
        <v>45943.489988425928</v>
      </c>
      <c r="H1801" s="37" t="str">
        <f>INDEX(_xlfn.TEXTSPLIT(mvtst[[#This Row],[QR Suivis]],"_"),1,1)</f>
        <v>OF249940-35</v>
      </c>
      <c r="I1801" s="35" t="str">
        <f>_xlfn.TEXTBEFORE(mvtst[[#This Row],[Num Suivis]],"-",,,1)</f>
        <v>OF249940</v>
      </c>
      <c r="J1801" s="36">
        <f>SUMIF(mvtst[QR Suivis],mvtst[[#This Row],[QR Suivis]],mvtst[QTE SORTIS])-SUMIF(mvtst[QR Suivis],mvtst[[#This Row],[QR Suivis]],mvtst[QTE RETOUR])</f>
        <v>5</v>
      </c>
      <c r="K1801" s="35" t="str">
        <f t="shared" si="31"/>
        <v>Usine</v>
      </c>
      <c r="L1801" s="35" t="str">
        <f>_xlfn.XLOOKUP(mvtst[[#This Row],[Sous Traitant]],coordonnee_st[Identification],coordonnee_st[SERVICE],"Non Trouvé")</f>
        <v>Frange</v>
      </c>
      <c r="M1801" s="35" t="str">
        <f>INDEX(_xlfn.TEXTSPLIT(mvtst[[#This Row],[QR Suivis]],"_"),1,2)</f>
        <v>CL00884</v>
      </c>
      <c r="N1801" s="35" t="str">
        <f>INDEX(_xlfn.TEXTSPLIT(mvtst[[#This Row],[QR Suivis]],"_"),1,3)</f>
        <v>CM-FT0120</v>
      </c>
      <c r="O1801" s="35" t="str">
        <f>INDEX(_xlfn.TEXTSPLIT(mvtst[[#This Row],[QR Suivis]],"_"),1,4)</f>
        <v>FI1020-C28-25-24</v>
      </c>
      <c r="P1801" s="35" t="str">
        <f>INDEX(_xlfn.TEXTSPLIT(mvtst[[#This Row],[QR Suivis]],"_"),1,5)</f>
        <v>FIVE</v>
      </c>
      <c r="Q1801" s="35" t="str">
        <f>_xlfn.TEXTAFTER(mvtst[[#This Row],[QR Suivis]],"_",5)</f>
        <v>1020</v>
      </c>
      <c r="R1801" s="84" t="str">
        <f>IF(
   COUNTIFS($A$2:A1801,A1801,
             $B$2:B1801,B1801,
             $C$2:C1801,C1801,
             $D$2:D1801,D1801,
             $G$2:G1801,G1801)&gt;1,
   "Doublon",
   "Correcte"
)</f>
        <v>Correcte</v>
      </c>
    </row>
    <row r="1802" spans="1:18" x14ac:dyDescent="0.25">
      <c r="A1802" s="104" t="s">
        <v>2360</v>
      </c>
      <c r="B1802" s="35" t="s">
        <v>595</v>
      </c>
      <c r="C1802" s="36">
        <v>5</v>
      </c>
      <c r="D1802" s="36">
        <v>0</v>
      </c>
      <c r="E1802" s="35" t="s">
        <v>699</v>
      </c>
      <c r="F1802" s="35" t="s">
        <v>634</v>
      </c>
      <c r="G1802" s="37">
        <v>45943.49019675926</v>
      </c>
      <c r="H1802" s="37" t="str">
        <f>INDEX(_xlfn.TEXTSPLIT(mvtst[[#This Row],[QR Suivis]],"_"),1,1)</f>
        <v>OF249940-38</v>
      </c>
      <c r="I1802" s="35" t="str">
        <f>_xlfn.TEXTBEFORE(mvtst[[#This Row],[Num Suivis]],"-",,,1)</f>
        <v>OF249940</v>
      </c>
      <c r="J1802" s="36">
        <f>SUMIF(mvtst[QR Suivis],mvtst[[#This Row],[QR Suivis]],mvtst[QTE SORTIS])-SUMIF(mvtst[QR Suivis],mvtst[[#This Row],[QR Suivis]],mvtst[QTE RETOUR])</f>
        <v>5</v>
      </c>
      <c r="K1802" s="35" t="str">
        <f t="shared" si="31"/>
        <v>Usine</v>
      </c>
      <c r="L1802" s="35" t="str">
        <f>_xlfn.XLOOKUP(mvtst[[#This Row],[Sous Traitant]],coordonnee_st[Identification],coordonnee_st[SERVICE],"Non Trouvé")</f>
        <v>Frange</v>
      </c>
      <c r="M1802" s="35" t="str">
        <f>INDEX(_xlfn.TEXTSPLIT(mvtst[[#This Row],[QR Suivis]],"_"),1,2)</f>
        <v>CL00884</v>
      </c>
      <c r="N1802" s="35" t="str">
        <f>INDEX(_xlfn.TEXTSPLIT(mvtst[[#This Row],[QR Suivis]],"_"),1,3)</f>
        <v>CM-FT0120</v>
      </c>
      <c r="O1802" s="35" t="str">
        <f>INDEX(_xlfn.TEXTSPLIT(mvtst[[#This Row],[QR Suivis]],"_"),1,4)</f>
        <v>FI1020-C28-25-24</v>
      </c>
      <c r="P1802" s="35" t="str">
        <f>INDEX(_xlfn.TEXTSPLIT(mvtst[[#This Row],[QR Suivis]],"_"),1,5)</f>
        <v>FIVE</v>
      </c>
      <c r="Q1802" s="35" t="str">
        <f>_xlfn.TEXTAFTER(mvtst[[#This Row],[QR Suivis]],"_",5)</f>
        <v>1020</v>
      </c>
      <c r="R1802" s="84" t="str">
        <f>IF(
   COUNTIFS($A$2:A1802,A1802,
             $B$2:B1802,B1802,
             $C$2:C1802,C1802,
             $D$2:D1802,D1802,
             $G$2:G1802,G1802)&gt;1,
   "Doublon",
   "Correcte"
)</f>
        <v>Correcte</v>
      </c>
    </row>
    <row r="1803" spans="1:18" x14ac:dyDescent="0.25">
      <c r="A1803" s="104" t="s">
        <v>2361</v>
      </c>
      <c r="B1803" s="35" t="s">
        <v>595</v>
      </c>
      <c r="C1803" s="36">
        <v>5</v>
      </c>
      <c r="D1803" s="36">
        <v>0</v>
      </c>
      <c r="E1803" s="35" t="s">
        <v>699</v>
      </c>
      <c r="F1803" s="35" t="s">
        <v>634</v>
      </c>
      <c r="G1803" s="37">
        <v>45943.490405092591</v>
      </c>
      <c r="H1803" s="37" t="str">
        <f>INDEX(_xlfn.TEXTSPLIT(mvtst[[#This Row],[QR Suivis]],"_"),1,1)</f>
        <v>OF249940-32</v>
      </c>
      <c r="I1803" s="35" t="str">
        <f>_xlfn.TEXTBEFORE(mvtst[[#This Row],[Num Suivis]],"-",,,1)</f>
        <v>OF249940</v>
      </c>
      <c r="J1803" s="36">
        <f>SUMIF(mvtst[QR Suivis],mvtst[[#This Row],[QR Suivis]],mvtst[QTE SORTIS])-SUMIF(mvtst[QR Suivis],mvtst[[#This Row],[QR Suivis]],mvtst[QTE RETOUR])</f>
        <v>5</v>
      </c>
      <c r="K1803" s="35" t="str">
        <f t="shared" si="31"/>
        <v>Usine</v>
      </c>
      <c r="L1803" s="35" t="str">
        <f>_xlfn.XLOOKUP(mvtst[[#This Row],[Sous Traitant]],coordonnee_st[Identification],coordonnee_st[SERVICE],"Non Trouvé")</f>
        <v>Frange</v>
      </c>
      <c r="M1803" s="35" t="str">
        <f>INDEX(_xlfn.TEXTSPLIT(mvtst[[#This Row],[QR Suivis]],"_"),1,2)</f>
        <v>CL00884</v>
      </c>
      <c r="N1803" s="35" t="str">
        <f>INDEX(_xlfn.TEXTSPLIT(mvtst[[#This Row],[QR Suivis]],"_"),1,3)</f>
        <v>CM-FT0120</v>
      </c>
      <c r="O1803" s="35" t="str">
        <f>INDEX(_xlfn.TEXTSPLIT(mvtst[[#This Row],[QR Suivis]],"_"),1,4)</f>
        <v>FI1020-C28-25-24</v>
      </c>
      <c r="P1803" s="35" t="str">
        <f>INDEX(_xlfn.TEXTSPLIT(mvtst[[#This Row],[QR Suivis]],"_"),1,5)</f>
        <v>FIVE</v>
      </c>
      <c r="Q1803" s="35" t="str">
        <f>_xlfn.TEXTAFTER(mvtst[[#This Row],[QR Suivis]],"_",5)</f>
        <v>1020</v>
      </c>
      <c r="R1803" s="84" t="str">
        <f>IF(
   COUNTIFS($A$2:A1803,A1803,
             $B$2:B1803,B1803,
             $C$2:C1803,C1803,
             $D$2:D1803,D1803,
             $G$2:G1803,G1803)&gt;1,
   "Doublon",
   "Correcte"
)</f>
        <v>Correcte</v>
      </c>
    </row>
    <row r="1804" spans="1:18" x14ac:dyDescent="0.25">
      <c r="A1804" s="104" t="s">
        <v>2362</v>
      </c>
      <c r="B1804" s="35" t="s">
        <v>595</v>
      </c>
      <c r="C1804" s="36">
        <v>5</v>
      </c>
      <c r="D1804" s="36">
        <v>0</v>
      </c>
      <c r="E1804" s="35" t="s">
        <v>699</v>
      </c>
      <c r="F1804" s="35" t="s">
        <v>634</v>
      </c>
      <c r="G1804" s="37">
        <v>45943.490798611114</v>
      </c>
      <c r="H1804" s="37" t="str">
        <f>INDEX(_xlfn.TEXTSPLIT(mvtst[[#This Row],[QR Suivis]],"_"),1,1)</f>
        <v>OF249940-28</v>
      </c>
      <c r="I1804" s="35" t="str">
        <f>_xlfn.TEXTBEFORE(mvtst[[#This Row],[Num Suivis]],"-",,,1)</f>
        <v>OF249940</v>
      </c>
      <c r="J1804" s="36">
        <f>SUMIF(mvtst[QR Suivis],mvtst[[#This Row],[QR Suivis]],mvtst[QTE SORTIS])-SUMIF(mvtst[QR Suivis],mvtst[[#This Row],[QR Suivis]],mvtst[QTE RETOUR])</f>
        <v>5</v>
      </c>
      <c r="K1804" s="35" t="str">
        <f t="shared" si="31"/>
        <v>Usine</v>
      </c>
      <c r="L1804" s="35" t="str">
        <f>_xlfn.XLOOKUP(mvtst[[#This Row],[Sous Traitant]],coordonnee_st[Identification],coordonnee_st[SERVICE],"Non Trouvé")</f>
        <v>Frange</v>
      </c>
      <c r="M1804" s="35" t="str">
        <f>INDEX(_xlfn.TEXTSPLIT(mvtst[[#This Row],[QR Suivis]],"_"),1,2)</f>
        <v>CL00884</v>
      </c>
      <c r="N1804" s="35" t="str">
        <f>INDEX(_xlfn.TEXTSPLIT(mvtst[[#This Row],[QR Suivis]],"_"),1,3)</f>
        <v>CM-FT0120</v>
      </c>
      <c r="O1804" s="35" t="str">
        <f>INDEX(_xlfn.TEXTSPLIT(mvtst[[#This Row],[QR Suivis]],"_"),1,4)</f>
        <v>FI1020-C28-25-24</v>
      </c>
      <c r="P1804" s="35" t="str">
        <f>INDEX(_xlfn.TEXTSPLIT(mvtst[[#This Row],[QR Suivis]],"_"),1,5)</f>
        <v>FIVE</v>
      </c>
      <c r="Q1804" s="35" t="str">
        <f>_xlfn.TEXTAFTER(mvtst[[#This Row],[QR Suivis]],"_",5)</f>
        <v>1020</v>
      </c>
      <c r="R1804" s="84" t="str">
        <f>IF(
   COUNTIFS($A$2:A1804,A1804,
             $B$2:B1804,B1804,
             $C$2:C1804,C1804,
             $D$2:D1804,D1804,
             $G$2:G1804,G1804)&gt;1,
   "Doublon",
   "Correcte"
)</f>
        <v>Correcte</v>
      </c>
    </row>
    <row r="1805" spans="1:18" x14ac:dyDescent="0.25">
      <c r="A1805" s="104" t="s">
        <v>2363</v>
      </c>
      <c r="B1805" s="35" t="s">
        <v>595</v>
      </c>
      <c r="C1805" s="36">
        <v>5</v>
      </c>
      <c r="D1805" s="36">
        <v>0</v>
      </c>
      <c r="E1805" s="35" t="s">
        <v>699</v>
      </c>
      <c r="F1805" s="35" t="s">
        <v>634</v>
      </c>
      <c r="G1805" s="37">
        <v>45943.490960648145</v>
      </c>
      <c r="H1805" s="37" t="str">
        <f>INDEX(_xlfn.TEXTSPLIT(mvtst[[#This Row],[QR Suivis]],"_"),1,1)</f>
        <v>OF249940-39</v>
      </c>
      <c r="I1805" s="35" t="str">
        <f>_xlfn.TEXTBEFORE(mvtst[[#This Row],[Num Suivis]],"-",,,1)</f>
        <v>OF249940</v>
      </c>
      <c r="J1805" s="36">
        <f>SUMIF(mvtst[QR Suivis],mvtst[[#This Row],[QR Suivis]],mvtst[QTE SORTIS])-SUMIF(mvtst[QR Suivis],mvtst[[#This Row],[QR Suivis]],mvtst[QTE RETOUR])</f>
        <v>5</v>
      </c>
      <c r="K1805" s="35" t="str">
        <f t="shared" si="31"/>
        <v>Usine</v>
      </c>
      <c r="L1805" s="35" t="str">
        <f>_xlfn.XLOOKUP(mvtst[[#This Row],[Sous Traitant]],coordonnee_st[Identification],coordonnee_st[SERVICE],"Non Trouvé")</f>
        <v>Frange</v>
      </c>
      <c r="M1805" s="35" t="str">
        <f>INDEX(_xlfn.TEXTSPLIT(mvtst[[#This Row],[QR Suivis]],"_"),1,2)</f>
        <v>CL00884</v>
      </c>
      <c r="N1805" s="35" t="str">
        <f>INDEX(_xlfn.TEXTSPLIT(mvtst[[#This Row],[QR Suivis]],"_"),1,3)</f>
        <v>CM-FT0120</v>
      </c>
      <c r="O1805" s="35" t="str">
        <f>INDEX(_xlfn.TEXTSPLIT(mvtst[[#This Row],[QR Suivis]],"_"),1,4)</f>
        <v>FI1020-C28-25-24</v>
      </c>
      <c r="P1805" s="35" t="str">
        <f>INDEX(_xlfn.TEXTSPLIT(mvtst[[#This Row],[QR Suivis]],"_"),1,5)</f>
        <v>FIVE</v>
      </c>
      <c r="Q1805" s="35" t="str">
        <f>_xlfn.TEXTAFTER(mvtst[[#This Row],[QR Suivis]],"_",5)</f>
        <v>1020</v>
      </c>
      <c r="R1805" s="84" t="str">
        <f>IF(
   COUNTIFS($A$2:A1805,A1805,
             $B$2:B1805,B1805,
             $C$2:C1805,C1805,
             $D$2:D1805,D1805,
             $G$2:G1805,G1805)&gt;1,
   "Doublon",
   "Correcte"
)</f>
        <v>Correcte</v>
      </c>
    </row>
    <row r="1806" spans="1:18" x14ac:dyDescent="0.25">
      <c r="A1806" s="104" t="s">
        <v>2364</v>
      </c>
      <c r="B1806" s="35" t="s">
        <v>595</v>
      </c>
      <c r="C1806" s="36">
        <v>5</v>
      </c>
      <c r="D1806" s="36">
        <v>0</v>
      </c>
      <c r="E1806" s="35" t="s">
        <v>699</v>
      </c>
      <c r="F1806" s="35" t="s">
        <v>634</v>
      </c>
      <c r="G1806" s="37">
        <v>45943.491168981483</v>
      </c>
      <c r="H1806" s="37" t="str">
        <f>INDEX(_xlfn.TEXTSPLIT(mvtst[[#This Row],[QR Suivis]],"_"),1,1)</f>
        <v>OF249940-29</v>
      </c>
      <c r="I1806" s="35" t="str">
        <f>_xlfn.TEXTBEFORE(mvtst[[#This Row],[Num Suivis]],"-",,,1)</f>
        <v>OF249940</v>
      </c>
      <c r="J1806" s="36">
        <f>SUMIF(mvtst[QR Suivis],mvtst[[#This Row],[QR Suivis]],mvtst[QTE SORTIS])-SUMIF(mvtst[QR Suivis],mvtst[[#This Row],[QR Suivis]],mvtst[QTE RETOUR])</f>
        <v>5</v>
      </c>
      <c r="K1806" s="35" t="str">
        <f t="shared" si="31"/>
        <v>Usine</v>
      </c>
      <c r="L1806" s="35" t="str">
        <f>_xlfn.XLOOKUP(mvtst[[#This Row],[Sous Traitant]],coordonnee_st[Identification],coordonnee_st[SERVICE],"Non Trouvé")</f>
        <v>Frange</v>
      </c>
      <c r="M1806" s="35" t="str">
        <f>INDEX(_xlfn.TEXTSPLIT(mvtst[[#This Row],[QR Suivis]],"_"),1,2)</f>
        <v>CL00884</v>
      </c>
      <c r="N1806" s="35" t="str">
        <f>INDEX(_xlfn.TEXTSPLIT(mvtst[[#This Row],[QR Suivis]],"_"),1,3)</f>
        <v>CM-FT0120</v>
      </c>
      <c r="O1806" s="35" t="str">
        <f>INDEX(_xlfn.TEXTSPLIT(mvtst[[#This Row],[QR Suivis]],"_"),1,4)</f>
        <v>FI1020-C28-25-24</v>
      </c>
      <c r="P1806" s="35" t="str">
        <f>INDEX(_xlfn.TEXTSPLIT(mvtst[[#This Row],[QR Suivis]],"_"),1,5)</f>
        <v>FIVE</v>
      </c>
      <c r="Q1806" s="35" t="str">
        <f>_xlfn.TEXTAFTER(mvtst[[#This Row],[QR Suivis]],"_",5)</f>
        <v>1020</v>
      </c>
      <c r="R1806" s="84" t="str">
        <f>IF(
   COUNTIFS($A$2:A1806,A1806,
             $B$2:B1806,B1806,
             $C$2:C1806,C1806,
             $D$2:D1806,D1806,
             $G$2:G1806,G1806)&gt;1,
   "Doublon",
   "Correcte"
)</f>
        <v>Correcte</v>
      </c>
    </row>
    <row r="1807" spans="1:18" x14ac:dyDescent="0.25">
      <c r="A1807" s="104" t="s">
        <v>2365</v>
      </c>
      <c r="B1807" s="35" t="s">
        <v>595</v>
      </c>
      <c r="C1807" s="36">
        <v>5</v>
      </c>
      <c r="D1807" s="36">
        <v>0</v>
      </c>
      <c r="E1807" s="35" t="s">
        <v>699</v>
      </c>
      <c r="F1807" s="35" t="s">
        <v>634</v>
      </c>
      <c r="G1807" s="37">
        <v>45943.491377314815</v>
      </c>
      <c r="H1807" s="37" t="str">
        <f>INDEX(_xlfn.TEXTSPLIT(mvtst[[#This Row],[QR Suivis]],"_"),1,1)</f>
        <v>OF249940-42</v>
      </c>
      <c r="I1807" s="35" t="str">
        <f>_xlfn.TEXTBEFORE(mvtst[[#This Row],[Num Suivis]],"-",,,1)</f>
        <v>OF249940</v>
      </c>
      <c r="J1807" s="36">
        <f>SUMIF(mvtst[QR Suivis],mvtst[[#This Row],[QR Suivis]],mvtst[QTE SORTIS])-SUMIF(mvtst[QR Suivis],mvtst[[#This Row],[QR Suivis]],mvtst[QTE RETOUR])</f>
        <v>5</v>
      </c>
      <c r="K1807" s="35" t="str">
        <f t="shared" si="31"/>
        <v>Usine</v>
      </c>
      <c r="L1807" s="35" t="str">
        <f>_xlfn.XLOOKUP(mvtst[[#This Row],[Sous Traitant]],coordonnee_st[Identification],coordonnee_st[SERVICE],"Non Trouvé")</f>
        <v>Frange</v>
      </c>
      <c r="M1807" s="35" t="str">
        <f>INDEX(_xlfn.TEXTSPLIT(mvtst[[#This Row],[QR Suivis]],"_"),1,2)</f>
        <v>CL00884</v>
      </c>
      <c r="N1807" s="35" t="str">
        <f>INDEX(_xlfn.TEXTSPLIT(mvtst[[#This Row],[QR Suivis]],"_"),1,3)</f>
        <v>CM-FT0120</v>
      </c>
      <c r="O1807" s="35" t="str">
        <f>INDEX(_xlfn.TEXTSPLIT(mvtst[[#This Row],[QR Suivis]],"_"),1,4)</f>
        <v>FI1020-C28-25-24</v>
      </c>
      <c r="P1807" s="35" t="str">
        <f>INDEX(_xlfn.TEXTSPLIT(mvtst[[#This Row],[QR Suivis]],"_"),1,5)</f>
        <v>FIVE</v>
      </c>
      <c r="Q1807" s="35" t="str">
        <f>_xlfn.TEXTAFTER(mvtst[[#This Row],[QR Suivis]],"_",5)</f>
        <v>1020</v>
      </c>
      <c r="R1807" s="84" t="str">
        <f>IF(
   COUNTIFS($A$2:A1807,A1807,
             $B$2:B1807,B1807,
             $C$2:C1807,C1807,
             $D$2:D1807,D1807,
             $G$2:G1807,G1807)&gt;1,
   "Doublon",
   "Correcte"
)</f>
        <v>Correcte</v>
      </c>
    </row>
    <row r="1808" spans="1:18" x14ac:dyDescent="0.25">
      <c r="A1808" s="104" t="s">
        <v>2366</v>
      </c>
      <c r="B1808" s="35" t="s">
        <v>595</v>
      </c>
      <c r="C1808" s="36">
        <v>5</v>
      </c>
      <c r="D1808" s="36">
        <v>0</v>
      </c>
      <c r="E1808" s="35" t="s">
        <v>699</v>
      </c>
      <c r="F1808" s="35" t="s">
        <v>634</v>
      </c>
      <c r="G1808" s="37">
        <v>45943.485011574077</v>
      </c>
      <c r="H1808" s="37" t="str">
        <f>INDEX(_xlfn.TEXTSPLIT(mvtst[[#This Row],[QR Suivis]],"_"),1,1)</f>
        <v>OF249940-17</v>
      </c>
      <c r="I1808" s="35" t="str">
        <f>_xlfn.TEXTBEFORE(mvtst[[#This Row],[Num Suivis]],"-",,,1)</f>
        <v>OF249940</v>
      </c>
      <c r="J1808" s="36">
        <f>SUMIF(mvtst[QR Suivis],mvtst[[#This Row],[QR Suivis]],mvtst[QTE SORTIS])-SUMIF(mvtst[QR Suivis],mvtst[[#This Row],[QR Suivis]],mvtst[QTE RETOUR])</f>
        <v>5</v>
      </c>
      <c r="K1808" s="35" t="str">
        <f t="shared" si="31"/>
        <v>Usine</v>
      </c>
      <c r="L1808" s="35" t="str">
        <f>_xlfn.XLOOKUP(mvtst[[#This Row],[Sous Traitant]],coordonnee_st[Identification],coordonnee_st[SERVICE],"Non Trouvé")</f>
        <v>Frange</v>
      </c>
      <c r="M1808" s="35" t="str">
        <f>INDEX(_xlfn.TEXTSPLIT(mvtst[[#This Row],[QR Suivis]],"_"),1,2)</f>
        <v>CL00884</v>
      </c>
      <c r="N1808" s="35" t="str">
        <f>INDEX(_xlfn.TEXTSPLIT(mvtst[[#This Row],[QR Suivis]],"_"),1,3)</f>
        <v>CM-FT0120</v>
      </c>
      <c r="O1808" s="35" t="str">
        <f>INDEX(_xlfn.TEXTSPLIT(mvtst[[#This Row],[QR Suivis]],"_"),1,4)</f>
        <v>FI1020-C28-25-24</v>
      </c>
      <c r="P1808" s="35" t="str">
        <f>INDEX(_xlfn.TEXTSPLIT(mvtst[[#This Row],[QR Suivis]],"_"),1,5)</f>
        <v>FIVE</v>
      </c>
      <c r="Q1808" s="35" t="str">
        <f>_xlfn.TEXTAFTER(mvtst[[#This Row],[QR Suivis]],"_",5)</f>
        <v>1020</v>
      </c>
      <c r="R1808" s="84" t="str">
        <f>IF(
   COUNTIFS($A$2:A1808,A1808,
             $B$2:B1808,B1808,
             $C$2:C1808,C1808,
             $D$2:D1808,D1808,
             $G$2:G1808,G1808)&gt;1,
   "Doublon",
   "Correcte"
)</f>
        <v>Correcte</v>
      </c>
    </row>
    <row r="1809" spans="1:18" x14ac:dyDescent="0.25">
      <c r="A1809" s="104" t="s">
        <v>2367</v>
      </c>
      <c r="B1809" s="35" t="s">
        <v>595</v>
      </c>
      <c r="C1809" s="36">
        <v>5</v>
      </c>
      <c r="D1809" s="36">
        <v>0</v>
      </c>
      <c r="E1809" s="35" t="s">
        <v>699</v>
      </c>
      <c r="F1809" s="35" t="s">
        <v>634</v>
      </c>
      <c r="G1809" s="37">
        <v>45943.484814814816</v>
      </c>
      <c r="H1809" s="37" t="str">
        <f>INDEX(_xlfn.TEXTSPLIT(mvtst[[#This Row],[QR Suivis]],"_"),1,1)</f>
        <v>OF249940-19</v>
      </c>
      <c r="I1809" s="35" t="str">
        <f>_xlfn.TEXTBEFORE(mvtst[[#This Row],[Num Suivis]],"-",,,1)</f>
        <v>OF249940</v>
      </c>
      <c r="J1809" s="36">
        <f>SUMIF(mvtst[QR Suivis],mvtst[[#This Row],[QR Suivis]],mvtst[QTE SORTIS])-SUMIF(mvtst[QR Suivis],mvtst[[#This Row],[QR Suivis]],mvtst[QTE RETOUR])</f>
        <v>5</v>
      </c>
      <c r="K1809" s="35" t="str">
        <f t="shared" si="31"/>
        <v>Usine</v>
      </c>
      <c r="L1809" s="35" t="str">
        <f>_xlfn.XLOOKUP(mvtst[[#This Row],[Sous Traitant]],coordonnee_st[Identification],coordonnee_st[SERVICE],"Non Trouvé")</f>
        <v>Frange</v>
      </c>
      <c r="M1809" s="35" t="str">
        <f>INDEX(_xlfn.TEXTSPLIT(mvtst[[#This Row],[QR Suivis]],"_"),1,2)</f>
        <v>CL00884</v>
      </c>
      <c r="N1809" s="35" t="str">
        <f>INDEX(_xlfn.TEXTSPLIT(mvtst[[#This Row],[QR Suivis]],"_"),1,3)</f>
        <v>CM-FT0120</v>
      </c>
      <c r="O1809" s="35" t="str">
        <f>INDEX(_xlfn.TEXTSPLIT(mvtst[[#This Row],[QR Suivis]],"_"),1,4)</f>
        <v>FI1020-C28-25-24</v>
      </c>
      <c r="P1809" s="35" t="str">
        <f>INDEX(_xlfn.TEXTSPLIT(mvtst[[#This Row],[QR Suivis]],"_"),1,5)</f>
        <v>FIVE</v>
      </c>
      <c r="Q1809" s="35" t="str">
        <f>_xlfn.TEXTAFTER(mvtst[[#This Row],[QR Suivis]],"_",5)</f>
        <v>1020</v>
      </c>
      <c r="R1809" s="84" t="str">
        <f>IF(
   COUNTIFS($A$2:A1809,A1809,
             $B$2:B1809,B1809,
             $C$2:C1809,C1809,
             $D$2:D1809,D1809,
             $G$2:G1809,G1809)&gt;1,
   "Doublon",
   "Correcte"
)</f>
        <v>Correcte</v>
      </c>
    </row>
    <row r="1810" spans="1:18" x14ac:dyDescent="0.25">
      <c r="A1810" s="104" t="s">
        <v>2368</v>
      </c>
      <c r="B1810" s="35" t="s">
        <v>595</v>
      </c>
      <c r="C1810" s="36">
        <v>5</v>
      </c>
      <c r="D1810" s="36">
        <v>0</v>
      </c>
      <c r="E1810" s="35" t="s">
        <v>699</v>
      </c>
      <c r="F1810" s="35" t="s">
        <v>634</v>
      </c>
      <c r="G1810" s="37">
        <v>45943.484618055554</v>
      </c>
      <c r="H1810" s="37" t="str">
        <f>INDEX(_xlfn.TEXTSPLIT(mvtst[[#This Row],[QR Suivis]],"_"),1,1)</f>
        <v>OF249940-25</v>
      </c>
      <c r="I1810" s="35" t="str">
        <f>_xlfn.TEXTBEFORE(mvtst[[#This Row],[Num Suivis]],"-",,,1)</f>
        <v>OF249940</v>
      </c>
      <c r="J1810" s="36">
        <f>SUMIF(mvtst[QR Suivis],mvtst[[#This Row],[QR Suivis]],mvtst[QTE SORTIS])-SUMIF(mvtst[QR Suivis],mvtst[[#This Row],[QR Suivis]],mvtst[QTE RETOUR])</f>
        <v>5</v>
      </c>
      <c r="K1810" s="35" t="str">
        <f t="shared" si="31"/>
        <v>Usine</v>
      </c>
      <c r="L1810" s="35" t="str">
        <f>_xlfn.XLOOKUP(mvtst[[#This Row],[Sous Traitant]],coordonnee_st[Identification],coordonnee_st[SERVICE],"Non Trouvé")</f>
        <v>Frange</v>
      </c>
      <c r="M1810" s="35" t="str">
        <f>INDEX(_xlfn.TEXTSPLIT(mvtst[[#This Row],[QR Suivis]],"_"),1,2)</f>
        <v>CL00884</v>
      </c>
      <c r="N1810" s="35" t="str">
        <f>INDEX(_xlfn.TEXTSPLIT(mvtst[[#This Row],[QR Suivis]],"_"),1,3)</f>
        <v>CM-FT0120</v>
      </c>
      <c r="O1810" s="35" t="str">
        <f>INDEX(_xlfn.TEXTSPLIT(mvtst[[#This Row],[QR Suivis]],"_"),1,4)</f>
        <v>FI1020-C28-25-24</v>
      </c>
      <c r="P1810" s="35" t="str">
        <f>INDEX(_xlfn.TEXTSPLIT(mvtst[[#This Row],[QR Suivis]],"_"),1,5)</f>
        <v>FIVE</v>
      </c>
      <c r="Q1810" s="35" t="str">
        <f>_xlfn.TEXTAFTER(mvtst[[#This Row],[QR Suivis]],"_",5)</f>
        <v>1020</v>
      </c>
      <c r="R1810" s="84" t="str">
        <f>IF(
   COUNTIFS($A$2:A1810,A1810,
             $B$2:B1810,B1810,
             $C$2:C1810,C1810,
             $D$2:D1810,D1810,
             $G$2:G1810,G1810)&gt;1,
   "Doublon",
   "Correcte"
)</f>
        <v>Correcte</v>
      </c>
    </row>
    <row r="1811" spans="1:18" x14ac:dyDescent="0.25">
      <c r="A1811" s="104" t="s">
        <v>2369</v>
      </c>
      <c r="B1811" s="35" t="s">
        <v>595</v>
      </c>
      <c r="C1811" s="36">
        <v>5</v>
      </c>
      <c r="D1811" s="36">
        <v>0</v>
      </c>
      <c r="E1811" s="35" t="s">
        <v>699</v>
      </c>
      <c r="F1811" s="35" t="s">
        <v>634</v>
      </c>
      <c r="G1811" s="37">
        <v>45943.4844212963</v>
      </c>
      <c r="H1811" s="37" t="str">
        <f>INDEX(_xlfn.TEXTSPLIT(mvtst[[#This Row],[QR Suivis]],"_"),1,1)</f>
        <v>OF249940-24</v>
      </c>
      <c r="I1811" s="35" t="str">
        <f>_xlfn.TEXTBEFORE(mvtst[[#This Row],[Num Suivis]],"-",,,1)</f>
        <v>OF249940</v>
      </c>
      <c r="J1811" s="36">
        <f>SUMIF(mvtst[QR Suivis],mvtst[[#This Row],[QR Suivis]],mvtst[QTE SORTIS])-SUMIF(mvtst[QR Suivis],mvtst[[#This Row],[QR Suivis]],mvtst[QTE RETOUR])</f>
        <v>5</v>
      </c>
      <c r="K1811" s="35" t="str">
        <f t="shared" si="31"/>
        <v>Usine</v>
      </c>
      <c r="L1811" s="35" t="str">
        <f>_xlfn.XLOOKUP(mvtst[[#This Row],[Sous Traitant]],coordonnee_st[Identification],coordonnee_st[SERVICE],"Non Trouvé")</f>
        <v>Frange</v>
      </c>
      <c r="M1811" s="35" t="str">
        <f>INDEX(_xlfn.TEXTSPLIT(mvtst[[#This Row],[QR Suivis]],"_"),1,2)</f>
        <v>CL00884</v>
      </c>
      <c r="N1811" s="35" t="str">
        <f>INDEX(_xlfn.TEXTSPLIT(mvtst[[#This Row],[QR Suivis]],"_"),1,3)</f>
        <v>CM-FT0120</v>
      </c>
      <c r="O1811" s="35" t="str">
        <f>INDEX(_xlfn.TEXTSPLIT(mvtst[[#This Row],[QR Suivis]],"_"),1,4)</f>
        <v>FI1020-C28-25-24</v>
      </c>
      <c r="P1811" s="35" t="str">
        <f>INDEX(_xlfn.TEXTSPLIT(mvtst[[#This Row],[QR Suivis]],"_"),1,5)</f>
        <v>FIVE</v>
      </c>
      <c r="Q1811" s="35" t="str">
        <f>_xlfn.TEXTAFTER(mvtst[[#This Row],[QR Suivis]],"_",5)</f>
        <v>1020</v>
      </c>
      <c r="R1811" s="84" t="str">
        <f>IF(
   COUNTIFS($A$2:A1811,A1811,
             $B$2:B1811,B1811,
             $C$2:C1811,C1811,
             $D$2:D1811,D1811,
             $G$2:G1811,G1811)&gt;1,
   "Doublon",
   "Correcte"
)</f>
        <v>Correcte</v>
      </c>
    </row>
    <row r="1812" spans="1:18" x14ac:dyDescent="0.25">
      <c r="A1812" s="104" t="s">
        <v>2370</v>
      </c>
      <c r="B1812" s="35" t="s">
        <v>595</v>
      </c>
      <c r="C1812" s="36">
        <v>5</v>
      </c>
      <c r="D1812" s="36">
        <v>0</v>
      </c>
      <c r="E1812" s="35" t="s">
        <v>699</v>
      </c>
      <c r="F1812" s="35" t="s">
        <v>634</v>
      </c>
      <c r="G1812" s="37">
        <v>45943.484212962961</v>
      </c>
      <c r="H1812" s="37" t="str">
        <f>INDEX(_xlfn.TEXTSPLIT(mvtst[[#This Row],[QR Suivis]],"_"),1,1)</f>
        <v>OF249940-23</v>
      </c>
      <c r="I1812" s="35" t="str">
        <f>_xlfn.TEXTBEFORE(mvtst[[#This Row],[Num Suivis]],"-",,,1)</f>
        <v>OF249940</v>
      </c>
      <c r="J1812" s="36">
        <f>SUMIF(mvtst[QR Suivis],mvtst[[#This Row],[QR Suivis]],mvtst[QTE SORTIS])-SUMIF(mvtst[QR Suivis],mvtst[[#This Row],[QR Suivis]],mvtst[QTE RETOUR])</f>
        <v>5</v>
      </c>
      <c r="K1812" s="35" t="str">
        <f t="shared" si="31"/>
        <v>Usine</v>
      </c>
      <c r="L1812" s="35" t="str">
        <f>_xlfn.XLOOKUP(mvtst[[#This Row],[Sous Traitant]],coordonnee_st[Identification],coordonnee_st[SERVICE],"Non Trouvé")</f>
        <v>Frange</v>
      </c>
      <c r="M1812" s="35" t="str">
        <f>INDEX(_xlfn.TEXTSPLIT(mvtst[[#This Row],[QR Suivis]],"_"),1,2)</f>
        <v>CL00884</v>
      </c>
      <c r="N1812" s="35" t="str">
        <f>INDEX(_xlfn.TEXTSPLIT(mvtst[[#This Row],[QR Suivis]],"_"),1,3)</f>
        <v>CM-FT0120</v>
      </c>
      <c r="O1812" s="35" t="str">
        <f>INDEX(_xlfn.TEXTSPLIT(mvtst[[#This Row],[QR Suivis]],"_"),1,4)</f>
        <v>FI1020-C28-25-24</v>
      </c>
      <c r="P1812" s="35" t="str">
        <f>INDEX(_xlfn.TEXTSPLIT(mvtst[[#This Row],[QR Suivis]],"_"),1,5)</f>
        <v>FIVE</v>
      </c>
      <c r="Q1812" s="35" t="str">
        <f>_xlfn.TEXTAFTER(mvtst[[#This Row],[QR Suivis]],"_",5)</f>
        <v>1020</v>
      </c>
      <c r="R1812" s="84" t="str">
        <f>IF(
   COUNTIFS($A$2:A1812,A1812,
             $B$2:B1812,B1812,
             $C$2:C1812,C1812,
             $D$2:D1812,D1812,
             $G$2:G1812,G1812)&gt;1,
   "Doublon",
   "Correcte"
)</f>
        <v>Correcte</v>
      </c>
    </row>
    <row r="1813" spans="1:18" x14ac:dyDescent="0.25">
      <c r="A1813" s="104" t="s">
        <v>2371</v>
      </c>
      <c r="B1813" s="35" t="s">
        <v>595</v>
      </c>
      <c r="C1813" s="36">
        <v>5</v>
      </c>
      <c r="D1813" s="36">
        <v>0</v>
      </c>
      <c r="E1813" s="35" t="s">
        <v>699</v>
      </c>
      <c r="F1813" s="35" t="s">
        <v>634</v>
      </c>
      <c r="G1813" s="37">
        <v>45943.484016203707</v>
      </c>
      <c r="H1813" s="37" t="str">
        <f>INDEX(_xlfn.TEXTSPLIT(mvtst[[#This Row],[QR Suivis]],"_"),1,1)</f>
        <v>OF249940-21</v>
      </c>
      <c r="I1813" s="35" t="str">
        <f>_xlfn.TEXTBEFORE(mvtst[[#This Row],[Num Suivis]],"-",,,1)</f>
        <v>OF249940</v>
      </c>
      <c r="J1813" s="36">
        <f>SUMIF(mvtst[QR Suivis],mvtst[[#This Row],[QR Suivis]],mvtst[QTE SORTIS])-SUMIF(mvtst[QR Suivis],mvtst[[#This Row],[QR Suivis]],mvtst[QTE RETOUR])</f>
        <v>5</v>
      </c>
      <c r="K1813" s="35" t="str">
        <f t="shared" si="31"/>
        <v>Usine</v>
      </c>
      <c r="L1813" s="35" t="str">
        <f>_xlfn.XLOOKUP(mvtst[[#This Row],[Sous Traitant]],coordonnee_st[Identification],coordonnee_st[SERVICE],"Non Trouvé")</f>
        <v>Frange</v>
      </c>
      <c r="M1813" s="35" t="str">
        <f>INDEX(_xlfn.TEXTSPLIT(mvtst[[#This Row],[QR Suivis]],"_"),1,2)</f>
        <v>CL00884</v>
      </c>
      <c r="N1813" s="35" t="str">
        <f>INDEX(_xlfn.TEXTSPLIT(mvtst[[#This Row],[QR Suivis]],"_"),1,3)</f>
        <v>CM-FT0120</v>
      </c>
      <c r="O1813" s="35" t="str">
        <f>INDEX(_xlfn.TEXTSPLIT(mvtst[[#This Row],[QR Suivis]],"_"),1,4)</f>
        <v>FI1020-C28-25-24</v>
      </c>
      <c r="P1813" s="35" t="str">
        <f>INDEX(_xlfn.TEXTSPLIT(mvtst[[#This Row],[QR Suivis]],"_"),1,5)</f>
        <v>FIVE</v>
      </c>
      <c r="Q1813" s="35" t="str">
        <f>_xlfn.TEXTAFTER(mvtst[[#This Row],[QR Suivis]],"_",5)</f>
        <v>1020</v>
      </c>
      <c r="R1813" s="84" t="str">
        <f>IF(
   COUNTIFS($A$2:A1813,A1813,
             $B$2:B1813,B1813,
             $C$2:C1813,C1813,
             $D$2:D1813,D1813,
             $G$2:G1813,G1813)&gt;1,
   "Doublon",
   "Correcte"
)</f>
        <v>Correcte</v>
      </c>
    </row>
    <row r="1814" spans="1:18" x14ac:dyDescent="0.25">
      <c r="A1814" s="104" t="s">
        <v>2372</v>
      </c>
      <c r="B1814" s="35" t="s">
        <v>646</v>
      </c>
      <c r="C1814" s="36">
        <v>5</v>
      </c>
      <c r="D1814" s="36">
        <v>0</v>
      </c>
      <c r="E1814" s="35" t="s">
        <v>699</v>
      </c>
      <c r="F1814" s="35" t="s">
        <v>634</v>
      </c>
      <c r="G1814" s="37">
        <v>45943.507453703707</v>
      </c>
      <c r="H1814" s="37" t="str">
        <f>INDEX(_xlfn.TEXTSPLIT(mvtst[[#This Row],[QR Suivis]],"_"),1,1)</f>
        <v>OF249940-2</v>
      </c>
      <c r="I1814" s="35" t="str">
        <f>_xlfn.TEXTBEFORE(mvtst[[#This Row],[Num Suivis]],"-",,,1)</f>
        <v>OF249940</v>
      </c>
      <c r="J1814" s="36">
        <f>SUMIF(mvtst[QR Suivis],mvtst[[#This Row],[QR Suivis]],mvtst[QTE SORTIS])-SUMIF(mvtst[QR Suivis],mvtst[[#This Row],[QR Suivis]],mvtst[QTE RETOUR])</f>
        <v>5</v>
      </c>
      <c r="K1814" s="35" t="str">
        <f t="shared" si="31"/>
        <v>Usine</v>
      </c>
      <c r="L1814" s="35" t="str">
        <f>_xlfn.XLOOKUP(mvtst[[#This Row],[Sous Traitant]],coordonnee_st[Identification],coordonnee_st[SERVICE],"Non Trouvé")</f>
        <v>Frange</v>
      </c>
      <c r="M1814" s="35" t="str">
        <f>INDEX(_xlfn.TEXTSPLIT(mvtst[[#This Row],[QR Suivis]],"_"),1,2)</f>
        <v>CL00884</v>
      </c>
      <c r="N1814" s="35" t="str">
        <f>INDEX(_xlfn.TEXTSPLIT(mvtst[[#This Row],[QR Suivis]],"_"),1,3)</f>
        <v>CM-FT0120</v>
      </c>
      <c r="O1814" s="35" t="str">
        <f>INDEX(_xlfn.TEXTSPLIT(mvtst[[#This Row],[QR Suivis]],"_"),1,4)</f>
        <v>FI1020-C28-25-24</v>
      </c>
      <c r="P1814" s="35" t="str">
        <f>INDEX(_xlfn.TEXTSPLIT(mvtst[[#This Row],[QR Suivis]],"_"),1,5)</f>
        <v>FIVE</v>
      </c>
      <c r="Q1814" s="35" t="str">
        <f>_xlfn.TEXTAFTER(mvtst[[#This Row],[QR Suivis]],"_",5)</f>
        <v>1020</v>
      </c>
      <c r="R1814" s="84" t="str">
        <f>IF(
   COUNTIFS($A$2:A1814,A1814,
             $B$2:B1814,B1814,
             $C$2:C1814,C1814,
             $D$2:D1814,D1814,
             $G$2:G1814,G1814)&gt;1,
   "Doublon",
   "Correcte"
)</f>
        <v>Correcte</v>
      </c>
    </row>
    <row r="1815" spans="1:18" x14ac:dyDescent="0.25">
      <c r="A1815" s="104" t="s">
        <v>2373</v>
      </c>
      <c r="B1815" s="35" t="s">
        <v>646</v>
      </c>
      <c r="C1815" s="36">
        <v>5</v>
      </c>
      <c r="D1815" s="36">
        <v>0</v>
      </c>
      <c r="E1815" s="35" t="s">
        <v>699</v>
      </c>
      <c r="F1815" s="35" t="s">
        <v>634</v>
      </c>
      <c r="G1815" s="37">
        <v>45943.507719907408</v>
      </c>
      <c r="H1815" s="37" t="str">
        <f>INDEX(_xlfn.TEXTSPLIT(mvtst[[#This Row],[QR Suivis]],"_"),1,1)</f>
        <v>OF249940-7</v>
      </c>
      <c r="I1815" s="35" t="str">
        <f>_xlfn.TEXTBEFORE(mvtst[[#This Row],[Num Suivis]],"-",,,1)</f>
        <v>OF249940</v>
      </c>
      <c r="J1815" s="36">
        <f>SUMIF(mvtst[QR Suivis],mvtst[[#This Row],[QR Suivis]],mvtst[QTE SORTIS])-SUMIF(mvtst[QR Suivis],mvtst[[#This Row],[QR Suivis]],mvtst[QTE RETOUR])</f>
        <v>5</v>
      </c>
      <c r="K1815" s="35" t="str">
        <f t="shared" si="31"/>
        <v>Usine</v>
      </c>
      <c r="L1815" s="35" t="str">
        <f>_xlfn.XLOOKUP(mvtst[[#This Row],[Sous Traitant]],coordonnee_st[Identification],coordonnee_st[SERVICE],"Non Trouvé")</f>
        <v>Frange</v>
      </c>
      <c r="M1815" s="35" t="str">
        <f>INDEX(_xlfn.TEXTSPLIT(mvtst[[#This Row],[QR Suivis]],"_"),1,2)</f>
        <v>CL00884</v>
      </c>
      <c r="N1815" s="35" t="str">
        <f>INDEX(_xlfn.TEXTSPLIT(mvtst[[#This Row],[QR Suivis]],"_"),1,3)</f>
        <v>CM-FT0120</v>
      </c>
      <c r="O1815" s="35" t="str">
        <f>INDEX(_xlfn.TEXTSPLIT(mvtst[[#This Row],[QR Suivis]],"_"),1,4)</f>
        <v>FI1020-C28-25-24</v>
      </c>
      <c r="P1815" s="35" t="str">
        <f>INDEX(_xlfn.TEXTSPLIT(mvtst[[#This Row],[QR Suivis]],"_"),1,5)</f>
        <v>FIVE</v>
      </c>
      <c r="Q1815" s="35" t="str">
        <f>_xlfn.TEXTAFTER(mvtst[[#This Row],[QR Suivis]],"_",5)</f>
        <v>1020</v>
      </c>
      <c r="R1815" s="84" t="str">
        <f>IF(
   COUNTIFS($A$2:A1815,A1815,
             $B$2:B1815,B1815,
             $C$2:C1815,C1815,
             $D$2:D1815,D1815,
             $G$2:G1815,G1815)&gt;1,
   "Doublon",
   "Correcte"
)</f>
        <v>Correcte</v>
      </c>
    </row>
    <row r="1816" spans="1:18" x14ac:dyDescent="0.25">
      <c r="A1816" s="104" t="s">
        <v>2374</v>
      </c>
      <c r="B1816" s="35" t="s">
        <v>646</v>
      </c>
      <c r="C1816" s="36">
        <v>5</v>
      </c>
      <c r="D1816" s="36">
        <v>0</v>
      </c>
      <c r="E1816" s="35" t="s">
        <v>699</v>
      </c>
      <c r="F1816" s="35" t="s">
        <v>634</v>
      </c>
      <c r="G1816" s="37">
        <v>45943.5078587963</v>
      </c>
      <c r="H1816" s="37" t="str">
        <f>INDEX(_xlfn.TEXTSPLIT(mvtst[[#This Row],[QR Suivis]],"_"),1,1)</f>
        <v>OF249940-1</v>
      </c>
      <c r="I1816" s="35" t="str">
        <f>_xlfn.TEXTBEFORE(mvtst[[#This Row],[Num Suivis]],"-",,,1)</f>
        <v>OF249940</v>
      </c>
      <c r="J1816" s="36">
        <f>SUMIF(mvtst[QR Suivis],mvtst[[#This Row],[QR Suivis]],mvtst[QTE SORTIS])-SUMIF(mvtst[QR Suivis],mvtst[[#This Row],[QR Suivis]],mvtst[QTE RETOUR])</f>
        <v>5</v>
      </c>
      <c r="K1816" s="35" t="str">
        <f t="shared" si="31"/>
        <v>Usine</v>
      </c>
      <c r="L1816" s="35" t="str">
        <f>_xlfn.XLOOKUP(mvtst[[#This Row],[Sous Traitant]],coordonnee_st[Identification],coordonnee_st[SERVICE],"Non Trouvé")</f>
        <v>Frange</v>
      </c>
      <c r="M1816" s="35" t="str">
        <f>INDEX(_xlfn.TEXTSPLIT(mvtst[[#This Row],[QR Suivis]],"_"),1,2)</f>
        <v>CL00884</v>
      </c>
      <c r="N1816" s="35" t="str">
        <f>INDEX(_xlfn.TEXTSPLIT(mvtst[[#This Row],[QR Suivis]],"_"),1,3)</f>
        <v>CM-FT0120</v>
      </c>
      <c r="O1816" s="35" t="str">
        <f>INDEX(_xlfn.TEXTSPLIT(mvtst[[#This Row],[QR Suivis]],"_"),1,4)</f>
        <v>FI1020-C28-25-24</v>
      </c>
      <c r="P1816" s="35" t="str">
        <f>INDEX(_xlfn.TEXTSPLIT(mvtst[[#This Row],[QR Suivis]],"_"),1,5)</f>
        <v>FIVE</v>
      </c>
      <c r="Q1816" s="35" t="str">
        <f>_xlfn.TEXTAFTER(mvtst[[#This Row],[QR Suivis]],"_",5)</f>
        <v>1020</v>
      </c>
      <c r="R1816" s="84" t="str">
        <f>IF(
   COUNTIFS($A$2:A1816,A1816,
             $B$2:B1816,B1816,
             $C$2:C1816,C1816,
             $D$2:D1816,D1816,
             $G$2:G1816,G1816)&gt;1,
   "Doublon",
   "Correcte"
)</f>
        <v>Correcte</v>
      </c>
    </row>
    <row r="1817" spans="1:18" x14ac:dyDescent="0.25">
      <c r="A1817" s="104" t="s">
        <v>2375</v>
      </c>
      <c r="B1817" s="35" t="s">
        <v>646</v>
      </c>
      <c r="C1817" s="36">
        <v>5</v>
      </c>
      <c r="D1817" s="36">
        <v>0</v>
      </c>
      <c r="E1817" s="35" t="s">
        <v>699</v>
      </c>
      <c r="F1817" s="35" t="s">
        <v>634</v>
      </c>
      <c r="G1817" s="37">
        <v>45943.508460648147</v>
      </c>
      <c r="H1817" s="37" t="str">
        <f>INDEX(_xlfn.TEXTSPLIT(mvtst[[#This Row],[QR Suivis]],"_"),1,1)</f>
        <v>OF249940-20</v>
      </c>
      <c r="I1817" s="35" t="str">
        <f>_xlfn.TEXTBEFORE(mvtst[[#This Row],[Num Suivis]],"-",,,1)</f>
        <v>OF249940</v>
      </c>
      <c r="J1817" s="36">
        <f>SUMIF(mvtst[QR Suivis],mvtst[[#This Row],[QR Suivis]],mvtst[QTE SORTIS])-SUMIF(mvtst[QR Suivis],mvtst[[#This Row],[QR Suivis]],mvtst[QTE RETOUR])</f>
        <v>5</v>
      </c>
      <c r="K1817" s="35" t="str">
        <f t="shared" si="31"/>
        <v>Usine</v>
      </c>
      <c r="L1817" s="35" t="str">
        <f>_xlfn.XLOOKUP(mvtst[[#This Row],[Sous Traitant]],coordonnee_st[Identification],coordonnee_st[SERVICE],"Non Trouvé")</f>
        <v>Frange</v>
      </c>
      <c r="M1817" s="35" t="str">
        <f>INDEX(_xlfn.TEXTSPLIT(mvtst[[#This Row],[QR Suivis]],"_"),1,2)</f>
        <v>CL00884</v>
      </c>
      <c r="N1817" s="35" t="str">
        <f>INDEX(_xlfn.TEXTSPLIT(mvtst[[#This Row],[QR Suivis]],"_"),1,3)</f>
        <v>CM-FT0120</v>
      </c>
      <c r="O1817" s="35" t="str">
        <f>INDEX(_xlfn.TEXTSPLIT(mvtst[[#This Row],[QR Suivis]],"_"),1,4)</f>
        <v>FI1020-C28-25-24</v>
      </c>
      <c r="P1817" s="35" t="str">
        <f>INDEX(_xlfn.TEXTSPLIT(mvtst[[#This Row],[QR Suivis]],"_"),1,5)</f>
        <v>FIVE</v>
      </c>
      <c r="Q1817" s="35" t="str">
        <f>_xlfn.TEXTAFTER(mvtst[[#This Row],[QR Suivis]],"_",5)</f>
        <v>1020</v>
      </c>
      <c r="R1817" s="84" t="str">
        <f>IF(
   COUNTIFS($A$2:A1817,A1817,
             $B$2:B1817,B1817,
             $C$2:C1817,C1817,
             $D$2:D1817,D1817,
             $G$2:G1817,G1817)&gt;1,
   "Doublon",
   "Correcte"
)</f>
        <v>Correcte</v>
      </c>
    </row>
    <row r="1818" spans="1:18" x14ac:dyDescent="0.25">
      <c r="A1818" s="104" t="s">
        <v>2376</v>
      </c>
      <c r="B1818" s="35" t="s">
        <v>646</v>
      </c>
      <c r="C1818" s="36">
        <v>5</v>
      </c>
      <c r="D1818" s="36">
        <v>0</v>
      </c>
      <c r="E1818" s="35" t="s">
        <v>699</v>
      </c>
      <c r="F1818" s="35" t="s">
        <v>634</v>
      </c>
      <c r="G1818" s="37">
        <v>45943.508680555555</v>
      </c>
      <c r="H1818" s="37" t="str">
        <f>INDEX(_xlfn.TEXTSPLIT(mvtst[[#This Row],[QR Suivis]],"_"),1,1)</f>
        <v>OF249940-6</v>
      </c>
      <c r="I1818" s="35" t="str">
        <f>_xlfn.TEXTBEFORE(mvtst[[#This Row],[Num Suivis]],"-",,,1)</f>
        <v>OF249940</v>
      </c>
      <c r="J1818" s="36">
        <f>SUMIF(mvtst[QR Suivis],mvtst[[#This Row],[QR Suivis]],mvtst[QTE SORTIS])-SUMIF(mvtst[QR Suivis],mvtst[[#This Row],[QR Suivis]],mvtst[QTE RETOUR])</f>
        <v>5</v>
      </c>
      <c r="K1818" s="35" t="str">
        <f t="shared" si="31"/>
        <v>Usine</v>
      </c>
      <c r="L1818" s="35" t="str">
        <f>_xlfn.XLOOKUP(mvtst[[#This Row],[Sous Traitant]],coordonnee_st[Identification],coordonnee_st[SERVICE],"Non Trouvé")</f>
        <v>Frange</v>
      </c>
      <c r="M1818" s="35" t="str">
        <f>INDEX(_xlfn.TEXTSPLIT(mvtst[[#This Row],[QR Suivis]],"_"),1,2)</f>
        <v>CL00884</v>
      </c>
      <c r="N1818" s="35" t="str">
        <f>INDEX(_xlfn.TEXTSPLIT(mvtst[[#This Row],[QR Suivis]],"_"),1,3)</f>
        <v>CM-FT0120</v>
      </c>
      <c r="O1818" s="35" t="str">
        <f>INDEX(_xlfn.TEXTSPLIT(mvtst[[#This Row],[QR Suivis]],"_"),1,4)</f>
        <v>FI1020-C28-25-24</v>
      </c>
      <c r="P1818" s="35" t="str">
        <f>INDEX(_xlfn.TEXTSPLIT(mvtst[[#This Row],[QR Suivis]],"_"),1,5)</f>
        <v>FIVE</v>
      </c>
      <c r="Q1818" s="35" t="str">
        <f>_xlfn.TEXTAFTER(mvtst[[#This Row],[QR Suivis]],"_",5)</f>
        <v>1020</v>
      </c>
      <c r="R1818" s="84" t="str">
        <f>IF(
   COUNTIFS($A$2:A1818,A1818,
             $B$2:B1818,B1818,
             $C$2:C1818,C1818,
             $D$2:D1818,D1818,
             $G$2:G1818,G1818)&gt;1,
   "Doublon",
   "Correcte"
)</f>
        <v>Correcte</v>
      </c>
    </row>
    <row r="1819" spans="1:18" x14ac:dyDescent="0.25">
      <c r="A1819" s="104" t="s">
        <v>2377</v>
      </c>
      <c r="B1819" s="35" t="s">
        <v>646</v>
      </c>
      <c r="C1819" s="36">
        <v>5</v>
      </c>
      <c r="D1819" s="36">
        <v>0</v>
      </c>
      <c r="E1819" s="35" t="s">
        <v>699</v>
      </c>
      <c r="F1819" s="35" t="s">
        <v>634</v>
      </c>
      <c r="G1819" s="37">
        <v>45943.509201388886</v>
      </c>
      <c r="H1819" s="37" t="str">
        <f>INDEX(_xlfn.TEXTSPLIT(mvtst[[#This Row],[QR Suivis]],"_"),1,1)</f>
        <v>OF249940-11</v>
      </c>
      <c r="I1819" s="35" t="str">
        <f>_xlfn.TEXTBEFORE(mvtst[[#This Row],[Num Suivis]],"-",,,1)</f>
        <v>OF249940</v>
      </c>
      <c r="J1819" s="36">
        <f>SUMIF(mvtst[QR Suivis],mvtst[[#This Row],[QR Suivis]],mvtst[QTE SORTIS])-SUMIF(mvtst[QR Suivis],mvtst[[#This Row],[QR Suivis]],mvtst[QTE RETOUR])</f>
        <v>5</v>
      </c>
      <c r="K1819" s="35" t="str">
        <f t="shared" si="31"/>
        <v>Usine</v>
      </c>
      <c r="L1819" s="35" t="str">
        <f>_xlfn.XLOOKUP(mvtst[[#This Row],[Sous Traitant]],coordonnee_st[Identification],coordonnee_st[SERVICE],"Non Trouvé")</f>
        <v>Frange</v>
      </c>
      <c r="M1819" s="35" t="str">
        <f>INDEX(_xlfn.TEXTSPLIT(mvtst[[#This Row],[QR Suivis]],"_"),1,2)</f>
        <v>CL00884</v>
      </c>
      <c r="N1819" s="35" t="str">
        <f>INDEX(_xlfn.TEXTSPLIT(mvtst[[#This Row],[QR Suivis]],"_"),1,3)</f>
        <v>CM-FT0120</v>
      </c>
      <c r="O1819" s="35" t="str">
        <f>INDEX(_xlfn.TEXTSPLIT(mvtst[[#This Row],[QR Suivis]],"_"),1,4)</f>
        <v>FI1020-C28-25-24</v>
      </c>
      <c r="P1819" s="35" t="str">
        <f>INDEX(_xlfn.TEXTSPLIT(mvtst[[#This Row],[QR Suivis]],"_"),1,5)</f>
        <v>FIVE</v>
      </c>
      <c r="Q1819" s="35" t="str">
        <f>_xlfn.TEXTAFTER(mvtst[[#This Row],[QR Suivis]],"_",5)</f>
        <v>1020</v>
      </c>
      <c r="R1819" s="84" t="str">
        <f>IF(
   COUNTIFS($A$2:A1819,A1819,
             $B$2:B1819,B1819,
             $C$2:C1819,C1819,
             $D$2:D1819,D1819,
             $G$2:G1819,G1819)&gt;1,
   "Doublon",
   "Correcte"
)</f>
        <v>Correcte</v>
      </c>
    </row>
    <row r="1820" spans="1:18" x14ac:dyDescent="0.25">
      <c r="A1820" s="104" t="s">
        <v>2378</v>
      </c>
      <c r="B1820" s="35" t="s">
        <v>646</v>
      </c>
      <c r="C1820" s="36">
        <v>5</v>
      </c>
      <c r="D1820" s="36">
        <v>0</v>
      </c>
      <c r="E1820" s="35" t="s">
        <v>699</v>
      </c>
      <c r="F1820" s="35" t="s">
        <v>634</v>
      </c>
      <c r="G1820" s="37">
        <v>45943.509363425925</v>
      </c>
      <c r="H1820" s="37" t="str">
        <f>INDEX(_xlfn.TEXTSPLIT(mvtst[[#This Row],[QR Suivis]],"_"),1,1)</f>
        <v>OF249940-14</v>
      </c>
      <c r="I1820" s="35" t="str">
        <f>_xlfn.TEXTBEFORE(mvtst[[#This Row],[Num Suivis]],"-",,,1)</f>
        <v>OF249940</v>
      </c>
      <c r="J1820" s="36">
        <f>SUMIF(mvtst[QR Suivis],mvtst[[#This Row],[QR Suivis]],mvtst[QTE SORTIS])-SUMIF(mvtst[QR Suivis],mvtst[[#This Row],[QR Suivis]],mvtst[QTE RETOUR])</f>
        <v>5</v>
      </c>
      <c r="K1820" s="35" t="str">
        <f t="shared" si="31"/>
        <v>Usine</v>
      </c>
      <c r="L1820" s="35" t="str">
        <f>_xlfn.XLOOKUP(mvtst[[#This Row],[Sous Traitant]],coordonnee_st[Identification],coordonnee_st[SERVICE],"Non Trouvé")</f>
        <v>Frange</v>
      </c>
      <c r="M1820" s="35" t="str">
        <f>INDEX(_xlfn.TEXTSPLIT(mvtst[[#This Row],[QR Suivis]],"_"),1,2)</f>
        <v>CL00884</v>
      </c>
      <c r="N1820" s="35" t="str">
        <f>INDEX(_xlfn.TEXTSPLIT(mvtst[[#This Row],[QR Suivis]],"_"),1,3)</f>
        <v>CM-FT0120</v>
      </c>
      <c r="O1820" s="35" t="str">
        <f>INDEX(_xlfn.TEXTSPLIT(mvtst[[#This Row],[QR Suivis]],"_"),1,4)</f>
        <v>FI1020-C28-25-24</v>
      </c>
      <c r="P1820" s="35" t="str">
        <f>INDEX(_xlfn.TEXTSPLIT(mvtst[[#This Row],[QR Suivis]],"_"),1,5)</f>
        <v>FIVE</v>
      </c>
      <c r="Q1820" s="35" t="str">
        <f>_xlfn.TEXTAFTER(mvtst[[#This Row],[QR Suivis]],"_",5)</f>
        <v>1020</v>
      </c>
      <c r="R1820" s="84" t="str">
        <f>IF(
   COUNTIFS($A$2:A1820,A1820,
             $B$2:B1820,B1820,
             $C$2:C1820,C1820,
             $D$2:D1820,D1820,
             $G$2:G1820,G1820)&gt;1,
   "Doublon",
   "Correcte"
)</f>
        <v>Correcte</v>
      </c>
    </row>
    <row r="1821" spans="1:18" x14ac:dyDescent="0.25">
      <c r="A1821" s="104" t="s">
        <v>2379</v>
      </c>
      <c r="B1821" s="35" t="s">
        <v>646</v>
      </c>
      <c r="C1821" s="36">
        <v>5</v>
      </c>
      <c r="D1821" s="36">
        <v>0</v>
      </c>
      <c r="E1821" s="35" t="s">
        <v>699</v>
      </c>
      <c r="F1821" s="35" t="s">
        <v>634</v>
      </c>
      <c r="G1821" s="37">
        <v>45943.509699074071</v>
      </c>
      <c r="H1821" s="37" t="str">
        <f>INDEX(_xlfn.TEXTSPLIT(mvtst[[#This Row],[QR Suivis]],"_"),1,1)</f>
        <v>OF249940-12</v>
      </c>
      <c r="I1821" s="35" t="str">
        <f>_xlfn.TEXTBEFORE(mvtst[[#This Row],[Num Suivis]],"-",,,1)</f>
        <v>OF249940</v>
      </c>
      <c r="J1821" s="36">
        <f>SUMIF(mvtst[QR Suivis],mvtst[[#This Row],[QR Suivis]],mvtst[QTE SORTIS])-SUMIF(mvtst[QR Suivis],mvtst[[#This Row],[QR Suivis]],mvtst[QTE RETOUR])</f>
        <v>5</v>
      </c>
      <c r="K1821" s="35" t="str">
        <f t="shared" si="31"/>
        <v>Usine</v>
      </c>
      <c r="L1821" s="35" t="str">
        <f>_xlfn.XLOOKUP(mvtst[[#This Row],[Sous Traitant]],coordonnee_st[Identification],coordonnee_st[SERVICE],"Non Trouvé")</f>
        <v>Frange</v>
      </c>
      <c r="M1821" s="35" t="str">
        <f>INDEX(_xlfn.TEXTSPLIT(mvtst[[#This Row],[QR Suivis]],"_"),1,2)</f>
        <v>CL00884</v>
      </c>
      <c r="N1821" s="35" t="str">
        <f>INDEX(_xlfn.TEXTSPLIT(mvtst[[#This Row],[QR Suivis]],"_"),1,3)</f>
        <v>CM-FT0120</v>
      </c>
      <c r="O1821" s="35" t="str">
        <f>INDEX(_xlfn.TEXTSPLIT(mvtst[[#This Row],[QR Suivis]],"_"),1,4)</f>
        <v>FI1020-C28-25-24</v>
      </c>
      <c r="P1821" s="35" t="str">
        <f>INDEX(_xlfn.TEXTSPLIT(mvtst[[#This Row],[QR Suivis]],"_"),1,5)</f>
        <v>FIVE</v>
      </c>
      <c r="Q1821" s="35" t="str">
        <f>_xlfn.TEXTAFTER(mvtst[[#This Row],[QR Suivis]],"_",5)</f>
        <v>1020</v>
      </c>
      <c r="R1821" s="84" t="str">
        <f>IF(
   COUNTIFS($A$2:A1821,A1821,
             $B$2:B1821,B1821,
             $C$2:C1821,C1821,
             $D$2:D1821,D1821,
             $G$2:G1821,G1821)&gt;1,
   "Doublon",
   "Correcte"
)</f>
        <v>Correcte</v>
      </c>
    </row>
    <row r="1822" spans="1:18" x14ac:dyDescent="0.25">
      <c r="A1822" s="104" t="s">
        <v>2380</v>
      </c>
      <c r="B1822" s="35" t="s">
        <v>646</v>
      </c>
      <c r="C1822" s="36">
        <v>5</v>
      </c>
      <c r="D1822" s="36">
        <v>0</v>
      </c>
      <c r="E1822" s="35" t="s">
        <v>699</v>
      </c>
      <c r="F1822" s="35" t="s">
        <v>634</v>
      </c>
      <c r="G1822" s="37">
        <v>45943.509988425925</v>
      </c>
      <c r="H1822" s="37" t="str">
        <f>INDEX(_xlfn.TEXTSPLIT(mvtst[[#This Row],[QR Suivis]],"_"),1,1)</f>
        <v>OF249940-15</v>
      </c>
      <c r="I1822" s="35" t="str">
        <f>_xlfn.TEXTBEFORE(mvtst[[#This Row],[Num Suivis]],"-",,,1)</f>
        <v>OF249940</v>
      </c>
      <c r="J1822" s="36">
        <f>SUMIF(mvtst[QR Suivis],mvtst[[#This Row],[QR Suivis]],mvtst[QTE SORTIS])-SUMIF(mvtst[QR Suivis],mvtst[[#This Row],[QR Suivis]],mvtst[QTE RETOUR])</f>
        <v>5</v>
      </c>
      <c r="K1822" s="35" t="str">
        <f t="shared" si="31"/>
        <v>Usine</v>
      </c>
      <c r="L1822" s="35" t="str">
        <f>_xlfn.XLOOKUP(mvtst[[#This Row],[Sous Traitant]],coordonnee_st[Identification],coordonnee_st[SERVICE],"Non Trouvé")</f>
        <v>Frange</v>
      </c>
      <c r="M1822" s="35" t="str">
        <f>INDEX(_xlfn.TEXTSPLIT(mvtst[[#This Row],[QR Suivis]],"_"),1,2)</f>
        <v>CL00884</v>
      </c>
      <c r="N1822" s="35" t="str">
        <f>INDEX(_xlfn.TEXTSPLIT(mvtst[[#This Row],[QR Suivis]],"_"),1,3)</f>
        <v>CM-FT0120</v>
      </c>
      <c r="O1822" s="35" t="str">
        <f>INDEX(_xlfn.TEXTSPLIT(mvtst[[#This Row],[QR Suivis]],"_"),1,4)</f>
        <v>FI1020-C28-25-24</v>
      </c>
      <c r="P1822" s="35" t="str">
        <f>INDEX(_xlfn.TEXTSPLIT(mvtst[[#This Row],[QR Suivis]],"_"),1,5)</f>
        <v>FIVE</v>
      </c>
      <c r="Q1822" s="35" t="str">
        <f>_xlfn.TEXTAFTER(mvtst[[#This Row],[QR Suivis]],"_",5)</f>
        <v>1020</v>
      </c>
      <c r="R1822" s="84" t="str">
        <f>IF(
   COUNTIFS($A$2:A1822,A1822,
             $B$2:B1822,B1822,
             $C$2:C1822,C1822,
             $D$2:D1822,D1822,
             $G$2:G1822,G1822)&gt;1,
   "Doublon",
   "Correcte"
)</f>
        <v>Correcte</v>
      </c>
    </row>
    <row r="1823" spans="1:18" x14ac:dyDescent="0.25">
      <c r="A1823" s="104" t="s">
        <v>2381</v>
      </c>
      <c r="B1823" s="35" t="s">
        <v>646</v>
      </c>
      <c r="C1823" s="36">
        <v>5</v>
      </c>
      <c r="D1823" s="36">
        <v>0</v>
      </c>
      <c r="E1823" s="35" t="s">
        <v>699</v>
      </c>
      <c r="F1823" s="35" t="s">
        <v>634</v>
      </c>
      <c r="G1823" s="37">
        <v>45943.510381944441</v>
      </c>
      <c r="H1823" s="37" t="str">
        <f>INDEX(_xlfn.TEXTSPLIT(mvtst[[#This Row],[QR Suivis]],"_"),1,1)</f>
        <v>OF249940-5</v>
      </c>
      <c r="I1823" s="35" t="str">
        <f>_xlfn.TEXTBEFORE(mvtst[[#This Row],[Num Suivis]],"-",,,1)</f>
        <v>OF249940</v>
      </c>
      <c r="J1823" s="36">
        <f>SUMIF(mvtst[QR Suivis],mvtst[[#This Row],[QR Suivis]],mvtst[QTE SORTIS])-SUMIF(mvtst[QR Suivis],mvtst[[#This Row],[QR Suivis]],mvtst[QTE RETOUR])</f>
        <v>5</v>
      </c>
      <c r="K1823" s="35" t="str">
        <f t="shared" si="31"/>
        <v>Usine</v>
      </c>
      <c r="L1823" s="35" t="str">
        <f>_xlfn.XLOOKUP(mvtst[[#This Row],[Sous Traitant]],coordonnee_st[Identification],coordonnee_st[SERVICE],"Non Trouvé")</f>
        <v>Frange</v>
      </c>
      <c r="M1823" s="35" t="str">
        <f>INDEX(_xlfn.TEXTSPLIT(mvtst[[#This Row],[QR Suivis]],"_"),1,2)</f>
        <v>CL00884</v>
      </c>
      <c r="N1823" s="35" t="str">
        <f>INDEX(_xlfn.TEXTSPLIT(mvtst[[#This Row],[QR Suivis]],"_"),1,3)</f>
        <v>CM-FT0120</v>
      </c>
      <c r="O1823" s="35" t="str">
        <f>INDEX(_xlfn.TEXTSPLIT(mvtst[[#This Row],[QR Suivis]],"_"),1,4)</f>
        <v>FI1020-C28-25-24</v>
      </c>
      <c r="P1823" s="35" t="str">
        <f>INDEX(_xlfn.TEXTSPLIT(mvtst[[#This Row],[QR Suivis]],"_"),1,5)</f>
        <v>FIVE</v>
      </c>
      <c r="Q1823" s="35" t="str">
        <f>_xlfn.TEXTAFTER(mvtst[[#This Row],[QR Suivis]],"_",5)</f>
        <v>1020</v>
      </c>
      <c r="R1823" s="84" t="str">
        <f>IF(
   COUNTIFS($A$2:A1823,A1823,
             $B$2:B1823,B1823,
             $C$2:C1823,C1823,
             $D$2:D1823,D1823,
             $G$2:G1823,G1823)&gt;1,
   "Doublon",
   "Correcte"
)</f>
        <v>Correcte</v>
      </c>
    </row>
    <row r="1824" spans="1:18" x14ac:dyDescent="0.25">
      <c r="A1824" s="104" t="s">
        <v>2382</v>
      </c>
      <c r="B1824" s="35" t="s">
        <v>646</v>
      </c>
      <c r="C1824" s="36">
        <v>5</v>
      </c>
      <c r="D1824" s="36">
        <v>0</v>
      </c>
      <c r="E1824" s="35" t="s">
        <v>699</v>
      </c>
      <c r="F1824" s="35" t="s">
        <v>634</v>
      </c>
      <c r="G1824" s="37">
        <v>45943.51053240741</v>
      </c>
      <c r="H1824" s="37" t="str">
        <f>INDEX(_xlfn.TEXTSPLIT(mvtst[[#This Row],[QR Suivis]],"_"),1,1)</f>
        <v>OF249940-16</v>
      </c>
      <c r="I1824" s="35" t="str">
        <f>_xlfn.TEXTBEFORE(mvtst[[#This Row],[Num Suivis]],"-",,,1)</f>
        <v>OF249940</v>
      </c>
      <c r="J1824" s="36">
        <f>SUMIF(mvtst[QR Suivis],mvtst[[#This Row],[QR Suivis]],mvtst[QTE SORTIS])-SUMIF(mvtst[QR Suivis],mvtst[[#This Row],[QR Suivis]],mvtst[QTE RETOUR])</f>
        <v>5</v>
      </c>
      <c r="K1824" s="35" t="str">
        <f t="shared" si="31"/>
        <v>Usine</v>
      </c>
      <c r="L1824" s="35" t="str">
        <f>_xlfn.XLOOKUP(mvtst[[#This Row],[Sous Traitant]],coordonnee_st[Identification],coordonnee_st[SERVICE],"Non Trouvé")</f>
        <v>Frange</v>
      </c>
      <c r="M1824" s="35" t="str">
        <f>INDEX(_xlfn.TEXTSPLIT(mvtst[[#This Row],[QR Suivis]],"_"),1,2)</f>
        <v>CL00884</v>
      </c>
      <c r="N1824" s="35" t="str">
        <f>INDEX(_xlfn.TEXTSPLIT(mvtst[[#This Row],[QR Suivis]],"_"),1,3)</f>
        <v>CM-FT0120</v>
      </c>
      <c r="O1824" s="35" t="str">
        <f>INDEX(_xlfn.TEXTSPLIT(mvtst[[#This Row],[QR Suivis]],"_"),1,4)</f>
        <v>FI1020-C28-25-24</v>
      </c>
      <c r="P1824" s="35" t="str">
        <f>INDEX(_xlfn.TEXTSPLIT(mvtst[[#This Row],[QR Suivis]],"_"),1,5)</f>
        <v>FIVE</v>
      </c>
      <c r="Q1824" s="35" t="str">
        <f>_xlfn.TEXTAFTER(mvtst[[#This Row],[QR Suivis]],"_",5)</f>
        <v>1020</v>
      </c>
      <c r="R1824" s="84" t="str">
        <f>IF(
   COUNTIFS($A$2:A1824,A1824,
             $B$2:B1824,B1824,
             $C$2:C1824,C1824,
             $D$2:D1824,D1824,
             $G$2:G1824,G1824)&gt;1,
   "Doublon",
   "Correcte"
)</f>
        <v>Correcte</v>
      </c>
    </row>
    <row r="1825" spans="1:18" x14ac:dyDescent="0.25">
      <c r="A1825" s="104" t="s">
        <v>2383</v>
      </c>
      <c r="B1825" s="35" t="s">
        <v>646</v>
      </c>
      <c r="C1825" s="36">
        <v>5</v>
      </c>
      <c r="D1825" s="36">
        <v>0</v>
      </c>
      <c r="E1825" s="35" t="s">
        <v>699</v>
      </c>
      <c r="F1825" s="35" t="s">
        <v>634</v>
      </c>
      <c r="G1825" s="37">
        <v>45943.510752314818</v>
      </c>
      <c r="H1825" s="37" t="str">
        <f>INDEX(_xlfn.TEXTSPLIT(mvtst[[#This Row],[QR Suivis]],"_"),1,1)</f>
        <v>OF249940-13</v>
      </c>
      <c r="I1825" s="35" t="str">
        <f>_xlfn.TEXTBEFORE(mvtst[[#This Row],[Num Suivis]],"-",,,1)</f>
        <v>OF249940</v>
      </c>
      <c r="J1825" s="36">
        <f>SUMIF(mvtst[QR Suivis],mvtst[[#This Row],[QR Suivis]],mvtst[QTE SORTIS])-SUMIF(mvtst[QR Suivis],mvtst[[#This Row],[QR Suivis]],mvtst[QTE RETOUR])</f>
        <v>5</v>
      </c>
      <c r="K1825" s="35" t="str">
        <f t="shared" si="31"/>
        <v>Usine</v>
      </c>
      <c r="L1825" s="35" t="str">
        <f>_xlfn.XLOOKUP(mvtst[[#This Row],[Sous Traitant]],coordonnee_st[Identification],coordonnee_st[SERVICE],"Non Trouvé")</f>
        <v>Frange</v>
      </c>
      <c r="M1825" s="35" t="str">
        <f>INDEX(_xlfn.TEXTSPLIT(mvtst[[#This Row],[QR Suivis]],"_"),1,2)</f>
        <v>CL00884</v>
      </c>
      <c r="N1825" s="35" t="str">
        <f>INDEX(_xlfn.TEXTSPLIT(mvtst[[#This Row],[QR Suivis]],"_"),1,3)</f>
        <v>CM-FT0120</v>
      </c>
      <c r="O1825" s="35" t="str">
        <f>INDEX(_xlfn.TEXTSPLIT(mvtst[[#This Row],[QR Suivis]],"_"),1,4)</f>
        <v>FI1020-C28-25-24</v>
      </c>
      <c r="P1825" s="35" t="str">
        <f>INDEX(_xlfn.TEXTSPLIT(mvtst[[#This Row],[QR Suivis]],"_"),1,5)</f>
        <v>FIVE</v>
      </c>
      <c r="Q1825" s="35" t="str">
        <f>_xlfn.TEXTAFTER(mvtst[[#This Row],[QR Suivis]],"_",5)</f>
        <v>1020</v>
      </c>
      <c r="R1825" s="84" t="str">
        <f>IF(
   COUNTIFS($A$2:A1825,A1825,
             $B$2:B1825,B1825,
             $C$2:C1825,C1825,
             $D$2:D1825,D1825,
             $G$2:G1825,G1825)&gt;1,
   "Doublon",
   "Correcte"
)</f>
        <v>Correcte</v>
      </c>
    </row>
    <row r="1826" spans="1:18" x14ac:dyDescent="0.25">
      <c r="A1826" s="104" t="s">
        <v>2384</v>
      </c>
      <c r="B1826" s="35" t="s">
        <v>646</v>
      </c>
      <c r="C1826" s="36">
        <v>5</v>
      </c>
      <c r="D1826" s="36">
        <v>0</v>
      </c>
      <c r="E1826" s="35" t="s">
        <v>699</v>
      </c>
      <c r="F1826" s="35" t="s">
        <v>634</v>
      </c>
      <c r="G1826" s="37">
        <v>45943.510949074072</v>
      </c>
      <c r="H1826" s="37" t="str">
        <f>INDEX(_xlfn.TEXTSPLIT(mvtst[[#This Row],[QR Suivis]],"_"),1,1)</f>
        <v>OF249940-3</v>
      </c>
      <c r="I1826" s="35" t="str">
        <f>_xlfn.TEXTBEFORE(mvtst[[#This Row],[Num Suivis]],"-",,,1)</f>
        <v>OF249940</v>
      </c>
      <c r="J1826" s="36">
        <f>SUMIF(mvtst[QR Suivis],mvtst[[#This Row],[QR Suivis]],mvtst[QTE SORTIS])-SUMIF(mvtst[QR Suivis],mvtst[[#This Row],[QR Suivis]],mvtst[QTE RETOUR])</f>
        <v>5</v>
      </c>
      <c r="K1826" s="35" t="str">
        <f t="shared" si="31"/>
        <v>Usine</v>
      </c>
      <c r="L1826" s="35" t="str">
        <f>_xlfn.XLOOKUP(mvtst[[#This Row],[Sous Traitant]],coordonnee_st[Identification],coordonnee_st[SERVICE],"Non Trouvé")</f>
        <v>Frange</v>
      </c>
      <c r="M1826" s="35" t="str">
        <f>INDEX(_xlfn.TEXTSPLIT(mvtst[[#This Row],[QR Suivis]],"_"),1,2)</f>
        <v>CL00884</v>
      </c>
      <c r="N1826" s="35" t="str">
        <f>INDEX(_xlfn.TEXTSPLIT(mvtst[[#This Row],[QR Suivis]],"_"),1,3)</f>
        <v>CM-FT0120</v>
      </c>
      <c r="O1826" s="35" t="str">
        <f>INDEX(_xlfn.TEXTSPLIT(mvtst[[#This Row],[QR Suivis]],"_"),1,4)</f>
        <v>FI1020-C28-25-24</v>
      </c>
      <c r="P1826" s="35" t="str">
        <f>INDEX(_xlfn.TEXTSPLIT(mvtst[[#This Row],[QR Suivis]],"_"),1,5)</f>
        <v>FIVE</v>
      </c>
      <c r="Q1826" s="35" t="str">
        <f>_xlfn.TEXTAFTER(mvtst[[#This Row],[QR Suivis]],"_",5)</f>
        <v>1020</v>
      </c>
      <c r="R1826" s="84" t="str">
        <f>IF(
   COUNTIFS($A$2:A1826,A1826,
             $B$2:B1826,B1826,
             $C$2:C1826,C1826,
             $D$2:D1826,D1826,
             $G$2:G1826,G1826)&gt;1,
   "Doublon",
   "Correcte"
)</f>
        <v>Correcte</v>
      </c>
    </row>
    <row r="1827" spans="1:18" x14ac:dyDescent="0.25">
      <c r="A1827" s="104" t="s">
        <v>2385</v>
      </c>
      <c r="B1827" s="35" t="s">
        <v>646</v>
      </c>
      <c r="C1827" s="36">
        <v>5</v>
      </c>
      <c r="D1827" s="36">
        <v>0</v>
      </c>
      <c r="E1827" s="35" t="s">
        <v>699</v>
      </c>
      <c r="F1827" s="35" t="s">
        <v>634</v>
      </c>
      <c r="G1827" s="37">
        <v>45943.511134259257</v>
      </c>
      <c r="H1827" s="37" t="str">
        <f>INDEX(_xlfn.TEXTSPLIT(mvtst[[#This Row],[QR Suivis]],"_"),1,1)</f>
        <v>OF249940-10</v>
      </c>
      <c r="I1827" s="35" t="str">
        <f>_xlfn.TEXTBEFORE(mvtst[[#This Row],[Num Suivis]],"-",,,1)</f>
        <v>OF249940</v>
      </c>
      <c r="J1827" s="36">
        <f>SUMIF(mvtst[QR Suivis],mvtst[[#This Row],[QR Suivis]],mvtst[QTE SORTIS])-SUMIF(mvtst[QR Suivis],mvtst[[#This Row],[QR Suivis]],mvtst[QTE RETOUR])</f>
        <v>5</v>
      </c>
      <c r="K1827" s="35" t="str">
        <f t="shared" si="31"/>
        <v>Usine</v>
      </c>
      <c r="L1827" s="35" t="str">
        <f>_xlfn.XLOOKUP(mvtst[[#This Row],[Sous Traitant]],coordonnee_st[Identification],coordonnee_st[SERVICE],"Non Trouvé")</f>
        <v>Frange</v>
      </c>
      <c r="M1827" s="35" t="str">
        <f>INDEX(_xlfn.TEXTSPLIT(mvtst[[#This Row],[QR Suivis]],"_"),1,2)</f>
        <v>CL00884</v>
      </c>
      <c r="N1827" s="35" t="str">
        <f>INDEX(_xlfn.TEXTSPLIT(mvtst[[#This Row],[QR Suivis]],"_"),1,3)</f>
        <v>CM-FT0120</v>
      </c>
      <c r="O1827" s="35" t="str">
        <f>INDEX(_xlfn.TEXTSPLIT(mvtst[[#This Row],[QR Suivis]],"_"),1,4)</f>
        <v>FI1020-C28-25-24</v>
      </c>
      <c r="P1827" s="35" t="str">
        <f>INDEX(_xlfn.TEXTSPLIT(mvtst[[#This Row],[QR Suivis]],"_"),1,5)</f>
        <v>FIVE</v>
      </c>
      <c r="Q1827" s="35" t="str">
        <f>_xlfn.TEXTAFTER(mvtst[[#This Row],[QR Suivis]],"_",5)</f>
        <v>1020</v>
      </c>
      <c r="R1827" s="84" t="str">
        <f>IF(
   COUNTIFS($A$2:A1827,A1827,
             $B$2:B1827,B1827,
             $C$2:C1827,C1827,
             $D$2:D1827,D1827,
             $G$2:G1827,G1827)&gt;1,
   "Doublon",
   "Correcte"
)</f>
        <v>Correcte</v>
      </c>
    </row>
    <row r="1828" spans="1:18" x14ac:dyDescent="0.25">
      <c r="A1828" s="104" t="s">
        <v>2386</v>
      </c>
      <c r="B1828" s="35" t="s">
        <v>646</v>
      </c>
      <c r="C1828" s="36">
        <v>5</v>
      </c>
      <c r="D1828" s="36">
        <v>0</v>
      </c>
      <c r="E1828" s="35" t="s">
        <v>699</v>
      </c>
      <c r="F1828" s="35" t="s">
        <v>634</v>
      </c>
      <c r="G1828" s="37">
        <v>45943.511516203704</v>
      </c>
      <c r="H1828" s="37" t="str">
        <f>INDEX(_xlfn.TEXTSPLIT(mvtst[[#This Row],[QR Suivis]],"_"),1,1)</f>
        <v>OF249940-27</v>
      </c>
      <c r="I1828" s="35" t="str">
        <f>_xlfn.TEXTBEFORE(mvtst[[#This Row],[Num Suivis]],"-",,,1)</f>
        <v>OF249940</v>
      </c>
      <c r="J1828" s="36">
        <f>SUMIF(mvtst[QR Suivis],mvtst[[#This Row],[QR Suivis]],mvtst[QTE SORTIS])-SUMIF(mvtst[QR Suivis],mvtst[[#This Row],[QR Suivis]],mvtst[QTE RETOUR])</f>
        <v>5</v>
      </c>
      <c r="K1828" s="35" t="str">
        <f t="shared" si="31"/>
        <v>Usine</v>
      </c>
      <c r="L1828" s="35" t="str">
        <f>_xlfn.XLOOKUP(mvtst[[#This Row],[Sous Traitant]],coordonnee_st[Identification],coordonnee_st[SERVICE],"Non Trouvé")</f>
        <v>Frange</v>
      </c>
      <c r="M1828" s="35" t="str">
        <f>INDEX(_xlfn.TEXTSPLIT(mvtst[[#This Row],[QR Suivis]],"_"),1,2)</f>
        <v>CL00884</v>
      </c>
      <c r="N1828" s="35" t="str">
        <f>INDEX(_xlfn.TEXTSPLIT(mvtst[[#This Row],[QR Suivis]],"_"),1,3)</f>
        <v>CM-FT0120</v>
      </c>
      <c r="O1828" s="35" t="str">
        <f>INDEX(_xlfn.TEXTSPLIT(mvtst[[#This Row],[QR Suivis]],"_"),1,4)</f>
        <v>FI1020-C28-25-24</v>
      </c>
      <c r="P1828" s="35" t="str">
        <f>INDEX(_xlfn.TEXTSPLIT(mvtst[[#This Row],[QR Suivis]],"_"),1,5)</f>
        <v>FIVE</v>
      </c>
      <c r="Q1828" s="35" t="str">
        <f>_xlfn.TEXTAFTER(mvtst[[#This Row],[QR Suivis]],"_",5)</f>
        <v>1020</v>
      </c>
      <c r="R1828" s="84" t="str">
        <f>IF(
   COUNTIFS($A$2:A1828,A1828,
             $B$2:B1828,B1828,
             $C$2:C1828,C1828,
             $D$2:D1828,D1828,
             $G$2:G1828,G1828)&gt;1,
   "Doublon",
   "Correcte"
)</f>
        <v>Correcte</v>
      </c>
    </row>
    <row r="1829" spans="1:18" x14ac:dyDescent="0.25">
      <c r="A1829" s="104" t="s">
        <v>2387</v>
      </c>
      <c r="B1829" s="35" t="s">
        <v>646</v>
      </c>
      <c r="C1829" s="36">
        <v>5</v>
      </c>
      <c r="D1829" s="36">
        <v>0</v>
      </c>
      <c r="E1829" s="35" t="s">
        <v>699</v>
      </c>
      <c r="F1829" s="35" t="s">
        <v>634</v>
      </c>
      <c r="G1829" s="37">
        <v>45943.511736111112</v>
      </c>
      <c r="H1829" s="37" t="str">
        <f>INDEX(_xlfn.TEXTSPLIT(mvtst[[#This Row],[QR Suivis]],"_"),1,1)</f>
        <v>OF249940-9</v>
      </c>
      <c r="I1829" s="35" t="str">
        <f>_xlfn.TEXTBEFORE(mvtst[[#This Row],[Num Suivis]],"-",,,1)</f>
        <v>OF249940</v>
      </c>
      <c r="J1829" s="36">
        <f>SUMIF(mvtst[QR Suivis],mvtst[[#This Row],[QR Suivis]],mvtst[QTE SORTIS])-SUMIF(mvtst[QR Suivis],mvtst[[#This Row],[QR Suivis]],mvtst[QTE RETOUR])</f>
        <v>5</v>
      </c>
      <c r="K1829" s="35" t="str">
        <f t="shared" si="31"/>
        <v>Usine</v>
      </c>
      <c r="L1829" s="35" t="str">
        <f>_xlfn.XLOOKUP(mvtst[[#This Row],[Sous Traitant]],coordonnee_st[Identification],coordonnee_st[SERVICE],"Non Trouvé")</f>
        <v>Frange</v>
      </c>
      <c r="M1829" s="35" t="str">
        <f>INDEX(_xlfn.TEXTSPLIT(mvtst[[#This Row],[QR Suivis]],"_"),1,2)</f>
        <v>CL00884</v>
      </c>
      <c r="N1829" s="35" t="str">
        <f>INDEX(_xlfn.TEXTSPLIT(mvtst[[#This Row],[QR Suivis]],"_"),1,3)</f>
        <v>CM-FT0120</v>
      </c>
      <c r="O1829" s="35" t="str">
        <f>INDEX(_xlfn.TEXTSPLIT(mvtst[[#This Row],[QR Suivis]],"_"),1,4)</f>
        <v>FI1020-C28-25-24</v>
      </c>
      <c r="P1829" s="35" t="str">
        <f>INDEX(_xlfn.TEXTSPLIT(mvtst[[#This Row],[QR Suivis]],"_"),1,5)</f>
        <v>FIVE</v>
      </c>
      <c r="Q1829" s="35" t="str">
        <f>_xlfn.TEXTAFTER(mvtst[[#This Row],[QR Suivis]],"_",5)</f>
        <v>1020</v>
      </c>
      <c r="R1829" s="84" t="str">
        <f>IF(
   COUNTIFS($A$2:A1829,A1829,
             $B$2:B1829,B1829,
             $C$2:C1829,C1829,
             $D$2:D1829,D1829,
             $G$2:G1829,G1829)&gt;1,
   "Doublon",
   "Correcte"
)</f>
        <v>Correcte</v>
      </c>
    </row>
    <row r="1830" spans="1:18" x14ac:dyDescent="0.25">
      <c r="A1830" s="104" t="s">
        <v>2388</v>
      </c>
      <c r="B1830" s="35" t="s">
        <v>646</v>
      </c>
      <c r="C1830" s="36">
        <v>5</v>
      </c>
      <c r="D1830" s="36">
        <v>0</v>
      </c>
      <c r="E1830" s="35" t="s">
        <v>699</v>
      </c>
      <c r="F1830" s="35" t="s">
        <v>634</v>
      </c>
      <c r="G1830" s="37">
        <v>45943.511886574073</v>
      </c>
      <c r="H1830" s="37" t="str">
        <f>INDEX(_xlfn.TEXTSPLIT(mvtst[[#This Row],[QR Suivis]],"_"),1,1)</f>
        <v>OF249940-22</v>
      </c>
      <c r="I1830" s="35" t="str">
        <f>_xlfn.TEXTBEFORE(mvtst[[#This Row],[Num Suivis]],"-",,,1)</f>
        <v>OF249940</v>
      </c>
      <c r="J1830" s="36">
        <f>SUMIF(mvtst[QR Suivis],mvtst[[#This Row],[QR Suivis]],mvtst[QTE SORTIS])-SUMIF(mvtst[QR Suivis],mvtst[[#This Row],[QR Suivis]],mvtst[QTE RETOUR])</f>
        <v>5</v>
      </c>
      <c r="K1830" s="35" t="str">
        <f t="shared" si="31"/>
        <v>Usine</v>
      </c>
      <c r="L1830" s="35" t="str">
        <f>_xlfn.XLOOKUP(mvtst[[#This Row],[Sous Traitant]],coordonnee_st[Identification],coordonnee_st[SERVICE],"Non Trouvé")</f>
        <v>Frange</v>
      </c>
      <c r="M1830" s="35" t="str">
        <f>INDEX(_xlfn.TEXTSPLIT(mvtst[[#This Row],[QR Suivis]],"_"),1,2)</f>
        <v>CL00884</v>
      </c>
      <c r="N1830" s="35" t="str">
        <f>INDEX(_xlfn.TEXTSPLIT(mvtst[[#This Row],[QR Suivis]],"_"),1,3)</f>
        <v>CM-FT0120</v>
      </c>
      <c r="O1830" s="35" t="str">
        <f>INDEX(_xlfn.TEXTSPLIT(mvtst[[#This Row],[QR Suivis]],"_"),1,4)</f>
        <v>FI1020-C28-25-24</v>
      </c>
      <c r="P1830" s="35" t="str">
        <f>INDEX(_xlfn.TEXTSPLIT(mvtst[[#This Row],[QR Suivis]],"_"),1,5)</f>
        <v>FIVE</v>
      </c>
      <c r="Q1830" s="35" t="str">
        <f>_xlfn.TEXTAFTER(mvtst[[#This Row],[QR Suivis]],"_",5)</f>
        <v>1020</v>
      </c>
      <c r="R1830" s="84" t="str">
        <f>IF(
   COUNTIFS($A$2:A1830,A1830,
             $B$2:B1830,B1830,
             $C$2:C1830,C1830,
             $D$2:D1830,D1830,
             $G$2:G1830,G1830)&gt;1,
   "Doublon",
   "Correcte"
)</f>
        <v>Correcte</v>
      </c>
    </row>
    <row r="1831" spans="1:18" x14ac:dyDescent="0.25">
      <c r="A1831" s="104" t="s">
        <v>2389</v>
      </c>
      <c r="B1831" s="35" t="s">
        <v>646</v>
      </c>
      <c r="C1831" s="36">
        <v>5</v>
      </c>
      <c r="D1831" s="36">
        <v>0</v>
      </c>
      <c r="E1831" s="35" t="s">
        <v>699</v>
      </c>
      <c r="F1831" s="35" t="s">
        <v>634</v>
      </c>
      <c r="G1831" s="37">
        <v>45943.512164351851</v>
      </c>
      <c r="H1831" s="37" t="str">
        <f>INDEX(_xlfn.TEXTSPLIT(mvtst[[#This Row],[QR Suivis]],"_"),1,1)</f>
        <v>OF249940-8</v>
      </c>
      <c r="I1831" s="35" t="str">
        <f>_xlfn.TEXTBEFORE(mvtst[[#This Row],[Num Suivis]],"-",,,1)</f>
        <v>OF249940</v>
      </c>
      <c r="J1831" s="36">
        <f>SUMIF(mvtst[QR Suivis],mvtst[[#This Row],[QR Suivis]],mvtst[QTE SORTIS])-SUMIF(mvtst[QR Suivis],mvtst[[#This Row],[QR Suivis]],mvtst[QTE RETOUR])</f>
        <v>5</v>
      </c>
      <c r="K1831" s="35" t="str">
        <f t="shared" si="31"/>
        <v>Usine</v>
      </c>
      <c r="L1831" s="35" t="str">
        <f>_xlfn.XLOOKUP(mvtst[[#This Row],[Sous Traitant]],coordonnee_st[Identification],coordonnee_st[SERVICE],"Non Trouvé")</f>
        <v>Frange</v>
      </c>
      <c r="M1831" s="35" t="str">
        <f>INDEX(_xlfn.TEXTSPLIT(mvtst[[#This Row],[QR Suivis]],"_"),1,2)</f>
        <v>CL00884</v>
      </c>
      <c r="N1831" s="35" t="str">
        <f>INDEX(_xlfn.TEXTSPLIT(mvtst[[#This Row],[QR Suivis]],"_"),1,3)</f>
        <v>CM-FT0120</v>
      </c>
      <c r="O1831" s="35" t="str">
        <f>INDEX(_xlfn.TEXTSPLIT(mvtst[[#This Row],[QR Suivis]],"_"),1,4)</f>
        <v>FI1020-C28-25-24</v>
      </c>
      <c r="P1831" s="35" t="str">
        <f>INDEX(_xlfn.TEXTSPLIT(mvtst[[#This Row],[QR Suivis]],"_"),1,5)</f>
        <v>FIVE</v>
      </c>
      <c r="Q1831" s="35" t="str">
        <f>_xlfn.TEXTAFTER(mvtst[[#This Row],[QR Suivis]],"_",5)</f>
        <v>1020</v>
      </c>
      <c r="R1831" s="84" t="str">
        <f>IF(
   COUNTIFS($A$2:A1831,A1831,
             $B$2:B1831,B1831,
             $C$2:C1831,C1831,
             $D$2:D1831,D1831,
             $G$2:G1831,G1831)&gt;1,
   "Doublon",
   "Correcte"
)</f>
        <v>Correcte</v>
      </c>
    </row>
    <row r="1832" spans="1:18" x14ac:dyDescent="0.25">
      <c r="A1832" s="104" t="s">
        <v>2390</v>
      </c>
      <c r="B1832" s="35" t="s">
        <v>646</v>
      </c>
      <c r="C1832" s="36">
        <v>5</v>
      </c>
      <c r="D1832" s="36">
        <v>0</v>
      </c>
      <c r="E1832" s="35" t="s">
        <v>699</v>
      </c>
      <c r="F1832" s="35" t="s">
        <v>634</v>
      </c>
      <c r="G1832" s="37">
        <v>45943.512569444443</v>
      </c>
      <c r="H1832" s="37" t="str">
        <f>INDEX(_xlfn.TEXTSPLIT(mvtst[[#This Row],[QR Suivis]],"_"),1,1)</f>
        <v>OF249940-4</v>
      </c>
      <c r="I1832" s="35" t="str">
        <f>_xlfn.TEXTBEFORE(mvtst[[#This Row],[Num Suivis]],"-",,,1)</f>
        <v>OF249940</v>
      </c>
      <c r="J1832" s="36">
        <f>SUMIF(mvtst[QR Suivis],mvtst[[#This Row],[QR Suivis]],mvtst[QTE SORTIS])-SUMIF(mvtst[QR Suivis],mvtst[[#This Row],[QR Suivis]],mvtst[QTE RETOUR])</f>
        <v>5</v>
      </c>
      <c r="K1832" s="35" t="str">
        <f t="shared" si="31"/>
        <v>Usine</v>
      </c>
      <c r="L1832" s="35" t="str">
        <f>_xlfn.XLOOKUP(mvtst[[#This Row],[Sous Traitant]],coordonnee_st[Identification],coordonnee_st[SERVICE],"Non Trouvé")</f>
        <v>Frange</v>
      </c>
      <c r="M1832" s="35" t="str">
        <f>INDEX(_xlfn.TEXTSPLIT(mvtst[[#This Row],[QR Suivis]],"_"),1,2)</f>
        <v>CL00884</v>
      </c>
      <c r="N1832" s="35" t="str">
        <f>INDEX(_xlfn.TEXTSPLIT(mvtst[[#This Row],[QR Suivis]],"_"),1,3)</f>
        <v>CM-FT0120</v>
      </c>
      <c r="O1832" s="35" t="str">
        <f>INDEX(_xlfn.TEXTSPLIT(mvtst[[#This Row],[QR Suivis]],"_"),1,4)</f>
        <v>FI1020-C28-25-24</v>
      </c>
      <c r="P1832" s="35" t="str">
        <f>INDEX(_xlfn.TEXTSPLIT(mvtst[[#This Row],[QR Suivis]],"_"),1,5)</f>
        <v>FIVE</v>
      </c>
      <c r="Q1832" s="35" t="str">
        <f>_xlfn.TEXTAFTER(mvtst[[#This Row],[QR Suivis]],"_",5)</f>
        <v>1020</v>
      </c>
      <c r="R1832" s="84" t="str">
        <f>IF(
   COUNTIFS($A$2:A1832,A1832,
             $B$2:B1832,B1832,
             $C$2:C1832,C1832,
             $D$2:D1832,D1832,
             $G$2:G1832,G1832)&gt;1,
   "Doublon",
   "Correcte"
)</f>
        <v>Correcte</v>
      </c>
    </row>
    <row r="1833" spans="1:18" x14ac:dyDescent="0.25">
      <c r="A1833" s="104" t="s">
        <v>2307</v>
      </c>
      <c r="B1833" s="35" t="s">
        <v>649</v>
      </c>
      <c r="C1833" s="36">
        <v>0</v>
      </c>
      <c r="D1833" s="36">
        <v>5</v>
      </c>
      <c r="E1833" s="35" t="s">
        <v>699</v>
      </c>
      <c r="F1833" s="35" t="s">
        <v>634</v>
      </c>
      <c r="G1833" s="37">
        <v>45943.520925925928</v>
      </c>
      <c r="H1833" s="37" t="str">
        <f>INDEX(_xlfn.TEXTSPLIT(mvtst[[#This Row],[QR Suivis]],"_"),1,1)</f>
        <v>OF249798-18</v>
      </c>
      <c r="I1833" s="35" t="str">
        <f>_xlfn.TEXTBEFORE(mvtst[[#This Row],[Num Suivis]],"-",,,1)</f>
        <v>OF249798</v>
      </c>
      <c r="J1833" s="36">
        <f>SUMIF(mvtst[QR Suivis],mvtst[[#This Row],[QR Suivis]],mvtst[QTE SORTIS])-SUMIF(mvtst[QR Suivis],mvtst[[#This Row],[QR Suivis]],mvtst[QTE RETOUR])</f>
        <v>0</v>
      </c>
      <c r="K1833" s="35" t="str">
        <f t="shared" si="31"/>
        <v>Usine</v>
      </c>
      <c r="L1833" s="35" t="str">
        <f>_xlfn.XLOOKUP(mvtst[[#This Row],[Sous Traitant]],coordonnee_st[Identification],coordonnee_st[SERVICE],"Non Trouvé")</f>
        <v>Frange</v>
      </c>
      <c r="M1833" s="35" t="str">
        <f>INDEX(_xlfn.TEXTSPLIT(mvtst[[#This Row],[QR Suivis]],"_"),1,2)</f>
        <v>CL00884</v>
      </c>
      <c r="N1833" s="35" t="str">
        <f>INDEX(_xlfn.TEXTSPLIT(mvtst[[#This Row],[QR Suivis]],"_"),1,3)</f>
        <v>CM-FT0119</v>
      </c>
      <c r="O1833" s="35" t="str">
        <f>INDEX(_xlfn.TEXTSPLIT(mvtst[[#This Row],[QR Suivis]],"_"),1,4)</f>
        <v>LI1020-B28-01</v>
      </c>
      <c r="P1833" s="35" t="str">
        <f>INDEX(_xlfn.TEXTSPLIT(mvtst[[#This Row],[QR Suivis]],"_"),1,5)</f>
        <v>LILI</v>
      </c>
      <c r="Q1833" s="35" t="str">
        <f>_xlfn.TEXTAFTER(mvtst[[#This Row],[QR Suivis]],"_",5)</f>
        <v>1020</v>
      </c>
      <c r="R1833" s="84" t="str">
        <f>IF(
   COUNTIFS($A$2:A1833,A1833,
             $B$2:B1833,B1833,
             $C$2:C1833,C1833,
             $D$2:D1833,D1833,
             $G$2:G1833,G1833)&gt;1,
   "Doublon",
   "Correcte"
)</f>
        <v>Correcte</v>
      </c>
    </row>
    <row r="1834" spans="1:18" x14ac:dyDescent="0.25">
      <c r="A1834" s="104" t="s">
        <v>2299</v>
      </c>
      <c r="B1834" s="35" t="s">
        <v>649</v>
      </c>
      <c r="C1834" s="36">
        <v>0</v>
      </c>
      <c r="D1834" s="36">
        <v>5</v>
      </c>
      <c r="E1834" s="35" t="s">
        <v>699</v>
      </c>
      <c r="F1834" s="35" t="s">
        <v>634</v>
      </c>
      <c r="G1834" s="37">
        <v>45943.521203703705</v>
      </c>
      <c r="H1834" s="37" t="str">
        <f>INDEX(_xlfn.TEXTSPLIT(mvtst[[#This Row],[QR Suivis]],"_"),1,1)</f>
        <v>OF249798-52</v>
      </c>
      <c r="I1834" s="35" t="str">
        <f>_xlfn.TEXTBEFORE(mvtst[[#This Row],[Num Suivis]],"-",,,1)</f>
        <v>OF249798</v>
      </c>
      <c r="J1834" s="36">
        <f>SUMIF(mvtst[QR Suivis],mvtst[[#This Row],[QR Suivis]],mvtst[QTE SORTIS])-SUMIF(mvtst[QR Suivis],mvtst[[#This Row],[QR Suivis]],mvtst[QTE RETOUR])</f>
        <v>0</v>
      </c>
      <c r="K1834" s="35" t="str">
        <f t="shared" si="31"/>
        <v>Usine</v>
      </c>
      <c r="L1834" s="35" t="str">
        <f>_xlfn.XLOOKUP(mvtst[[#This Row],[Sous Traitant]],coordonnee_st[Identification],coordonnee_st[SERVICE],"Non Trouvé")</f>
        <v>Frange</v>
      </c>
      <c r="M1834" s="35" t="str">
        <f>INDEX(_xlfn.TEXTSPLIT(mvtst[[#This Row],[QR Suivis]],"_"),1,2)</f>
        <v>CL00884</v>
      </c>
      <c r="N1834" s="35" t="str">
        <f>INDEX(_xlfn.TEXTSPLIT(mvtst[[#This Row],[QR Suivis]],"_"),1,3)</f>
        <v>CM-FT0119</v>
      </c>
      <c r="O1834" s="35" t="str">
        <f>INDEX(_xlfn.TEXTSPLIT(mvtst[[#This Row],[QR Suivis]],"_"),1,4)</f>
        <v>LI1020-B28-01</v>
      </c>
      <c r="P1834" s="35" t="str">
        <f>INDEX(_xlfn.TEXTSPLIT(mvtst[[#This Row],[QR Suivis]],"_"),1,5)</f>
        <v>LILI</v>
      </c>
      <c r="Q1834" s="35" t="str">
        <f>_xlfn.TEXTAFTER(mvtst[[#This Row],[QR Suivis]],"_",5)</f>
        <v>1020</v>
      </c>
      <c r="R1834" s="84" t="str">
        <f>IF(
   COUNTIFS($A$2:A1834,A1834,
             $B$2:B1834,B1834,
             $C$2:C1834,C1834,
             $D$2:D1834,D1834,
             $G$2:G1834,G1834)&gt;1,
   "Doublon",
   "Correcte"
)</f>
        <v>Correcte</v>
      </c>
    </row>
    <row r="1835" spans="1:18" x14ac:dyDescent="0.25">
      <c r="A1835" s="104" t="s">
        <v>2321</v>
      </c>
      <c r="B1835" s="35" t="s">
        <v>649</v>
      </c>
      <c r="C1835" s="36">
        <v>0</v>
      </c>
      <c r="D1835" s="36">
        <v>5</v>
      </c>
      <c r="E1835" s="35" t="s">
        <v>699</v>
      </c>
      <c r="F1835" s="35" t="s">
        <v>634</v>
      </c>
      <c r="G1835" s="37">
        <v>45943.521354166667</v>
      </c>
      <c r="H1835" s="37" t="str">
        <f>INDEX(_xlfn.TEXTSPLIT(mvtst[[#This Row],[QR Suivis]],"_"),1,1)</f>
        <v>OF249798-58</v>
      </c>
      <c r="I1835" s="35" t="str">
        <f>_xlfn.TEXTBEFORE(mvtst[[#This Row],[Num Suivis]],"-",,,1)</f>
        <v>OF249798</v>
      </c>
      <c r="J1835" s="36">
        <f>SUMIF(mvtst[QR Suivis],mvtst[[#This Row],[QR Suivis]],mvtst[QTE SORTIS])-SUMIF(mvtst[QR Suivis],mvtst[[#This Row],[QR Suivis]],mvtst[QTE RETOUR])</f>
        <v>0</v>
      </c>
      <c r="K1835" s="35" t="str">
        <f t="shared" si="31"/>
        <v>Usine</v>
      </c>
      <c r="L1835" s="35" t="str">
        <f>_xlfn.XLOOKUP(mvtst[[#This Row],[Sous Traitant]],coordonnee_st[Identification],coordonnee_st[SERVICE],"Non Trouvé")</f>
        <v>Frange</v>
      </c>
      <c r="M1835" s="35" t="str">
        <f>INDEX(_xlfn.TEXTSPLIT(mvtst[[#This Row],[QR Suivis]],"_"),1,2)</f>
        <v>CL00884</v>
      </c>
      <c r="N1835" s="35" t="str">
        <f>INDEX(_xlfn.TEXTSPLIT(mvtst[[#This Row],[QR Suivis]],"_"),1,3)</f>
        <v>CM-FT0119</v>
      </c>
      <c r="O1835" s="35" t="str">
        <f>INDEX(_xlfn.TEXTSPLIT(mvtst[[#This Row],[QR Suivis]],"_"),1,4)</f>
        <v>LI1020-B28-01</v>
      </c>
      <c r="P1835" s="35" t="str">
        <f>INDEX(_xlfn.TEXTSPLIT(mvtst[[#This Row],[QR Suivis]],"_"),1,5)</f>
        <v>LILI</v>
      </c>
      <c r="Q1835" s="35" t="str">
        <f>_xlfn.TEXTAFTER(mvtst[[#This Row],[QR Suivis]],"_",5)</f>
        <v>1020</v>
      </c>
      <c r="R1835" s="84" t="str">
        <f>IF(
   COUNTIFS($A$2:A1835,A1835,
             $B$2:B1835,B1835,
             $C$2:C1835,C1835,
             $D$2:D1835,D1835,
             $G$2:G1835,G1835)&gt;1,
   "Doublon",
   "Correcte"
)</f>
        <v>Correcte</v>
      </c>
    </row>
    <row r="1836" spans="1:18" x14ac:dyDescent="0.25">
      <c r="A1836" s="104" t="s">
        <v>2302</v>
      </c>
      <c r="B1836" s="35" t="s">
        <v>649</v>
      </c>
      <c r="C1836" s="36">
        <v>0</v>
      </c>
      <c r="D1836" s="36">
        <v>5</v>
      </c>
      <c r="E1836" s="35" t="s">
        <v>699</v>
      </c>
      <c r="F1836" s="35" t="s">
        <v>634</v>
      </c>
      <c r="G1836" s="37">
        <v>45943.521574074075</v>
      </c>
      <c r="H1836" s="37" t="str">
        <f>INDEX(_xlfn.TEXTSPLIT(mvtst[[#This Row],[QR Suivis]],"_"),1,1)</f>
        <v>OF249798-51</v>
      </c>
      <c r="I1836" s="35" t="str">
        <f>_xlfn.TEXTBEFORE(mvtst[[#This Row],[Num Suivis]],"-",,,1)</f>
        <v>OF249798</v>
      </c>
      <c r="J1836" s="36">
        <f>SUMIF(mvtst[QR Suivis],mvtst[[#This Row],[QR Suivis]],mvtst[QTE SORTIS])-SUMIF(mvtst[QR Suivis],mvtst[[#This Row],[QR Suivis]],mvtst[QTE RETOUR])</f>
        <v>0</v>
      </c>
      <c r="K1836" s="35" t="str">
        <f t="shared" si="31"/>
        <v>Usine</v>
      </c>
      <c r="L1836" s="35" t="str">
        <f>_xlfn.XLOOKUP(mvtst[[#This Row],[Sous Traitant]],coordonnee_st[Identification],coordonnee_st[SERVICE],"Non Trouvé")</f>
        <v>Frange</v>
      </c>
      <c r="M1836" s="35" t="str">
        <f>INDEX(_xlfn.TEXTSPLIT(mvtst[[#This Row],[QR Suivis]],"_"),1,2)</f>
        <v>CL00884</v>
      </c>
      <c r="N1836" s="35" t="str">
        <f>INDEX(_xlfn.TEXTSPLIT(mvtst[[#This Row],[QR Suivis]],"_"),1,3)</f>
        <v>CM-FT0119</v>
      </c>
      <c r="O1836" s="35" t="str">
        <f>INDEX(_xlfn.TEXTSPLIT(mvtst[[#This Row],[QR Suivis]],"_"),1,4)</f>
        <v>LI1020-B28-01</v>
      </c>
      <c r="P1836" s="35" t="str">
        <f>INDEX(_xlfn.TEXTSPLIT(mvtst[[#This Row],[QR Suivis]],"_"),1,5)</f>
        <v>LILI</v>
      </c>
      <c r="Q1836" s="35" t="str">
        <f>_xlfn.TEXTAFTER(mvtst[[#This Row],[QR Suivis]],"_",5)</f>
        <v>1020</v>
      </c>
      <c r="R1836" s="84" t="str">
        <f>IF(
   COUNTIFS($A$2:A1836,A1836,
             $B$2:B1836,B1836,
             $C$2:C1836,C1836,
             $D$2:D1836,D1836,
             $G$2:G1836,G1836)&gt;1,
   "Doublon",
   "Correcte"
)</f>
        <v>Correcte</v>
      </c>
    </row>
    <row r="1837" spans="1:18" x14ac:dyDescent="0.25">
      <c r="A1837" s="104" t="s">
        <v>2301</v>
      </c>
      <c r="B1837" s="35" t="s">
        <v>649</v>
      </c>
      <c r="C1837" s="36">
        <v>0</v>
      </c>
      <c r="D1837" s="36">
        <v>5</v>
      </c>
      <c r="E1837" s="35" t="s">
        <v>699</v>
      </c>
      <c r="F1837" s="35" t="s">
        <v>634</v>
      </c>
      <c r="G1837" s="37">
        <v>45943.521736111114</v>
      </c>
      <c r="H1837" s="37" t="str">
        <f>INDEX(_xlfn.TEXTSPLIT(mvtst[[#This Row],[QR Suivis]],"_"),1,1)</f>
        <v>OF249798-54</v>
      </c>
      <c r="I1837" s="35" t="str">
        <f>_xlfn.TEXTBEFORE(mvtst[[#This Row],[Num Suivis]],"-",,,1)</f>
        <v>OF249798</v>
      </c>
      <c r="J1837" s="36">
        <f>SUMIF(mvtst[QR Suivis],mvtst[[#This Row],[QR Suivis]],mvtst[QTE SORTIS])-SUMIF(mvtst[QR Suivis],mvtst[[#This Row],[QR Suivis]],mvtst[QTE RETOUR])</f>
        <v>0</v>
      </c>
      <c r="K1837" s="35" t="str">
        <f t="shared" si="31"/>
        <v>Usine</v>
      </c>
      <c r="L1837" s="35" t="str">
        <f>_xlfn.XLOOKUP(mvtst[[#This Row],[Sous Traitant]],coordonnee_st[Identification],coordonnee_st[SERVICE],"Non Trouvé")</f>
        <v>Frange</v>
      </c>
      <c r="M1837" s="35" t="str">
        <f>INDEX(_xlfn.TEXTSPLIT(mvtst[[#This Row],[QR Suivis]],"_"),1,2)</f>
        <v>CL00884</v>
      </c>
      <c r="N1837" s="35" t="str">
        <f>INDEX(_xlfn.TEXTSPLIT(mvtst[[#This Row],[QR Suivis]],"_"),1,3)</f>
        <v>CM-FT0119</v>
      </c>
      <c r="O1837" s="35" t="str">
        <f>INDEX(_xlfn.TEXTSPLIT(mvtst[[#This Row],[QR Suivis]],"_"),1,4)</f>
        <v>LI1020-B28-01</v>
      </c>
      <c r="P1837" s="35" t="str">
        <f>INDEX(_xlfn.TEXTSPLIT(mvtst[[#This Row],[QR Suivis]],"_"),1,5)</f>
        <v>LILI</v>
      </c>
      <c r="Q1837" s="35" t="str">
        <f>_xlfn.TEXTAFTER(mvtst[[#This Row],[QR Suivis]],"_",5)</f>
        <v>1020</v>
      </c>
      <c r="R1837" s="84" t="str">
        <f>IF(
   COUNTIFS($A$2:A1837,A1837,
             $B$2:B1837,B1837,
             $C$2:C1837,C1837,
             $D$2:D1837,D1837,
             $G$2:G1837,G1837)&gt;1,
   "Doublon",
   "Correcte"
)</f>
        <v>Correcte</v>
      </c>
    </row>
    <row r="1838" spans="1:18" x14ac:dyDescent="0.25">
      <c r="A1838" s="104" t="s">
        <v>2317</v>
      </c>
      <c r="B1838" s="35" t="s">
        <v>649</v>
      </c>
      <c r="C1838" s="36">
        <v>0</v>
      </c>
      <c r="D1838" s="36">
        <v>5</v>
      </c>
      <c r="E1838" s="35" t="s">
        <v>699</v>
      </c>
      <c r="F1838" s="35" t="s">
        <v>634</v>
      </c>
      <c r="G1838" s="37">
        <v>45943.521898148145</v>
      </c>
      <c r="H1838" s="37" t="str">
        <f>INDEX(_xlfn.TEXTSPLIT(mvtst[[#This Row],[QR Suivis]],"_"),1,1)</f>
        <v>OF249798-37</v>
      </c>
      <c r="I1838" s="35" t="str">
        <f>_xlfn.TEXTBEFORE(mvtst[[#This Row],[Num Suivis]],"-",,,1)</f>
        <v>OF249798</v>
      </c>
      <c r="J1838" s="36">
        <f>SUMIF(mvtst[QR Suivis],mvtst[[#This Row],[QR Suivis]],mvtst[QTE SORTIS])-SUMIF(mvtst[QR Suivis],mvtst[[#This Row],[QR Suivis]],mvtst[QTE RETOUR])</f>
        <v>0</v>
      </c>
      <c r="K1838" s="35" t="str">
        <f t="shared" si="31"/>
        <v>Usine</v>
      </c>
      <c r="L1838" s="35" t="str">
        <f>_xlfn.XLOOKUP(mvtst[[#This Row],[Sous Traitant]],coordonnee_st[Identification],coordonnee_st[SERVICE],"Non Trouvé")</f>
        <v>Frange</v>
      </c>
      <c r="M1838" s="35" t="str">
        <f>INDEX(_xlfn.TEXTSPLIT(mvtst[[#This Row],[QR Suivis]],"_"),1,2)</f>
        <v>CL00884</v>
      </c>
      <c r="N1838" s="35" t="str">
        <f>INDEX(_xlfn.TEXTSPLIT(mvtst[[#This Row],[QR Suivis]],"_"),1,3)</f>
        <v>CM-FT0119</v>
      </c>
      <c r="O1838" s="35" t="str">
        <f>INDEX(_xlfn.TEXTSPLIT(mvtst[[#This Row],[QR Suivis]],"_"),1,4)</f>
        <v>LI1020-B28-01</v>
      </c>
      <c r="P1838" s="35" t="str">
        <f>INDEX(_xlfn.TEXTSPLIT(mvtst[[#This Row],[QR Suivis]],"_"),1,5)</f>
        <v>LILI</v>
      </c>
      <c r="Q1838" s="35" t="str">
        <f>_xlfn.TEXTAFTER(mvtst[[#This Row],[QR Suivis]],"_",5)</f>
        <v>1020</v>
      </c>
      <c r="R1838" s="84" t="str">
        <f>IF(
   COUNTIFS($A$2:A1838,A1838,
             $B$2:B1838,B1838,
             $C$2:C1838,C1838,
             $D$2:D1838,D1838,
             $G$2:G1838,G1838)&gt;1,
   "Doublon",
   "Correcte"
)</f>
        <v>Correcte</v>
      </c>
    </row>
    <row r="1839" spans="1:18" x14ac:dyDescent="0.25">
      <c r="A1839" s="104" t="s">
        <v>1920</v>
      </c>
      <c r="B1839" s="35" t="s">
        <v>649</v>
      </c>
      <c r="C1839" s="36">
        <v>0</v>
      </c>
      <c r="D1839" s="36">
        <v>5</v>
      </c>
      <c r="E1839" s="35" t="s">
        <v>699</v>
      </c>
      <c r="F1839" s="35" t="s">
        <v>634</v>
      </c>
      <c r="G1839" s="37">
        <v>45943.522638888891</v>
      </c>
      <c r="H1839" s="37" t="str">
        <f>INDEX(_xlfn.TEXTSPLIT(mvtst[[#This Row],[QR Suivis]],"_"),1,1)</f>
        <v>OF249868-2</v>
      </c>
      <c r="I1839" s="35" t="str">
        <f>_xlfn.TEXTBEFORE(mvtst[[#This Row],[Num Suivis]],"-",,,1)</f>
        <v>OF249868</v>
      </c>
      <c r="J1839" s="36">
        <f>SUMIF(mvtst[QR Suivis],mvtst[[#This Row],[QR Suivis]],mvtst[QTE SORTIS])-SUMIF(mvtst[QR Suivis],mvtst[[#This Row],[QR Suivis]],mvtst[QTE RETOUR])</f>
        <v>0</v>
      </c>
      <c r="K1839" s="35" t="str">
        <f t="shared" si="31"/>
        <v>Usine</v>
      </c>
      <c r="L1839" s="35" t="str">
        <f>_xlfn.XLOOKUP(mvtst[[#This Row],[Sous Traitant]],coordonnee_st[Identification],coordonnee_st[SERVICE],"Non Trouvé")</f>
        <v>Frange</v>
      </c>
      <c r="M1839" s="35" t="str">
        <f>INDEX(_xlfn.TEXTSPLIT(mvtst[[#This Row],[QR Suivis]],"_"),1,2)</f>
        <v>CL00884</v>
      </c>
      <c r="N1839" s="35" t="str">
        <f>INDEX(_xlfn.TEXTSPLIT(mvtst[[#This Row],[QR Suivis]],"_"),1,3)</f>
        <v>CM-FT0119</v>
      </c>
      <c r="O1839" s="35" t="str">
        <f>INDEX(_xlfn.TEXTSPLIT(mvtst[[#This Row],[QR Suivis]],"_"),1,4)</f>
        <v>EPMA0919-B24-02</v>
      </c>
      <c r="P1839" s="35" t="str">
        <f>INDEX(_xlfn.TEXTSPLIT(mvtst[[#This Row],[QR Suivis]],"_"),1,5)</f>
        <v>MARINIERE</v>
      </c>
      <c r="Q1839" s="35" t="str">
        <f>_xlfn.TEXTAFTER(mvtst[[#This Row],[QR Suivis]],"_",5)</f>
        <v>0919</v>
      </c>
      <c r="R1839" s="84" t="str">
        <f>IF(
   COUNTIFS($A$2:A1839,A1839,
             $B$2:B1839,B1839,
             $C$2:C1839,C1839,
             $D$2:D1839,D1839,
             $G$2:G1839,G1839)&gt;1,
   "Doublon",
   "Correcte"
)</f>
        <v>Correcte</v>
      </c>
    </row>
    <row r="1840" spans="1:18" x14ac:dyDescent="0.25">
      <c r="A1840" s="104" t="s">
        <v>1917</v>
      </c>
      <c r="B1840" s="35" t="s">
        <v>649</v>
      </c>
      <c r="C1840" s="36">
        <v>0</v>
      </c>
      <c r="D1840" s="36">
        <v>5</v>
      </c>
      <c r="E1840" s="35" t="s">
        <v>699</v>
      </c>
      <c r="F1840" s="35" t="s">
        <v>634</v>
      </c>
      <c r="G1840" s="37">
        <v>45943.522986111115</v>
      </c>
      <c r="H1840" s="37" t="str">
        <f>INDEX(_xlfn.TEXTSPLIT(mvtst[[#This Row],[QR Suivis]],"_"),1,1)</f>
        <v>OF249868-16</v>
      </c>
      <c r="I1840" s="35" t="str">
        <f>_xlfn.TEXTBEFORE(mvtst[[#This Row],[Num Suivis]],"-",,,1)</f>
        <v>OF249868</v>
      </c>
      <c r="J1840" s="36">
        <f>SUMIF(mvtst[QR Suivis],mvtst[[#This Row],[QR Suivis]],mvtst[QTE SORTIS])-SUMIF(mvtst[QR Suivis],mvtst[[#This Row],[QR Suivis]],mvtst[QTE RETOUR])</f>
        <v>0</v>
      </c>
      <c r="K1840" s="35" t="str">
        <f t="shared" si="31"/>
        <v>Usine</v>
      </c>
      <c r="L1840" s="35" t="str">
        <f>_xlfn.XLOOKUP(mvtst[[#This Row],[Sous Traitant]],coordonnee_st[Identification],coordonnee_st[SERVICE],"Non Trouvé")</f>
        <v>Frange</v>
      </c>
      <c r="M1840" s="35" t="str">
        <f>INDEX(_xlfn.TEXTSPLIT(mvtst[[#This Row],[QR Suivis]],"_"),1,2)</f>
        <v>CL00884</v>
      </c>
      <c r="N1840" s="35" t="str">
        <f>INDEX(_xlfn.TEXTSPLIT(mvtst[[#This Row],[QR Suivis]],"_"),1,3)</f>
        <v>CM-FT0119</v>
      </c>
      <c r="O1840" s="35" t="str">
        <f>INDEX(_xlfn.TEXTSPLIT(mvtst[[#This Row],[QR Suivis]],"_"),1,4)</f>
        <v>EPMA0919-B24-02</v>
      </c>
      <c r="P1840" s="35" t="str">
        <f>INDEX(_xlfn.TEXTSPLIT(mvtst[[#This Row],[QR Suivis]],"_"),1,5)</f>
        <v>MARINIERE</v>
      </c>
      <c r="Q1840" s="35" t="str">
        <f>_xlfn.TEXTAFTER(mvtst[[#This Row],[QR Suivis]],"_",5)</f>
        <v>0919</v>
      </c>
      <c r="R1840" s="84" t="str">
        <f>IF(
   COUNTIFS($A$2:A1840,A1840,
             $B$2:B1840,B1840,
             $C$2:C1840,C1840,
             $D$2:D1840,D1840,
             $G$2:G1840,G1840)&gt;1,
   "Doublon",
   "Correcte"
)</f>
        <v>Correcte</v>
      </c>
    </row>
    <row r="1841" spans="1:18" x14ac:dyDescent="0.25">
      <c r="A1841" s="104" t="s">
        <v>1918</v>
      </c>
      <c r="B1841" s="35" t="s">
        <v>649</v>
      </c>
      <c r="C1841" s="36">
        <v>0</v>
      </c>
      <c r="D1841" s="36">
        <v>5</v>
      </c>
      <c r="E1841" s="35" t="s">
        <v>699</v>
      </c>
      <c r="F1841" s="35" t="s">
        <v>634</v>
      </c>
      <c r="G1841" s="37">
        <v>45943.523472222223</v>
      </c>
      <c r="H1841" s="37" t="str">
        <f>INDEX(_xlfn.TEXTSPLIT(mvtst[[#This Row],[QR Suivis]],"_"),1,1)</f>
        <v>OF249868-14</v>
      </c>
      <c r="I1841" s="35" t="str">
        <f>_xlfn.TEXTBEFORE(mvtst[[#This Row],[Num Suivis]],"-",,,1)</f>
        <v>OF249868</v>
      </c>
      <c r="J1841" s="36">
        <f>SUMIF(mvtst[QR Suivis],mvtst[[#This Row],[QR Suivis]],mvtst[QTE SORTIS])-SUMIF(mvtst[QR Suivis],mvtst[[#This Row],[QR Suivis]],mvtst[QTE RETOUR])</f>
        <v>0</v>
      </c>
      <c r="K1841" s="35" t="str">
        <f t="shared" si="31"/>
        <v>Usine</v>
      </c>
      <c r="L1841" s="35" t="str">
        <f>_xlfn.XLOOKUP(mvtst[[#This Row],[Sous Traitant]],coordonnee_st[Identification],coordonnee_st[SERVICE],"Non Trouvé")</f>
        <v>Frange</v>
      </c>
      <c r="M1841" s="35" t="str">
        <f>INDEX(_xlfn.TEXTSPLIT(mvtst[[#This Row],[QR Suivis]],"_"),1,2)</f>
        <v>CL00884</v>
      </c>
      <c r="N1841" s="35" t="str">
        <f>INDEX(_xlfn.TEXTSPLIT(mvtst[[#This Row],[QR Suivis]],"_"),1,3)</f>
        <v>CM-FT0119</v>
      </c>
      <c r="O1841" s="35" t="str">
        <f>INDEX(_xlfn.TEXTSPLIT(mvtst[[#This Row],[QR Suivis]],"_"),1,4)</f>
        <v>EPMA0919-B24-02</v>
      </c>
      <c r="P1841" s="35" t="str">
        <f>INDEX(_xlfn.TEXTSPLIT(mvtst[[#This Row],[QR Suivis]],"_"),1,5)</f>
        <v>MARINIERE</v>
      </c>
      <c r="Q1841" s="35" t="str">
        <f>_xlfn.TEXTAFTER(mvtst[[#This Row],[QR Suivis]],"_",5)</f>
        <v>0919</v>
      </c>
      <c r="R1841" s="84" t="str">
        <f>IF(
   COUNTIFS($A$2:A1841,A1841,
             $B$2:B1841,B1841,
             $C$2:C1841,C1841,
             $D$2:D1841,D1841,
             $G$2:G1841,G1841)&gt;1,
   "Doublon",
   "Correcte"
)</f>
        <v>Correcte</v>
      </c>
    </row>
    <row r="1842" spans="1:18" x14ac:dyDescent="0.25">
      <c r="A1842" s="104" t="s">
        <v>1960</v>
      </c>
      <c r="B1842" s="35" t="s">
        <v>596</v>
      </c>
      <c r="C1842" s="36">
        <v>0</v>
      </c>
      <c r="D1842" s="36">
        <v>5</v>
      </c>
      <c r="E1842" s="35" t="s">
        <v>699</v>
      </c>
      <c r="F1842" s="35" t="s">
        <v>634</v>
      </c>
      <c r="G1842" s="37">
        <v>45943.59065972222</v>
      </c>
      <c r="H1842" s="37" t="str">
        <f>INDEX(_xlfn.TEXTSPLIT(mvtst[[#This Row],[QR Suivis]],"_"),1,1)</f>
        <v>OF249782-62</v>
      </c>
      <c r="I1842" s="35" t="str">
        <f>_xlfn.TEXTBEFORE(mvtst[[#This Row],[Num Suivis]],"-",,,1)</f>
        <v>OF249782</v>
      </c>
      <c r="J1842" s="36">
        <f>SUMIF(mvtst[QR Suivis],mvtst[[#This Row],[QR Suivis]],mvtst[QTE SORTIS])-SUMIF(mvtst[QR Suivis],mvtst[[#This Row],[QR Suivis]],mvtst[QTE RETOUR])</f>
        <v>0</v>
      </c>
      <c r="K1842" s="35" t="str">
        <f t="shared" si="31"/>
        <v>Usine</v>
      </c>
      <c r="L1842" s="35" t="str">
        <f>_xlfn.XLOOKUP(mvtst[[#This Row],[Sous Traitant]],coordonnee_st[Identification],coordonnee_st[SERVICE],"Non Trouvé")</f>
        <v>Frange</v>
      </c>
      <c r="M1842" s="35" t="str">
        <f>INDEX(_xlfn.TEXTSPLIT(mvtst[[#This Row],[QR Suivis]],"_"),1,2)</f>
        <v>CL00884</v>
      </c>
      <c r="N1842" s="35" t="str">
        <f>INDEX(_xlfn.TEXTSPLIT(mvtst[[#This Row],[QR Suivis]],"_"),1,3)</f>
        <v>CM-FT0119</v>
      </c>
      <c r="O1842" s="35" t="str">
        <f>INDEX(_xlfn.TEXTSPLIT(mvtst[[#This Row],[QR Suivis]],"_"),1,4)</f>
        <v>IB1020-B24-01</v>
      </c>
      <c r="P1842" s="35" t="str">
        <f>INDEX(_xlfn.TEXTSPLIT(mvtst[[#This Row],[QR Suivis]],"_"),1,5)</f>
        <v>IBIZA</v>
      </c>
      <c r="Q1842" s="35" t="str">
        <f>_xlfn.TEXTAFTER(mvtst[[#This Row],[QR Suivis]],"_",5)</f>
        <v>1020</v>
      </c>
      <c r="R1842" s="84" t="str">
        <f>IF(
   COUNTIFS($A$2:A1842,A1842,
             $B$2:B1842,B1842,
             $C$2:C1842,C1842,
             $D$2:D1842,D1842,
             $G$2:G1842,G1842)&gt;1,
   "Doublon",
   "Correcte"
)</f>
        <v>Correcte</v>
      </c>
    </row>
    <row r="1843" spans="1:18" x14ac:dyDescent="0.25">
      <c r="A1843" s="104" t="s">
        <v>1959</v>
      </c>
      <c r="B1843" s="35" t="s">
        <v>596</v>
      </c>
      <c r="C1843" s="36">
        <v>0</v>
      </c>
      <c r="D1843" s="36">
        <v>5</v>
      </c>
      <c r="E1843" s="35" t="s">
        <v>699</v>
      </c>
      <c r="F1843" s="35" t="s">
        <v>634</v>
      </c>
      <c r="G1843" s="37">
        <v>45943.590856481482</v>
      </c>
      <c r="H1843" s="37" t="str">
        <f>INDEX(_xlfn.TEXTSPLIT(mvtst[[#This Row],[QR Suivis]],"_"),1,1)</f>
        <v>OF249782-42</v>
      </c>
      <c r="I1843" s="35" t="str">
        <f>_xlfn.TEXTBEFORE(mvtst[[#This Row],[Num Suivis]],"-",,,1)</f>
        <v>OF249782</v>
      </c>
      <c r="J1843" s="36">
        <f>SUMIF(mvtst[QR Suivis],mvtst[[#This Row],[QR Suivis]],mvtst[QTE SORTIS])-SUMIF(mvtst[QR Suivis],mvtst[[#This Row],[QR Suivis]],mvtst[QTE RETOUR])</f>
        <v>0</v>
      </c>
      <c r="K1843" s="35" t="str">
        <f t="shared" si="31"/>
        <v>Usine</v>
      </c>
      <c r="L1843" s="35" t="str">
        <f>_xlfn.XLOOKUP(mvtst[[#This Row],[Sous Traitant]],coordonnee_st[Identification],coordonnee_st[SERVICE],"Non Trouvé")</f>
        <v>Frange</v>
      </c>
      <c r="M1843" s="35" t="str">
        <f>INDEX(_xlfn.TEXTSPLIT(mvtst[[#This Row],[QR Suivis]],"_"),1,2)</f>
        <v>CL00884</v>
      </c>
      <c r="N1843" s="35" t="str">
        <f>INDEX(_xlfn.TEXTSPLIT(mvtst[[#This Row],[QR Suivis]],"_"),1,3)</f>
        <v>CM-FT0119</v>
      </c>
      <c r="O1843" s="35" t="str">
        <f>INDEX(_xlfn.TEXTSPLIT(mvtst[[#This Row],[QR Suivis]],"_"),1,4)</f>
        <v>IB1020-B24-01</v>
      </c>
      <c r="P1843" s="35" t="str">
        <f>INDEX(_xlfn.TEXTSPLIT(mvtst[[#This Row],[QR Suivis]],"_"),1,5)</f>
        <v>IBIZA</v>
      </c>
      <c r="Q1843" s="35" t="str">
        <f>_xlfn.TEXTAFTER(mvtst[[#This Row],[QR Suivis]],"_",5)</f>
        <v>1020</v>
      </c>
      <c r="R1843" s="84" t="str">
        <f>IF(
   COUNTIFS($A$2:A1843,A1843,
             $B$2:B1843,B1843,
             $C$2:C1843,C1843,
             $D$2:D1843,D1843,
             $G$2:G1843,G1843)&gt;1,
   "Doublon",
   "Correcte"
)</f>
        <v>Correcte</v>
      </c>
    </row>
    <row r="1844" spans="1:18" x14ac:dyDescent="0.25">
      <c r="A1844" s="104" t="s">
        <v>2012</v>
      </c>
      <c r="B1844" s="35" t="s">
        <v>596</v>
      </c>
      <c r="C1844" s="36">
        <v>0</v>
      </c>
      <c r="D1844" s="36">
        <v>5</v>
      </c>
      <c r="E1844" s="35" t="s">
        <v>699</v>
      </c>
      <c r="F1844" s="35" t="s">
        <v>634</v>
      </c>
      <c r="G1844" s="37">
        <v>45943.591053240743</v>
      </c>
      <c r="H1844" s="37" t="str">
        <f>INDEX(_xlfn.TEXTSPLIT(mvtst[[#This Row],[QR Suivis]],"_"),1,1)</f>
        <v>OF249782-16</v>
      </c>
      <c r="I1844" s="35" t="str">
        <f>_xlfn.TEXTBEFORE(mvtst[[#This Row],[Num Suivis]],"-",,,1)</f>
        <v>OF249782</v>
      </c>
      <c r="J1844" s="36">
        <f>SUMIF(mvtst[QR Suivis],mvtst[[#This Row],[QR Suivis]],mvtst[QTE SORTIS])-SUMIF(mvtst[QR Suivis],mvtst[[#This Row],[QR Suivis]],mvtst[QTE RETOUR])</f>
        <v>0</v>
      </c>
      <c r="K1844" s="35" t="str">
        <f t="shared" si="31"/>
        <v>Usine</v>
      </c>
      <c r="L1844" s="35" t="str">
        <f>_xlfn.XLOOKUP(mvtst[[#This Row],[Sous Traitant]],coordonnee_st[Identification],coordonnee_st[SERVICE],"Non Trouvé")</f>
        <v>Frange</v>
      </c>
      <c r="M1844" s="35" t="str">
        <f>INDEX(_xlfn.TEXTSPLIT(mvtst[[#This Row],[QR Suivis]],"_"),1,2)</f>
        <v>CL00884</v>
      </c>
      <c r="N1844" s="35" t="str">
        <f>INDEX(_xlfn.TEXTSPLIT(mvtst[[#This Row],[QR Suivis]],"_"),1,3)</f>
        <v>CM-FT0119</v>
      </c>
      <c r="O1844" s="35" t="str">
        <f>INDEX(_xlfn.TEXTSPLIT(mvtst[[#This Row],[QR Suivis]],"_"),1,4)</f>
        <v>IB1020-B24-01</v>
      </c>
      <c r="P1844" s="35" t="str">
        <f>INDEX(_xlfn.TEXTSPLIT(mvtst[[#This Row],[QR Suivis]],"_"),1,5)</f>
        <v>IBIZA</v>
      </c>
      <c r="Q1844" s="35" t="str">
        <f>_xlfn.TEXTAFTER(mvtst[[#This Row],[QR Suivis]],"_",5)</f>
        <v>1020</v>
      </c>
      <c r="R1844" s="84" t="str">
        <f>IF(
   COUNTIFS($A$2:A1844,A1844,
             $B$2:B1844,B1844,
             $C$2:C1844,C1844,
             $D$2:D1844,D1844,
             $G$2:G1844,G1844)&gt;1,
   "Doublon",
   "Correcte"
)</f>
        <v>Correcte</v>
      </c>
    </row>
    <row r="1845" spans="1:18" x14ac:dyDescent="0.25">
      <c r="A1845" s="104" t="s">
        <v>1988</v>
      </c>
      <c r="B1845" s="35" t="s">
        <v>596</v>
      </c>
      <c r="C1845" s="36">
        <v>0</v>
      </c>
      <c r="D1845" s="36">
        <v>5</v>
      </c>
      <c r="E1845" s="35" t="s">
        <v>699</v>
      </c>
      <c r="F1845" s="35" t="s">
        <v>634</v>
      </c>
      <c r="G1845" s="37">
        <v>45943.591215277775</v>
      </c>
      <c r="H1845" s="37" t="str">
        <f>INDEX(_xlfn.TEXTSPLIT(mvtst[[#This Row],[QR Suivis]],"_"),1,1)</f>
        <v>OF249782-40</v>
      </c>
      <c r="I1845" s="35" t="str">
        <f>_xlfn.TEXTBEFORE(mvtst[[#This Row],[Num Suivis]],"-",,,1)</f>
        <v>OF249782</v>
      </c>
      <c r="J1845" s="36">
        <f>SUMIF(mvtst[QR Suivis],mvtst[[#This Row],[QR Suivis]],mvtst[QTE SORTIS])-SUMIF(mvtst[QR Suivis],mvtst[[#This Row],[QR Suivis]],mvtst[QTE RETOUR])</f>
        <v>0</v>
      </c>
      <c r="K1845" s="35" t="str">
        <f t="shared" si="31"/>
        <v>Usine</v>
      </c>
      <c r="L1845" s="35" t="str">
        <f>_xlfn.XLOOKUP(mvtst[[#This Row],[Sous Traitant]],coordonnee_st[Identification],coordonnee_st[SERVICE],"Non Trouvé")</f>
        <v>Frange</v>
      </c>
      <c r="M1845" s="35" t="str">
        <f>INDEX(_xlfn.TEXTSPLIT(mvtst[[#This Row],[QR Suivis]],"_"),1,2)</f>
        <v>CL00884</v>
      </c>
      <c r="N1845" s="35" t="str">
        <f>INDEX(_xlfn.TEXTSPLIT(mvtst[[#This Row],[QR Suivis]],"_"),1,3)</f>
        <v>CM-FT0119</v>
      </c>
      <c r="O1845" s="35" t="str">
        <f>INDEX(_xlfn.TEXTSPLIT(mvtst[[#This Row],[QR Suivis]],"_"),1,4)</f>
        <v>IB1020-B24-01</v>
      </c>
      <c r="P1845" s="35" t="str">
        <f>INDEX(_xlfn.TEXTSPLIT(mvtst[[#This Row],[QR Suivis]],"_"),1,5)</f>
        <v>IBIZA</v>
      </c>
      <c r="Q1845" s="35" t="str">
        <f>_xlfn.TEXTAFTER(mvtst[[#This Row],[QR Suivis]],"_",5)</f>
        <v>1020</v>
      </c>
      <c r="R1845" s="84" t="str">
        <f>IF(
   COUNTIFS($A$2:A1845,A1845,
             $B$2:B1845,B1845,
             $C$2:C1845,C1845,
             $D$2:D1845,D1845,
             $G$2:G1845,G1845)&gt;1,
   "Doublon",
   "Correcte"
)</f>
        <v>Correcte</v>
      </c>
    </row>
    <row r="1846" spans="1:18" x14ac:dyDescent="0.25">
      <c r="A1846" s="104" t="s">
        <v>1986</v>
      </c>
      <c r="B1846" s="35" t="s">
        <v>596</v>
      </c>
      <c r="C1846" s="36">
        <v>0</v>
      </c>
      <c r="D1846" s="36">
        <v>5</v>
      </c>
      <c r="E1846" s="35" t="s">
        <v>699</v>
      </c>
      <c r="F1846" s="35" t="s">
        <v>634</v>
      </c>
      <c r="G1846" s="37">
        <v>45943.591412037036</v>
      </c>
      <c r="H1846" s="37" t="str">
        <f>INDEX(_xlfn.TEXTSPLIT(mvtst[[#This Row],[QR Suivis]],"_"),1,1)</f>
        <v>OF249782-53</v>
      </c>
      <c r="I1846" s="35" t="str">
        <f>_xlfn.TEXTBEFORE(mvtst[[#This Row],[Num Suivis]],"-",,,1)</f>
        <v>OF249782</v>
      </c>
      <c r="J1846" s="36">
        <f>SUMIF(mvtst[QR Suivis],mvtst[[#This Row],[QR Suivis]],mvtst[QTE SORTIS])-SUMIF(mvtst[QR Suivis],mvtst[[#This Row],[QR Suivis]],mvtst[QTE RETOUR])</f>
        <v>0</v>
      </c>
      <c r="K1846" s="35" t="str">
        <f t="shared" si="31"/>
        <v>Usine</v>
      </c>
      <c r="L1846" s="35" t="str">
        <f>_xlfn.XLOOKUP(mvtst[[#This Row],[Sous Traitant]],coordonnee_st[Identification],coordonnee_st[SERVICE],"Non Trouvé")</f>
        <v>Frange</v>
      </c>
      <c r="M1846" s="35" t="str">
        <f>INDEX(_xlfn.TEXTSPLIT(mvtst[[#This Row],[QR Suivis]],"_"),1,2)</f>
        <v>CL00884</v>
      </c>
      <c r="N1846" s="35" t="str">
        <f>INDEX(_xlfn.TEXTSPLIT(mvtst[[#This Row],[QR Suivis]],"_"),1,3)</f>
        <v>CM-FT0119</v>
      </c>
      <c r="O1846" s="35" t="str">
        <f>INDEX(_xlfn.TEXTSPLIT(mvtst[[#This Row],[QR Suivis]],"_"),1,4)</f>
        <v>IB1020-B24-01</v>
      </c>
      <c r="P1846" s="35" t="str">
        <f>INDEX(_xlfn.TEXTSPLIT(mvtst[[#This Row],[QR Suivis]],"_"),1,5)</f>
        <v>IBIZA</v>
      </c>
      <c r="Q1846" s="35" t="str">
        <f>_xlfn.TEXTAFTER(mvtst[[#This Row],[QR Suivis]],"_",5)</f>
        <v>1020</v>
      </c>
      <c r="R1846" s="84" t="str">
        <f>IF(
   COUNTIFS($A$2:A1846,A1846,
             $B$2:B1846,B1846,
             $C$2:C1846,C1846,
             $D$2:D1846,D1846,
             $G$2:G1846,G1846)&gt;1,
   "Doublon",
   "Correcte"
)</f>
        <v>Correcte</v>
      </c>
    </row>
    <row r="1847" spans="1:18" x14ac:dyDescent="0.25">
      <c r="A1847" s="104" t="s">
        <v>2013</v>
      </c>
      <c r="B1847" s="35" t="s">
        <v>596</v>
      </c>
      <c r="C1847" s="36">
        <v>0</v>
      </c>
      <c r="D1847" s="36">
        <v>5</v>
      </c>
      <c r="E1847" s="35" t="s">
        <v>699</v>
      </c>
      <c r="F1847" s="35" t="s">
        <v>634</v>
      </c>
      <c r="G1847" s="37">
        <v>45943.591550925928</v>
      </c>
      <c r="H1847" s="37" t="str">
        <f>INDEX(_xlfn.TEXTSPLIT(mvtst[[#This Row],[QR Suivis]],"_"),1,1)</f>
        <v>OF249782-36</v>
      </c>
      <c r="I1847" s="35" t="str">
        <f>_xlfn.TEXTBEFORE(mvtst[[#This Row],[Num Suivis]],"-",,,1)</f>
        <v>OF249782</v>
      </c>
      <c r="J1847" s="36">
        <f>SUMIF(mvtst[QR Suivis],mvtst[[#This Row],[QR Suivis]],mvtst[QTE SORTIS])-SUMIF(mvtst[QR Suivis],mvtst[[#This Row],[QR Suivis]],mvtst[QTE RETOUR])</f>
        <v>0</v>
      </c>
      <c r="K1847" s="35" t="str">
        <f t="shared" ref="K1847:K1909" si="32">"Usine"</f>
        <v>Usine</v>
      </c>
      <c r="L1847" s="35" t="str">
        <f>_xlfn.XLOOKUP(mvtst[[#This Row],[Sous Traitant]],coordonnee_st[Identification],coordonnee_st[SERVICE],"Non Trouvé")</f>
        <v>Frange</v>
      </c>
      <c r="M1847" s="35" t="str">
        <f>INDEX(_xlfn.TEXTSPLIT(mvtst[[#This Row],[QR Suivis]],"_"),1,2)</f>
        <v>CL00884</v>
      </c>
      <c r="N1847" s="35" t="str">
        <f>INDEX(_xlfn.TEXTSPLIT(mvtst[[#This Row],[QR Suivis]],"_"),1,3)</f>
        <v>CM-FT0119</v>
      </c>
      <c r="O1847" s="35" t="str">
        <f>INDEX(_xlfn.TEXTSPLIT(mvtst[[#This Row],[QR Suivis]],"_"),1,4)</f>
        <v>IB1020-B24-01</v>
      </c>
      <c r="P1847" s="35" t="str">
        <f>INDEX(_xlfn.TEXTSPLIT(mvtst[[#This Row],[QR Suivis]],"_"),1,5)</f>
        <v>IBIZA</v>
      </c>
      <c r="Q1847" s="35" t="str">
        <f>_xlfn.TEXTAFTER(mvtst[[#This Row],[QR Suivis]],"_",5)</f>
        <v>1020</v>
      </c>
      <c r="R1847" s="84" t="str">
        <f>IF(
   COUNTIFS($A$2:A1847,A1847,
             $B$2:B1847,B1847,
             $C$2:C1847,C1847,
             $D$2:D1847,D1847,
             $G$2:G1847,G1847)&gt;1,
   "Doublon",
   "Correcte"
)</f>
        <v>Correcte</v>
      </c>
    </row>
    <row r="1848" spans="1:18" x14ac:dyDescent="0.25">
      <c r="A1848" s="104" t="s">
        <v>1958</v>
      </c>
      <c r="B1848" s="35" t="s">
        <v>596</v>
      </c>
      <c r="C1848" s="36">
        <v>0</v>
      </c>
      <c r="D1848" s="36">
        <v>5</v>
      </c>
      <c r="E1848" s="35" t="s">
        <v>699</v>
      </c>
      <c r="F1848" s="35" t="s">
        <v>634</v>
      </c>
      <c r="G1848" s="37">
        <v>45943.59175925926</v>
      </c>
      <c r="H1848" s="37" t="str">
        <f>INDEX(_xlfn.TEXTSPLIT(mvtst[[#This Row],[QR Suivis]],"_"),1,1)</f>
        <v>OF249782-61</v>
      </c>
      <c r="I1848" s="35" t="str">
        <f>_xlfn.TEXTBEFORE(mvtst[[#This Row],[Num Suivis]],"-",,,1)</f>
        <v>OF249782</v>
      </c>
      <c r="J1848" s="36">
        <f>SUMIF(mvtst[QR Suivis],mvtst[[#This Row],[QR Suivis]],mvtst[QTE SORTIS])-SUMIF(mvtst[QR Suivis],mvtst[[#This Row],[QR Suivis]],mvtst[QTE RETOUR])</f>
        <v>0</v>
      </c>
      <c r="K1848" s="35" t="str">
        <f t="shared" si="32"/>
        <v>Usine</v>
      </c>
      <c r="L1848" s="35" t="str">
        <f>_xlfn.XLOOKUP(mvtst[[#This Row],[Sous Traitant]],coordonnee_st[Identification],coordonnee_st[SERVICE],"Non Trouvé")</f>
        <v>Frange</v>
      </c>
      <c r="M1848" s="35" t="str">
        <f>INDEX(_xlfn.TEXTSPLIT(mvtst[[#This Row],[QR Suivis]],"_"),1,2)</f>
        <v>CL00884</v>
      </c>
      <c r="N1848" s="35" t="str">
        <f>INDEX(_xlfn.TEXTSPLIT(mvtst[[#This Row],[QR Suivis]],"_"),1,3)</f>
        <v>CM-FT0119</v>
      </c>
      <c r="O1848" s="35" t="str">
        <f>INDEX(_xlfn.TEXTSPLIT(mvtst[[#This Row],[QR Suivis]],"_"),1,4)</f>
        <v>IB1020-B24-01</v>
      </c>
      <c r="P1848" s="35" t="str">
        <f>INDEX(_xlfn.TEXTSPLIT(mvtst[[#This Row],[QR Suivis]],"_"),1,5)</f>
        <v>IBIZA</v>
      </c>
      <c r="Q1848" s="35" t="str">
        <f>_xlfn.TEXTAFTER(mvtst[[#This Row],[QR Suivis]],"_",5)</f>
        <v>1020</v>
      </c>
      <c r="R1848" s="84" t="str">
        <f>IF(
   COUNTIFS($A$2:A1848,A1848,
             $B$2:B1848,B1848,
             $C$2:C1848,C1848,
             $D$2:D1848,D1848,
             $G$2:G1848,G1848)&gt;1,
   "Doublon",
   "Correcte"
)</f>
        <v>Correcte</v>
      </c>
    </row>
    <row r="1849" spans="1:18" x14ac:dyDescent="0.25">
      <c r="A1849" s="104" t="s">
        <v>1989</v>
      </c>
      <c r="B1849" s="35" t="s">
        <v>596</v>
      </c>
      <c r="C1849" s="36">
        <v>0</v>
      </c>
      <c r="D1849" s="36">
        <v>5</v>
      </c>
      <c r="E1849" s="35" t="s">
        <v>699</v>
      </c>
      <c r="F1849" s="35" t="s">
        <v>634</v>
      </c>
      <c r="G1849" s="37">
        <v>45943.591990740744</v>
      </c>
      <c r="H1849" s="37" t="str">
        <f>INDEX(_xlfn.TEXTSPLIT(mvtst[[#This Row],[QR Suivis]],"_"),1,1)</f>
        <v>OF249782-57</v>
      </c>
      <c r="I1849" s="35" t="str">
        <f>_xlfn.TEXTBEFORE(mvtst[[#This Row],[Num Suivis]],"-",,,1)</f>
        <v>OF249782</v>
      </c>
      <c r="J1849" s="36">
        <f>SUMIF(mvtst[QR Suivis],mvtst[[#This Row],[QR Suivis]],mvtst[QTE SORTIS])-SUMIF(mvtst[QR Suivis],mvtst[[#This Row],[QR Suivis]],mvtst[QTE RETOUR])</f>
        <v>0</v>
      </c>
      <c r="K1849" s="35" t="str">
        <f t="shared" si="32"/>
        <v>Usine</v>
      </c>
      <c r="L1849" s="35" t="str">
        <f>_xlfn.XLOOKUP(mvtst[[#This Row],[Sous Traitant]],coordonnee_st[Identification],coordonnee_st[SERVICE],"Non Trouvé")</f>
        <v>Frange</v>
      </c>
      <c r="M1849" s="35" t="str">
        <f>INDEX(_xlfn.TEXTSPLIT(mvtst[[#This Row],[QR Suivis]],"_"),1,2)</f>
        <v>CL00884</v>
      </c>
      <c r="N1849" s="35" t="str">
        <f>INDEX(_xlfn.TEXTSPLIT(mvtst[[#This Row],[QR Suivis]],"_"),1,3)</f>
        <v>CM-FT0119</v>
      </c>
      <c r="O1849" s="35" t="str">
        <f>INDEX(_xlfn.TEXTSPLIT(mvtst[[#This Row],[QR Suivis]],"_"),1,4)</f>
        <v>IB1020-B24-01</v>
      </c>
      <c r="P1849" s="35" t="str">
        <f>INDEX(_xlfn.TEXTSPLIT(mvtst[[#This Row],[QR Suivis]],"_"),1,5)</f>
        <v>IBIZA</v>
      </c>
      <c r="Q1849" s="35" t="str">
        <f>_xlfn.TEXTAFTER(mvtst[[#This Row],[QR Suivis]],"_",5)</f>
        <v>1020</v>
      </c>
      <c r="R1849" s="84" t="str">
        <f>IF(
   COUNTIFS($A$2:A1849,A1849,
             $B$2:B1849,B1849,
             $C$2:C1849,C1849,
             $D$2:D1849,D1849,
             $G$2:G1849,G1849)&gt;1,
   "Doublon",
   "Correcte"
)</f>
        <v>Correcte</v>
      </c>
    </row>
    <row r="1850" spans="1:18" x14ac:dyDescent="0.25">
      <c r="A1850" s="104" t="s">
        <v>2000</v>
      </c>
      <c r="B1850" s="35" t="s">
        <v>596</v>
      </c>
      <c r="C1850" s="36">
        <v>0</v>
      </c>
      <c r="D1850" s="36">
        <v>5</v>
      </c>
      <c r="E1850" s="35" t="s">
        <v>699</v>
      </c>
      <c r="F1850" s="35" t="s">
        <v>634</v>
      </c>
      <c r="G1850" s="37">
        <v>45943.592152777775</v>
      </c>
      <c r="H1850" s="37" t="str">
        <f>INDEX(_xlfn.TEXTSPLIT(mvtst[[#This Row],[QR Suivis]],"_"),1,1)</f>
        <v>OF249782-34</v>
      </c>
      <c r="I1850" s="35" t="str">
        <f>_xlfn.TEXTBEFORE(mvtst[[#This Row],[Num Suivis]],"-",,,1)</f>
        <v>OF249782</v>
      </c>
      <c r="J1850" s="36">
        <f>SUMIF(mvtst[QR Suivis],mvtst[[#This Row],[QR Suivis]],mvtst[QTE SORTIS])-SUMIF(mvtst[QR Suivis],mvtst[[#This Row],[QR Suivis]],mvtst[QTE RETOUR])</f>
        <v>0</v>
      </c>
      <c r="K1850" s="35" t="str">
        <f t="shared" si="32"/>
        <v>Usine</v>
      </c>
      <c r="L1850" s="35" t="str">
        <f>_xlfn.XLOOKUP(mvtst[[#This Row],[Sous Traitant]],coordonnee_st[Identification],coordonnee_st[SERVICE],"Non Trouvé")</f>
        <v>Frange</v>
      </c>
      <c r="M1850" s="35" t="str">
        <f>INDEX(_xlfn.TEXTSPLIT(mvtst[[#This Row],[QR Suivis]],"_"),1,2)</f>
        <v>CL00884</v>
      </c>
      <c r="N1850" s="35" t="str">
        <f>INDEX(_xlfn.TEXTSPLIT(mvtst[[#This Row],[QR Suivis]],"_"),1,3)</f>
        <v>CM-FT0119</v>
      </c>
      <c r="O1850" s="35" t="str">
        <f>INDEX(_xlfn.TEXTSPLIT(mvtst[[#This Row],[QR Suivis]],"_"),1,4)</f>
        <v>IB1020-B24-01</v>
      </c>
      <c r="P1850" s="35" t="str">
        <f>INDEX(_xlfn.TEXTSPLIT(mvtst[[#This Row],[QR Suivis]],"_"),1,5)</f>
        <v>IBIZA</v>
      </c>
      <c r="Q1850" s="35" t="str">
        <f>_xlfn.TEXTAFTER(mvtst[[#This Row],[QR Suivis]],"_",5)</f>
        <v>1020</v>
      </c>
      <c r="R1850" s="84" t="str">
        <f>IF(
   COUNTIFS($A$2:A1850,A1850,
             $B$2:B1850,B1850,
             $C$2:C1850,C1850,
             $D$2:D1850,D1850,
             $G$2:G1850,G1850)&gt;1,
   "Doublon",
   "Correcte"
)</f>
        <v>Correcte</v>
      </c>
    </row>
    <row r="1851" spans="1:18" x14ac:dyDescent="0.25">
      <c r="A1851" s="104" t="s">
        <v>2017</v>
      </c>
      <c r="B1851" s="35" t="s">
        <v>596</v>
      </c>
      <c r="C1851" s="36">
        <v>0</v>
      </c>
      <c r="D1851" s="36">
        <v>5</v>
      </c>
      <c r="E1851" s="35" t="s">
        <v>699</v>
      </c>
      <c r="F1851" s="35" t="s">
        <v>634</v>
      </c>
      <c r="G1851" s="37">
        <v>45943.59233796296</v>
      </c>
      <c r="H1851" s="37" t="str">
        <f>INDEX(_xlfn.TEXTSPLIT(mvtst[[#This Row],[QR Suivis]],"_"),1,1)</f>
        <v>OF249782-9</v>
      </c>
      <c r="I1851" s="35" t="str">
        <f>_xlfn.TEXTBEFORE(mvtst[[#This Row],[Num Suivis]],"-",,,1)</f>
        <v>OF249782</v>
      </c>
      <c r="J1851" s="36">
        <f>SUMIF(mvtst[QR Suivis],mvtst[[#This Row],[QR Suivis]],mvtst[QTE SORTIS])-SUMIF(mvtst[QR Suivis],mvtst[[#This Row],[QR Suivis]],mvtst[QTE RETOUR])</f>
        <v>0</v>
      </c>
      <c r="K1851" s="35" t="str">
        <f t="shared" si="32"/>
        <v>Usine</v>
      </c>
      <c r="L1851" s="35" t="str">
        <f>_xlfn.XLOOKUP(mvtst[[#This Row],[Sous Traitant]],coordonnee_st[Identification],coordonnee_st[SERVICE],"Non Trouvé")</f>
        <v>Frange</v>
      </c>
      <c r="M1851" s="35" t="str">
        <f>INDEX(_xlfn.TEXTSPLIT(mvtst[[#This Row],[QR Suivis]],"_"),1,2)</f>
        <v>CL00884</v>
      </c>
      <c r="N1851" s="35" t="str">
        <f>INDEX(_xlfn.TEXTSPLIT(mvtst[[#This Row],[QR Suivis]],"_"),1,3)</f>
        <v>CM-FT0119</v>
      </c>
      <c r="O1851" s="35" t="str">
        <f>INDEX(_xlfn.TEXTSPLIT(mvtst[[#This Row],[QR Suivis]],"_"),1,4)</f>
        <v>IB1020-B24-01</v>
      </c>
      <c r="P1851" s="35" t="str">
        <f>INDEX(_xlfn.TEXTSPLIT(mvtst[[#This Row],[QR Suivis]],"_"),1,5)</f>
        <v>IBIZA</v>
      </c>
      <c r="Q1851" s="35" t="str">
        <f>_xlfn.TEXTAFTER(mvtst[[#This Row],[QR Suivis]],"_",5)</f>
        <v>1020</v>
      </c>
      <c r="R1851" s="84" t="str">
        <f>IF(
   COUNTIFS($A$2:A1851,A1851,
             $B$2:B1851,B1851,
             $C$2:C1851,C1851,
             $D$2:D1851,D1851,
             $G$2:G1851,G1851)&gt;1,
   "Doublon",
   "Correcte"
)</f>
        <v>Correcte</v>
      </c>
    </row>
    <row r="1852" spans="1:18" x14ac:dyDescent="0.25">
      <c r="A1852" s="104" t="s">
        <v>1963</v>
      </c>
      <c r="B1852" s="35" t="s">
        <v>596</v>
      </c>
      <c r="C1852" s="36">
        <v>0</v>
      </c>
      <c r="D1852" s="36">
        <v>5</v>
      </c>
      <c r="E1852" s="35" t="s">
        <v>699</v>
      </c>
      <c r="F1852" s="35" t="s">
        <v>634</v>
      </c>
      <c r="G1852" s="37">
        <v>45943.592881944445</v>
      </c>
      <c r="H1852" s="37" t="str">
        <f>INDEX(_xlfn.TEXTSPLIT(mvtst[[#This Row],[QR Suivis]],"_"),1,1)</f>
        <v>OF249782-48</v>
      </c>
      <c r="I1852" s="35" t="str">
        <f>_xlfn.TEXTBEFORE(mvtst[[#This Row],[Num Suivis]],"-",,,1)</f>
        <v>OF249782</v>
      </c>
      <c r="J1852" s="36">
        <f>SUMIF(mvtst[QR Suivis],mvtst[[#This Row],[QR Suivis]],mvtst[QTE SORTIS])-SUMIF(mvtst[QR Suivis],mvtst[[#This Row],[QR Suivis]],mvtst[QTE RETOUR])</f>
        <v>0</v>
      </c>
      <c r="K1852" s="35" t="str">
        <f t="shared" si="32"/>
        <v>Usine</v>
      </c>
      <c r="L1852" s="35" t="str">
        <f>_xlfn.XLOOKUP(mvtst[[#This Row],[Sous Traitant]],coordonnee_st[Identification],coordonnee_st[SERVICE],"Non Trouvé")</f>
        <v>Frange</v>
      </c>
      <c r="M1852" s="35" t="str">
        <f>INDEX(_xlfn.TEXTSPLIT(mvtst[[#This Row],[QR Suivis]],"_"),1,2)</f>
        <v>CL00884</v>
      </c>
      <c r="N1852" s="35" t="str">
        <f>INDEX(_xlfn.TEXTSPLIT(mvtst[[#This Row],[QR Suivis]],"_"),1,3)</f>
        <v>CM-FT0119</v>
      </c>
      <c r="O1852" s="35" t="str">
        <f>INDEX(_xlfn.TEXTSPLIT(mvtst[[#This Row],[QR Suivis]],"_"),1,4)</f>
        <v>IB1020-B24-01</v>
      </c>
      <c r="P1852" s="35" t="str">
        <f>INDEX(_xlfn.TEXTSPLIT(mvtst[[#This Row],[QR Suivis]],"_"),1,5)</f>
        <v>IBIZA</v>
      </c>
      <c r="Q1852" s="35" t="str">
        <f>_xlfn.TEXTAFTER(mvtst[[#This Row],[QR Suivis]],"_",5)</f>
        <v>1020</v>
      </c>
      <c r="R1852" s="84" t="str">
        <f>IF(
   COUNTIFS($A$2:A1852,A1852,
             $B$2:B1852,B1852,
             $C$2:C1852,C1852,
             $D$2:D1852,D1852,
             $G$2:G1852,G1852)&gt;1,
   "Doublon",
   "Correcte"
)</f>
        <v>Correcte</v>
      </c>
    </row>
    <row r="1853" spans="1:18" x14ac:dyDescent="0.25">
      <c r="A1853" s="104" t="s">
        <v>1997</v>
      </c>
      <c r="B1853" s="35" t="s">
        <v>596</v>
      </c>
      <c r="C1853" s="36">
        <v>0</v>
      </c>
      <c r="D1853" s="36">
        <v>5</v>
      </c>
      <c r="E1853" s="35" t="s">
        <v>699</v>
      </c>
      <c r="F1853" s="35" t="s">
        <v>634</v>
      </c>
      <c r="G1853" s="37">
        <v>45943.593333333331</v>
      </c>
      <c r="H1853" s="37" t="str">
        <f>INDEX(_xlfn.TEXTSPLIT(mvtst[[#This Row],[QR Suivis]],"_"),1,1)</f>
        <v>OF249782-60</v>
      </c>
      <c r="I1853" s="35" t="str">
        <f>_xlfn.TEXTBEFORE(mvtst[[#This Row],[Num Suivis]],"-",,,1)</f>
        <v>OF249782</v>
      </c>
      <c r="J1853" s="36">
        <f>SUMIF(mvtst[QR Suivis],mvtst[[#This Row],[QR Suivis]],mvtst[QTE SORTIS])-SUMIF(mvtst[QR Suivis],mvtst[[#This Row],[QR Suivis]],mvtst[QTE RETOUR])</f>
        <v>0</v>
      </c>
      <c r="K1853" s="35" t="str">
        <f t="shared" si="32"/>
        <v>Usine</v>
      </c>
      <c r="L1853" s="35" t="str">
        <f>_xlfn.XLOOKUP(mvtst[[#This Row],[Sous Traitant]],coordonnee_st[Identification],coordonnee_st[SERVICE],"Non Trouvé")</f>
        <v>Frange</v>
      </c>
      <c r="M1853" s="35" t="str">
        <f>INDEX(_xlfn.TEXTSPLIT(mvtst[[#This Row],[QR Suivis]],"_"),1,2)</f>
        <v>CL00884</v>
      </c>
      <c r="N1853" s="35" t="str">
        <f>INDEX(_xlfn.TEXTSPLIT(mvtst[[#This Row],[QR Suivis]],"_"),1,3)</f>
        <v>CM-FT0119</v>
      </c>
      <c r="O1853" s="35" t="str">
        <f>INDEX(_xlfn.TEXTSPLIT(mvtst[[#This Row],[QR Suivis]],"_"),1,4)</f>
        <v>IB1020-B24-01</v>
      </c>
      <c r="P1853" s="35" t="str">
        <f>INDEX(_xlfn.TEXTSPLIT(mvtst[[#This Row],[QR Suivis]],"_"),1,5)</f>
        <v>IBIZA</v>
      </c>
      <c r="Q1853" s="35" t="str">
        <f>_xlfn.TEXTAFTER(mvtst[[#This Row],[QR Suivis]],"_",5)</f>
        <v>1020</v>
      </c>
      <c r="R1853" s="84" t="str">
        <f>IF(
   COUNTIFS($A$2:A1853,A1853,
             $B$2:B1853,B1853,
             $C$2:C1853,C1853,
             $D$2:D1853,D1853,
             $G$2:G1853,G1853)&gt;1,
   "Doublon",
   "Correcte"
)</f>
        <v>Correcte</v>
      </c>
    </row>
    <row r="1854" spans="1:18" x14ac:dyDescent="0.25">
      <c r="A1854" s="104" t="s">
        <v>2018</v>
      </c>
      <c r="B1854" s="35" t="s">
        <v>596</v>
      </c>
      <c r="C1854" s="36">
        <v>0</v>
      </c>
      <c r="D1854" s="36">
        <v>5</v>
      </c>
      <c r="E1854" s="35" t="s">
        <v>699</v>
      </c>
      <c r="F1854" s="35" t="s">
        <v>634</v>
      </c>
      <c r="G1854" s="37">
        <v>45943.593506944446</v>
      </c>
      <c r="H1854" s="37" t="str">
        <f>INDEX(_xlfn.TEXTSPLIT(mvtst[[#This Row],[QR Suivis]],"_"),1,1)</f>
        <v>OF249782-19</v>
      </c>
      <c r="I1854" s="35" t="str">
        <f>_xlfn.TEXTBEFORE(mvtst[[#This Row],[Num Suivis]],"-",,,1)</f>
        <v>OF249782</v>
      </c>
      <c r="J1854" s="36">
        <f>SUMIF(mvtst[QR Suivis],mvtst[[#This Row],[QR Suivis]],mvtst[QTE SORTIS])-SUMIF(mvtst[QR Suivis],mvtst[[#This Row],[QR Suivis]],mvtst[QTE RETOUR])</f>
        <v>0</v>
      </c>
      <c r="K1854" s="35" t="str">
        <f t="shared" si="32"/>
        <v>Usine</v>
      </c>
      <c r="L1854" s="35" t="str">
        <f>_xlfn.XLOOKUP(mvtst[[#This Row],[Sous Traitant]],coordonnee_st[Identification],coordonnee_st[SERVICE],"Non Trouvé")</f>
        <v>Frange</v>
      </c>
      <c r="M1854" s="35" t="str">
        <f>INDEX(_xlfn.TEXTSPLIT(mvtst[[#This Row],[QR Suivis]],"_"),1,2)</f>
        <v>CL00884</v>
      </c>
      <c r="N1854" s="35" t="str">
        <f>INDEX(_xlfn.TEXTSPLIT(mvtst[[#This Row],[QR Suivis]],"_"),1,3)</f>
        <v>CM-FT0119</v>
      </c>
      <c r="O1854" s="35" t="str">
        <f>INDEX(_xlfn.TEXTSPLIT(mvtst[[#This Row],[QR Suivis]],"_"),1,4)</f>
        <v>IB1020-B24-01</v>
      </c>
      <c r="P1854" s="35" t="str">
        <f>INDEX(_xlfn.TEXTSPLIT(mvtst[[#This Row],[QR Suivis]],"_"),1,5)</f>
        <v>IBIZA</v>
      </c>
      <c r="Q1854" s="35" t="str">
        <f>_xlfn.TEXTAFTER(mvtst[[#This Row],[QR Suivis]],"_",5)</f>
        <v>1020</v>
      </c>
      <c r="R1854" s="84" t="str">
        <f>IF(
   COUNTIFS($A$2:A1854,A1854,
             $B$2:B1854,B1854,
             $C$2:C1854,C1854,
             $D$2:D1854,D1854,
             $G$2:G1854,G1854)&gt;1,
   "Doublon",
   "Correcte"
)</f>
        <v>Correcte</v>
      </c>
    </row>
    <row r="1855" spans="1:18" x14ac:dyDescent="0.25">
      <c r="A1855" s="104" t="s">
        <v>2022</v>
      </c>
      <c r="B1855" s="35" t="s">
        <v>596</v>
      </c>
      <c r="C1855" s="36">
        <v>0</v>
      </c>
      <c r="D1855" s="36">
        <v>5</v>
      </c>
      <c r="E1855" s="35" t="s">
        <v>699</v>
      </c>
      <c r="F1855" s="35" t="s">
        <v>634</v>
      </c>
      <c r="G1855" s="37">
        <v>45943.593692129631</v>
      </c>
      <c r="H1855" s="37" t="str">
        <f>INDEX(_xlfn.TEXTSPLIT(mvtst[[#This Row],[QR Suivis]],"_"),1,1)</f>
        <v>OF249782-13</v>
      </c>
      <c r="I1855" s="35" t="str">
        <f>_xlfn.TEXTBEFORE(mvtst[[#This Row],[Num Suivis]],"-",,,1)</f>
        <v>OF249782</v>
      </c>
      <c r="J1855" s="36">
        <f>SUMIF(mvtst[QR Suivis],mvtst[[#This Row],[QR Suivis]],mvtst[QTE SORTIS])-SUMIF(mvtst[QR Suivis],mvtst[[#This Row],[QR Suivis]],mvtst[QTE RETOUR])</f>
        <v>0</v>
      </c>
      <c r="K1855" s="35" t="str">
        <f t="shared" si="32"/>
        <v>Usine</v>
      </c>
      <c r="L1855" s="35" t="str">
        <f>_xlfn.XLOOKUP(mvtst[[#This Row],[Sous Traitant]],coordonnee_st[Identification],coordonnee_st[SERVICE],"Non Trouvé")</f>
        <v>Frange</v>
      </c>
      <c r="M1855" s="35" t="str">
        <f>INDEX(_xlfn.TEXTSPLIT(mvtst[[#This Row],[QR Suivis]],"_"),1,2)</f>
        <v>CL00884</v>
      </c>
      <c r="N1855" s="35" t="str">
        <f>INDEX(_xlfn.TEXTSPLIT(mvtst[[#This Row],[QR Suivis]],"_"),1,3)</f>
        <v>CM-FT0119</v>
      </c>
      <c r="O1855" s="35" t="str">
        <f>INDEX(_xlfn.TEXTSPLIT(mvtst[[#This Row],[QR Suivis]],"_"),1,4)</f>
        <v>IB1020-B24-01</v>
      </c>
      <c r="P1855" s="35" t="str">
        <f>INDEX(_xlfn.TEXTSPLIT(mvtst[[#This Row],[QR Suivis]],"_"),1,5)</f>
        <v>IBIZA</v>
      </c>
      <c r="Q1855" s="35" t="str">
        <f>_xlfn.TEXTAFTER(mvtst[[#This Row],[QR Suivis]],"_",5)</f>
        <v>1020</v>
      </c>
      <c r="R1855" s="84" t="str">
        <f>IF(
   COUNTIFS($A$2:A1855,A1855,
             $B$2:B1855,B1855,
             $C$2:C1855,C1855,
             $D$2:D1855,D1855,
             $G$2:G1855,G1855)&gt;1,
   "Doublon",
   "Correcte"
)</f>
        <v>Correcte</v>
      </c>
    </row>
    <row r="1856" spans="1:18" x14ac:dyDescent="0.25">
      <c r="A1856" s="104" t="s">
        <v>2005</v>
      </c>
      <c r="B1856" s="35" t="s">
        <v>596</v>
      </c>
      <c r="C1856" s="36">
        <v>0</v>
      </c>
      <c r="D1856" s="36">
        <v>5</v>
      </c>
      <c r="E1856" s="35" t="s">
        <v>699</v>
      </c>
      <c r="F1856" s="35" t="s">
        <v>634</v>
      </c>
      <c r="G1856" s="37">
        <v>45943.593969907408</v>
      </c>
      <c r="H1856" s="37" t="str">
        <f>INDEX(_xlfn.TEXTSPLIT(mvtst[[#This Row],[QR Suivis]],"_"),1,1)</f>
        <v>OF249782-17</v>
      </c>
      <c r="I1856" s="35" t="str">
        <f>_xlfn.TEXTBEFORE(mvtst[[#This Row],[Num Suivis]],"-",,,1)</f>
        <v>OF249782</v>
      </c>
      <c r="J1856" s="36">
        <f>SUMIF(mvtst[QR Suivis],mvtst[[#This Row],[QR Suivis]],mvtst[QTE SORTIS])-SUMIF(mvtst[QR Suivis],mvtst[[#This Row],[QR Suivis]],mvtst[QTE RETOUR])</f>
        <v>0</v>
      </c>
      <c r="K1856" s="35" t="str">
        <f t="shared" si="32"/>
        <v>Usine</v>
      </c>
      <c r="L1856" s="35" t="str">
        <f>_xlfn.XLOOKUP(mvtst[[#This Row],[Sous Traitant]],coordonnee_st[Identification],coordonnee_st[SERVICE],"Non Trouvé")</f>
        <v>Frange</v>
      </c>
      <c r="M1856" s="35" t="str">
        <f>INDEX(_xlfn.TEXTSPLIT(mvtst[[#This Row],[QR Suivis]],"_"),1,2)</f>
        <v>CL00884</v>
      </c>
      <c r="N1856" s="35" t="str">
        <f>INDEX(_xlfn.TEXTSPLIT(mvtst[[#This Row],[QR Suivis]],"_"),1,3)</f>
        <v>CM-FT0119</v>
      </c>
      <c r="O1856" s="35" t="str">
        <f>INDEX(_xlfn.TEXTSPLIT(mvtst[[#This Row],[QR Suivis]],"_"),1,4)</f>
        <v>IB1020-B24-01</v>
      </c>
      <c r="P1856" s="35" t="str">
        <f>INDEX(_xlfn.TEXTSPLIT(mvtst[[#This Row],[QR Suivis]],"_"),1,5)</f>
        <v>IBIZA</v>
      </c>
      <c r="Q1856" s="35" t="str">
        <f>_xlfn.TEXTAFTER(mvtst[[#This Row],[QR Suivis]],"_",5)</f>
        <v>1020</v>
      </c>
      <c r="R1856" s="84" t="str">
        <f>IF(
   COUNTIFS($A$2:A1856,A1856,
             $B$2:B1856,B1856,
             $C$2:C1856,C1856,
             $D$2:D1856,D1856,
             $G$2:G1856,G1856)&gt;1,
   "Doublon",
   "Correcte"
)</f>
        <v>Correcte</v>
      </c>
    </row>
    <row r="1857" spans="1:18" x14ac:dyDescent="0.25">
      <c r="A1857" s="104" t="s">
        <v>1947</v>
      </c>
      <c r="B1857" s="35" t="s">
        <v>596</v>
      </c>
      <c r="C1857" s="36">
        <v>0</v>
      </c>
      <c r="D1857" s="36">
        <v>5</v>
      </c>
      <c r="E1857" s="35" t="s">
        <v>699</v>
      </c>
      <c r="F1857" s="35" t="s">
        <v>634</v>
      </c>
      <c r="G1857" s="37">
        <v>45943.59412037037</v>
      </c>
      <c r="H1857" s="37" t="str">
        <f>INDEX(_xlfn.TEXTSPLIT(mvtst[[#This Row],[QR Suivis]],"_"),1,1)</f>
        <v>OF249782-4</v>
      </c>
      <c r="I1857" s="35" t="str">
        <f>_xlfn.TEXTBEFORE(mvtst[[#This Row],[Num Suivis]],"-",,,1)</f>
        <v>OF249782</v>
      </c>
      <c r="J1857" s="36">
        <f>SUMIF(mvtst[QR Suivis],mvtst[[#This Row],[QR Suivis]],mvtst[QTE SORTIS])-SUMIF(mvtst[QR Suivis],mvtst[[#This Row],[QR Suivis]],mvtst[QTE RETOUR])</f>
        <v>0</v>
      </c>
      <c r="K1857" s="35" t="str">
        <f t="shared" si="32"/>
        <v>Usine</v>
      </c>
      <c r="L1857" s="35" t="str">
        <f>_xlfn.XLOOKUP(mvtst[[#This Row],[Sous Traitant]],coordonnee_st[Identification],coordonnee_st[SERVICE],"Non Trouvé")</f>
        <v>Frange</v>
      </c>
      <c r="M1857" s="35" t="str">
        <f>INDEX(_xlfn.TEXTSPLIT(mvtst[[#This Row],[QR Suivis]],"_"),1,2)</f>
        <v>CL00884</v>
      </c>
      <c r="N1857" s="35" t="str">
        <f>INDEX(_xlfn.TEXTSPLIT(mvtst[[#This Row],[QR Suivis]],"_"),1,3)</f>
        <v>CM-FT0119</v>
      </c>
      <c r="O1857" s="35" t="str">
        <f>INDEX(_xlfn.TEXTSPLIT(mvtst[[#This Row],[QR Suivis]],"_"),1,4)</f>
        <v>IB1020-B24-01</v>
      </c>
      <c r="P1857" s="35" t="str">
        <f>INDEX(_xlfn.TEXTSPLIT(mvtst[[#This Row],[QR Suivis]],"_"),1,5)</f>
        <v>IBIZA</v>
      </c>
      <c r="Q1857" s="35" t="str">
        <f>_xlfn.TEXTAFTER(mvtst[[#This Row],[QR Suivis]],"_",5)</f>
        <v>1020</v>
      </c>
      <c r="R1857" s="84" t="str">
        <f>IF(
   COUNTIFS($A$2:A1857,A1857,
             $B$2:B1857,B1857,
             $C$2:C1857,C1857,
             $D$2:D1857,D1857,
             $G$2:G1857,G1857)&gt;1,
   "Doublon",
   "Correcte"
)</f>
        <v>Correcte</v>
      </c>
    </row>
    <row r="1858" spans="1:18" x14ac:dyDescent="0.25">
      <c r="A1858" s="104" t="s">
        <v>2009</v>
      </c>
      <c r="B1858" s="35" t="s">
        <v>596</v>
      </c>
      <c r="C1858" s="36">
        <v>0</v>
      </c>
      <c r="D1858" s="36">
        <v>5</v>
      </c>
      <c r="E1858" s="35" t="s">
        <v>699</v>
      </c>
      <c r="F1858" s="35" t="s">
        <v>634</v>
      </c>
      <c r="G1858" s="37">
        <v>45943.594270833331</v>
      </c>
      <c r="H1858" s="37" t="str">
        <f>INDEX(_xlfn.TEXTSPLIT(mvtst[[#This Row],[QR Suivis]],"_"),1,1)</f>
        <v>OF249782-22</v>
      </c>
      <c r="I1858" s="35" t="str">
        <f>_xlfn.TEXTBEFORE(mvtst[[#This Row],[Num Suivis]],"-",,,1)</f>
        <v>OF249782</v>
      </c>
      <c r="J1858" s="36">
        <f>SUMIF(mvtst[QR Suivis],mvtst[[#This Row],[QR Suivis]],mvtst[QTE SORTIS])-SUMIF(mvtst[QR Suivis],mvtst[[#This Row],[QR Suivis]],mvtst[QTE RETOUR])</f>
        <v>0</v>
      </c>
      <c r="K1858" s="35" t="str">
        <f t="shared" si="32"/>
        <v>Usine</v>
      </c>
      <c r="L1858" s="35" t="str">
        <f>_xlfn.XLOOKUP(mvtst[[#This Row],[Sous Traitant]],coordonnee_st[Identification],coordonnee_st[SERVICE],"Non Trouvé")</f>
        <v>Frange</v>
      </c>
      <c r="M1858" s="35" t="str">
        <f>INDEX(_xlfn.TEXTSPLIT(mvtst[[#This Row],[QR Suivis]],"_"),1,2)</f>
        <v>CL00884</v>
      </c>
      <c r="N1858" s="35" t="str">
        <f>INDEX(_xlfn.TEXTSPLIT(mvtst[[#This Row],[QR Suivis]],"_"),1,3)</f>
        <v>CM-FT0119</v>
      </c>
      <c r="O1858" s="35" t="str">
        <f>INDEX(_xlfn.TEXTSPLIT(mvtst[[#This Row],[QR Suivis]],"_"),1,4)</f>
        <v>IB1020-B24-01</v>
      </c>
      <c r="P1858" s="35" t="str">
        <f>INDEX(_xlfn.TEXTSPLIT(mvtst[[#This Row],[QR Suivis]],"_"),1,5)</f>
        <v>IBIZA</v>
      </c>
      <c r="Q1858" s="35" t="str">
        <f>_xlfn.TEXTAFTER(mvtst[[#This Row],[QR Suivis]],"_",5)</f>
        <v>1020</v>
      </c>
      <c r="R1858" s="84" t="str">
        <f>IF(
   COUNTIFS($A$2:A1858,A1858,
             $B$2:B1858,B1858,
             $C$2:C1858,C1858,
             $D$2:D1858,D1858,
             $G$2:G1858,G1858)&gt;1,
   "Doublon",
   "Correcte"
)</f>
        <v>Correcte</v>
      </c>
    </row>
    <row r="1859" spans="1:18" x14ac:dyDescent="0.25">
      <c r="A1859" s="104" t="s">
        <v>2026</v>
      </c>
      <c r="B1859" s="35" t="s">
        <v>596</v>
      </c>
      <c r="C1859" s="36">
        <v>0</v>
      </c>
      <c r="D1859" s="36">
        <v>5</v>
      </c>
      <c r="E1859" s="35" t="s">
        <v>699</v>
      </c>
      <c r="F1859" s="35" t="s">
        <v>634</v>
      </c>
      <c r="G1859" s="37">
        <v>45943.594456018516</v>
      </c>
      <c r="H1859" s="37" t="str">
        <f>INDEX(_xlfn.TEXTSPLIT(mvtst[[#This Row],[QR Suivis]],"_"),1,1)</f>
        <v>OF249782-18</v>
      </c>
      <c r="I1859" s="35" t="str">
        <f>_xlfn.TEXTBEFORE(mvtst[[#This Row],[Num Suivis]],"-",,,1)</f>
        <v>OF249782</v>
      </c>
      <c r="J1859" s="36">
        <f>SUMIF(mvtst[QR Suivis],mvtst[[#This Row],[QR Suivis]],mvtst[QTE SORTIS])-SUMIF(mvtst[QR Suivis],mvtst[[#This Row],[QR Suivis]],mvtst[QTE RETOUR])</f>
        <v>0</v>
      </c>
      <c r="K1859" s="35" t="str">
        <f t="shared" si="32"/>
        <v>Usine</v>
      </c>
      <c r="L1859" s="35" t="str">
        <f>_xlfn.XLOOKUP(mvtst[[#This Row],[Sous Traitant]],coordonnee_st[Identification],coordonnee_st[SERVICE],"Non Trouvé")</f>
        <v>Frange</v>
      </c>
      <c r="M1859" s="35" t="str">
        <f>INDEX(_xlfn.TEXTSPLIT(mvtst[[#This Row],[QR Suivis]],"_"),1,2)</f>
        <v>CL00884</v>
      </c>
      <c r="N1859" s="35" t="str">
        <f>INDEX(_xlfn.TEXTSPLIT(mvtst[[#This Row],[QR Suivis]],"_"),1,3)</f>
        <v>CM-FT0119</v>
      </c>
      <c r="O1859" s="35" t="str">
        <f>INDEX(_xlfn.TEXTSPLIT(mvtst[[#This Row],[QR Suivis]],"_"),1,4)</f>
        <v>IB1020-B24-01</v>
      </c>
      <c r="P1859" s="35" t="str">
        <f>INDEX(_xlfn.TEXTSPLIT(mvtst[[#This Row],[QR Suivis]],"_"),1,5)</f>
        <v>IBIZA</v>
      </c>
      <c r="Q1859" s="35" t="str">
        <f>_xlfn.TEXTAFTER(mvtst[[#This Row],[QR Suivis]],"_",5)</f>
        <v>1020</v>
      </c>
      <c r="R1859" s="84" t="str">
        <f>IF(
   COUNTIFS($A$2:A1859,A1859,
             $B$2:B1859,B1859,
             $C$2:C1859,C1859,
             $D$2:D1859,D1859,
             $G$2:G1859,G1859)&gt;1,
   "Doublon",
   "Correcte"
)</f>
        <v>Correcte</v>
      </c>
    </row>
    <row r="1860" spans="1:18" x14ac:dyDescent="0.25">
      <c r="A1860" s="104" t="s">
        <v>1992</v>
      </c>
      <c r="B1860" s="35" t="s">
        <v>596</v>
      </c>
      <c r="C1860" s="36">
        <v>0</v>
      </c>
      <c r="D1860" s="36">
        <v>5</v>
      </c>
      <c r="E1860" s="35" t="s">
        <v>699</v>
      </c>
      <c r="F1860" s="35" t="s">
        <v>634</v>
      </c>
      <c r="G1860" s="37">
        <v>45943.594768518517</v>
      </c>
      <c r="H1860" s="37" t="str">
        <f>INDEX(_xlfn.TEXTSPLIT(mvtst[[#This Row],[QR Suivis]],"_"),1,1)</f>
        <v>OF249782-51</v>
      </c>
      <c r="I1860" s="35" t="str">
        <f>_xlfn.TEXTBEFORE(mvtst[[#This Row],[Num Suivis]],"-",,,1)</f>
        <v>OF249782</v>
      </c>
      <c r="J1860" s="36">
        <f>SUMIF(mvtst[QR Suivis],mvtst[[#This Row],[QR Suivis]],mvtst[QTE SORTIS])-SUMIF(mvtst[QR Suivis],mvtst[[#This Row],[QR Suivis]],mvtst[QTE RETOUR])</f>
        <v>0</v>
      </c>
      <c r="K1860" s="35" t="str">
        <f t="shared" si="32"/>
        <v>Usine</v>
      </c>
      <c r="L1860" s="35" t="str">
        <f>_xlfn.XLOOKUP(mvtst[[#This Row],[Sous Traitant]],coordonnee_st[Identification],coordonnee_st[SERVICE],"Non Trouvé")</f>
        <v>Frange</v>
      </c>
      <c r="M1860" s="35" t="str">
        <f>INDEX(_xlfn.TEXTSPLIT(mvtst[[#This Row],[QR Suivis]],"_"),1,2)</f>
        <v>CL00884</v>
      </c>
      <c r="N1860" s="35" t="str">
        <f>INDEX(_xlfn.TEXTSPLIT(mvtst[[#This Row],[QR Suivis]],"_"),1,3)</f>
        <v>CM-FT0119</v>
      </c>
      <c r="O1860" s="35" t="str">
        <f>INDEX(_xlfn.TEXTSPLIT(mvtst[[#This Row],[QR Suivis]],"_"),1,4)</f>
        <v>IB1020-B24-01</v>
      </c>
      <c r="P1860" s="35" t="str">
        <f>INDEX(_xlfn.TEXTSPLIT(mvtst[[#This Row],[QR Suivis]],"_"),1,5)</f>
        <v>IBIZA</v>
      </c>
      <c r="Q1860" s="35" t="str">
        <f>_xlfn.TEXTAFTER(mvtst[[#This Row],[QR Suivis]],"_",5)</f>
        <v>1020</v>
      </c>
      <c r="R1860" s="84" t="str">
        <f>IF(
   COUNTIFS($A$2:A1860,A1860,
             $B$2:B1860,B1860,
             $C$2:C1860,C1860,
             $D$2:D1860,D1860,
             $G$2:G1860,G1860)&gt;1,
   "Doublon",
   "Correcte"
)</f>
        <v>Correcte</v>
      </c>
    </row>
    <row r="1861" spans="1:18" x14ac:dyDescent="0.25">
      <c r="A1861" s="104" t="s">
        <v>2020</v>
      </c>
      <c r="B1861" s="35" t="s">
        <v>596</v>
      </c>
      <c r="C1861" s="36">
        <v>0</v>
      </c>
      <c r="D1861" s="36">
        <v>5</v>
      </c>
      <c r="E1861" s="35" t="s">
        <v>699</v>
      </c>
      <c r="F1861" s="35" t="s">
        <v>634</v>
      </c>
      <c r="G1861" s="37">
        <v>45943.594930555555</v>
      </c>
      <c r="H1861" s="37" t="str">
        <f>INDEX(_xlfn.TEXTSPLIT(mvtst[[#This Row],[QR Suivis]],"_"),1,1)</f>
        <v>OF249782-38</v>
      </c>
      <c r="I1861" s="35" t="str">
        <f>_xlfn.TEXTBEFORE(mvtst[[#This Row],[Num Suivis]],"-",,,1)</f>
        <v>OF249782</v>
      </c>
      <c r="J1861" s="36">
        <f>SUMIF(mvtst[QR Suivis],mvtst[[#This Row],[QR Suivis]],mvtst[QTE SORTIS])-SUMIF(mvtst[QR Suivis],mvtst[[#This Row],[QR Suivis]],mvtst[QTE RETOUR])</f>
        <v>0</v>
      </c>
      <c r="K1861" s="35" t="str">
        <f t="shared" si="32"/>
        <v>Usine</v>
      </c>
      <c r="L1861" s="35" t="str">
        <f>_xlfn.XLOOKUP(mvtst[[#This Row],[Sous Traitant]],coordonnee_st[Identification],coordonnee_st[SERVICE],"Non Trouvé")</f>
        <v>Frange</v>
      </c>
      <c r="M1861" s="35" t="str">
        <f>INDEX(_xlfn.TEXTSPLIT(mvtst[[#This Row],[QR Suivis]],"_"),1,2)</f>
        <v>CL00884</v>
      </c>
      <c r="N1861" s="35" t="str">
        <f>INDEX(_xlfn.TEXTSPLIT(mvtst[[#This Row],[QR Suivis]],"_"),1,3)</f>
        <v>CM-FT0119</v>
      </c>
      <c r="O1861" s="35" t="str">
        <f>INDEX(_xlfn.TEXTSPLIT(mvtst[[#This Row],[QR Suivis]],"_"),1,4)</f>
        <v>IB1020-B24-01</v>
      </c>
      <c r="P1861" s="35" t="str">
        <f>INDEX(_xlfn.TEXTSPLIT(mvtst[[#This Row],[QR Suivis]],"_"),1,5)</f>
        <v>IBIZA</v>
      </c>
      <c r="Q1861" s="35" t="str">
        <f>_xlfn.TEXTAFTER(mvtst[[#This Row],[QR Suivis]],"_",5)</f>
        <v>1020</v>
      </c>
      <c r="R1861" s="84" t="str">
        <f>IF(
   COUNTIFS($A$2:A1861,A1861,
             $B$2:B1861,B1861,
             $C$2:C1861,C1861,
             $D$2:D1861,D1861,
             $G$2:G1861,G1861)&gt;1,
   "Doublon",
   "Correcte"
)</f>
        <v>Correcte</v>
      </c>
    </row>
    <row r="1862" spans="1:18" x14ac:dyDescent="0.25">
      <c r="A1862" s="104" t="s">
        <v>1953</v>
      </c>
      <c r="B1862" s="35" t="s">
        <v>596</v>
      </c>
      <c r="C1862" s="36">
        <v>0</v>
      </c>
      <c r="D1862" s="36">
        <v>5</v>
      </c>
      <c r="E1862" s="35" t="s">
        <v>699</v>
      </c>
      <c r="F1862" s="35" t="s">
        <v>634</v>
      </c>
      <c r="G1862" s="37">
        <v>45943.595069444447</v>
      </c>
      <c r="H1862" s="37" t="str">
        <f>INDEX(_xlfn.TEXTSPLIT(mvtst[[#This Row],[QR Suivis]],"_"),1,1)</f>
        <v>OF249782-2</v>
      </c>
      <c r="I1862" s="35" t="str">
        <f>_xlfn.TEXTBEFORE(mvtst[[#This Row],[Num Suivis]],"-",,,1)</f>
        <v>OF249782</v>
      </c>
      <c r="J1862" s="36">
        <f>SUMIF(mvtst[QR Suivis],mvtst[[#This Row],[QR Suivis]],mvtst[QTE SORTIS])-SUMIF(mvtst[QR Suivis],mvtst[[#This Row],[QR Suivis]],mvtst[QTE RETOUR])</f>
        <v>0</v>
      </c>
      <c r="K1862" s="35" t="str">
        <f t="shared" si="32"/>
        <v>Usine</v>
      </c>
      <c r="L1862" s="35" t="str">
        <f>_xlfn.XLOOKUP(mvtst[[#This Row],[Sous Traitant]],coordonnee_st[Identification],coordonnee_st[SERVICE],"Non Trouvé")</f>
        <v>Frange</v>
      </c>
      <c r="M1862" s="35" t="str">
        <f>INDEX(_xlfn.TEXTSPLIT(mvtst[[#This Row],[QR Suivis]],"_"),1,2)</f>
        <v>CL00884</v>
      </c>
      <c r="N1862" s="35" t="str">
        <f>INDEX(_xlfn.TEXTSPLIT(mvtst[[#This Row],[QR Suivis]],"_"),1,3)</f>
        <v>CM-FT0119</v>
      </c>
      <c r="O1862" s="35" t="str">
        <f>INDEX(_xlfn.TEXTSPLIT(mvtst[[#This Row],[QR Suivis]],"_"),1,4)</f>
        <v>IB1020-B24-01</v>
      </c>
      <c r="P1862" s="35" t="str">
        <f>INDEX(_xlfn.TEXTSPLIT(mvtst[[#This Row],[QR Suivis]],"_"),1,5)</f>
        <v>IBIZA</v>
      </c>
      <c r="Q1862" s="35" t="str">
        <f>_xlfn.TEXTAFTER(mvtst[[#This Row],[QR Suivis]],"_",5)</f>
        <v>1020</v>
      </c>
      <c r="R1862" s="84" t="str">
        <f>IF(
   COUNTIFS($A$2:A1862,A1862,
             $B$2:B1862,B1862,
             $C$2:C1862,C1862,
             $D$2:D1862,D1862,
             $G$2:G1862,G1862)&gt;1,
   "Doublon",
   "Correcte"
)</f>
        <v>Correcte</v>
      </c>
    </row>
    <row r="1863" spans="1:18" x14ac:dyDescent="0.25">
      <c r="A1863" s="104" t="s">
        <v>1956</v>
      </c>
      <c r="B1863" s="35" t="s">
        <v>596</v>
      </c>
      <c r="C1863" s="36">
        <v>0</v>
      </c>
      <c r="D1863" s="36">
        <v>5</v>
      </c>
      <c r="E1863" s="35" t="s">
        <v>699</v>
      </c>
      <c r="F1863" s="35" t="s">
        <v>634</v>
      </c>
      <c r="G1863" s="37">
        <v>45943.595416666663</v>
      </c>
      <c r="H1863" s="37" t="str">
        <f>INDEX(_xlfn.TEXTSPLIT(mvtst[[#This Row],[QR Suivis]],"_"),1,1)</f>
        <v>OF249782-45</v>
      </c>
      <c r="I1863" s="35" t="str">
        <f>_xlfn.TEXTBEFORE(mvtst[[#This Row],[Num Suivis]],"-",,,1)</f>
        <v>OF249782</v>
      </c>
      <c r="J1863" s="36">
        <f>SUMIF(mvtst[QR Suivis],mvtst[[#This Row],[QR Suivis]],mvtst[QTE SORTIS])-SUMIF(mvtst[QR Suivis],mvtst[[#This Row],[QR Suivis]],mvtst[QTE RETOUR])</f>
        <v>0</v>
      </c>
      <c r="K1863" s="35" t="str">
        <f t="shared" si="32"/>
        <v>Usine</v>
      </c>
      <c r="L1863" s="35" t="str">
        <f>_xlfn.XLOOKUP(mvtst[[#This Row],[Sous Traitant]],coordonnee_st[Identification],coordonnee_st[SERVICE],"Non Trouvé")</f>
        <v>Frange</v>
      </c>
      <c r="M1863" s="35" t="str">
        <f>INDEX(_xlfn.TEXTSPLIT(mvtst[[#This Row],[QR Suivis]],"_"),1,2)</f>
        <v>CL00884</v>
      </c>
      <c r="N1863" s="35" t="str">
        <f>INDEX(_xlfn.TEXTSPLIT(mvtst[[#This Row],[QR Suivis]],"_"),1,3)</f>
        <v>CM-FT0119</v>
      </c>
      <c r="O1863" s="35" t="str">
        <f>INDEX(_xlfn.TEXTSPLIT(mvtst[[#This Row],[QR Suivis]],"_"),1,4)</f>
        <v>IB1020-B24-01</v>
      </c>
      <c r="P1863" s="35" t="str">
        <f>INDEX(_xlfn.TEXTSPLIT(mvtst[[#This Row],[QR Suivis]],"_"),1,5)</f>
        <v>IBIZA</v>
      </c>
      <c r="Q1863" s="35" t="str">
        <f>_xlfn.TEXTAFTER(mvtst[[#This Row],[QR Suivis]],"_",5)</f>
        <v>1020</v>
      </c>
      <c r="R1863" s="84" t="str">
        <f>IF(
   COUNTIFS($A$2:A1863,A1863,
             $B$2:B1863,B1863,
             $C$2:C1863,C1863,
             $D$2:D1863,D1863,
             $G$2:G1863,G1863)&gt;1,
   "Doublon",
   "Correcte"
)</f>
        <v>Correcte</v>
      </c>
    </row>
    <row r="1864" spans="1:18" x14ac:dyDescent="0.25">
      <c r="A1864" s="104" t="s">
        <v>1949</v>
      </c>
      <c r="B1864" s="35" t="s">
        <v>596</v>
      </c>
      <c r="C1864" s="36">
        <v>0</v>
      </c>
      <c r="D1864" s="36">
        <v>5</v>
      </c>
      <c r="E1864" s="35" t="s">
        <v>699</v>
      </c>
      <c r="F1864" s="35" t="s">
        <v>634</v>
      </c>
      <c r="G1864" s="37">
        <v>45943.595567129632</v>
      </c>
      <c r="H1864" s="37" t="str">
        <f>INDEX(_xlfn.TEXTSPLIT(mvtst[[#This Row],[QR Suivis]],"_"),1,1)</f>
        <v>OF249782-64</v>
      </c>
      <c r="I1864" s="35" t="str">
        <f>_xlfn.TEXTBEFORE(mvtst[[#This Row],[Num Suivis]],"-",,,1)</f>
        <v>OF249782</v>
      </c>
      <c r="J1864" s="36">
        <f>SUMIF(mvtst[QR Suivis],mvtst[[#This Row],[QR Suivis]],mvtst[QTE SORTIS])-SUMIF(mvtst[QR Suivis],mvtst[[#This Row],[QR Suivis]],mvtst[QTE RETOUR])</f>
        <v>0</v>
      </c>
      <c r="K1864" s="35" t="str">
        <f t="shared" si="32"/>
        <v>Usine</v>
      </c>
      <c r="L1864" s="35" t="str">
        <f>_xlfn.XLOOKUP(mvtst[[#This Row],[Sous Traitant]],coordonnee_st[Identification],coordonnee_st[SERVICE],"Non Trouvé")</f>
        <v>Frange</v>
      </c>
      <c r="M1864" s="35" t="str">
        <f>INDEX(_xlfn.TEXTSPLIT(mvtst[[#This Row],[QR Suivis]],"_"),1,2)</f>
        <v>CL00884</v>
      </c>
      <c r="N1864" s="35" t="str">
        <f>INDEX(_xlfn.TEXTSPLIT(mvtst[[#This Row],[QR Suivis]],"_"),1,3)</f>
        <v>CM-FT0119</v>
      </c>
      <c r="O1864" s="35" t="str">
        <f>INDEX(_xlfn.TEXTSPLIT(mvtst[[#This Row],[QR Suivis]],"_"),1,4)</f>
        <v>IB1020-B24-01</v>
      </c>
      <c r="P1864" s="35" t="str">
        <f>INDEX(_xlfn.TEXTSPLIT(mvtst[[#This Row],[QR Suivis]],"_"),1,5)</f>
        <v>IBIZA</v>
      </c>
      <c r="Q1864" s="35" t="str">
        <f>_xlfn.TEXTAFTER(mvtst[[#This Row],[QR Suivis]],"_",5)</f>
        <v>1020</v>
      </c>
      <c r="R1864" s="84" t="str">
        <f>IF(
   COUNTIFS($A$2:A1864,A1864,
             $B$2:B1864,B1864,
             $C$2:C1864,C1864,
             $D$2:D1864,D1864,
             $G$2:G1864,G1864)&gt;1,
   "Doublon",
   "Correcte"
)</f>
        <v>Correcte</v>
      </c>
    </row>
    <row r="1865" spans="1:18" x14ac:dyDescent="0.25">
      <c r="A1865" s="104" t="s">
        <v>1957</v>
      </c>
      <c r="B1865" s="35" t="s">
        <v>596</v>
      </c>
      <c r="C1865" s="36">
        <v>0</v>
      </c>
      <c r="D1865" s="36">
        <v>5</v>
      </c>
      <c r="E1865" s="35" t="s">
        <v>699</v>
      </c>
      <c r="F1865" s="35" t="s">
        <v>634</v>
      </c>
      <c r="G1865" s="37">
        <v>45943.595972222225</v>
      </c>
      <c r="H1865" s="37" t="str">
        <f>INDEX(_xlfn.TEXTSPLIT(mvtst[[#This Row],[QR Suivis]],"_"),1,1)</f>
        <v>OF249782-46</v>
      </c>
      <c r="I1865" s="35" t="str">
        <f>_xlfn.TEXTBEFORE(mvtst[[#This Row],[Num Suivis]],"-",,,1)</f>
        <v>OF249782</v>
      </c>
      <c r="J1865" s="36">
        <f>SUMIF(mvtst[QR Suivis],mvtst[[#This Row],[QR Suivis]],mvtst[QTE SORTIS])-SUMIF(mvtst[QR Suivis],mvtst[[#This Row],[QR Suivis]],mvtst[QTE RETOUR])</f>
        <v>0</v>
      </c>
      <c r="K1865" s="35" t="str">
        <f t="shared" si="32"/>
        <v>Usine</v>
      </c>
      <c r="L1865" s="35" t="str">
        <f>_xlfn.XLOOKUP(mvtst[[#This Row],[Sous Traitant]],coordonnee_st[Identification],coordonnee_st[SERVICE],"Non Trouvé")</f>
        <v>Frange</v>
      </c>
      <c r="M1865" s="35" t="str">
        <f>INDEX(_xlfn.TEXTSPLIT(mvtst[[#This Row],[QR Suivis]],"_"),1,2)</f>
        <v>CL00884</v>
      </c>
      <c r="N1865" s="35" t="str">
        <f>INDEX(_xlfn.TEXTSPLIT(mvtst[[#This Row],[QR Suivis]],"_"),1,3)</f>
        <v>CM-FT0119</v>
      </c>
      <c r="O1865" s="35" t="str">
        <f>INDEX(_xlfn.TEXTSPLIT(mvtst[[#This Row],[QR Suivis]],"_"),1,4)</f>
        <v>IB1020-B24-01</v>
      </c>
      <c r="P1865" s="35" t="str">
        <f>INDEX(_xlfn.TEXTSPLIT(mvtst[[#This Row],[QR Suivis]],"_"),1,5)</f>
        <v>IBIZA</v>
      </c>
      <c r="Q1865" s="35" t="str">
        <f>_xlfn.TEXTAFTER(mvtst[[#This Row],[QR Suivis]],"_",5)</f>
        <v>1020</v>
      </c>
      <c r="R1865" s="84" t="str">
        <f>IF(
   COUNTIFS($A$2:A1865,A1865,
             $B$2:B1865,B1865,
             $C$2:C1865,C1865,
             $D$2:D1865,D1865,
             $G$2:G1865,G1865)&gt;1,
   "Doublon",
   "Correcte"
)</f>
        <v>Correcte</v>
      </c>
    </row>
    <row r="1866" spans="1:18" x14ac:dyDescent="0.25">
      <c r="A1866" s="104" t="s">
        <v>1945</v>
      </c>
      <c r="B1866" s="35" t="s">
        <v>596</v>
      </c>
      <c r="C1866" s="36">
        <v>0</v>
      </c>
      <c r="D1866" s="36">
        <v>5</v>
      </c>
      <c r="E1866" s="35" t="s">
        <v>699</v>
      </c>
      <c r="F1866" s="35" t="s">
        <v>634</v>
      </c>
      <c r="G1866" s="37">
        <v>45943.596145833333</v>
      </c>
      <c r="H1866" s="37" t="str">
        <f>INDEX(_xlfn.TEXTSPLIT(mvtst[[#This Row],[QR Suivis]],"_"),1,1)</f>
        <v>OF249782-5</v>
      </c>
      <c r="I1866" s="35" t="str">
        <f>_xlfn.TEXTBEFORE(mvtst[[#This Row],[Num Suivis]],"-",,,1)</f>
        <v>OF249782</v>
      </c>
      <c r="J1866" s="36">
        <f>SUMIF(mvtst[QR Suivis],mvtst[[#This Row],[QR Suivis]],mvtst[QTE SORTIS])-SUMIF(mvtst[QR Suivis],mvtst[[#This Row],[QR Suivis]],mvtst[QTE RETOUR])</f>
        <v>0</v>
      </c>
      <c r="K1866" s="35" t="str">
        <f t="shared" si="32"/>
        <v>Usine</v>
      </c>
      <c r="L1866" s="35" t="str">
        <f>_xlfn.XLOOKUP(mvtst[[#This Row],[Sous Traitant]],coordonnee_st[Identification],coordonnee_st[SERVICE],"Non Trouvé")</f>
        <v>Frange</v>
      </c>
      <c r="M1866" s="35" t="str">
        <f>INDEX(_xlfn.TEXTSPLIT(mvtst[[#This Row],[QR Suivis]],"_"),1,2)</f>
        <v>CL00884</v>
      </c>
      <c r="N1866" s="35" t="str">
        <f>INDEX(_xlfn.TEXTSPLIT(mvtst[[#This Row],[QR Suivis]],"_"),1,3)</f>
        <v>CM-FT0119</v>
      </c>
      <c r="O1866" s="35" t="str">
        <f>INDEX(_xlfn.TEXTSPLIT(mvtst[[#This Row],[QR Suivis]],"_"),1,4)</f>
        <v>IB1020-B24-01</v>
      </c>
      <c r="P1866" s="35" t="str">
        <f>INDEX(_xlfn.TEXTSPLIT(mvtst[[#This Row],[QR Suivis]],"_"),1,5)</f>
        <v>IBIZA</v>
      </c>
      <c r="Q1866" s="35" t="str">
        <f>_xlfn.TEXTAFTER(mvtst[[#This Row],[QR Suivis]],"_",5)</f>
        <v>1020</v>
      </c>
      <c r="R1866" s="84" t="str">
        <f>IF(
   COUNTIFS($A$2:A1866,A1866,
             $B$2:B1866,B1866,
             $C$2:C1866,C1866,
             $D$2:D1866,D1866,
             $G$2:G1866,G1866)&gt;1,
   "Doublon",
   "Correcte"
)</f>
        <v>Correcte</v>
      </c>
    </row>
    <row r="1867" spans="1:18" x14ac:dyDescent="0.25">
      <c r="A1867" s="104" t="s">
        <v>2015</v>
      </c>
      <c r="B1867" s="35" t="s">
        <v>596</v>
      </c>
      <c r="C1867" s="36">
        <v>0</v>
      </c>
      <c r="D1867" s="36">
        <v>5</v>
      </c>
      <c r="E1867" s="35" t="s">
        <v>699</v>
      </c>
      <c r="F1867" s="35" t="s">
        <v>634</v>
      </c>
      <c r="G1867" s="37">
        <v>45943.596331018518</v>
      </c>
      <c r="H1867" s="37" t="str">
        <f>INDEX(_xlfn.TEXTSPLIT(mvtst[[#This Row],[QR Suivis]],"_"),1,1)</f>
        <v>OF249782-32</v>
      </c>
      <c r="I1867" s="35" t="str">
        <f>_xlfn.TEXTBEFORE(mvtst[[#This Row],[Num Suivis]],"-",,,1)</f>
        <v>OF249782</v>
      </c>
      <c r="J1867" s="36">
        <f>SUMIF(mvtst[QR Suivis],mvtst[[#This Row],[QR Suivis]],mvtst[QTE SORTIS])-SUMIF(mvtst[QR Suivis],mvtst[[#This Row],[QR Suivis]],mvtst[QTE RETOUR])</f>
        <v>0</v>
      </c>
      <c r="K1867" s="35" t="str">
        <f t="shared" si="32"/>
        <v>Usine</v>
      </c>
      <c r="L1867" s="35" t="str">
        <f>_xlfn.XLOOKUP(mvtst[[#This Row],[Sous Traitant]],coordonnee_st[Identification],coordonnee_st[SERVICE],"Non Trouvé")</f>
        <v>Frange</v>
      </c>
      <c r="M1867" s="35" t="str">
        <f>INDEX(_xlfn.TEXTSPLIT(mvtst[[#This Row],[QR Suivis]],"_"),1,2)</f>
        <v>CL00884</v>
      </c>
      <c r="N1867" s="35" t="str">
        <f>INDEX(_xlfn.TEXTSPLIT(mvtst[[#This Row],[QR Suivis]],"_"),1,3)</f>
        <v>CM-FT0119</v>
      </c>
      <c r="O1867" s="35" t="str">
        <f>INDEX(_xlfn.TEXTSPLIT(mvtst[[#This Row],[QR Suivis]],"_"),1,4)</f>
        <v>IB1020-B24-01</v>
      </c>
      <c r="P1867" s="35" t="str">
        <f>INDEX(_xlfn.TEXTSPLIT(mvtst[[#This Row],[QR Suivis]],"_"),1,5)</f>
        <v>IBIZA</v>
      </c>
      <c r="Q1867" s="35" t="str">
        <f>_xlfn.TEXTAFTER(mvtst[[#This Row],[QR Suivis]],"_",5)</f>
        <v>1020</v>
      </c>
      <c r="R1867" s="84" t="str">
        <f>IF(
   COUNTIFS($A$2:A1867,A1867,
             $B$2:B1867,B1867,
             $C$2:C1867,C1867,
             $D$2:D1867,D1867,
             $G$2:G1867,G1867)&gt;1,
   "Doublon",
   "Correcte"
)</f>
        <v>Correcte</v>
      </c>
    </row>
    <row r="1868" spans="1:18" x14ac:dyDescent="0.25">
      <c r="A1868" s="104" t="s">
        <v>2028</v>
      </c>
      <c r="B1868" s="35" t="s">
        <v>596</v>
      </c>
      <c r="C1868" s="36">
        <v>0</v>
      </c>
      <c r="D1868" s="36">
        <v>5</v>
      </c>
      <c r="E1868" s="35" t="s">
        <v>699</v>
      </c>
      <c r="F1868" s="35" t="s">
        <v>634</v>
      </c>
      <c r="G1868" s="37">
        <v>45943.596493055556</v>
      </c>
      <c r="H1868" s="37" t="str">
        <f>INDEX(_xlfn.TEXTSPLIT(mvtst[[#This Row],[QR Suivis]],"_"),1,1)</f>
        <v>OF249782-14</v>
      </c>
      <c r="I1868" s="35" t="str">
        <f>_xlfn.TEXTBEFORE(mvtst[[#This Row],[Num Suivis]],"-",,,1)</f>
        <v>OF249782</v>
      </c>
      <c r="J1868" s="36">
        <f>SUMIF(mvtst[QR Suivis],mvtst[[#This Row],[QR Suivis]],mvtst[QTE SORTIS])-SUMIF(mvtst[QR Suivis],mvtst[[#This Row],[QR Suivis]],mvtst[QTE RETOUR])</f>
        <v>0</v>
      </c>
      <c r="K1868" s="35" t="str">
        <f t="shared" si="32"/>
        <v>Usine</v>
      </c>
      <c r="L1868" s="35" t="str">
        <f>_xlfn.XLOOKUP(mvtst[[#This Row],[Sous Traitant]],coordonnee_st[Identification],coordonnee_st[SERVICE],"Non Trouvé")</f>
        <v>Frange</v>
      </c>
      <c r="M1868" s="35" t="str">
        <f>INDEX(_xlfn.TEXTSPLIT(mvtst[[#This Row],[QR Suivis]],"_"),1,2)</f>
        <v>CL00884</v>
      </c>
      <c r="N1868" s="35" t="str">
        <f>INDEX(_xlfn.TEXTSPLIT(mvtst[[#This Row],[QR Suivis]],"_"),1,3)</f>
        <v>CM-FT0119</v>
      </c>
      <c r="O1868" s="35" t="str">
        <f>INDEX(_xlfn.TEXTSPLIT(mvtst[[#This Row],[QR Suivis]],"_"),1,4)</f>
        <v>IB1020-B24-01</v>
      </c>
      <c r="P1868" s="35" t="str">
        <f>INDEX(_xlfn.TEXTSPLIT(mvtst[[#This Row],[QR Suivis]],"_"),1,5)</f>
        <v>IBIZA</v>
      </c>
      <c r="Q1868" s="35" t="str">
        <f>_xlfn.TEXTAFTER(mvtst[[#This Row],[QR Suivis]],"_",5)</f>
        <v>1020</v>
      </c>
      <c r="R1868" s="84" t="str">
        <f>IF(
   COUNTIFS($A$2:A1868,A1868,
             $B$2:B1868,B1868,
             $C$2:C1868,C1868,
             $D$2:D1868,D1868,
             $G$2:G1868,G1868)&gt;1,
   "Doublon",
   "Correcte"
)</f>
        <v>Correcte</v>
      </c>
    </row>
    <row r="1869" spans="1:18" x14ac:dyDescent="0.25">
      <c r="A1869" s="104" t="s">
        <v>2006</v>
      </c>
      <c r="B1869" s="35" t="s">
        <v>596</v>
      </c>
      <c r="C1869" s="36">
        <v>0</v>
      </c>
      <c r="D1869" s="36">
        <v>5</v>
      </c>
      <c r="E1869" s="35" t="s">
        <v>699</v>
      </c>
      <c r="F1869" s="35" t="s">
        <v>634</v>
      </c>
      <c r="G1869" s="37">
        <v>45943.596944444442</v>
      </c>
      <c r="H1869" s="37" t="str">
        <f>INDEX(_xlfn.TEXTSPLIT(mvtst[[#This Row],[QR Suivis]],"_"),1,1)</f>
        <v>OF249782-33</v>
      </c>
      <c r="I1869" s="35" t="str">
        <f>_xlfn.TEXTBEFORE(mvtst[[#This Row],[Num Suivis]],"-",,,1)</f>
        <v>OF249782</v>
      </c>
      <c r="J1869" s="36">
        <f>SUMIF(mvtst[QR Suivis],mvtst[[#This Row],[QR Suivis]],mvtst[QTE SORTIS])-SUMIF(mvtst[QR Suivis],mvtst[[#This Row],[QR Suivis]],mvtst[QTE RETOUR])</f>
        <v>0</v>
      </c>
      <c r="K1869" s="35" t="str">
        <f t="shared" si="32"/>
        <v>Usine</v>
      </c>
      <c r="L1869" s="35" t="str">
        <f>_xlfn.XLOOKUP(mvtst[[#This Row],[Sous Traitant]],coordonnee_st[Identification],coordonnee_st[SERVICE],"Non Trouvé")</f>
        <v>Frange</v>
      </c>
      <c r="M1869" s="35" t="str">
        <f>INDEX(_xlfn.TEXTSPLIT(mvtst[[#This Row],[QR Suivis]],"_"),1,2)</f>
        <v>CL00884</v>
      </c>
      <c r="N1869" s="35" t="str">
        <f>INDEX(_xlfn.TEXTSPLIT(mvtst[[#This Row],[QR Suivis]],"_"),1,3)</f>
        <v>CM-FT0119</v>
      </c>
      <c r="O1869" s="35" t="str">
        <f>INDEX(_xlfn.TEXTSPLIT(mvtst[[#This Row],[QR Suivis]],"_"),1,4)</f>
        <v>IB1020-B24-01</v>
      </c>
      <c r="P1869" s="35" t="str">
        <f>INDEX(_xlfn.TEXTSPLIT(mvtst[[#This Row],[QR Suivis]],"_"),1,5)</f>
        <v>IBIZA</v>
      </c>
      <c r="Q1869" s="35" t="str">
        <f>_xlfn.TEXTAFTER(mvtst[[#This Row],[QR Suivis]],"_",5)</f>
        <v>1020</v>
      </c>
      <c r="R1869" s="84" t="str">
        <f>IF(
   COUNTIFS($A$2:A1869,A1869,
             $B$2:B1869,B1869,
             $C$2:C1869,C1869,
             $D$2:D1869,D1869,
             $G$2:G1869,G1869)&gt;1,
   "Doublon",
   "Correcte"
)</f>
        <v>Correcte</v>
      </c>
    </row>
    <row r="1870" spans="1:18" x14ac:dyDescent="0.25">
      <c r="A1870" s="104" t="s">
        <v>1946</v>
      </c>
      <c r="B1870" s="35" t="s">
        <v>596</v>
      </c>
      <c r="C1870" s="36">
        <v>0</v>
      </c>
      <c r="D1870" s="36">
        <v>5</v>
      </c>
      <c r="E1870" s="35" t="s">
        <v>699</v>
      </c>
      <c r="F1870" s="35" t="s">
        <v>634</v>
      </c>
      <c r="G1870" s="37">
        <v>45943.597187500003</v>
      </c>
      <c r="H1870" s="37" t="str">
        <f>INDEX(_xlfn.TEXTSPLIT(mvtst[[#This Row],[QR Suivis]],"_"),1,1)</f>
        <v>OF249782-63</v>
      </c>
      <c r="I1870" s="35" t="str">
        <f>_xlfn.TEXTBEFORE(mvtst[[#This Row],[Num Suivis]],"-",,,1)</f>
        <v>OF249782</v>
      </c>
      <c r="J1870" s="36">
        <f>SUMIF(mvtst[QR Suivis],mvtst[[#This Row],[QR Suivis]],mvtst[QTE SORTIS])-SUMIF(mvtst[QR Suivis],mvtst[[#This Row],[QR Suivis]],mvtst[QTE RETOUR])</f>
        <v>0</v>
      </c>
      <c r="K1870" s="35" t="str">
        <f t="shared" si="32"/>
        <v>Usine</v>
      </c>
      <c r="L1870" s="35" t="str">
        <f>_xlfn.XLOOKUP(mvtst[[#This Row],[Sous Traitant]],coordonnee_st[Identification],coordonnee_st[SERVICE],"Non Trouvé")</f>
        <v>Frange</v>
      </c>
      <c r="M1870" s="35" t="str">
        <f>INDEX(_xlfn.TEXTSPLIT(mvtst[[#This Row],[QR Suivis]],"_"),1,2)</f>
        <v>CL00884</v>
      </c>
      <c r="N1870" s="35" t="str">
        <f>INDEX(_xlfn.TEXTSPLIT(mvtst[[#This Row],[QR Suivis]],"_"),1,3)</f>
        <v>CM-FT0119</v>
      </c>
      <c r="O1870" s="35" t="str">
        <f>INDEX(_xlfn.TEXTSPLIT(mvtst[[#This Row],[QR Suivis]],"_"),1,4)</f>
        <v>IB1020-B24-01</v>
      </c>
      <c r="P1870" s="35" t="str">
        <f>INDEX(_xlfn.TEXTSPLIT(mvtst[[#This Row],[QR Suivis]],"_"),1,5)</f>
        <v>IBIZA</v>
      </c>
      <c r="Q1870" s="35" t="str">
        <f>_xlfn.TEXTAFTER(mvtst[[#This Row],[QR Suivis]],"_",5)</f>
        <v>1020</v>
      </c>
      <c r="R1870" s="84" t="str">
        <f>IF(
   COUNTIFS($A$2:A1870,A1870,
             $B$2:B1870,B1870,
             $C$2:C1870,C1870,
             $D$2:D1870,D1870,
             $G$2:G1870,G1870)&gt;1,
   "Doublon",
   "Correcte"
)</f>
        <v>Correcte</v>
      </c>
    </row>
    <row r="1871" spans="1:18" x14ac:dyDescent="0.25">
      <c r="A1871" s="104" t="s">
        <v>1951</v>
      </c>
      <c r="B1871" s="35" t="s">
        <v>596</v>
      </c>
      <c r="C1871" s="36">
        <v>0</v>
      </c>
      <c r="D1871" s="36">
        <v>5</v>
      </c>
      <c r="E1871" s="35" t="s">
        <v>699</v>
      </c>
      <c r="F1871" s="35" t="s">
        <v>634</v>
      </c>
      <c r="G1871" s="37">
        <v>45943.597395833334</v>
      </c>
      <c r="H1871" s="37" t="str">
        <f>INDEX(_xlfn.TEXTSPLIT(mvtst[[#This Row],[QR Suivis]],"_"),1,1)</f>
        <v>OF249782-7</v>
      </c>
      <c r="I1871" s="35" t="str">
        <f>_xlfn.TEXTBEFORE(mvtst[[#This Row],[Num Suivis]],"-",,,1)</f>
        <v>OF249782</v>
      </c>
      <c r="J1871" s="36">
        <f>SUMIF(mvtst[QR Suivis],mvtst[[#This Row],[QR Suivis]],mvtst[QTE SORTIS])-SUMIF(mvtst[QR Suivis],mvtst[[#This Row],[QR Suivis]],mvtst[QTE RETOUR])</f>
        <v>0</v>
      </c>
      <c r="K1871" s="35" t="str">
        <f t="shared" si="32"/>
        <v>Usine</v>
      </c>
      <c r="L1871" s="35" t="str">
        <f>_xlfn.XLOOKUP(mvtst[[#This Row],[Sous Traitant]],coordonnee_st[Identification],coordonnee_st[SERVICE],"Non Trouvé")</f>
        <v>Frange</v>
      </c>
      <c r="M1871" s="35" t="str">
        <f>INDEX(_xlfn.TEXTSPLIT(mvtst[[#This Row],[QR Suivis]],"_"),1,2)</f>
        <v>CL00884</v>
      </c>
      <c r="N1871" s="35" t="str">
        <f>INDEX(_xlfn.TEXTSPLIT(mvtst[[#This Row],[QR Suivis]],"_"),1,3)</f>
        <v>CM-FT0119</v>
      </c>
      <c r="O1871" s="35" t="str">
        <f>INDEX(_xlfn.TEXTSPLIT(mvtst[[#This Row],[QR Suivis]],"_"),1,4)</f>
        <v>IB1020-B24-01</v>
      </c>
      <c r="P1871" s="35" t="str">
        <f>INDEX(_xlfn.TEXTSPLIT(mvtst[[#This Row],[QR Suivis]],"_"),1,5)</f>
        <v>IBIZA</v>
      </c>
      <c r="Q1871" s="35" t="str">
        <f>_xlfn.TEXTAFTER(mvtst[[#This Row],[QR Suivis]],"_",5)</f>
        <v>1020</v>
      </c>
      <c r="R1871" s="84" t="str">
        <f>IF(
   COUNTIFS($A$2:A1871,A1871,
             $B$2:B1871,B1871,
             $C$2:C1871,C1871,
             $D$2:D1871,D1871,
             $G$2:G1871,G1871)&gt;1,
   "Doublon",
   "Correcte"
)</f>
        <v>Correcte</v>
      </c>
    </row>
    <row r="1872" spans="1:18" x14ac:dyDescent="0.25">
      <c r="A1872" s="104" t="s">
        <v>2027</v>
      </c>
      <c r="B1872" s="35" t="s">
        <v>596</v>
      </c>
      <c r="C1872" s="36">
        <v>0</v>
      </c>
      <c r="D1872" s="36">
        <v>5</v>
      </c>
      <c r="E1872" s="35" t="s">
        <v>699</v>
      </c>
      <c r="F1872" s="35" t="s">
        <v>634</v>
      </c>
      <c r="G1872" s="37">
        <v>45943.597569444442</v>
      </c>
      <c r="H1872" s="37" t="str">
        <f>INDEX(_xlfn.TEXTSPLIT(mvtst[[#This Row],[QR Suivis]],"_"),1,1)</f>
        <v>OF249782-20</v>
      </c>
      <c r="I1872" s="35" t="str">
        <f>_xlfn.TEXTBEFORE(mvtst[[#This Row],[Num Suivis]],"-",,,1)</f>
        <v>OF249782</v>
      </c>
      <c r="J1872" s="36">
        <f>SUMIF(mvtst[QR Suivis],mvtst[[#This Row],[QR Suivis]],mvtst[QTE SORTIS])-SUMIF(mvtst[QR Suivis],mvtst[[#This Row],[QR Suivis]],mvtst[QTE RETOUR])</f>
        <v>0</v>
      </c>
      <c r="K1872" s="35" t="str">
        <f t="shared" si="32"/>
        <v>Usine</v>
      </c>
      <c r="L1872" s="35" t="str">
        <f>_xlfn.XLOOKUP(mvtst[[#This Row],[Sous Traitant]],coordonnee_st[Identification],coordonnee_st[SERVICE],"Non Trouvé")</f>
        <v>Frange</v>
      </c>
      <c r="M1872" s="35" t="str">
        <f>INDEX(_xlfn.TEXTSPLIT(mvtst[[#This Row],[QR Suivis]],"_"),1,2)</f>
        <v>CL00884</v>
      </c>
      <c r="N1872" s="35" t="str">
        <f>INDEX(_xlfn.TEXTSPLIT(mvtst[[#This Row],[QR Suivis]],"_"),1,3)</f>
        <v>CM-FT0119</v>
      </c>
      <c r="O1872" s="35" t="str">
        <f>INDEX(_xlfn.TEXTSPLIT(mvtst[[#This Row],[QR Suivis]],"_"),1,4)</f>
        <v>IB1020-B24-01</v>
      </c>
      <c r="P1872" s="35" t="str">
        <f>INDEX(_xlfn.TEXTSPLIT(mvtst[[#This Row],[QR Suivis]],"_"),1,5)</f>
        <v>IBIZA</v>
      </c>
      <c r="Q1872" s="35" t="str">
        <f>_xlfn.TEXTAFTER(mvtst[[#This Row],[QR Suivis]],"_",5)</f>
        <v>1020</v>
      </c>
      <c r="R1872" s="84" t="str">
        <f>IF(
   COUNTIFS($A$2:A1872,A1872,
             $B$2:B1872,B1872,
             $C$2:C1872,C1872,
             $D$2:D1872,D1872,
             $G$2:G1872,G1872)&gt;1,
   "Doublon",
   "Correcte"
)</f>
        <v>Correcte</v>
      </c>
    </row>
    <row r="1873" spans="1:18" x14ac:dyDescent="0.25">
      <c r="A1873" s="104" t="s">
        <v>1964</v>
      </c>
      <c r="B1873" s="35" t="s">
        <v>596</v>
      </c>
      <c r="C1873" s="36">
        <v>0</v>
      </c>
      <c r="D1873" s="36">
        <v>5</v>
      </c>
      <c r="E1873" s="35" t="s">
        <v>699</v>
      </c>
      <c r="F1873" s="35" t="s">
        <v>634</v>
      </c>
      <c r="G1873" s="37">
        <v>45943.597800925927</v>
      </c>
      <c r="H1873" s="37" t="str">
        <f>INDEX(_xlfn.TEXTSPLIT(mvtst[[#This Row],[QR Suivis]],"_"),1,1)</f>
        <v>OF249782-1</v>
      </c>
      <c r="I1873" s="35" t="str">
        <f>_xlfn.TEXTBEFORE(mvtst[[#This Row],[Num Suivis]],"-",,,1)</f>
        <v>OF249782</v>
      </c>
      <c r="J1873" s="36">
        <f>SUMIF(mvtst[QR Suivis],mvtst[[#This Row],[QR Suivis]],mvtst[QTE SORTIS])-SUMIF(mvtst[QR Suivis],mvtst[[#This Row],[QR Suivis]],mvtst[QTE RETOUR])</f>
        <v>0</v>
      </c>
      <c r="K1873" s="35" t="str">
        <f t="shared" si="32"/>
        <v>Usine</v>
      </c>
      <c r="L1873" s="35" t="str">
        <f>_xlfn.XLOOKUP(mvtst[[#This Row],[Sous Traitant]],coordonnee_st[Identification],coordonnee_st[SERVICE],"Non Trouvé")</f>
        <v>Frange</v>
      </c>
      <c r="M1873" s="35" t="str">
        <f>INDEX(_xlfn.TEXTSPLIT(mvtst[[#This Row],[QR Suivis]],"_"),1,2)</f>
        <v>CL00884</v>
      </c>
      <c r="N1873" s="35" t="str">
        <f>INDEX(_xlfn.TEXTSPLIT(mvtst[[#This Row],[QR Suivis]],"_"),1,3)</f>
        <v>CM-FT0119</v>
      </c>
      <c r="O1873" s="35" t="str">
        <f>INDEX(_xlfn.TEXTSPLIT(mvtst[[#This Row],[QR Suivis]],"_"),1,4)</f>
        <v>IB1020-B24-01</v>
      </c>
      <c r="P1873" s="35" t="str">
        <f>INDEX(_xlfn.TEXTSPLIT(mvtst[[#This Row],[QR Suivis]],"_"),1,5)</f>
        <v>IBIZA</v>
      </c>
      <c r="Q1873" s="35" t="str">
        <f>_xlfn.TEXTAFTER(mvtst[[#This Row],[QR Suivis]],"_",5)</f>
        <v>1020</v>
      </c>
      <c r="R1873" s="84" t="str">
        <f>IF(
   COUNTIFS($A$2:A1873,A1873,
             $B$2:B1873,B1873,
             $C$2:C1873,C1873,
             $D$2:D1873,D1873,
             $G$2:G1873,G1873)&gt;1,
   "Doublon",
   "Correcte"
)</f>
        <v>Correcte</v>
      </c>
    </row>
    <row r="1874" spans="1:18" x14ac:dyDescent="0.25">
      <c r="A1874" s="104" t="s">
        <v>2023</v>
      </c>
      <c r="B1874" s="35" t="s">
        <v>596</v>
      </c>
      <c r="C1874" s="36">
        <v>0</v>
      </c>
      <c r="D1874" s="36">
        <v>5</v>
      </c>
      <c r="E1874" s="35" t="s">
        <v>699</v>
      </c>
      <c r="F1874" s="35" t="s">
        <v>634</v>
      </c>
      <c r="G1874" s="37">
        <v>45943.597928240742</v>
      </c>
      <c r="H1874" s="37" t="str">
        <f>INDEX(_xlfn.TEXTSPLIT(mvtst[[#This Row],[QR Suivis]],"_"),1,1)</f>
        <v>OF249782-10</v>
      </c>
      <c r="I1874" s="35" t="str">
        <f>_xlfn.TEXTBEFORE(mvtst[[#This Row],[Num Suivis]],"-",,,1)</f>
        <v>OF249782</v>
      </c>
      <c r="J1874" s="36">
        <f>SUMIF(mvtst[QR Suivis],mvtst[[#This Row],[QR Suivis]],mvtst[QTE SORTIS])-SUMIF(mvtst[QR Suivis],mvtst[[#This Row],[QR Suivis]],mvtst[QTE RETOUR])</f>
        <v>0</v>
      </c>
      <c r="K1874" s="35" t="str">
        <f t="shared" si="32"/>
        <v>Usine</v>
      </c>
      <c r="L1874" s="35" t="str">
        <f>_xlfn.XLOOKUP(mvtst[[#This Row],[Sous Traitant]],coordonnee_st[Identification],coordonnee_st[SERVICE],"Non Trouvé")</f>
        <v>Frange</v>
      </c>
      <c r="M1874" s="35" t="str">
        <f>INDEX(_xlfn.TEXTSPLIT(mvtst[[#This Row],[QR Suivis]],"_"),1,2)</f>
        <v>CL00884</v>
      </c>
      <c r="N1874" s="35" t="str">
        <f>INDEX(_xlfn.TEXTSPLIT(mvtst[[#This Row],[QR Suivis]],"_"),1,3)</f>
        <v>CM-FT0119</v>
      </c>
      <c r="O1874" s="35" t="str">
        <f>INDEX(_xlfn.TEXTSPLIT(mvtst[[#This Row],[QR Suivis]],"_"),1,4)</f>
        <v>IB1020-B24-01</v>
      </c>
      <c r="P1874" s="35" t="str">
        <f>INDEX(_xlfn.TEXTSPLIT(mvtst[[#This Row],[QR Suivis]],"_"),1,5)</f>
        <v>IBIZA</v>
      </c>
      <c r="Q1874" s="35" t="str">
        <f>_xlfn.TEXTAFTER(mvtst[[#This Row],[QR Suivis]],"_",5)</f>
        <v>1020</v>
      </c>
      <c r="R1874" s="84" t="str">
        <f>IF(
   COUNTIFS($A$2:A1874,A1874,
             $B$2:B1874,B1874,
             $C$2:C1874,C1874,
             $D$2:D1874,D1874,
             $G$2:G1874,G1874)&gt;1,
   "Doublon",
   "Correcte"
)</f>
        <v>Correcte</v>
      </c>
    </row>
    <row r="1875" spans="1:18" x14ac:dyDescent="0.25">
      <c r="A1875" s="104" t="s">
        <v>1961</v>
      </c>
      <c r="B1875" s="35" t="s">
        <v>596</v>
      </c>
      <c r="C1875" s="36">
        <v>0</v>
      </c>
      <c r="D1875" s="36">
        <v>5</v>
      </c>
      <c r="E1875" s="35" t="s">
        <v>699</v>
      </c>
      <c r="F1875" s="35" t="s">
        <v>634</v>
      </c>
      <c r="G1875" s="37">
        <v>45943.59814814815</v>
      </c>
      <c r="H1875" s="37" t="str">
        <f>INDEX(_xlfn.TEXTSPLIT(mvtst[[#This Row],[QR Suivis]],"_"),1,1)</f>
        <v>OF249782-41</v>
      </c>
      <c r="I1875" s="35" t="str">
        <f>_xlfn.TEXTBEFORE(mvtst[[#This Row],[Num Suivis]],"-",,,1)</f>
        <v>OF249782</v>
      </c>
      <c r="J1875" s="36">
        <f>SUMIF(mvtst[QR Suivis],mvtst[[#This Row],[QR Suivis]],mvtst[QTE SORTIS])-SUMIF(mvtst[QR Suivis],mvtst[[#This Row],[QR Suivis]],mvtst[QTE RETOUR])</f>
        <v>0</v>
      </c>
      <c r="K1875" s="35" t="str">
        <f t="shared" si="32"/>
        <v>Usine</v>
      </c>
      <c r="L1875" s="35" t="str">
        <f>_xlfn.XLOOKUP(mvtst[[#This Row],[Sous Traitant]],coordonnee_st[Identification],coordonnee_st[SERVICE],"Non Trouvé")</f>
        <v>Frange</v>
      </c>
      <c r="M1875" s="35" t="str">
        <f>INDEX(_xlfn.TEXTSPLIT(mvtst[[#This Row],[QR Suivis]],"_"),1,2)</f>
        <v>CL00884</v>
      </c>
      <c r="N1875" s="35" t="str">
        <f>INDEX(_xlfn.TEXTSPLIT(mvtst[[#This Row],[QR Suivis]],"_"),1,3)</f>
        <v>CM-FT0119</v>
      </c>
      <c r="O1875" s="35" t="str">
        <f>INDEX(_xlfn.TEXTSPLIT(mvtst[[#This Row],[QR Suivis]],"_"),1,4)</f>
        <v>IB1020-B24-01</v>
      </c>
      <c r="P1875" s="35" t="str">
        <f>INDEX(_xlfn.TEXTSPLIT(mvtst[[#This Row],[QR Suivis]],"_"),1,5)</f>
        <v>IBIZA</v>
      </c>
      <c r="Q1875" s="35" t="str">
        <f>_xlfn.TEXTAFTER(mvtst[[#This Row],[QR Suivis]],"_",5)</f>
        <v>1020</v>
      </c>
      <c r="R1875" s="84" t="str">
        <f>IF(
   COUNTIFS($A$2:A1875,A1875,
             $B$2:B1875,B1875,
             $C$2:C1875,C1875,
             $D$2:D1875,D1875,
             $G$2:G1875,G1875)&gt;1,
   "Doublon",
   "Correcte"
)</f>
        <v>Correcte</v>
      </c>
    </row>
    <row r="1876" spans="1:18" x14ac:dyDescent="0.25">
      <c r="A1876" s="104" t="s">
        <v>1954</v>
      </c>
      <c r="B1876" s="35" t="s">
        <v>596</v>
      </c>
      <c r="C1876" s="36">
        <v>0</v>
      </c>
      <c r="D1876" s="36">
        <v>5</v>
      </c>
      <c r="E1876" s="35" t="s">
        <v>699</v>
      </c>
      <c r="F1876" s="35" t="s">
        <v>634</v>
      </c>
      <c r="G1876" s="37">
        <v>45943.598414351851</v>
      </c>
      <c r="H1876" s="37" t="str">
        <f>INDEX(_xlfn.TEXTSPLIT(mvtst[[#This Row],[QR Suivis]],"_"),1,1)</f>
        <v>OF249782-6</v>
      </c>
      <c r="I1876" s="35" t="str">
        <f>_xlfn.TEXTBEFORE(mvtst[[#This Row],[Num Suivis]],"-",,,1)</f>
        <v>OF249782</v>
      </c>
      <c r="J1876" s="36">
        <f>SUMIF(mvtst[QR Suivis],mvtst[[#This Row],[QR Suivis]],mvtst[QTE SORTIS])-SUMIF(mvtst[QR Suivis],mvtst[[#This Row],[QR Suivis]],mvtst[QTE RETOUR])</f>
        <v>0</v>
      </c>
      <c r="K1876" s="35" t="str">
        <f t="shared" si="32"/>
        <v>Usine</v>
      </c>
      <c r="L1876" s="35" t="str">
        <f>_xlfn.XLOOKUP(mvtst[[#This Row],[Sous Traitant]],coordonnee_st[Identification],coordonnee_st[SERVICE],"Non Trouvé")</f>
        <v>Frange</v>
      </c>
      <c r="M1876" s="35" t="str">
        <f>INDEX(_xlfn.TEXTSPLIT(mvtst[[#This Row],[QR Suivis]],"_"),1,2)</f>
        <v>CL00884</v>
      </c>
      <c r="N1876" s="35" t="str">
        <f>INDEX(_xlfn.TEXTSPLIT(mvtst[[#This Row],[QR Suivis]],"_"),1,3)</f>
        <v>CM-FT0119</v>
      </c>
      <c r="O1876" s="35" t="str">
        <f>INDEX(_xlfn.TEXTSPLIT(mvtst[[#This Row],[QR Suivis]],"_"),1,4)</f>
        <v>IB1020-B24-01</v>
      </c>
      <c r="P1876" s="35" t="str">
        <f>INDEX(_xlfn.TEXTSPLIT(mvtst[[#This Row],[QR Suivis]],"_"),1,5)</f>
        <v>IBIZA</v>
      </c>
      <c r="Q1876" s="35" t="str">
        <f>_xlfn.TEXTAFTER(mvtst[[#This Row],[QR Suivis]],"_",5)</f>
        <v>1020</v>
      </c>
      <c r="R1876" s="84" t="str">
        <f>IF(
   COUNTIFS($A$2:A1876,A1876,
             $B$2:B1876,B1876,
             $C$2:C1876,C1876,
             $D$2:D1876,D1876,
             $G$2:G1876,G1876)&gt;1,
   "Doublon",
   "Correcte"
)</f>
        <v>Correcte</v>
      </c>
    </row>
    <row r="1877" spans="1:18" x14ac:dyDescent="0.25">
      <c r="A1877" s="104" t="s">
        <v>2024</v>
      </c>
      <c r="B1877" s="35" t="s">
        <v>596</v>
      </c>
      <c r="C1877" s="36">
        <v>0</v>
      </c>
      <c r="D1877" s="36">
        <v>5</v>
      </c>
      <c r="E1877" s="35" t="s">
        <v>699</v>
      </c>
      <c r="F1877" s="35" t="s">
        <v>634</v>
      </c>
      <c r="G1877" s="37">
        <v>45943.598564814813</v>
      </c>
      <c r="H1877" s="37" t="str">
        <f>INDEX(_xlfn.TEXTSPLIT(mvtst[[#This Row],[QR Suivis]],"_"),1,1)</f>
        <v>OF249782-11</v>
      </c>
      <c r="I1877" s="35" t="str">
        <f>_xlfn.TEXTBEFORE(mvtst[[#This Row],[Num Suivis]],"-",,,1)</f>
        <v>OF249782</v>
      </c>
      <c r="J1877" s="36">
        <f>SUMIF(mvtst[QR Suivis],mvtst[[#This Row],[QR Suivis]],mvtst[QTE SORTIS])-SUMIF(mvtst[QR Suivis],mvtst[[#This Row],[QR Suivis]],mvtst[QTE RETOUR])</f>
        <v>0</v>
      </c>
      <c r="K1877" s="35" t="str">
        <f t="shared" si="32"/>
        <v>Usine</v>
      </c>
      <c r="L1877" s="35" t="str">
        <f>_xlfn.XLOOKUP(mvtst[[#This Row],[Sous Traitant]],coordonnee_st[Identification],coordonnee_st[SERVICE],"Non Trouvé")</f>
        <v>Frange</v>
      </c>
      <c r="M1877" s="35" t="str">
        <f>INDEX(_xlfn.TEXTSPLIT(mvtst[[#This Row],[QR Suivis]],"_"),1,2)</f>
        <v>CL00884</v>
      </c>
      <c r="N1877" s="35" t="str">
        <f>INDEX(_xlfn.TEXTSPLIT(mvtst[[#This Row],[QR Suivis]],"_"),1,3)</f>
        <v>CM-FT0119</v>
      </c>
      <c r="O1877" s="35" t="str">
        <f>INDEX(_xlfn.TEXTSPLIT(mvtst[[#This Row],[QR Suivis]],"_"),1,4)</f>
        <v>IB1020-B24-01</v>
      </c>
      <c r="P1877" s="35" t="str">
        <f>INDEX(_xlfn.TEXTSPLIT(mvtst[[#This Row],[QR Suivis]],"_"),1,5)</f>
        <v>IBIZA</v>
      </c>
      <c r="Q1877" s="35" t="str">
        <f>_xlfn.TEXTAFTER(mvtst[[#This Row],[QR Suivis]],"_",5)</f>
        <v>1020</v>
      </c>
      <c r="R1877" s="84" t="str">
        <f>IF(
   COUNTIFS($A$2:A1877,A1877,
             $B$2:B1877,B1877,
             $C$2:C1877,C1877,
             $D$2:D1877,D1877,
             $G$2:G1877,G1877)&gt;1,
   "Doublon",
   "Correcte"
)</f>
        <v>Correcte</v>
      </c>
    </row>
    <row r="1878" spans="1:18" x14ac:dyDescent="0.25">
      <c r="A1878" s="104" t="s">
        <v>2040</v>
      </c>
      <c r="B1878" s="35" t="s">
        <v>596</v>
      </c>
      <c r="C1878" s="36">
        <v>0</v>
      </c>
      <c r="D1878" s="36">
        <v>5</v>
      </c>
      <c r="E1878" s="35" t="s">
        <v>699</v>
      </c>
      <c r="F1878" s="35" t="s">
        <v>634</v>
      </c>
      <c r="G1878" s="37">
        <v>45943.598738425928</v>
      </c>
      <c r="H1878" s="37" t="str">
        <f>INDEX(_xlfn.TEXTSPLIT(mvtst[[#This Row],[QR Suivis]],"_"),1,1)</f>
        <v>OF249809-4</v>
      </c>
      <c r="I1878" s="35" t="str">
        <f>_xlfn.TEXTBEFORE(mvtst[[#This Row],[Num Suivis]],"-",,,1)</f>
        <v>OF249809</v>
      </c>
      <c r="J1878" s="36">
        <f>SUMIF(mvtst[QR Suivis],mvtst[[#This Row],[QR Suivis]],mvtst[QTE SORTIS])-SUMIF(mvtst[QR Suivis],mvtst[[#This Row],[QR Suivis]],mvtst[QTE RETOUR])</f>
        <v>0</v>
      </c>
      <c r="K1878" s="35" t="str">
        <f t="shared" si="32"/>
        <v>Usine</v>
      </c>
      <c r="L1878" s="35" t="str">
        <f>_xlfn.XLOOKUP(mvtst[[#This Row],[Sous Traitant]],coordonnee_st[Identification],coordonnee_st[SERVICE],"Non Trouvé")</f>
        <v>Frange</v>
      </c>
      <c r="M1878" s="35" t="str">
        <f>INDEX(_xlfn.TEXTSPLIT(mvtst[[#This Row],[QR Suivis]],"_"),1,2)</f>
        <v>CL00884</v>
      </c>
      <c r="N1878" s="35" t="str">
        <f>INDEX(_xlfn.TEXTSPLIT(mvtst[[#This Row],[QR Suivis]],"_"),1,3)</f>
        <v>CM-FT0119</v>
      </c>
      <c r="O1878" s="35" t="str">
        <f>INDEX(_xlfn.TEXTSPLIT(mvtst[[#This Row],[QR Suivis]],"_"),1,4)</f>
        <v>IS1020-B14-01</v>
      </c>
      <c r="P1878" s="35" t="str">
        <f>INDEX(_xlfn.TEXTSPLIT(mvtst[[#This Row],[QR Suivis]],"_"),1,5)</f>
        <v>ISTANBUL</v>
      </c>
      <c r="Q1878" s="35" t="str">
        <f>_xlfn.TEXTAFTER(mvtst[[#This Row],[QR Suivis]],"_",5)</f>
        <v>1020</v>
      </c>
      <c r="R1878" s="84" t="str">
        <f>IF(
   COUNTIFS($A$2:A1878,A1878,
             $B$2:B1878,B1878,
             $C$2:C1878,C1878,
             $D$2:D1878,D1878,
             $G$2:G1878,G1878)&gt;1,
   "Doublon",
   "Correcte"
)</f>
        <v>Correcte</v>
      </c>
    </row>
    <row r="1879" spans="1:18" x14ac:dyDescent="0.25">
      <c r="A1879" s="104" t="s">
        <v>2036</v>
      </c>
      <c r="B1879" s="35" t="s">
        <v>596</v>
      </c>
      <c r="C1879" s="36">
        <v>0</v>
      </c>
      <c r="D1879" s="36">
        <v>5</v>
      </c>
      <c r="E1879" s="35" t="s">
        <v>699</v>
      </c>
      <c r="F1879" s="35" t="s">
        <v>634</v>
      </c>
      <c r="G1879" s="37">
        <v>45943.599178240744</v>
      </c>
      <c r="H1879" s="37" t="str">
        <f>INDEX(_xlfn.TEXTSPLIT(mvtst[[#This Row],[QR Suivis]],"_"),1,1)</f>
        <v>OF249809-3</v>
      </c>
      <c r="I1879" s="35" t="str">
        <f>_xlfn.TEXTBEFORE(mvtst[[#This Row],[Num Suivis]],"-",,,1)</f>
        <v>OF249809</v>
      </c>
      <c r="J1879" s="36">
        <f>SUMIF(mvtst[QR Suivis],mvtst[[#This Row],[QR Suivis]],mvtst[QTE SORTIS])-SUMIF(mvtst[QR Suivis],mvtst[[#This Row],[QR Suivis]],mvtst[QTE RETOUR])</f>
        <v>0</v>
      </c>
      <c r="K1879" s="35" t="str">
        <f t="shared" si="32"/>
        <v>Usine</v>
      </c>
      <c r="L1879" s="35" t="str">
        <f>_xlfn.XLOOKUP(mvtst[[#This Row],[Sous Traitant]],coordonnee_st[Identification],coordonnee_st[SERVICE],"Non Trouvé")</f>
        <v>Frange</v>
      </c>
      <c r="M1879" s="35" t="str">
        <f>INDEX(_xlfn.TEXTSPLIT(mvtst[[#This Row],[QR Suivis]],"_"),1,2)</f>
        <v>CL00884</v>
      </c>
      <c r="N1879" s="35" t="str">
        <f>INDEX(_xlfn.TEXTSPLIT(mvtst[[#This Row],[QR Suivis]],"_"),1,3)</f>
        <v>CM-FT0119</v>
      </c>
      <c r="O1879" s="35" t="str">
        <f>INDEX(_xlfn.TEXTSPLIT(mvtst[[#This Row],[QR Suivis]],"_"),1,4)</f>
        <v>IS1020-B14-01</v>
      </c>
      <c r="P1879" s="35" t="str">
        <f>INDEX(_xlfn.TEXTSPLIT(mvtst[[#This Row],[QR Suivis]],"_"),1,5)</f>
        <v>ISTANBUL</v>
      </c>
      <c r="Q1879" s="35" t="str">
        <f>_xlfn.TEXTAFTER(mvtst[[#This Row],[QR Suivis]],"_",5)</f>
        <v>1020</v>
      </c>
      <c r="R1879" s="84" t="str">
        <f>IF(
   COUNTIFS($A$2:A1879,A1879,
             $B$2:B1879,B1879,
             $C$2:C1879,C1879,
             $D$2:D1879,D1879,
             $G$2:G1879,G1879)&gt;1,
   "Doublon",
   "Correcte"
)</f>
        <v>Correcte</v>
      </c>
    </row>
    <row r="1880" spans="1:18" x14ac:dyDescent="0.25">
      <c r="A1880" s="104" t="s">
        <v>1970</v>
      </c>
      <c r="B1880" s="35" t="s">
        <v>596</v>
      </c>
      <c r="C1880" s="36">
        <v>0</v>
      </c>
      <c r="D1880" s="36">
        <v>5</v>
      </c>
      <c r="E1880" s="35" t="s">
        <v>699</v>
      </c>
      <c r="F1880" s="35" t="s">
        <v>634</v>
      </c>
      <c r="G1880" s="37">
        <v>45943.599374999998</v>
      </c>
      <c r="H1880" s="37" t="str">
        <f>INDEX(_xlfn.TEXTSPLIT(mvtst[[#This Row],[QR Suivis]],"_"),1,1)</f>
        <v>OF249809-24</v>
      </c>
      <c r="I1880" s="35" t="str">
        <f>_xlfn.TEXTBEFORE(mvtst[[#This Row],[Num Suivis]],"-",,,1)</f>
        <v>OF249809</v>
      </c>
      <c r="J1880" s="36">
        <f>SUMIF(mvtst[QR Suivis],mvtst[[#This Row],[QR Suivis]],mvtst[QTE SORTIS])-SUMIF(mvtst[QR Suivis],mvtst[[#This Row],[QR Suivis]],mvtst[QTE RETOUR])</f>
        <v>0</v>
      </c>
      <c r="K1880" s="35" t="str">
        <f t="shared" si="32"/>
        <v>Usine</v>
      </c>
      <c r="L1880" s="35" t="str">
        <f>_xlfn.XLOOKUP(mvtst[[#This Row],[Sous Traitant]],coordonnee_st[Identification],coordonnee_st[SERVICE],"Non Trouvé")</f>
        <v>Frange</v>
      </c>
      <c r="M1880" s="35" t="str">
        <f>INDEX(_xlfn.TEXTSPLIT(mvtst[[#This Row],[QR Suivis]],"_"),1,2)</f>
        <v>CL00884</v>
      </c>
      <c r="N1880" s="35" t="str">
        <f>INDEX(_xlfn.TEXTSPLIT(mvtst[[#This Row],[QR Suivis]],"_"),1,3)</f>
        <v>CM-FT0119</v>
      </c>
      <c r="O1880" s="35" t="str">
        <f>INDEX(_xlfn.TEXTSPLIT(mvtst[[#This Row],[QR Suivis]],"_"),1,4)</f>
        <v>IS1020-B14-01</v>
      </c>
      <c r="P1880" s="35" t="str">
        <f>INDEX(_xlfn.TEXTSPLIT(mvtst[[#This Row],[QR Suivis]],"_"),1,5)</f>
        <v>ISTANBUL</v>
      </c>
      <c r="Q1880" s="35" t="str">
        <f>_xlfn.TEXTAFTER(mvtst[[#This Row],[QR Suivis]],"_",5)</f>
        <v>1020</v>
      </c>
      <c r="R1880" s="84" t="str">
        <f>IF(
   COUNTIFS($A$2:A1880,A1880,
             $B$2:B1880,B1880,
             $C$2:C1880,C1880,
             $D$2:D1880,D1880,
             $G$2:G1880,G1880)&gt;1,
   "Doublon",
   "Correcte"
)</f>
        <v>Correcte</v>
      </c>
    </row>
    <row r="1881" spans="1:18" x14ac:dyDescent="0.25">
      <c r="A1881" s="104" t="s">
        <v>2033</v>
      </c>
      <c r="B1881" s="35" t="s">
        <v>596</v>
      </c>
      <c r="C1881" s="36">
        <v>0</v>
      </c>
      <c r="D1881" s="36">
        <v>5</v>
      </c>
      <c r="E1881" s="35" t="s">
        <v>699</v>
      </c>
      <c r="F1881" s="35" t="s">
        <v>634</v>
      </c>
      <c r="G1881" s="37">
        <v>45943.599606481483</v>
      </c>
      <c r="H1881" s="37" t="str">
        <f>INDEX(_xlfn.TEXTSPLIT(mvtst[[#This Row],[QR Suivis]],"_"),1,1)</f>
        <v>OF249809-14</v>
      </c>
      <c r="I1881" s="35" t="str">
        <f>_xlfn.TEXTBEFORE(mvtst[[#This Row],[Num Suivis]],"-",,,1)</f>
        <v>OF249809</v>
      </c>
      <c r="J1881" s="36">
        <f>SUMIF(mvtst[QR Suivis],mvtst[[#This Row],[QR Suivis]],mvtst[QTE SORTIS])-SUMIF(mvtst[QR Suivis],mvtst[[#This Row],[QR Suivis]],mvtst[QTE RETOUR])</f>
        <v>0</v>
      </c>
      <c r="K1881" s="35" t="str">
        <f t="shared" si="32"/>
        <v>Usine</v>
      </c>
      <c r="L1881" s="35" t="str">
        <f>_xlfn.XLOOKUP(mvtst[[#This Row],[Sous Traitant]],coordonnee_st[Identification],coordonnee_st[SERVICE],"Non Trouvé")</f>
        <v>Frange</v>
      </c>
      <c r="M1881" s="35" t="str">
        <f>INDEX(_xlfn.TEXTSPLIT(mvtst[[#This Row],[QR Suivis]],"_"),1,2)</f>
        <v>CL00884</v>
      </c>
      <c r="N1881" s="35" t="str">
        <f>INDEX(_xlfn.TEXTSPLIT(mvtst[[#This Row],[QR Suivis]],"_"),1,3)</f>
        <v>CM-FT0119</v>
      </c>
      <c r="O1881" s="35" t="str">
        <f>INDEX(_xlfn.TEXTSPLIT(mvtst[[#This Row],[QR Suivis]],"_"),1,4)</f>
        <v>IS1020-B14-01</v>
      </c>
      <c r="P1881" s="35" t="str">
        <f>INDEX(_xlfn.TEXTSPLIT(mvtst[[#This Row],[QR Suivis]],"_"),1,5)</f>
        <v>ISTANBUL</v>
      </c>
      <c r="Q1881" s="35" t="str">
        <f>_xlfn.TEXTAFTER(mvtst[[#This Row],[QR Suivis]],"_",5)</f>
        <v>1020</v>
      </c>
      <c r="R1881" s="84" t="str">
        <f>IF(
   COUNTIFS($A$2:A1881,A1881,
             $B$2:B1881,B1881,
             $C$2:C1881,C1881,
             $D$2:D1881,D1881,
             $G$2:G1881,G1881)&gt;1,
   "Doublon",
   "Correcte"
)</f>
        <v>Correcte</v>
      </c>
    </row>
    <row r="1882" spans="1:18" x14ac:dyDescent="0.25">
      <c r="A1882" s="104" t="s">
        <v>1979</v>
      </c>
      <c r="B1882" s="35" t="s">
        <v>596</v>
      </c>
      <c r="C1882" s="36">
        <v>0</v>
      </c>
      <c r="D1882" s="36">
        <v>5</v>
      </c>
      <c r="E1882" s="35" t="s">
        <v>699</v>
      </c>
      <c r="F1882" s="35" t="s">
        <v>634</v>
      </c>
      <c r="G1882" s="37">
        <v>45943.599930555552</v>
      </c>
      <c r="H1882" s="37" t="str">
        <f>INDEX(_xlfn.TEXTSPLIT(mvtst[[#This Row],[QR Suivis]],"_"),1,1)</f>
        <v>OF249809-26</v>
      </c>
      <c r="I1882" s="35" t="str">
        <f>_xlfn.TEXTBEFORE(mvtst[[#This Row],[Num Suivis]],"-",,,1)</f>
        <v>OF249809</v>
      </c>
      <c r="J1882" s="36">
        <f>SUMIF(mvtst[QR Suivis],mvtst[[#This Row],[QR Suivis]],mvtst[QTE SORTIS])-SUMIF(mvtst[QR Suivis],mvtst[[#This Row],[QR Suivis]],mvtst[QTE RETOUR])</f>
        <v>0</v>
      </c>
      <c r="K1882" s="35" t="str">
        <f t="shared" si="32"/>
        <v>Usine</v>
      </c>
      <c r="L1882" s="35" t="str">
        <f>_xlfn.XLOOKUP(mvtst[[#This Row],[Sous Traitant]],coordonnee_st[Identification],coordonnee_st[SERVICE],"Non Trouvé")</f>
        <v>Frange</v>
      </c>
      <c r="M1882" s="35" t="str">
        <f>INDEX(_xlfn.TEXTSPLIT(mvtst[[#This Row],[QR Suivis]],"_"),1,2)</f>
        <v>CL00884</v>
      </c>
      <c r="N1882" s="35" t="str">
        <f>INDEX(_xlfn.TEXTSPLIT(mvtst[[#This Row],[QR Suivis]],"_"),1,3)</f>
        <v>CM-FT0119</v>
      </c>
      <c r="O1882" s="35" t="str">
        <f>INDEX(_xlfn.TEXTSPLIT(mvtst[[#This Row],[QR Suivis]],"_"),1,4)</f>
        <v>IS1020-B14-01</v>
      </c>
      <c r="P1882" s="35" t="str">
        <f>INDEX(_xlfn.TEXTSPLIT(mvtst[[#This Row],[QR Suivis]],"_"),1,5)</f>
        <v>ISTANBUL</v>
      </c>
      <c r="Q1882" s="35" t="str">
        <f>_xlfn.TEXTAFTER(mvtst[[#This Row],[QR Suivis]],"_",5)</f>
        <v>1020</v>
      </c>
      <c r="R1882" s="84" t="str">
        <f>IF(
   COUNTIFS($A$2:A1882,A1882,
             $B$2:B1882,B1882,
             $C$2:C1882,C1882,
             $D$2:D1882,D1882,
             $G$2:G1882,G1882)&gt;1,
   "Doublon",
   "Correcte"
)</f>
        <v>Correcte</v>
      </c>
    </row>
    <row r="1883" spans="1:18" x14ac:dyDescent="0.25">
      <c r="A1883" s="104" t="s">
        <v>2030</v>
      </c>
      <c r="B1883" s="35" t="s">
        <v>596</v>
      </c>
      <c r="C1883" s="36">
        <v>0</v>
      </c>
      <c r="D1883" s="36">
        <v>5</v>
      </c>
      <c r="E1883" s="35" t="s">
        <v>699</v>
      </c>
      <c r="F1883" s="35" t="s">
        <v>634</v>
      </c>
      <c r="G1883" s="37">
        <v>45943.600115740737</v>
      </c>
      <c r="H1883" s="37" t="str">
        <f>INDEX(_xlfn.TEXTSPLIT(mvtst[[#This Row],[QR Suivis]],"_"),1,1)</f>
        <v>OF249809-13</v>
      </c>
      <c r="I1883" s="35" t="str">
        <f>_xlfn.TEXTBEFORE(mvtst[[#This Row],[Num Suivis]],"-",,,1)</f>
        <v>OF249809</v>
      </c>
      <c r="J1883" s="36">
        <f>SUMIF(mvtst[QR Suivis],mvtst[[#This Row],[QR Suivis]],mvtst[QTE SORTIS])-SUMIF(mvtst[QR Suivis],mvtst[[#This Row],[QR Suivis]],mvtst[QTE RETOUR])</f>
        <v>0</v>
      </c>
      <c r="K1883" s="35" t="str">
        <f t="shared" si="32"/>
        <v>Usine</v>
      </c>
      <c r="L1883" s="35" t="str">
        <f>_xlfn.XLOOKUP(mvtst[[#This Row],[Sous Traitant]],coordonnee_st[Identification],coordonnee_st[SERVICE],"Non Trouvé")</f>
        <v>Frange</v>
      </c>
      <c r="M1883" s="35" t="str">
        <f>INDEX(_xlfn.TEXTSPLIT(mvtst[[#This Row],[QR Suivis]],"_"),1,2)</f>
        <v>CL00884</v>
      </c>
      <c r="N1883" s="35" t="str">
        <f>INDEX(_xlfn.TEXTSPLIT(mvtst[[#This Row],[QR Suivis]],"_"),1,3)</f>
        <v>CM-FT0119</v>
      </c>
      <c r="O1883" s="35" t="str">
        <f>INDEX(_xlfn.TEXTSPLIT(mvtst[[#This Row],[QR Suivis]],"_"),1,4)</f>
        <v>IS1020-B14-01</v>
      </c>
      <c r="P1883" s="35" t="str">
        <f>INDEX(_xlfn.TEXTSPLIT(mvtst[[#This Row],[QR Suivis]],"_"),1,5)</f>
        <v>ISTANBUL</v>
      </c>
      <c r="Q1883" s="35" t="str">
        <f>_xlfn.TEXTAFTER(mvtst[[#This Row],[QR Suivis]],"_",5)</f>
        <v>1020</v>
      </c>
      <c r="R1883" s="84" t="str">
        <f>IF(
   COUNTIFS($A$2:A1883,A1883,
             $B$2:B1883,B1883,
             $C$2:C1883,C1883,
             $D$2:D1883,D1883,
             $G$2:G1883,G1883)&gt;1,
   "Doublon",
   "Correcte"
)</f>
        <v>Correcte</v>
      </c>
    </row>
    <row r="1884" spans="1:18" x14ac:dyDescent="0.25">
      <c r="A1884" s="104" t="s">
        <v>1965</v>
      </c>
      <c r="B1884" s="35" t="s">
        <v>596</v>
      </c>
      <c r="C1884" s="36">
        <v>0</v>
      </c>
      <c r="D1884" s="36">
        <v>5</v>
      </c>
      <c r="E1884" s="35" t="s">
        <v>699</v>
      </c>
      <c r="F1884" s="35" t="s">
        <v>634</v>
      </c>
      <c r="G1884" s="37">
        <v>45943.600300925929</v>
      </c>
      <c r="H1884" s="37" t="str">
        <f>INDEX(_xlfn.TEXTSPLIT(mvtst[[#This Row],[QR Suivis]],"_"),1,1)</f>
        <v>OF249809-23</v>
      </c>
      <c r="I1884" s="35" t="str">
        <f>_xlfn.TEXTBEFORE(mvtst[[#This Row],[Num Suivis]],"-",,,1)</f>
        <v>OF249809</v>
      </c>
      <c r="J1884" s="36">
        <f>SUMIF(mvtst[QR Suivis],mvtst[[#This Row],[QR Suivis]],mvtst[QTE SORTIS])-SUMIF(mvtst[QR Suivis],mvtst[[#This Row],[QR Suivis]],mvtst[QTE RETOUR])</f>
        <v>0</v>
      </c>
      <c r="K1884" s="35" t="str">
        <f t="shared" si="32"/>
        <v>Usine</v>
      </c>
      <c r="L1884" s="35" t="str">
        <f>_xlfn.XLOOKUP(mvtst[[#This Row],[Sous Traitant]],coordonnee_st[Identification],coordonnee_st[SERVICE],"Non Trouvé")</f>
        <v>Frange</v>
      </c>
      <c r="M1884" s="35" t="str">
        <f>INDEX(_xlfn.TEXTSPLIT(mvtst[[#This Row],[QR Suivis]],"_"),1,2)</f>
        <v>CL00884</v>
      </c>
      <c r="N1884" s="35" t="str">
        <f>INDEX(_xlfn.TEXTSPLIT(mvtst[[#This Row],[QR Suivis]],"_"),1,3)</f>
        <v>CM-FT0119</v>
      </c>
      <c r="O1884" s="35" t="str">
        <f>INDEX(_xlfn.TEXTSPLIT(mvtst[[#This Row],[QR Suivis]],"_"),1,4)</f>
        <v>IS1020-B14-01</v>
      </c>
      <c r="P1884" s="35" t="str">
        <f>INDEX(_xlfn.TEXTSPLIT(mvtst[[#This Row],[QR Suivis]],"_"),1,5)</f>
        <v>ISTANBUL</v>
      </c>
      <c r="Q1884" s="35" t="str">
        <f>_xlfn.TEXTAFTER(mvtst[[#This Row],[QR Suivis]],"_",5)</f>
        <v>1020</v>
      </c>
      <c r="R1884" s="84" t="str">
        <f>IF(
   COUNTIFS($A$2:A1884,A1884,
             $B$2:B1884,B1884,
             $C$2:C1884,C1884,
             $D$2:D1884,D1884,
             $G$2:G1884,G1884)&gt;1,
   "Doublon",
   "Correcte"
)</f>
        <v>Correcte</v>
      </c>
    </row>
    <row r="1885" spans="1:18" x14ac:dyDescent="0.25">
      <c r="A1885" s="104" t="s">
        <v>1971</v>
      </c>
      <c r="B1885" s="35" t="s">
        <v>596</v>
      </c>
      <c r="C1885" s="36">
        <v>0</v>
      </c>
      <c r="D1885" s="36">
        <v>5</v>
      </c>
      <c r="E1885" s="35" t="s">
        <v>699</v>
      </c>
      <c r="F1885" s="35" t="s">
        <v>634</v>
      </c>
      <c r="G1885" s="37">
        <v>45943.600486111114</v>
      </c>
      <c r="H1885" s="37" t="str">
        <f>INDEX(_xlfn.TEXTSPLIT(mvtst[[#This Row],[QR Suivis]],"_"),1,1)</f>
        <v>OF249809-11</v>
      </c>
      <c r="I1885" s="35" t="str">
        <f>_xlfn.TEXTBEFORE(mvtst[[#This Row],[Num Suivis]],"-",,,1)</f>
        <v>OF249809</v>
      </c>
      <c r="J1885" s="36">
        <f>SUMIF(mvtst[QR Suivis],mvtst[[#This Row],[QR Suivis]],mvtst[QTE SORTIS])-SUMIF(mvtst[QR Suivis],mvtst[[#This Row],[QR Suivis]],mvtst[QTE RETOUR])</f>
        <v>0</v>
      </c>
      <c r="K1885" s="35" t="str">
        <f t="shared" si="32"/>
        <v>Usine</v>
      </c>
      <c r="L1885" s="35" t="str">
        <f>_xlfn.XLOOKUP(mvtst[[#This Row],[Sous Traitant]],coordonnee_st[Identification],coordonnee_st[SERVICE],"Non Trouvé")</f>
        <v>Frange</v>
      </c>
      <c r="M1885" s="35" t="str">
        <f>INDEX(_xlfn.TEXTSPLIT(mvtst[[#This Row],[QR Suivis]],"_"),1,2)</f>
        <v>CL00884</v>
      </c>
      <c r="N1885" s="35" t="str">
        <f>INDEX(_xlfn.TEXTSPLIT(mvtst[[#This Row],[QR Suivis]],"_"),1,3)</f>
        <v>CM-FT0119</v>
      </c>
      <c r="O1885" s="35" t="str">
        <f>INDEX(_xlfn.TEXTSPLIT(mvtst[[#This Row],[QR Suivis]],"_"),1,4)</f>
        <v>IS1020-B14-01</v>
      </c>
      <c r="P1885" s="35" t="str">
        <f>INDEX(_xlfn.TEXTSPLIT(mvtst[[#This Row],[QR Suivis]],"_"),1,5)</f>
        <v>ISTANBUL</v>
      </c>
      <c r="Q1885" s="35" t="str">
        <f>_xlfn.TEXTAFTER(mvtst[[#This Row],[QR Suivis]],"_",5)</f>
        <v>1020</v>
      </c>
      <c r="R1885" s="84" t="str">
        <f>IF(
   COUNTIFS($A$2:A1885,A1885,
             $B$2:B1885,B1885,
             $C$2:C1885,C1885,
             $D$2:D1885,D1885,
             $G$2:G1885,G1885)&gt;1,
   "Doublon",
   "Correcte"
)</f>
        <v>Correcte</v>
      </c>
    </row>
    <row r="1886" spans="1:18" x14ac:dyDescent="0.25">
      <c r="A1886" s="104" t="s">
        <v>1974</v>
      </c>
      <c r="B1886" s="35" t="s">
        <v>596</v>
      </c>
      <c r="C1886" s="36">
        <v>0</v>
      </c>
      <c r="D1886" s="36">
        <v>5</v>
      </c>
      <c r="E1886" s="35" t="s">
        <v>699</v>
      </c>
      <c r="F1886" s="35" t="s">
        <v>634</v>
      </c>
      <c r="G1886" s="37">
        <v>45943.600763888891</v>
      </c>
      <c r="H1886" s="37" t="str">
        <f>INDEX(_xlfn.TEXTSPLIT(mvtst[[#This Row],[QR Suivis]],"_"),1,1)</f>
        <v>OF249809-20</v>
      </c>
      <c r="I1886" s="35" t="str">
        <f>_xlfn.TEXTBEFORE(mvtst[[#This Row],[Num Suivis]],"-",,,1)</f>
        <v>OF249809</v>
      </c>
      <c r="J1886" s="36">
        <f>SUMIF(mvtst[QR Suivis],mvtst[[#This Row],[QR Suivis]],mvtst[QTE SORTIS])-SUMIF(mvtst[QR Suivis],mvtst[[#This Row],[QR Suivis]],mvtst[QTE RETOUR])</f>
        <v>0</v>
      </c>
      <c r="K1886" s="35" t="str">
        <f t="shared" si="32"/>
        <v>Usine</v>
      </c>
      <c r="L1886" s="35" t="str">
        <f>_xlfn.XLOOKUP(mvtst[[#This Row],[Sous Traitant]],coordonnee_st[Identification],coordonnee_st[SERVICE],"Non Trouvé")</f>
        <v>Frange</v>
      </c>
      <c r="M1886" s="35" t="str">
        <f>INDEX(_xlfn.TEXTSPLIT(mvtst[[#This Row],[QR Suivis]],"_"),1,2)</f>
        <v>CL00884</v>
      </c>
      <c r="N1886" s="35" t="str">
        <f>INDEX(_xlfn.TEXTSPLIT(mvtst[[#This Row],[QR Suivis]],"_"),1,3)</f>
        <v>CM-FT0119</v>
      </c>
      <c r="O1886" s="35" t="str">
        <f>INDEX(_xlfn.TEXTSPLIT(mvtst[[#This Row],[QR Suivis]],"_"),1,4)</f>
        <v>IS1020-B14-01</v>
      </c>
      <c r="P1886" s="35" t="str">
        <f>INDEX(_xlfn.TEXTSPLIT(mvtst[[#This Row],[QR Suivis]],"_"),1,5)</f>
        <v>ISTANBUL</v>
      </c>
      <c r="Q1886" s="35" t="str">
        <f>_xlfn.TEXTAFTER(mvtst[[#This Row],[QR Suivis]],"_",5)</f>
        <v>1020</v>
      </c>
      <c r="R1886" s="84" t="str">
        <f>IF(
   COUNTIFS($A$2:A1886,A1886,
             $B$2:B1886,B1886,
             $C$2:C1886,C1886,
             $D$2:D1886,D1886,
             $G$2:G1886,G1886)&gt;1,
   "Doublon",
   "Correcte"
)</f>
        <v>Correcte</v>
      </c>
    </row>
    <row r="1887" spans="1:18" x14ac:dyDescent="0.25">
      <c r="A1887" s="104" t="s">
        <v>2035</v>
      </c>
      <c r="B1887" s="35" t="s">
        <v>596</v>
      </c>
      <c r="C1887" s="36">
        <v>0</v>
      </c>
      <c r="D1887" s="36">
        <v>5</v>
      </c>
      <c r="E1887" s="35" t="s">
        <v>699</v>
      </c>
      <c r="F1887" s="35" t="s">
        <v>634</v>
      </c>
      <c r="G1887" s="37">
        <v>45943.600902777776</v>
      </c>
      <c r="H1887" s="37" t="str">
        <f>INDEX(_xlfn.TEXTSPLIT(mvtst[[#This Row],[QR Suivis]],"_"),1,1)</f>
        <v>OF249809-15</v>
      </c>
      <c r="I1887" s="35" t="str">
        <f>_xlfn.TEXTBEFORE(mvtst[[#This Row],[Num Suivis]],"-",,,1)</f>
        <v>OF249809</v>
      </c>
      <c r="J1887" s="36">
        <f>SUMIF(mvtst[QR Suivis],mvtst[[#This Row],[QR Suivis]],mvtst[QTE SORTIS])-SUMIF(mvtst[QR Suivis],mvtst[[#This Row],[QR Suivis]],mvtst[QTE RETOUR])</f>
        <v>0</v>
      </c>
      <c r="K1887" s="35" t="str">
        <f t="shared" si="32"/>
        <v>Usine</v>
      </c>
      <c r="L1887" s="35" t="str">
        <f>_xlfn.XLOOKUP(mvtst[[#This Row],[Sous Traitant]],coordonnee_st[Identification],coordonnee_st[SERVICE],"Non Trouvé")</f>
        <v>Frange</v>
      </c>
      <c r="M1887" s="35" t="str">
        <f>INDEX(_xlfn.TEXTSPLIT(mvtst[[#This Row],[QR Suivis]],"_"),1,2)</f>
        <v>CL00884</v>
      </c>
      <c r="N1887" s="35" t="str">
        <f>INDEX(_xlfn.TEXTSPLIT(mvtst[[#This Row],[QR Suivis]],"_"),1,3)</f>
        <v>CM-FT0119</v>
      </c>
      <c r="O1887" s="35" t="str">
        <f>INDEX(_xlfn.TEXTSPLIT(mvtst[[#This Row],[QR Suivis]],"_"),1,4)</f>
        <v>IS1020-B14-01</v>
      </c>
      <c r="P1887" s="35" t="str">
        <f>INDEX(_xlfn.TEXTSPLIT(mvtst[[#This Row],[QR Suivis]],"_"),1,5)</f>
        <v>ISTANBUL</v>
      </c>
      <c r="Q1887" s="35" t="str">
        <f>_xlfn.TEXTAFTER(mvtst[[#This Row],[QR Suivis]],"_",5)</f>
        <v>1020</v>
      </c>
      <c r="R1887" s="84" t="str">
        <f>IF(
   COUNTIFS($A$2:A1887,A1887,
             $B$2:B1887,B1887,
             $C$2:C1887,C1887,
             $D$2:D1887,D1887,
             $G$2:G1887,G1887)&gt;1,
   "Doublon",
   "Correcte"
)</f>
        <v>Correcte</v>
      </c>
    </row>
    <row r="1888" spans="1:18" x14ac:dyDescent="0.25">
      <c r="A1888" s="104" t="s">
        <v>1972</v>
      </c>
      <c r="B1888" s="35" t="s">
        <v>596</v>
      </c>
      <c r="C1888" s="36">
        <v>0</v>
      </c>
      <c r="D1888" s="36">
        <v>5</v>
      </c>
      <c r="E1888" s="35" t="s">
        <v>699</v>
      </c>
      <c r="F1888" s="35" t="s">
        <v>634</v>
      </c>
      <c r="G1888" s="37">
        <v>45943.601469907408</v>
      </c>
      <c r="H1888" s="37" t="str">
        <f>INDEX(_xlfn.TEXTSPLIT(mvtst[[#This Row],[QR Suivis]],"_"),1,1)</f>
        <v>OF249809-17</v>
      </c>
      <c r="I1888" s="35" t="str">
        <f>_xlfn.TEXTBEFORE(mvtst[[#This Row],[Num Suivis]],"-",,,1)</f>
        <v>OF249809</v>
      </c>
      <c r="J1888" s="36">
        <f>SUMIF(mvtst[QR Suivis],mvtst[[#This Row],[QR Suivis]],mvtst[QTE SORTIS])-SUMIF(mvtst[QR Suivis],mvtst[[#This Row],[QR Suivis]],mvtst[QTE RETOUR])</f>
        <v>0</v>
      </c>
      <c r="K1888" s="35" t="str">
        <f t="shared" si="32"/>
        <v>Usine</v>
      </c>
      <c r="L1888" s="35" t="str">
        <f>_xlfn.XLOOKUP(mvtst[[#This Row],[Sous Traitant]],coordonnee_st[Identification],coordonnee_st[SERVICE],"Non Trouvé")</f>
        <v>Frange</v>
      </c>
      <c r="M1888" s="35" t="str">
        <f>INDEX(_xlfn.TEXTSPLIT(mvtst[[#This Row],[QR Suivis]],"_"),1,2)</f>
        <v>CL00884</v>
      </c>
      <c r="N1888" s="35" t="str">
        <f>INDEX(_xlfn.TEXTSPLIT(mvtst[[#This Row],[QR Suivis]],"_"),1,3)</f>
        <v>CM-FT0119</v>
      </c>
      <c r="O1888" s="35" t="str">
        <f>INDEX(_xlfn.TEXTSPLIT(mvtst[[#This Row],[QR Suivis]],"_"),1,4)</f>
        <v>IS1020-B14-01</v>
      </c>
      <c r="P1888" s="35" t="str">
        <f>INDEX(_xlfn.TEXTSPLIT(mvtst[[#This Row],[QR Suivis]],"_"),1,5)</f>
        <v>ISTANBUL</v>
      </c>
      <c r="Q1888" s="35" t="str">
        <f>_xlfn.TEXTAFTER(mvtst[[#This Row],[QR Suivis]],"_",5)</f>
        <v>1020</v>
      </c>
      <c r="R1888" s="84" t="str">
        <f>IF(
   COUNTIFS($A$2:A1888,A1888,
             $B$2:B1888,B1888,
             $C$2:C1888,C1888,
             $D$2:D1888,D1888,
             $G$2:G1888,G1888)&gt;1,
   "Doublon",
   "Correcte"
)</f>
        <v>Correcte</v>
      </c>
    </row>
    <row r="1889" spans="1:18" x14ac:dyDescent="0.25">
      <c r="A1889" s="104" t="s">
        <v>1981</v>
      </c>
      <c r="B1889" s="35" t="s">
        <v>596</v>
      </c>
      <c r="C1889" s="36">
        <v>0</v>
      </c>
      <c r="D1889" s="36">
        <v>5</v>
      </c>
      <c r="E1889" s="35" t="s">
        <v>699</v>
      </c>
      <c r="F1889" s="35" t="s">
        <v>634</v>
      </c>
      <c r="G1889" s="37">
        <v>45943.6016087963</v>
      </c>
      <c r="H1889" s="37" t="str">
        <f>INDEX(_xlfn.TEXTSPLIT(mvtst[[#This Row],[QR Suivis]],"_"),1,1)</f>
        <v>OF249809-28</v>
      </c>
      <c r="I1889" s="35" t="str">
        <f>_xlfn.TEXTBEFORE(mvtst[[#This Row],[Num Suivis]],"-",,,1)</f>
        <v>OF249809</v>
      </c>
      <c r="J1889" s="36">
        <f>SUMIF(mvtst[QR Suivis],mvtst[[#This Row],[QR Suivis]],mvtst[QTE SORTIS])-SUMIF(mvtst[QR Suivis],mvtst[[#This Row],[QR Suivis]],mvtst[QTE RETOUR])</f>
        <v>0</v>
      </c>
      <c r="K1889" s="35" t="str">
        <f t="shared" si="32"/>
        <v>Usine</v>
      </c>
      <c r="L1889" s="35" t="str">
        <f>_xlfn.XLOOKUP(mvtst[[#This Row],[Sous Traitant]],coordonnee_st[Identification],coordonnee_st[SERVICE],"Non Trouvé")</f>
        <v>Frange</v>
      </c>
      <c r="M1889" s="35" t="str">
        <f>INDEX(_xlfn.TEXTSPLIT(mvtst[[#This Row],[QR Suivis]],"_"),1,2)</f>
        <v>CL00884</v>
      </c>
      <c r="N1889" s="35" t="str">
        <f>INDEX(_xlfn.TEXTSPLIT(mvtst[[#This Row],[QR Suivis]],"_"),1,3)</f>
        <v>CM-FT0119</v>
      </c>
      <c r="O1889" s="35" t="str">
        <f>INDEX(_xlfn.TEXTSPLIT(mvtst[[#This Row],[QR Suivis]],"_"),1,4)</f>
        <v>IS1020-B14-01</v>
      </c>
      <c r="P1889" s="35" t="str">
        <f>INDEX(_xlfn.TEXTSPLIT(mvtst[[#This Row],[QR Suivis]],"_"),1,5)</f>
        <v>ISTANBUL</v>
      </c>
      <c r="Q1889" s="35" t="str">
        <f>_xlfn.TEXTAFTER(mvtst[[#This Row],[QR Suivis]],"_",5)</f>
        <v>1020</v>
      </c>
      <c r="R1889" s="84" t="str">
        <f>IF(
   COUNTIFS($A$2:A1889,A1889,
             $B$2:B1889,B1889,
             $C$2:C1889,C1889,
             $D$2:D1889,D1889,
             $G$2:G1889,G1889)&gt;1,
   "Doublon",
   "Correcte"
)</f>
        <v>Correcte</v>
      </c>
    </row>
    <row r="1890" spans="1:18" x14ac:dyDescent="0.25">
      <c r="A1890" s="104" t="s">
        <v>2032</v>
      </c>
      <c r="B1890" s="35" t="s">
        <v>596</v>
      </c>
      <c r="C1890" s="36">
        <v>0</v>
      </c>
      <c r="D1890" s="36">
        <v>5</v>
      </c>
      <c r="E1890" s="35" t="s">
        <v>699</v>
      </c>
      <c r="F1890" s="35" t="s">
        <v>634</v>
      </c>
      <c r="G1890" s="37">
        <v>45943.60193287037</v>
      </c>
      <c r="H1890" s="37" t="str">
        <f>INDEX(_xlfn.TEXTSPLIT(mvtst[[#This Row],[QR Suivis]],"_"),1,1)</f>
        <v>OF249809-8</v>
      </c>
      <c r="I1890" s="35" t="str">
        <f>_xlfn.TEXTBEFORE(mvtst[[#This Row],[Num Suivis]],"-",,,1)</f>
        <v>OF249809</v>
      </c>
      <c r="J1890" s="36">
        <f>SUMIF(mvtst[QR Suivis],mvtst[[#This Row],[QR Suivis]],mvtst[QTE SORTIS])-SUMIF(mvtst[QR Suivis],mvtst[[#This Row],[QR Suivis]],mvtst[QTE RETOUR])</f>
        <v>0</v>
      </c>
      <c r="K1890" s="35" t="str">
        <f t="shared" si="32"/>
        <v>Usine</v>
      </c>
      <c r="L1890" s="35" t="str">
        <f>_xlfn.XLOOKUP(mvtst[[#This Row],[Sous Traitant]],coordonnee_st[Identification],coordonnee_st[SERVICE],"Non Trouvé")</f>
        <v>Frange</v>
      </c>
      <c r="M1890" s="35" t="str">
        <f>INDEX(_xlfn.TEXTSPLIT(mvtst[[#This Row],[QR Suivis]],"_"),1,2)</f>
        <v>CL00884</v>
      </c>
      <c r="N1890" s="35" t="str">
        <f>INDEX(_xlfn.TEXTSPLIT(mvtst[[#This Row],[QR Suivis]],"_"),1,3)</f>
        <v>CM-FT0119</v>
      </c>
      <c r="O1890" s="35" t="str">
        <f>INDEX(_xlfn.TEXTSPLIT(mvtst[[#This Row],[QR Suivis]],"_"),1,4)</f>
        <v>IS1020-B14-01</v>
      </c>
      <c r="P1890" s="35" t="str">
        <f>INDEX(_xlfn.TEXTSPLIT(mvtst[[#This Row],[QR Suivis]],"_"),1,5)</f>
        <v>ISTANBUL</v>
      </c>
      <c r="Q1890" s="35" t="str">
        <f>_xlfn.TEXTAFTER(mvtst[[#This Row],[QR Suivis]],"_",5)</f>
        <v>1020</v>
      </c>
      <c r="R1890" s="84" t="str">
        <f>IF(
   COUNTIFS($A$2:A1890,A1890,
             $B$2:B1890,B1890,
             $C$2:C1890,C1890,
             $D$2:D1890,D1890,
             $G$2:G1890,G1890)&gt;1,
   "Doublon",
   "Correcte"
)</f>
        <v>Correcte</v>
      </c>
    </row>
    <row r="1891" spans="1:18" x14ac:dyDescent="0.25">
      <c r="A1891" s="104" t="s">
        <v>1980</v>
      </c>
      <c r="B1891" s="35" t="s">
        <v>596</v>
      </c>
      <c r="C1891" s="36">
        <v>0</v>
      </c>
      <c r="D1891" s="36">
        <v>5</v>
      </c>
      <c r="E1891" s="35" t="s">
        <v>699</v>
      </c>
      <c r="F1891" s="35" t="s">
        <v>634</v>
      </c>
      <c r="G1891" s="37">
        <v>45943.602048611108</v>
      </c>
      <c r="H1891" s="37" t="str">
        <f>INDEX(_xlfn.TEXTSPLIT(mvtst[[#This Row],[QR Suivis]],"_"),1,1)</f>
        <v>OF249809-21</v>
      </c>
      <c r="I1891" s="35" t="str">
        <f>_xlfn.TEXTBEFORE(mvtst[[#This Row],[Num Suivis]],"-",,,1)</f>
        <v>OF249809</v>
      </c>
      <c r="J1891" s="36">
        <f>SUMIF(mvtst[QR Suivis],mvtst[[#This Row],[QR Suivis]],mvtst[QTE SORTIS])-SUMIF(mvtst[QR Suivis],mvtst[[#This Row],[QR Suivis]],mvtst[QTE RETOUR])</f>
        <v>0</v>
      </c>
      <c r="K1891" s="35" t="str">
        <f t="shared" si="32"/>
        <v>Usine</v>
      </c>
      <c r="L1891" s="35" t="str">
        <f>_xlfn.XLOOKUP(mvtst[[#This Row],[Sous Traitant]],coordonnee_st[Identification],coordonnee_st[SERVICE],"Non Trouvé")</f>
        <v>Frange</v>
      </c>
      <c r="M1891" s="35" t="str">
        <f>INDEX(_xlfn.TEXTSPLIT(mvtst[[#This Row],[QR Suivis]],"_"),1,2)</f>
        <v>CL00884</v>
      </c>
      <c r="N1891" s="35" t="str">
        <f>INDEX(_xlfn.TEXTSPLIT(mvtst[[#This Row],[QR Suivis]],"_"),1,3)</f>
        <v>CM-FT0119</v>
      </c>
      <c r="O1891" s="35" t="str">
        <f>INDEX(_xlfn.TEXTSPLIT(mvtst[[#This Row],[QR Suivis]],"_"),1,4)</f>
        <v>IS1020-B14-01</v>
      </c>
      <c r="P1891" s="35" t="str">
        <f>INDEX(_xlfn.TEXTSPLIT(mvtst[[#This Row],[QR Suivis]],"_"),1,5)</f>
        <v>ISTANBUL</v>
      </c>
      <c r="Q1891" s="35" t="str">
        <f>_xlfn.TEXTAFTER(mvtst[[#This Row],[QR Suivis]],"_",5)</f>
        <v>1020</v>
      </c>
      <c r="R1891" s="84" t="str">
        <f>IF(
   COUNTIFS($A$2:A1891,A1891,
             $B$2:B1891,B1891,
             $C$2:C1891,C1891,
             $D$2:D1891,D1891,
             $G$2:G1891,G1891)&gt;1,
   "Doublon",
   "Correcte"
)</f>
        <v>Correcte</v>
      </c>
    </row>
    <row r="1892" spans="1:18" x14ac:dyDescent="0.25">
      <c r="A1892" s="104" t="s">
        <v>2034</v>
      </c>
      <c r="B1892" s="35" t="s">
        <v>596</v>
      </c>
      <c r="C1892" s="36">
        <v>0</v>
      </c>
      <c r="D1892" s="36">
        <v>5</v>
      </c>
      <c r="E1892" s="35" t="s">
        <v>699</v>
      </c>
      <c r="F1892" s="35" t="s">
        <v>634</v>
      </c>
      <c r="G1892" s="37">
        <v>45943.602326388886</v>
      </c>
      <c r="H1892" s="37" t="str">
        <f>INDEX(_xlfn.TEXTSPLIT(mvtst[[#This Row],[QR Suivis]],"_"),1,1)</f>
        <v>OF249809-16</v>
      </c>
      <c r="I1892" s="35" t="str">
        <f>_xlfn.TEXTBEFORE(mvtst[[#This Row],[Num Suivis]],"-",,,1)</f>
        <v>OF249809</v>
      </c>
      <c r="J1892" s="36">
        <f>SUMIF(mvtst[QR Suivis],mvtst[[#This Row],[QR Suivis]],mvtst[QTE SORTIS])-SUMIF(mvtst[QR Suivis],mvtst[[#This Row],[QR Suivis]],mvtst[QTE RETOUR])</f>
        <v>0</v>
      </c>
      <c r="K1892" s="35" t="str">
        <f t="shared" si="32"/>
        <v>Usine</v>
      </c>
      <c r="L1892" s="35" t="str">
        <f>_xlfn.XLOOKUP(mvtst[[#This Row],[Sous Traitant]],coordonnee_st[Identification],coordonnee_st[SERVICE],"Non Trouvé")</f>
        <v>Frange</v>
      </c>
      <c r="M1892" s="35" t="str">
        <f>INDEX(_xlfn.TEXTSPLIT(mvtst[[#This Row],[QR Suivis]],"_"),1,2)</f>
        <v>CL00884</v>
      </c>
      <c r="N1892" s="35" t="str">
        <f>INDEX(_xlfn.TEXTSPLIT(mvtst[[#This Row],[QR Suivis]],"_"),1,3)</f>
        <v>CM-FT0119</v>
      </c>
      <c r="O1892" s="35" t="str">
        <f>INDEX(_xlfn.TEXTSPLIT(mvtst[[#This Row],[QR Suivis]],"_"),1,4)</f>
        <v>IS1020-B14-01</v>
      </c>
      <c r="P1892" s="35" t="str">
        <f>INDEX(_xlfn.TEXTSPLIT(mvtst[[#This Row],[QR Suivis]],"_"),1,5)</f>
        <v>ISTANBUL</v>
      </c>
      <c r="Q1892" s="35" t="str">
        <f>_xlfn.TEXTAFTER(mvtst[[#This Row],[QR Suivis]],"_",5)</f>
        <v>1020</v>
      </c>
      <c r="R1892" s="84" t="str">
        <f>IF(
   COUNTIFS($A$2:A1892,A1892,
             $B$2:B1892,B1892,
             $C$2:C1892,C1892,
             $D$2:D1892,D1892,
             $G$2:G1892,G1892)&gt;1,
   "Doublon",
   "Correcte"
)</f>
        <v>Correcte</v>
      </c>
    </row>
    <row r="1893" spans="1:18" x14ac:dyDescent="0.25">
      <c r="A1893" s="104" t="s">
        <v>1966</v>
      </c>
      <c r="B1893" s="35" t="s">
        <v>596</v>
      </c>
      <c r="C1893" s="36">
        <v>0</v>
      </c>
      <c r="D1893" s="36">
        <v>5</v>
      </c>
      <c r="E1893" s="35" t="s">
        <v>699</v>
      </c>
      <c r="F1893" s="35" t="s">
        <v>634</v>
      </c>
      <c r="G1893" s="37">
        <v>45943.602511574078</v>
      </c>
      <c r="H1893" s="37" t="str">
        <f>INDEX(_xlfn.TEXTSPLIT(mvtst[[#This Row],[QR Suivis]],"_"),1,1)</f>
        <v>OF249809-12</v>
      </c>
      <c r="I1893" s="35" t="str">
        <f>_xlfn.TEXTBEFORE(mvtst[[#This Row],[Num Suivis]],"-",,,1)</f>
        <v>OF249809</v>
      </c>
      <c r="J1893" s="36">
        <f>SUMIF(mvtst[QR Suivis],mvtst[[#This Row],[QR Suivis]],mvtst[QTE SORTIS])-SUMIF(mvtst[QR Suivis],mvtst[[#This Row],[QR Suivis]],mvtst[QTE RETOUR])</f>
        <v>0</v>
      </c>
      <c r="K1893" s="35" t="str">
        <f t="shared" si="32"/>
        <v>Usine</v>
      </c>
      <c r="L1893" s="35" t="str">
        <f>_xlfn.XLOOKUP(mvtst[[#This Row],[Sous Traitant]],coordonnee_st[Identification],coordonnee_st[SERVICE],"Non Trouvé")</f>
        <v>Frange</v>
      </c>
      <c r="M1893" s="35" t="str">
        <f>INDEX(_xlfn.TEXTSPLIT(mvtst[[#This Row],[QR Suivis]],"_"),1,2)</f>
        <v>CL00884</v>
      </c>
      <c r="N1893" s="35" t="str">
        <f>INDEX(_xlfn.TEXTSPLIT(mvtst[[#This Row],[QR Suivis]],"_"),1,3)</f>
        <v>CM-FT0119</v>
      </c>
      <c r="O1893" s="35" t="str">
        <f>INDEX(_xlfn.TEXTSPLIT(mvtst[[#This Row],[QR Suivis]],"_"),1,4)</f>
        <v>IS1020-B14-01</v>
      </c>
      <c r="P1893" s="35" t="str">
        <f>INDEX(_xlfn.TEXTSPLIT(mvtst[[#This Row],[QR Suivis]],"_"),1,5)</f>
        <v>ISTANBUL</v>
      </c>
      <c r="Q1893" s="35" t="str">
        <f>_xlfn.TEXTAFTER(mvtst[[#This Row],[QR Suivis]],"_",5)</f>
        <v>1020</v>
      </c>
      <c r="R1893" s="84" t="str">
        <f>IF(
   COUNTIFS($A$2:A1893,A1893,
             $B$2:B1893,B1893,
             $C$2:C1893,C1893,
             $D$2:D1893,D1893,
             $G$2:G1893,G1893)&gt;1,
   "Doublon",
   "Correcte"
)</f>
        <v>Correcte</v>
      </c>
    </row>
    <row r="1894" spans="1:18" x14ac:dyDescent="0.25">
      <c r="A1894" s="104" t="s">
        <v>2031</v>
      </c>
      <c r="B1894" s="35" t="s">
        <v>596</v>
      </c>
      <c r="C1894" s="36">
        <v>0</v>
      </c>
      <c r="D1894" s="36">
        <v>5</v>
      </c>
      <c r="E1894" s="35" t="s">
        <v>699</v>
      </c>
      <c r="F1894" s="35" t="s">
        <v>634</v>
      </c>
      <c r="G1894" s="37">
        <v>45943.602743055555</v>
      </c>
      <c r="H1894" s="37" t="str">
        <f>INDEX(_xlfn.TEXTSPLIT(mvtst[[#This Row],[QR Suivis]],"_"),1,1)</f>
        <v>OF249809-5</v>
      </c>
      <c r="I1894" s="35" t="str">
        <f>_xlfn.TEXTBEFORE(mvtst[[#This Row],[Num Suivis]],"-",,,1)</f>
        <v>OF249809</v>
      </c>
      <c r="J1894" s="36">
        <f>SUMIF(mvtst[QR Suivis],mvtst[[#This Row],[QR Suivis]],mvtst[QTE SORTIS])-SUMIF(mvtst[QR Suivis],mvtst[[#This Row],[QR Suivis]],mvtst[QTE RETOUR])</f>
        <v>0</v>
      </c>
      <c r="K1894" s="35" t="str">
        <f t="shared" si="32"/>
        <v>Usine</v>
      </c>
      <c r="L1894" s="35" t="str">
        <f>_xlfn.XLOOKUP(mvtst[[#This Row],[Sous Traitant]],coordonnee_st[Identification],coordonnee_st[SERVICE],"Non Trouvé")</f>
        <v>Frange</v>
      </c>
      <c r="M1894" s="35" t="str">
        <f>INDEX(_xlfn.TEXTSPLIT(mvtst[[#This Row],[QR Suivis]],"_"),1,2)</f>
        <v>CL00884</v>
      </c>
      <c r="N1894" s="35" t="str">
        <f>INDEX(_xlfn.TEXTSPLIT(mvtst[[#This Row],[QR Suivis]],"_"),1,3)</f>
        <v>CM-FT0119</v>
      </c>
      <c r="O1894" s="35" t="str">
        <f>INDEX(_xlfn.TEXTSPLIT(mvtst[[#This Row],[QR Suivis]],"_"),1,4)</f>
        <v>IS1020-B14-01</v>
      </c>
      <c r="P1894" s="35" t="str">
        <f>INDEX(_xlfn.TEXTSPLIT(mvtst[[#This Row],[QR Suivis]],"_"),1,5)</f>
        <v>ISTANBUL</v>
      </c>
      <c r="Q1894" s="35" t="str">
        <f>_xlfn.TEXTAFTER(mvtst[[#This Row],[QR Suivis]],"_",5)</f>
        <v>1020</v>
      </c>
      <c r="R1894" s="84" t="str">
        <f>IF(
   COUNTIFS($A$2:A1894,A1894,
             $B$2:B1894,B1894,
             $C$2:C1894,C1894,
             $D$2:D1894,D1894,
             $G$2:G1894,G1894)&gt;1,
   "Doublon",
   "Correcte"
)</f>
        <v>Correcte</v>
      </c>
    </row>
    <row r="1895" spans="1:18" x14ac:dyDescent="0.25">
      <c r="A1895" s="104" t="s">
        <v>1968</v>
      </c>
      <c r="B1895" s="35" t="s">
        <v>596</v>
      </c>
      <c r="C1895" s="36">
        <v>0</v>
      </c>
      <c r="D1895" s="36">
        <v>5</v>
      </c>
      <c r="E1895" s="35" t="s">
        <v>699</v>
      </c>
      <c r="F1895" s="35" t="s">
        <v>634</v>
      </c>
      <c r="G1895" s="37">
        <v>45943.60292824074</v>
      </c>
      <c r="H1895" s="37" t="str">
        <f>INDEX(_xlfn.TEXTSPLIT(mvtst[[#This Row],[QR Suivis]],"_"),1,1)</f>
        <v>OF249809-9</v>
      </c>
      <c r="I1895" s="35" t="str">
        <f>_xlfn.TEXTBEFORE(mvtst[[#This Row],[Num Suivis]],"-",,,1)</f>
        <v>OF249809</v>
      </c>
      <c r="J1895" s="36">
        <f>SUMIF(mvtst[QR Suivis],mvtst[[#This Row],[QR Suivis]],mvtst[QTE SORTIS])-SUMIF(mvtst[QR Suivis],mvtst[[#This Row],[QR Suivis]],mvtst[QTE RETOUR])</f>
        <v>0</v>
      </c>
      <c r="K1895" s="35" t="str">
        <f t="shared" si="32"/>
        <v>Usine</v>
      </c>
      <c r="L1895" s="35" t="str">
        <f>_xlfn.XLOOKUP(mvtst[[#This Row],[Sous Traitant]],coordonnee_st[Identification],coordonnee_st[SERVICE],"Non Trouvé")</f>
        <v>Frange</v>
      </c>
      <c r="M1895" s="35" t="str">
        <f>INDEX(_xlfn.TEXTSPLIT(mvtst[[#This Row],[QR Suivis]],"_"),1,2)</f>
        <v>CL00884</v>
      </c>
      <c r="N1895" s="35" t="str">
        <f>INDEX(_xlfn.TEXTSPLIT(mvtst[[#This Row],[QR Suivis]],"_"),1,3)</f>
        <v>CM-FT0119</v>
      </c>
      <c r="O1895" s="35" t="str">
        <f>INDEX(_xlfn.TEXTSPLIT(mvtst[[#This Row],[QR Suivis]],"_"),1,4)</f>
        <v>IS1020-B14-01</v>
      </c>
      <c r="P1895" s="35" t="str">
        <f>INDEX(_xlfn.TEXTSPLIT(mvtst[[#This Row],[QR Suivis]],"_"),1,5)</f>
        <v>ISTANBUL</v>
      </c>
      <c r="Q1895" s="35" t="str">
        <f>_xlfn.TEXTAFTER(mvtst[[#This Row],[QR Suivis]],"_",5)</f>
        <v>1020</v>
      </c>
      <c r="R1895" s="84" t="str">
        <f>IF(
   COUNTIFS($A$2:A1895,A1895,
             $B$2:B1895,B1895,
             $C$2:C1895,C1895,
             $D$2:D1895,D1895,
             $G$2:G1895,G1895)&gt;1,
   "Doublon",
   "Correcte"
)</f>
        <v>Correcte</v>
      </c>
    </row>
    <row r="1896" spans="1:18" x14ac:dyDescent="0.25">
      <c r="A1896" s="104" t="s">
        <v>1967</v>
      </c>
      <c r="B1896" s="35" t="s">
        <v>596</v>
      </c>
      <c r="C1896" s="36">
        <v>0</v>
      </c>
      <c r="D1896" s="36">
        <v>5</v>
      </c>
      <c r="E1896" s="35" t="s">
        <v>699</v>
      </c>
      <c r="F1896" s="35" t="s">
        <v>634</v>
      </c>
      <c r="G1896" s="37">
        <v>45943.603136574071</v>
      </c>
      <c r="H1896" s="37" t="str">
        <f>INDEX(_xlfn.TEXTSPLIT(mvtst[[#This Row],[QR Suivis]],"_"),1,1)</f>
        <v>OF249809-19</v>
      </c>
      <c r="I1896" s="35" t="str">
        <f>_xlfn.TEXTBEFORE(mvtst[[#This Row],[Num Suivis]],"-",,,1)</f>
        <v>OF249809</v>
      </c>
      <c r="J1896" s="36">
        <f>SUMIF(mvtst[QR Suivis],mvtst[[#This Row],[QR Suivis]],mvtst[QTE SORTIS])-SUMIF(mvtst[QR Suivis],mvtst[[#This Row],[QR Suivis]],mvtst[QTE RETOUR])</f>
        <v>0</v>
      </c>
      <c r="K1896" s="35" t="str">
        <f t="shared" si="32"/>
        <v>Usine</v>
      </c>
      <c r="L1896" s="35" t="str">
        <f>_xlfn.XLOOKUP(mvtst[[#This Row],[Sous Traitant]],coordonnee_st[Identification],coordonnee_st[SERVICE],"Non Trouvé")</f>
        <v>Frange</v>
      </c>
      <c r="M1896" s="35" t="str">
        <f>INDEX(_xlfn.TEXTSPLIT(mvtst[[#This Row],[QR Suivis]],"_"),1,2)</f>
        <v>CL00884</v>
      </c>
      <c r="N1896" s="35" t="str">
        <f>INDEX(_xlfn.TEXTSPLIT(mvtst[[#This Row],[QR Suivis]],"_"),1,3)</f>
        <v>CM-FT0119</v>
      </c>
      <c r="O1896" s="35" t="str">
        <f>INDEX(_xlfn.TEXTSPLIT(mvtst[[#This Row],[QR Suivis]],"_"),1,4)</f>
        <v>IS1020-B14-01</v>
      </c>
      <c r="P1896" s="35" t="str">
        <f>INDEX(_xlfn.TEXTSPLIT(mvtst[[#This Row],[QR Suivis]],"_"),1,5)</f>
        <v>ISTANBUL</v>
      </c>
      <c r="Q1896" s="35" t="str">
        <f>_xlfn.TEXTAFTER(mvtst[[#This Row],[QR Suivis]],"_",5)</f>
        <v>1020</v>
      </c>
      <c r="R1896" s="84" t="str">
        <f>IF(
   COUNTIFS($A$2:A1896,A1896,
             $B$2:B1896,B1896,
             $C$2:C1896,C1896,
             $D$2:D1896,D1896,
             $G$2:G1896,G1896)&gt;1,
   "Doublon",
   "Correcte"
)</f>
        <v>Correcte</v>
      </c>
    </row>
    <row r="1897" spans="1:18" x14ac:dyDescent="0.25">
      <c r="A1897" s="104" t="s">
        <v>1973</v>
      </c>
      <c r="B1897" s="35" t="s">
        <v>596</v>
      </c>
      <c r="C1897" s="36">
        <v>0</v>
      </c>
      <c r="D1897" s="36">
        <v>5</v>
      </c>
      <c r="E1897" s="35" t="s">
        <v>699</v>
      </c>
      <c r="F1897" s="35" t="s">
        <v>634</v>
      </c>
      <c r="G1897" s="37">
        <v>45943.603483796294</v>
      </c>
      <c r="H1897" s="37" t="str">
        <f>INDEX(_xlfn.TEXTSPLIT(mvtst[[#This Row],[QR Suivis]],"_"),1,1)</f>
        <v>OF249809-18</v>
      </c>
      <c r="I1897" s="35" t="str">
        <f>_xlfn.TEXTBEFORE(mvtst[[#This Row],[Num Suivis]],"-",,,1)</f>
        <v>OF249809</v>
      </c>
      <c r="J1897" s="36">
        <f>SUMIF(mvtst[QR Suivis],mvtst[[#This Row],[QR Suivis]],mvtst[QTE SORTIS])-SUMIF(mvtst[QR Suivis],mvtst[[#This Row],[QR Suivis]],mvtst[QTE RETOUR])</f>
        <v>0</v>
      </c>
      <c r="K1897" s="35" t="str">
        <f t="shared" si="32"/>
        <v>Usine</v>
      </c>
      <c r="L1897" s="35" t="str">
        <f>_xlfn.XLOOKUP(mvtst[[#This Row],[Sous Traitant]],coordonnee_st[Identification],coordonnee_st[SERVICE],"Non Trouvé")</f>
        <v>Frange</v>
      </c>
      <c r="M1897" s="35" t="str">
        <f>INDEX(_xlfn.TEXTSPLIT(mvtst[[#This Row],[QR Suivis]],"_"),1,2)</f>
        <v>CL00884</v>
      </c>
      <c r="N1897" s="35" t="str">
        <f>INDEX(_xlfn.TEXTSPLIT(mvtst[[#This Row],[QR Suivis]],"_"),1,3)</f>
        <v>CM-FT0119</v>
      </c>
      <c r="O1897" s="35" t="str">
        <f>INDEX(_xlfn.TEXTSPLIT(mvtst[[#This Row],[QR Suivis]],"_"),1,4)</f>
        <v>IS1020-B14-01</v>
      </c>
      <c r="P1897" s="35" t="str">
        <f>INDEX(_xlfn.TEXTSPLIT(mvtst[[#This Row],[QR Suivis]],"_"),1,5)</f>
        <v>ISTANBUL</v>
      </c>
      <c r="Q1897" s="35" t="str">
        <f>_xlfn.TEXTAFTER(mvtst[[#This Row],[QR Suivis]],"_",5)</f>
        <v>1020</v>
      </c>
      <c r="R1897" s="84" t="str">
        <f>IF(
   COUNTIFS($A$2:A1897,A1897,
             $B$2:B1897,B1897,
             $C$2:C1897,C1897,
             $D$2:D1897,D1897,
             $G$2:G1897,G1897)&gt;1,
   "Doublon",
   "Correcte"
)</f>
        <v>Correcte</v>
      </c>
    </row>
    <row r="1898" spans="1:18" x14ac:dyDescent="0.25">
      <c r="A1898" s="104" t="s">
        <v>2176</v>
      </c>
      <c r="B1898" s="35" t="s">
        <v>712</v>
      </c>
      <c r="C1898" s="36">
        <v>0</v>
      </c>
      <c r="D1898" s="36">
        <v>5</v>
      </c>
      <c r="E1898" s="35" t="s">
        <v>699</v>
      </c>
      <c r="F1898" s="35" t="s">
        <v>634</v>
      </c>
      <c r="G1898" s="37">
        <v>45943.653749999998</v>
      </c>
      <c r="H1898" s="37" t="str">
        <f>INDEX(_xlfn.TEXTSPLIT(mvtst[[#This Row],[QR Suivis]],"_"),1,1)</f>
        <v>OF249858-11</v>
      </c>
      <c r="I1898" s="35" t="str">
        <f>_xlfn.TEXTBEFORE(mvtst[[#This Row],[Num Suivis]],"-",,,1)</f>
        <v>OF249858</v>
      </c>
      <c r="J1898" s="36">
        <f>SUMIF(mvtst[QR Suivis],mvtst[[#This Row],[QR Suivis]],mvtst[QTE SORTIS])-SUMIF(mvtst[QR Suivis],mvtst[[#This Row],[QR Suivis]],mvtst[QTE RETOUR])</f>
        <v>0</v>
      </c>
      <c r="K1898" s="35" t="str">
        <f t="shared" si="32"/>
        <v>Usine</v>
      </c>
      <c r="L1898" s="35" t="str">
        <f>_xlfn.XLOOKUP(mvtst[[#This Row],[Sous Traitant]],coordonnee_st[Identification],coordonnee_st[SERVICE],"Non Trouvé")</f>
        <v>Frange</v>
      </c>
      <c r="M1898" s="35" t="str">
        <f>INDEX(_xlfn.TEXTSPLIT(mvtst[[#This Row],[QR Suivis]],"_"),1,2)</f>
        <v>CL00884</v>
      </c>
      <c r="N1898" s="35" t="str">
        <f>INDEX(_xlfn.TEXTSPLIT(mvtst[[#This Row],[QR Suivis]],"_"),1,3)</f>
        <v>CM-FT0119</v>
      </c>
      <c r="O1898" s="35" t="str">
        <f>INDEX(_xlfn.TEXTSPLIT(mvtst[[#This Row],[QR Suivis]],"_"),1,4)</f>
        <v>AR2020-B23-01</v>
      </c>
      <c r="P1898" s="35" t="str">
        <f>INDEX(_xlfn.TEXTSPLIT(mvtst[[#This Row],[QR Suivis]],"_"),1,5)</f>
        <v>ARTHUR</v>
      </c>
      <c r="Q1898" s="35" t="str">
        <f>_xlfn.TEXTAFTER(mvtst[[#This Row],[QR Suivis]],"_",5)</f>
        <v>2020</v>
      </c>
      <c r="R1898" s="84" t="str">
        <f>IF(
   COUNTIFS($A$2:A1898,A1898,
             $B$2:B1898,B1898,
             $C$2:C1898,C1898,
             $D$2:D1898,D1898,
             $G$2:G1898,G1898)&gt;1,
   "Doublon",
   "Correcte"
)</f>
        <v>Correcte</v>
      </c>
    </row>
    <row r="1899" spans="1:18" x14ac:dyDescent="0.25">
      <c r="A1899" s="104" t="s">
        <v>2115</v>
      </c>
      <c r="B1899" s="35" t="s">
        <v>712</v>
      </c>
      <c r="C1899" s="36">
        <v>0</v>
      </c>
      <c r="D1899" s="36">
        <v>4</v>
      </c>
      <c r="E1899" s="35" t="s">
        <v>699</v>
      </c>
      <c r="F1899" s="35" t="s">
        <v>634</v>
      </c>
      <c r="G1899" s="37">
        <v>45943.654733796298</v>
      </c>
      <c r="H1899" s="37" t="str">
        <f>INDEX(_xlfn.TEXTSPLIT(mvtst[[#This Row],[QR Suivis]],"_"),1,1)</f>
        <v>OF249858-16</v>
      </c>
      <c r="I1899" s="35" t="str">
        <f>_xlfn.TEXTBEFORE(mvtst[[#This Row],[Num Suivis]],"-",,,1)</f>
        <v>OF249858</v>
      </c>
      <c r="J1899" s="36">
        <f>SUMIF(mvtst[QR Suivis],mvtst[[#This Row],[QR Suivis]],mvtst[QTE SORTIS])-SUMIF(mvtst[QR Suivis],mvtst[[#This Row],[QR Suivis]],mvtst[QTE RETOUR])</f>
        <v>0</v>
      </c>
      <c r="K1899" s="35" t="str">
        <f t="shared" si="32"/>
        <v>Usine</v>
      </c>
      <c r="L1899" s="35" t="str">
        <f>_xlfn.XLOOKUP(mvtst[[#This Row],[Sous Traitant]],coordonnee_st[Identification],coordonnee_st[SERVICE],"Non Trouvé")</f>
        <v>Frange</v>
      </c>
      <c r="M1899" s="35" t="str">
        <f>INDEX(_xlfn.TEXTSPLIT(mvtst[[#This Row],[QR Suivis]],"_"),1,2)</f>
        <v>CL00884</v>
      </c>
      <c r="N1899" s="35" t="str">
        <f>INDEX(_xlfn.TEXTSPLIT(mvtst[[#This Row],[QR Suivis]],"_"),1,3)</f>
        <v>CM-FT0119</v>
      </c>
      <c r="O1899" s="35" t="str">
        <f>INDEX(_xlfn.TEXTSPLIT(mvtst[[#This Row],[QR Suivis]],"_"),1,4)</f>
        <v>AR2020-B23-01</v>
      </c>
      <c r="P1899" s="35" t="str">
        <f>INDEX(_xlfn.TEXTSPLIT(mvtst[[#This Row],[QR Suivis]],"_"),1,5)</f>
        <v>ARTHUR</v>
      </c>
      <c r="Q1899" s="35" t="str">
        <f>_xlfn.TEXTAFTER(mvtst[[#This Row],[QR Suivis]],"_",5)</f>
        <v>2020</v>
      </c>
      <c r="R1899" s="84" t="str">
        <f>IF(
   COUNTIFS($A$2:A1899,A1899,
             $B$2:B1899,B1899,
             $C$2:C1899,C1899,
             $D$2:D1899,D1899,
             $G$2:G1899,G1899)&gt;1,
   "Doublon",
   "Correcte"
)</f>
        <v>Correcte</v>
      </c>
    </row>
    <row r="1900" spans="1:18" x14ac:dyDescent="0.25">
      <c r="A1900" s="104" t="s">
        <v>2140</v>
      </c>
      <c r="B1900" s="35" t="s">
        <v>712</v>
      </c>
      <c r="C1900" s="36">
        <v>0</v>
      </c>
      <c r="D1900" s="36">
        <v>5</v>
      </c>
      <c r="E1900" s="35" t="s">
        <v>699</v>
      </c>
      <c r="F1900" s="35" t="s">
        <v>634</v>
      </c>
      <c r="G1900" s="37">
        <v>45943.659733796296</v>
      </c>
      <c r="H1900" s="37" t="str">
        <f>INDEX(_xlfn.TEXTSPLIT(mvtst[[#This Row],[QR Suivis]],"_"),1,1)</f>
        <v>OF249946-22</v>
      </c>
      <c r="I1900" s="35" t="str">
        <f>_xlfn.TEXTBEFORE(mvtst[[#This Row],[Num Suivis]],"-",,,1)</f>
        <v>OF249946</v>
      </c>
      <c r="J1900" s="36">
        <f>SUMIF(mvtst[QR Suivis],mvtst[[#This Row],[QR Suivis]],mvtst[QTE SORTIS])-SUMIF(mvtst[QR Suivis],mvtst[[#This Row],[QR Suivis]],mvtst[QTE RETOUR])</f>
        <v>0</v>
      </c>
      <c r="K1900" s="35" t="str">
        <f t="shared" si="32"/>
        <v>Usine</v>
      </c>
      <c r="L1900" s="35" t="str">
        <f>_xlfn.XLOOKUP(mvtst[[#This Row],[Sous Traitant]],coordonnee_st[Identification],coordonnee_st[SERVICE],"Non Trouvé")</f>
        <v>Frange</v>
      </c>
      <c r="M1900" s="35" t="str">
        <f>INDEX(_xlfn.TEXTSPLIT(mvtst[[#This Row],[QR Suivis]],"_"),1,2)</f>
        <v>CL00884</v>
      </c>
      <c r="N1900" s="35" t="str">
        <f>INDEX(_xlfn.TEXTSPLIT(mvtst[[#This Row],[QR Suivis]],"_"),1,3)</f>
        <v>CM-FT0120</v>
      </c>
      <c r="O1900" s="35" t="str">
        <f>INDEX(_xlfn.TEXTSPLIT(mvtst[[#This Row],[QR Suivis]],"_"),1,4)</f>
        <v>ST1020-S14-16-17</v>
      </c>
      <c r="P1900" s="35" t="str">
        <f>INDEX(_xlfn.TEXTSPLIT(mvtst[[#This Row],[QR Suivis]],"_"),1,5)</f>
        <v>ST TROPEZ</v>
      </c>
      <c r="Q1900" s="35" t="str">
        <f>_xlfn.TEXTAFTER(mvtst[[#This Row],[QR Suivis]],"_",5)</f>
        <v>1020</v>
      </c>
      <c r="R1900" s="84" t="str">
        <f>IF(
   COUNTIFS($A$2:A1900,A1900,
             $B$2:B1900,B1900,
             $C$2:C1900,C1900,
             $D$2:D1900,D1900,
             $G$2:G1900,G1900)&gt;1,
   "Doublon",
   "Correcte"
)</f>
        <v>Correcte</v>
      </c>
    </row>
    <row r="1901" spans="1:18" x14ac:dyDescent="0.25">
      <c r="A1901" s="104" t="s">
        <v>2169</v>
      </c>
      <c r="B1901" s="35" t="s">
        <v>712</v>
      </c>
      <c r="C1901" s="36">
        <v>0</v>
      </c>
      <c r="D1901" s="36">
        <v>5</v>
      </c>
      <c r="E1901" s="35" t="s">
        <v>699</v>
      </c>
      <c r="F1901" s="35" t="s">
        <v>634</v>
      </c>
      <c r="G1901" s="37">
        <v>45943.66</v>
      </c>
      <c r="H1901" s="37" t="str">
        <f>INDEX(_xlfn.TEXTSPLIT(mvtst[[#This Row],[QR Suivis]],"_"),1,1)</f>
        <v>OF249858-2</v>
      </c>
      <c r="I1901" s="35" t="str">
        <f>_xlfn.TEXTBEFORE(mvtst[[#This Row],[Num Suivis]],"-",,,1)</f>
        <v>OF249858</v>
      </c>
      <c r="J1901" s="36">
        <f>SUMIF(mvtst[QR Suivis],mvtst[[#This Row],[QR Suivis]],mvtst[QTE SORTIS])-SUMIF(mvtst[QR Suivis],mvtst[[#This Row],[QR Suivis]],mvtst[QTE RETOUR])</f>
        <v>0</v>
      </c>
      <c r="K1901" s="35" t="str">
        <f t="shared" si="32"/>
        <v>Usine</v>
      </c>
      <c r="L1901" s="35" t="str">
        <f>_xlfn.XLOOKUP(mvtst[[#This Row],[Sous Traitant]],coordonnee_st[Identification],coordonnee_st[SERVICE],"Non Trouvé")</f>
        <v>Frange</v>
      </c>
      <c r="M1901" s="35" t="str">
        <f>INDEX(_xlfn.TEXTSPLIT(mvtst[[#This Row],[QR Suivis]],"_"),1,2)</f>
        <v>CL00884</v>
      </c>
      <c r="N1901" s="35" t="str">
        <f>INDEX(_xlfn.TEXTSPLIT(mvtst[[#This Row],[QR Suivis]],"_"),1,3)</f>
        <v>CM-FT0119</v>
      </c>
      <c r="O1901" s="35" t="str">
        <f>INDEX(_xlfn.TEXTSPLIT(mvtst[[#This Row],[QR Suivis]],"_"),1,4)</f>
        <v>AR2020-B23-01</v>
      </c>
      <c r="P1901" s="35" t="str">
        <f>INDEX(_xlfn.TEXTSPLIT(mvtst[[#This Row],[QR Suivis]],"_"),1,5)</f>
        <v>ARTHUR</v>
      </c>
      <c r="Q1901" s="35" t="str">
        <f>_xlfn.TEXTAFTER(mvtst[[#This Row],[QR Suivis]],"_",5)</f>
        <v>2020</v>
      </c>
      <c r="R1901" s="84" t="str">
        <f>IF(
   COUNTIFS($A$2:A1901,A1901,
             $B$2:B1901,B1901,
             $C$2:C1901,C1901,
             $D$2:D1901,D1901,
             $G$2:G1901,G1901)&gt;1,
   "Doublon",
   "Correcte"
)</f>
        <v>Correcte</v>
      </c>
    </row>
    <row r="1902" spans="1:18" x14ac:dyDescent="0.25">
      <c r="A1902" s="104" t="s">
        <v>2170</v>
      </c>
      <c r="B1902" s="35" t="s">
        <v>712</v>
      </c>
      <c r="C1902" s="36">
        <v>0</v>
      </c>
      <c r="D1902" s="36">
        <v>5</v>
      </c>
      <c r="E1902" s="35" t="s">
        <v>699</v>
      </c>
      <c r="F1902" s="35" t="s">
        <v>634</v>
      </c>
      <c r="G1902" s="37">
        <v>45943.660185185188</v>
      </c>
      <c r="H1902" s="37" t="str">
        <f>INDEX(_xlfn.TEXTSPLIT(mvtst[[#This Row],[QR Suivis]],"_"),1,1)</f>
        <v>OF249858-5</v>
      </c>
      <c r="I1902" s="35" t="str">
        <f>_xlfn.TEXTBEFORE(mvtst[[#This Row],[Num Suivis]],"-",,,1)</f>
        <v>OF249858</v>
      </c>
      <c r="J1902" s="36">
        <f>SUMIF(mvtst[QR Suivis],mvtst[[#This Row],[QR Suivis]],mvtst[QTE SORTIS])-SUMIF(mvtst[QR Suivis],mvtst[[#This Row],[QR Suivis]],mvtst[QTE RETOUR])</f>
        <v>0</v>
      </c>
      <c r="K1902" s="35" t="str">
        <f t="shared" si="32"/>
        <v>Usine</v>
      </c>
      <c r="L1902" s="35" t="str">
        <f>_xlfn.XLOOKUP(mvtst[[#This Row],[Sous Traitant]],coordonnee_st[Identification],coordonnee_st[SERVICE],"Non Trouvé")</f>
        <v>Frange</v>
      </c>
      <c r="M1902" s="35" t="str">
        <f>INDEX(_xlfn.TEXTSPLIT(mvtst[[#This Row],[QR Suivis]],"_"),1,2)</f>
        <v>CL00884</v>
      </c>
      <c r="N1902" s="35" t="str">
        <f>INDEX(_xlfn.TEXTSPLIT(mvtst[[#This Row],[QR Suivis]],"_"),1,3)</f>
        <v>CM-FT0119</v>
      </c>
      <c r="O1902" s="35" t="str">
        <f>INDEX(_xlfn.TEXTSPLIT(mvtst[[#This Row],[QR Suivis]],"_"),1,4)</f>
        <v>AR2020-B23-01</v>
      </c>
      <c r="P1902" s="35" t="str">
        <f>INDEX(_xlfn.TEXTSPLIT(mvtst[[#This Row],[QR Suivis]],"_"),1,5)</f>
        <v>ARTHUR</v>
      </c>
      <c r="Q1902" s="35" t="str">
        <f>_xlfn.TEXTAFTER(mvtst[[#This Row],[QR Suivis]],"_",5)</f>
        <v>2020</v>
      </c>
      <c r="R1902" s="84" t="str">
        <f>IF(
   COUNTIFS($A$2:A1902,A1902,
             $B$2:B1902,B1902,
             $C$2:C1902,C1902,
             $D$2:D1902,D1902,
             $G$2:G1902,G1902)&gt;1,
   "Doublon",
   "Correcte"
)</f>
        <v>Correcte</v>
      </c>
    </row>
    <row r="1903" spans="1:18" x14ac:dyDescent="0.25">
      <c r="A1903" s="104" t="s">
        <v>2178</v>
      </c>
      <c r="B1903" s="35" t="s">
        <v>712</v>
      </c>
      <c r="C1903" s="36">
        <v>0</v>
      </c>
      <c r="D1903" s="36">
        <v>5</v>
      </c>
      <c r="E1903" s="35" t="s">
        <v>699</v>
      </c>
      <c r="F1903" s="35" t="s">
        <v>634</v>
      </c>
      <c r="G1903" s="37">
        <v>45943.66034722222</v>
      </c>
      <c r="H1903" s="37" t="str">
        <f>INDEX(_xlfn.TEXTSPLIT(mvtst[[#This Row],[QR Suivis]],"_"),1,1)</f>
        <v>OF249858-8</v>
      </c>
      <c r="I1903" s="35" t="str">
        <f>_xlfn.TEXTBEFORE(mvtst[[#This Row],[Num Suivis]],"-",,,1)</f>
        <v>OF249858</v>
      </c>
      <c r="J1903" s="36">
        <f>SUMIF(mvtst[QR Suivis],mvtst[[#This Row],[QR Suivis]],mvtst[QTE SORTIS])-SUMIF(mvtst[QR Suivis],mvtst[[#This Row],[QR Suivis]],mvtst[QTE RETOUR])</f>
        <v>0</v>
      </c>
      <c r="K1903" s="35" t="str">
        <f t="shared" si="32"/>
        <v>Usine</v>
      </c>
      <c r="L1903" s="35" t="str">
        <f>_xlfn.XLOOKUP(mvtst[[#This Row],[Sous Traitant]],coordonnee_st[Identification],coordonnee_st[SERVICE],"Non Trouvé")</f>
        <v>Frange</v>
      </c>
      <c r="M1903" s="35" t="str">
        <f>INDEX(_xlfn.TEXTSPLIT(mvtst[[#This Row],[QR Suivis]],"_"),1,2)</f>
        <v>CL00884</v>
      </c>
      <c r="N1903" s="35" t="str">
        <f>INDEX(_xlfn.TEXTSPLIT(mvtst[[#This Row],[QR Suivis]],"_"),1,3)</f>
        <v>CM-FT0119</v>
      </c>
      <c r="O1903" s="35" t="str">
        <f>INDEX(_xlfn.TEXTSPLIT(mvtst[[#This Row],[QR Suivis]],"_"),1,4)</f>
        <v>AR2020-B23-01</v>
      </c>
      <c r="P1903" s="35" t="str">
        <f>INDEX(_xlfn.TEXTSPLIT(mvtst[[#This Row],[QR Suivis]],"_"),1,5)</f>
        <v>ARTHUR</v>
      </c>
      <c r="Q1903" s="35" t="str">
        <f>_xlfn.TEXTAFTER(mvtst[[#This Row],[QR Suivis]],"_",5)</f>
        <v>2020</v>
      </c>
      <c r="R1903" s="84" t="str">
        <f>IF(
   COUNTIFS($A$2:A1903,A1903,
             $B$2:B1903,B1903,
             $C$2:C1903,C1903,
             $D$2:D1903,D1903,
             $G$2:G1903,G1903)&gt;1,
   "Doublon",
   "Correcte"
)</f>
        <v>Correcte</v>
      </c>
    </row>
    <row r="1904" spans="1:18" x14ac:dyDescent="0.25">
      <c r="A1904" s="104" t="s">
        <v>2175</v>
      </c>
      <c r="B1904" s="35" t="s">
        <v>712</v>
      </c>
      <c r="C1904" s="36">
        <v>0</v>
      </c>
      <c r="D1904" s="36">
        <v>5</v>
      </c>
      <c r="E1904" s="35" t="s">
        <v>699</v>
      </c>
      <c r="F1904" s="35" t="s">
        <v>634</v>
      </c>
      <c r="G1904" s="37">
        <v>45943.660543981481</v>
      </c>
      <c r="H1904" s="37" t="str">
        <f>INDEX(_xlfn.TEXTSPLIT(mvtst[[#This Row],[QR Suivis]],"_"),1,1)</f>
        <v>OF249858-12</v>
      </c>
      <c r="I1904" s="35" t="str">
        <f>_xlfn.TEXTBEFORE(mvtst[[#This Row],[Num Suivis]],"-",,,1)</f>
        <v>OF249858</v>
      </c>
      <c r="J1904" s="36">
        <f>SUMIF(mvtst[QR Suivis],mvtst[[#This Row],[QR Suivis]],mvtst[QTE SORTIS])-SUMIF(mvtst[QR Suivis],mvtst[[#This Row],[QR Suivis]],mvtst[QTE RETOUR])</f>
        <v>0</v>
      </c>
      <c r="K1904" s="35" t="str">
        <f t="shared" si="32"/>
        <v>Usine</v>
      </c>
      <c r="L1904" s="35" t="str">
        <f>_xlfn.XLOOKUP(mvtst[[#This Row],[Sous Traitant]],coordonnee_st[Identification],coordonnee_st[SERVICE],"Non Trouvé")</f>
        <v>Frange</v>
      </c>
      <c r="M1904" s="35" t="str">
        <f>INDEX(_xlfn.TEXTSPLIT(mvtst[[#This Row],[QR Suivis]],"_"),1,2)</f>
        <v>CL00884</v>
      </c>
      <c r="N1904" s="35" t="str">
        <f>INDEX(_xlfn.TEXTSPLIT(mvtst[[#This Row],[QR Suivis]],"_"),1,3)</f>
        <v>CM-FT0119</v>
      </c>
      <c r="O1904" s="35" t="str">
        <f>INDEX(_xlfn.TEXTSPLIT(mvtst[[#This Row],[QR Suivis]],"_"),1,4)</f>
        <v>AR2020-B23-01</v>
      </c>
      <c r="P1904" s="35" t="str">
        <f>INDEX(_xlfn.TEXTSPLIT(mvtst[[#This Row],[QR Suivis]],"_"),1,5)</f>
        <v>ARTHUR</v>
      </c>
      <c r="Q1904" s="35" t="str">
        <f>_xlfn.TEXTAFTER(mvtst[[#This Row],[QR Suivis]],"_",5)</f>
        <v>2020</v>
      </c>
      <c r="R1904" s="84" t="str">
        <f>IF(
   COUNTIFS($A$2:A1904,A1904,
             $B$2:B1904,B1904,
             $C$2:C1904,C1904,
             $D$2:D1904,D1904,
             $G$2:G1904,G1904)&gt;1,
   "Doublon",
   "Correcte"
)</f>
        <v>Correcte</v>
      </c>
    </row>
    <row r="1905" spans="1:18" x14ac:dyDescent="0.25">
      <c r="A1905" s="104" t="s">
        <v>2171</v>
      </c>
      <c r="B1905" s="35" t="s">
        <v>712</v>
      </c>
      <c r="C1905" s="36">
        <v>0</v>
      </c>
      <c r="D1905" s="36">
        <v>5</v>
      </c>
      <c r="E1905" s="35" t="s">
        <v>699</v>
      </c>
      <c r="F1905" s="35" t="s">
        <v>634</v>
      </c>
      <c r="G1905" s="37">
        <v>45943.660810185182</v>
      </c>
      <c r="H1905" s="37" t="str">
        <f>INDEX(_xlfn.TEXTSPLIT(mvtst[[#This Row],[QR Suivis]],"_"),1,1)</f>
        <v>OF249858-3</v>
      </c>
      <c r="I1905" s="35" t="str">
        <f>_xlfn.TEXTBEFORE(mvtst[[#This Row],[Num Suivis]],"-",,,1)</f>
        <v>OF249858</v>
      </c>
      <c r="J1905" s="36">
        <f>SUMIF(mvtst[QR Suivis],mvtst[[#This Row],[QR Suivis]],mvtst[QTE SORTIS])-SUMIF(mvtst[QR Suivis],mvtst[[#This Row],[QR Suivis]],mvtst[QTE RETOUR])</f>
        <v>0</v>
      </c>
      <c r="K1905" s="35" t="str">
        <f t="shared" si="32"/>
        <v>Usine</v>
      </c>
      <c r="L1905" s="35" t="str">
        <f>_xlfn.XLOOKUP(mvtst[[#This Row],[Sous Traitant]],coordonnee_st[Identification],coordonnee_st[SERVICE],"Non Trouvé")</f>
        <v>Frange</v>
      </c>
      <c r="M1905" s="35" t="str">
        <f>INDEX(_xlfn.TEXTSPLIT(mvtst[[#This Row],[QR Suivis]],"_"),1,2)</f>
        <v>CL00884</v>
      </c>
      <c r="N1905" s="35" t="str">
        <f>INDEX(_xlfn.TEXTSPLIT(mvtst[[#This Row],[QR Suivis]],"_"),1,3)</f>
        <v>CM-FT0119</v>
      </c>
      <c r="O1905" s="35" t="str">
        <f>INDEX(_xlfn.TEXTSPLIT(mvtst[[#This Row],[QR Suivis]],"_"),1,4)</f>
        <v>AR2020-B23-01</v>
      </c>
      <c r="P1905" s="35" t="str">
        <f>INDEX(_xlfn.TEXTSPLIT(mvtst[[#This Row],[QR Suivis]],"_"),1,5)</f>
        <v>ARTHUR</v>
      </c>
      <c r="Q1905" s="35" t="str">
        <f>_xlfn.TEXTAFTER(mvtst[[#This Row],[QR Suivis]],"_",5)</f>
        <v>2020</v>
      </c>
      <c r="R1905" s="84" t="str">
        <f>IF(
   COUNTIFS($A$2:A1905,A1905,
             $B$2:B1905,B1905,
             $C$2:C1905,C1905,
             $D$2:D1905,D1905,
             $G$2:G1905,G1905)&gt;1,
   "Doublon",
   "Correcte"
)</f>
        <v>Correcte</v>
      </c>
    </row>
    <row r="1906" spans="1:18" x14ac:dyDescent="0.25">
      <c r="A1906" s="104" t="s">
        <v>2148</v>
      </c>
      <c r="B1906" s="35" t="s">
        <v>712</v>
      </c>
      <c r="C1906" s="36">
        <v>0</v>
      </c>
      <c r="D1906" s="36">
        <v>5</v>
      </c>
      <c r="E1906" s="35" t="s">
        <v>699</v>
      </c>
      <c r="F1906" s="35" t="s">
        <v>634</v>
      </c>
      <c r="G1906" s="37">
        <v>45943.660960648151</v>
      </c>
      <c r="H1906" s="37" t="str">
        <f>INDEX(_xlfn.TEXTSPLIT(mvtst[[#This Row],[QR Suivis]],"_"),1,1)</f>
        <v>OF249946-6</v>
      </c>
      <c r="I1906" s="35" t="str">
        <f>_xlfn.TEXTBEFORE(mvtst[[#This Row],[Num Suivis]],"-",,,1)</f>
        <v>OF249946</v>
      </c>
      <c r="J1906" s="36">
        <f>SUMIF(mvtst[QR Suivis],mvtst[[#This Row],[QR Suivis]],mvtst[QTE SORTIS])-SUMIF(mvtst[QR Suivis],mvtst[[#This Row],[QR Suivis]],mvtst[QTE RETOUR])</f>
        <v>0</v>
      </c>
      <c r="K1906" s="35" t="str">
        <f t="shared" si="32"/>
        <v>Usine</v>
      </c>
      <c r="L1906" s="35" t="str">
        <f>_xlfn.XLOOKUP(mvtst[[#This Row],[Sous Traitant]],coordonnee_st[Identification],coordonnee_st[SERVICE],"Non Trouvé")</f>
        <v>Frange</v>
      </c>
      <c r="M1906" s="35" t="str">
        <f>INDEX(_xlfn.TEXTSPLIT(mvtst[[#This Row],[QR Suivis]],"_"),1,2)</f>
        <v>CL00884</v>
      </c>
      <c r="N1906" s="35" t="str">
        <f>INDEX(_xlfn.TEXTSPLIT(mvtst[[#This Row],[QR Suivis]],"_"),1,3)</f>
        <v>CM-FT0120</v>
      </c>
      <c r="O1906" s="35" t="str">
        <f>INDEX(_xlfn.TEXTSPLIT(mvtst[[#This Row],[QR Suivis]],"_"),1,4)</f>
        <v>ST1020-S14-16-17</v>
      </c>
      <c r="P1906" s="35" t="str">
        <f>INDEX(_xlfn.TEXTSPLIT(mvtst[[#This Row],[QR Suivis]],"_"),1,5)</f>
        <v>ST TROPEZ</v>
      </c>
      <c r="Q1906" s="35" t="str">
        <f>_xlfn.TEXTAFTER(mvtst[[#This Row],[QR Suivis]],"_",5)</f>
        <v>1020</v>
      </c>
      <c r="R1906" s="84" t="str">
        <f>IF(
   COUNTIFS($A$2:A1906,A1906,
             $B$2:B1906,B1906,
             $C$2:C1906,C1906,
             $D$2:D1906,D1906,
             $G$2:G1906,G1906)&gt;1,
   "Doublon",
   "Correcte"
)</f>
        <v>Correcte</v>
      </c>
    </row>
    <row r="1907" spans="1:18" x14ac:dyDescent="0.25">
      <c r="A1907" s="104" t="s">
        <v>2145</v>
      </c>
      <c r="B1907" s="35" t="s">
        <v>712</v>
      </c>
      <c r="C1907" s="36">
        <v>0</v>
      </c>
      <c r="D1907" s="36">
        <v>5</v>
      </c>
      <c r="E1907" s="35" t="s">
        <v>699</v>
      </c>
      <c r="F1907" s="35" t="s">
        <v>634</v>
      </c>
      <c r="G1907" s="37">
        <v>45943.661307870374</v>
      </c>
      <c r="H1907" s="37" t="str">
        <f>INDEX(_xlfn.TEXTSPLIT(mvtst[[#This Row],[QR Suivis]],"_"),1,1)</f>
        <v>OF249946-12</v>
      </c>
      <c r="I1907" s="35" t="str">
        <f>_xlfn.TEXTBEFORE(mvtst[[#This Row],[Num Suivis]],"-",,,1)</f>
        <v>OF249946</v>
      </c>
      <c r="J1907" s="36">
        <f>SUMIF(mvtst[QR Suivis],mvtst[[#This Row],[QR Suivis]],mvtst[QTE SORTIS])-SUMIF(mvtst[QR Suivis],mvtst[[#This Row],[QR Suivis]],mvtst[QTE RETOUR])</f>
        <v>0</v>
      </c>
      <c r="K1907" s="35" t="str">
        <f t="shared" si="32"/>
        <v>Usine</v>
      </c>
      <c r="L1907" s="35" t="str">
        <f>_xlfn.XLOOKUP(mvtst[[#This Row],[Sous Traitant]],coordonnee_st[Identification],coordonnee_st[SERVICE],"Non Trouvé")</f>
        <v>Frange</v>
      </c>
      <c r="M1907" s="35" t="str">
        <f>INDEX(_xlfn.TEXTSPLIT(mvtst[[#This Row],[QR Suivis]],"_"),1,2)</f>
        <v>CL00884</v>
      </c>
      <c r="N1907" s="35" t="str">
        <f>INDEX(_xlfn.TEXTSPLIT(mvtst[[#This Row],[QR Suivis]],"_"),1,3)</f>
        <v>CM-FT0120</v>
      </c>
      <c r="O1907" s="35" t="str">
        <f>INDEX(_xlfn.TEXTSPLIT(mvtst[[#This Row],[QR Suivis]],"_"),1,4)</f>
        <v>ST1020-S14-16-17</v>
      </c>
      <c r="P1907" s="35" t="str">
        <f>INDEX(_xlfn.TEXTSPLIT(mvtst[[#This Row],[QR Suivis]],"_"),1,5)</f>
        <v>ST TROPEZ</v>
      </c>
      <c r="Q1907" s="35" t="str">
        <f>_xlfn.TEXTAFTER(mvtst[[#This Row],[QR Suivis]],"_",5)</f>
        <v>1020</v>
      </c>
      <c r="R1907" s="84" t="str">
        <f>IF(
   COUNTIFS($A$2:A1907,A1907,
             $B$2:B1907,B1907,
             $C$2:C1907,C1907,
             $D$2:D1907,D1907,
             $G$2:G1907,G1907)&gt;1,
   "Doublon",
   "Correcte"
)</f>
        <v>Correcte</v>
      </c>
    </row>
    <row r="1908" spans="1:18" x14ac:dyDescent="0.25">
      <c r="A1908" s="104" t="s">
        <v>2108</v>
      </c>
      <c r="B1908" s="35" t="s">
        <v>712</v>
      </c>
      <c r="C1908" s="36">
        <v>0</v>
      </c>
      <c r="D1908" s="36">
        <v>5</v>
      </c>
      <c r="E1908" s="35" t="s">
        <v>699</v>
      </c>
      <c r="F1908" s="35" t="s">
        <v>634</v>
      </c>
      <c r="G1908" s="37">
        <v>45943.6641087963</v>
      </c>
      <c r="H1908" s="37" t="str">
        <f>INDEX(_xlfn.TEXTSPLIT(mvtst[[#This Row],[QR Suivis]],"_"),1,1)</f>
        <v>OF249848-39</v>
      </c>
      <c r="I1908" s="35" t="str">
        <f>_xlfn.TEXTBEFORE(mvtst[[#This Row],[Num Suivis]],"-",,,1)</f>
        <v>OF249848</v>
      </c>
      <c r="J1908" s="36">
        <f>SUMIF(mvtst[QR Suivis],mvtst[[#This Row],[QR Suivis]],mvtst[QTE SORTIS])-SUMIF(mvtst[QR Suivis],mvtst[[#This Row],[QR Suivis]],mvtst[QTE RETOUR])</f>
        <v>0</v>
      </c>
      <c r="K1908" s="35" t="str">
        <f t="shared" si="32"/>
        <v>Usine</v>
      </c>
      <c r="L1908" s="35" t="str">
        <f>_xlfn.XLOOKUP(mvtst[[#This Row],[Sous Traitant]],coordonnee_st[Identification],coordonnee_st[SERVICE],"Non Trouvé")</f>
        <v>Frange</v>
      </c>
      <c r="M1908" s="35" t="str">
        <f>INDEX(_xlfn.TEXTSPLIT(mvtst[[#This Row],[QR Suivis]],"_"),1,2)</f>
        <v>CL00884</v>
      </c>
      <c r="N1908" s="35" t="str">
        <f>INDEX(_xlfn.TEXTSPLIT(mvtst[[#This Row],[QR Suivis]],"_"),1,3)</f>
        <v>CM-FT0119</v>
      </c>
      <c r="O1908" s="35" t="str">
        <f>INDEX(_xlfn.TEXTSPLIT(mvtst[[#This Row],[QR Suivis]],"_"),1,4)</f>
        <v>ST1020-S14-16-17</v>
      </c>
      <c r="P1908" s="35" t="str">
        <f>INDEX(_xlfn.TEXTSPLIT(mvtst[[#This Row],[QR Suivis]],"_"),1,5)</f>
        <v>ST TROPEZ</v>
      </c>
      <c r="Q1908" s="35" t="str">
        <f>_xlfn.TEXTAFTER(mvtst[[#This Row],[QR Suivis]],"_",5)</f>
        <v>1020</v>
      </c>
      <c r="R1908" s="84" t="str">
        <f>IF(
   COUNTIFS($A$2:A1908,A1908,
             $B$2:B1908,B1908,
             $C$2:C1908,C1908,
             $D$2:D1908,D1908,
             $G$2:G1908,G1908)&gt;1,
   "Doublon",
   "Correcte"
)</f>
        <v>Correcte</v>
      </c>
    </row>
    <row r="1909" spans="1:18" x14ac:dyDescent="0.25">
      <c r="A1909" s="104" t="s">
        <v>2258</v>
      </c>
      <c r="B1909" s="35" t="s">
        <v>712</v>
      </c>
      <c r="C1909" s="36">
        <v>0</v>
      </c>
      <c r="D1909" s="36">
        <v>5</v>
      </c>
      <c r="E1909" s="35" t="s">
        <v>699</v>
      </c>
      <c r="F1909" s="35" t="s">
        <v>634</v>
      </c>
      <c r="G1909" s="37">
        <v>45943.665231481478</v>
      </c>
      <c r="H1909" s="37" t="str">
        <f>INDEX(_xlfn.TEXTSPLIT(mvtst[[#This Row],[QR Suivis]],"_"),1,1)</f>
        <v>OF249816-8</v>
      </c>
      <c r="I1909" s="35" t="str">
        <f>_xlfn.TEXTBEFORE(mvtst[[#This Row],[Num Suivis]],"-",,,1)</f>
        <v>OF249816</v>
      </c>
      <c r="J1909" s="36">
        <f>SUMIF(mvtst[QR Suivis],mvtst[[#This Row],[QR Suivis]],mvtst[QTE SORTIS])-SUMIF(mvtst[QR Suivis],mvtst[[#This Row],[QR Suivis]],mvtst[QTE RETOUR])</f>
        <v>0</v>
      </c>
      <c r="K1909" s="35" t="str">
        <f t="shared" si="32"/>
        <v>Usine</v>
      </c>
      <c r="L1909" s="35" t="str">
        <f>_xlfn.XLOOKUP(mvtst[[#This Row],[Sous Traitant]],coordonnee_st[Identification],coordonnee_st[SERVICE],"Non Trouvé")</f>
        <v>Frange</v>
      </c>
      <c r="M1909" s="35" t="str">
        <f>INDEX(_xlfn.TEXTSPLIT(mvtst[[#This Row],[QR Suivis]],"_"),1,2)</f>
        <v>CL00884</v>
      </c>
      <c r="N1909" s="35" t="str">
        <f>INDEX(_xlfn.TEXTSPLIT(mvtst[[#This Row],[QR Suivis]],"_"),1,3)</f>
        <v>CM-FT0119</v>
      </c>
      <c r="O1909" s="35" t="str">
        <f>INDEX(_xlfn.TEXTSPLIT(mvtst[[#This Row],[QR Suivis]],"_"),1,4)</f>
        <v>SO1020-Q29-11-14</v>
      </c>
      <c r="P1909" s="35" t="str">
        <f>INDEX(_xlfn.TEXTSPLIT(mvtst[[#This Row],[QR Suivis]],"_"),1,5)</f>
        <v>SOUSSE</v>
      </c>
      <c r="Q1909" s="35" t="str">
        <f>_xlfn.TEXTAFTER(mvtst[[#This Row],[QR Suivis]],"_",5)</f>
        <v>1020</v>
      </c>
      <c r="R1909" s="84" t="str">
        <f>IF(
   COUNTIFS($A$2:A1909,A1909,
             $B$2:B1909,B1909,
             $C$2:C1909,C1909,
             $D$2:D1909,D1909,
             $G$2:G1909,G1909)&gt;1,
   "Doublon",
   "Correcte"
)</f>
        <v>Correcte</v>
      </c>
    </row>
    <row r="1910" spans="1:18" x14ac:dyDescent="0.25">
      <c r="A1910" s="104" t="s">
        <v>2250</v>
      </c>
      <c r="B1910" s="35" t="s">
        <v>712</v>
      </c>
      <c r="C1910" s="36">
        <v>0</v>
      </c>
      <c r="D1910" s="36">
        <v>5</v>
      </c>
      <c r="E1910" s="35" t="s">
        <v>699</v>
      </c>
      <c r="F1910" s="35" t="s">
        <v>634</v>
      </c>
      <c r="G1910" s="37">
        <v>45943.665462962963</v>
      </c>
      <c r="H1910" s="37" t="str">
        <f>INDEX(_xlfn.TEXTSPLIT(mvtst[[#This Row],[QR Suivis]],"_"),1,1)</f>
        <v>OF249816-28</v>
      </c>
      <c r="I1910" s="35" t="str">
        <f>_xlfn.TEXTBEFORE(mvtst[[#This Row],[Num Suivis]],"-",,,1)</f>
        <v>OF249816</v>
      </c>
      <c r="J1910" s="36">
        <f>SUMIF(mvtst[QR Suivis],mvtst[[#This Row],[QR Suivis]],mvtst[QTE SORTIS])-SUMIF(mvtst[QR Suivis],mvtst[[#This Row],[QR Suivis]],mvtst[QTE RETOUR])</f>
        <v>0</v>
      </c>
      <c r="K1910" s="35" t="str">
        <f t="shared" ref="K1910:K1973" si="33">"Usine"</f>
        <v>Usine</v>
      </c>
      <c r="L1910" s="35" t="str">
        <f>_xlfn.XLOOKUP(mvtst[[#This Row],[Sous Traitant]],coordonnee_st[Identification],coordonnee_st[SERVICE],"Non Trouvé")</f>
        <v>Frange</v>
      </c>
      <c r="M1910" s="35" t="str">
        <f>INDEX(_xlfn.TEXTSPLIT(mvtst[[#This Row],[QR Suivis]],"_"),1,2)</f>
        <v>CL00884</v>
      </c>
      <c r="N1910" s="35" t="str">
        <f>INDEX(_xlfn.TEXTSPLIT(mvtst[[#This Row],[QR Suivis]],"_"),1,3)</f>
        <v>CM-FT0119</v>
      </c>
      <c r="O1910" s="35" t="str">
        <f>INDEX(_xlfn.TEXTSPLIT(mvtst[[#This Row],[QR Suivis]],"_"),1,4)</f>
        <v>SO1020-Q29-11-14</v>
      </c>
      <c r="P1910" s="35" t="str">
        <f>INDEX(_xlfn.TEXTSPLIT(mvtst[[#This Row],[QR Suivis]],"_"),1,5)</f>
        <v>SOUSSE</v>
      </c>
      <c r="Q1910" s="35" t="str">
        <f>_xlfn.TEXTAFTER(mvtst[[#This Row],[QR Suivis]],"_",5)</f>
        <v>1020</v>
      </c>
      <c r="R1910" s="84" t="str">
        <f>IF(
   COUNTIFS($A$2:A1910,A1910,
             $B$2:B1910,B1910,
             $C$2:C1910,C1910,
             $D$2:D1910,D1910,
             $G$2:G1910,G1910)&gt;1,
   "Doublon",
   "Correcte"
)</f>
        <v>Correcte</v>
      </c>
    </row>
    <row r="1911" spans="1:18" x14ac:dyDescent="0.25">
      <c r="A1911" s="104" t="s">
        <v>2248</v>
      </c>
      <c r="B1911" s="35" t="s">
        <v>712</v>
      </c>
      <c r="C1911" s="36">
        <v>0</v>
      </c>
      <c r="D1911" s="36">
        <v>5</v>
      </c>
      <c r="E1911" s="35" t="s">
        <v>699</v>
      </c>
      <c r="F1911" s="35" t="s">
        <v>634</v>
      </c>
      <c r="G1911" s="37">
        <v>45943.665763888886</v>
      </c>
      <c r="H1911" s="37" t="str">
        <f>INDEX(_xlfn.TEXTSPLIT(mvtst[[#This Row],[QR Suivis]],"_"),1,1)</f>
        <v>OF249816-27</v>
      </c>
      <c r="I1911" s="35" t="str">
        <f>_xlfn.TEXTBEFORE(mvtst[[#This Row],[Num Suivis]],"-",,,1)</f>
        <v>OF249816</v>
      </c>
      <c r="J1911" s="36">
        <f>SUMIF(mvtst[QR Suivis],mvtst[[#This Row],[QR Suivis]],mvtst[QTE SORTIS])-SUMIF(mvtst[QR Suivis],mvtst[[#This Row],[QR Suivis]],mvtst[QTE RETOUR])</f>
        <v>0</v>
      </c>
      <c r="K1911" s="35" t="str">
        <f t="shared" si="33"/>
        <v>Usine</v>
      </c>
      <c r="L1911" s="35" t="str">
        <f>_xlfn.XLOOKUP(mvtst[[#This Row],[Sous Traitant]],coordonnee_st[Identification],coordonnee_st[SERVICE],"Non Trouvé")</f>
        <v>Frange</v>
      </c>
      <c r="M1911" s="35" t="str">
        <f>INDEX(_xlfn.TEXTSPLIT(mvtst[[#This Row],[QR Suivis]],"_"),1,2)</f>
        <v>CL00884</v>
      </c>
      <c r="N1911" s="35" t="str">
        <f>INDEX(_xlfn.TEXTSPLIT(mvtst[[#This Row],[QR Suivis]],"_"),1,3)</f>
        <v>CM-FT0119</v>
      </c>
      <c r="O1911" s="35" t="str">
        <f>INDEX(_xlfn.TEXTSPLIT(mvtst[[#This Row],[QR Suivis]],"_"),1,4)</f>
        <v>SO1020-Q29-11-14</v>
      </c>
      <c r="P1911" s="35" t="str">
        <f>INDEX(_xlfn.TEXTSPLIT(mvtst[[#This Row],[QR Suivis]],"_"),1,5)</f>
        <v>SOUSSE</v>
      </c>
      <c r="Q1911" s="35" t="str">
        <f>_xlfn.TEXTAFTER(mvtst[[#This Row],[QR Suivis]],"_",5)</f>
        <v>1020</v>
      </c>
      <c r="R1911" s="84" t="str">
        <f>IF(
   COUNTIFS($A$2:A1911,A1911,
             $B$2:B1911,B1911,
             $C$2:C1911,C1911,
             $D$2:D1911,D1911,
             $G$2:G1911,G1911)&gt;1,
   "Doublon",
   "Correcte"
)</f>
        <v>Correcte</v>
      </c>
    </row>
    <row r="1912" spans="1:18" x14ac:dyDescent="0.25">
      <c r="A1912" s="104" t="s">
        <v>2155</v>
      </c>
      <c r="B1912" s="35" t="s">
        <v>712</v>
      </c>
      <c r="C1912" s="36">
        <v>0</v>
      </c>
      <c r="D1912" s="36">
        <v>5</v>
      </c>
      <c r="E1912" s="35" t="s">
        <v>699</v>
      </c>
      <c r="F1912" s="35" t="s">
        <v>634</v>
      </c>
      <c r="G1912" s="37">
        <v>45943.666550925926</v>
      </c>
      <c r="H1912" s="37" t="str">
        <f>INDEX(_xlfn.TEXTSPLIT(mvtst[[#This Row],[QR Suivis]],"_"),1,1)</f>
        <v>OF249946-24</v>
      </c>
      <c r="I1912" s="35" t="str">
        <f>_xlfn.TEXTBEFORE(mvtst[[#This Row],[Num Suivis]],"-",,,1)</f>
        <v>OF249946</v>
      </c>
      <c r="J1912" s="36">
        <f>SUMIF(mvtst[QR Suivis],mvtst[[#This Row],[QR Suivis]],mvtst[QTE SORTIS])-SUMIF(mvtst[QR Suivis],mvtst[[#This Row],[QR Suivis]],mvtst[QTE RETOUR])</f>
        <v>0</v>
      </c>
      <c r="K1912" s="35" t="str">
        <f t="shared" si="33"/>
        <v>Usine</v>
      </c>
      <c r="L1912" s="35" t="str">
        <f>_xlfn.XLOOKUP(mvtst[[#This Row],[Sous Traitant]],coordonnee_st[Identification],coordonnee_st[SERVICE],"Non Trouvé")</f>
        <v>Frange</v>
      </c>
      <c r="M1912" s="35" t="str">
        <f>INDEX(_xlfn.TEXTSPLIT(mvtst[[#This Row],[QR Suivis]],"_"),1,2)</f>
        <v>CL00884</v>
      </c>
      <c r="N1912" s="35" t="str">
        <f>INDEX(_xlfn.TEXTSPLIT(mvtst[[#This Row],[QR Suivis]],"_"),1,3)</f>
        <v>CM-FT0120</v>
      </c>
      <c r="O1912" s="35" t="str">
        <f>INDEX(_xlfn.TEXTSPLIT(mvtst[[#This Row],[QR Suivis]],"_"),1,4)</f>
        <v>ST1020-S14-16-17</v>
      </c>
      <c r="P1912" s="35" t="str">
        <f>INDEX(_xlfn.TEXTSPLIT(mvtst[[#This Row],[QR Suivis]],"_"),1,5)</f>
        <v>ST TROPEZ</v>
      </c>
      <c r="Q1912" s="35" t="str">
        <f>_xlfn.TEXTAFTER(mvtst[[#This Row],[QR Suivis]],"_",5)</f>
        <v>1020</v>
      </c>
      <c r="R1912" s="84" t="str">
        <f>IF(
   COUNTIFS($A$2:A1912,A1912,
             $B$2:B1912,B1912,
             $C$2:C1912,C1912,
             $D$2:D1912,D1912,
             $G$2:G1912,G1912)&gt;1,
   "Doublon",
   "Correcte"
)</f>
        <v>Correcte</v>
      </c>
    </row>
    <row r="1913" spans="1:18" x14ac:dyDescent="0.25">
      <c r="A1913" s="104" t="s">
        <v>2214</v>
      </c>
      <c r="B1913" s="35" t="s">
        <v>712</v>
      </c>
      <c r="C1913" s="36">
        <v>0</v>
      </c>
      <c r="D1913" s="36">
        <v>5</v>
      </c>
      <c r="E1913" s="35" t="s">
        <v>699</v>
      </c>
      <c r="F1913" s="35" t="s">
        <v>634</v>
      </c>
      <c r="G1913" s="37">
        <v>45943.66673611111</v>
      </c>
      <c r="H1913" s="37" t="str">
        <f>INDEX(_xlfn.TEXTSPLIT(mvtst[[#This Row],[QR Suivis]],"_"),1,1)</f>
        <v>OF249816-56</v>
      </c>
      <c r="I1913" s="35" t="str">
        <f>_xlfn.TEXTBEFORE(mvtst[[#This Row],[Num Suivis]],"-",,,1)</f>
        <v>OF249816</v>
      </c>
      <c r="J1913" s="36">
        <f>SUMIF(mvtst[QR Suivis],mvtst[[#This Row],[QR Suivis]],mvtst[QTE SORTIS])-SUMIF(mvtst[QR Suivis],mvtst[[#This Row],[QR Suivis]],mvtst[QTE RETOUR])</f>
        <v>0</v>
      </c>
      <c r="K1913" s="35" t="str">
        <f t="shared" si="33"/>
        <v>Usine</v>
      </c>
      <c r="L1913" s="35" t="str">
        <f>_xlfn.XLOOKUP(mvtst[[#This Row],[Sous Traitant]],coordonnee_st[Identification],coordonnee_st[SERVICE],"Non Trouvé")</f>
        <v>Frange</v>
      </c>
      <c r="M1913" s="35" t="str">
        <f>INDEX(_xlfn.TEXTSPLIT(mvtst[[#This Row],[QR Suivis]],"_"),1,2)</f>
        <v>CL00884</v>
      </c>
      <c r="N1913" s="35" t="str">
        <f>INDEX(_xlfn.TEXTSPLIT(mvtst[[#This Row],[QR Suivis]],"_"),1,3)</f>
        <v>CM-FT0119</v>
      </c>
      <c r="O1913" s="35" t="str">
        <f>INDEX(_xlfn.TEXTSPLIT(mvtst[[#This Row],[QR Suivis]],"_"),1,4)</f>
        <v>SO1020-Q29-11-14</v>
      </c>
      <c r="P1913" s="35" t="str">
        <f>INDEX(_xlfn.TEXTSPLIT(mvtst[[#This Row],[QR Suivis]],"_"),1,5)</f>
        <v>SOUSSE</v>
      </c>
      <c r="Q1913" s="35" t="str">
        <f>_xlfn.TEXTAFTER(mvtst[[#This Row],[QR Suivis]],"_",5)</f>
        <v>1020</v>
      </c>
      <c r="R1913" s="84" t="str">
        <f>IF(
   COUNTIFS($A$2:A1913,A1913,
             $B$2:B1913,B1913,
             $C$2:C1913,C1913,
             $D$2:D1913,D1913,
             $G$2:G1913,G1913)&gt;1,
   "Doublon",
   "Correcte"
)</f>
        <v>Correcte</v>
      </c>
    </row>
    <row r="1914" spans="1:18" x14ac:dyDescent="0.25">
      <c r="A1914" s="104" t="s">
        <v>2130</v>
      </c>
      <c r="B1914" s="35" t="s">
        <v>712</v>
      </c>
      <c r="C1914" s="36">
        <v>0</v>
      </c>
      <c r="D1914" s="36">
        <v>5</v>
      </c>
      <c r="E1914" s="35" t="s">
        <v>699</v>
      </c>
      <c r="F1914" s="35" t="s">
        <v>634</v>
      </c>
      <c r="G1914" s="37">
        <v>45943.666898148149</v>
      </c>
      <c r="H1914" s="37" t="str">
        <f>INDEX(_xlfn.TEXTSPLIT(mvtst[[#This Row],[QR Suivis]],"_"),1,1)</f>
        <v>OF249946-18</v>
      </c>
      <c r="I1914" s="35" t="str">
        <f>_xlfn.TEXTBEFORE(mvtst[[#This Row],[Num Suivis]],"-",,,1)</f>
        <v>OF249946</v>
      </c>
      <c r="J1914" s="36">
        <f>SUMIF(mvtst[QR Suivis],mvtst[[#This Row],[QR Suivis]],mvtst[QTE SORTIS])-SUMIF(mvtst[QR Suivis],mvtst[[#This Row],[QR Suivis]],mvtst[QTE RETOUR])</f>
        <v>0</v>
      </c>
      <c r="K1914" s="35" t="str">
        <f t="shared" si="33"/>
        <v>Usine</v>
      </c>
      <c r="L1914" s="35" t="str">
        <f>_xlfn.XLOOKUP(mvtst[[#This Row],[Sous Traitant]],coordonnee_st[Identification],coordonnee_st[SERVICE],"Non Trouvé")</f>
        <v>Frange</v>
      </c>
      <c r="M1914" s="35" t="str">
        <f>INDEX(_xlfn.TEXTSPLIT(mvtst[[#This Row],[QR Suivis]],"_"),1,2)</f>
        <v>CL00884</v>
      </c>
      <c r="N1914" s="35" t="str">
        <f>INDEX(_xlfn.TEXTSPLIT(mvtst[[#This Row],[QR Suivis]],"_"),1,3)</f>
        <v>CM-FT0120</v>
      </c>
      <c r="O1914" s="35" t="str">
        <f>INDEX(_xlfn.TEXTSPLIT(mvtst[[#This Row],[QR Suivis]],"_"),1,4)</f>
        <v>ST1020-S14-16-17</v>
      </c>
      <c r="P1914" s="35" t="str">
        <f>INDEX(_xlfn.TEXTSPLIT(mvtst[[#This Row],[QR Suivis]],"_"),1,5)</f>
        <v>ST TROPEZ</v>
      </c>
      <c r="Q1914" s="35" t="str">
        <f>_xlfn.TEXTAFTER(mvtst[[#This Row],[QR Suivis]],"_",5)</f>
        <v>1020</v>
      </c>
      <c r="R1914" s="84" t="str">
        <f>IF(
   COUNTIFS($A$2:A1914,A1914,
             $B$2:B1914,B1914,
             $C$2:C1914,C1914,
             $D$2:D1914,D1914,
             $G$2:G1914,G1914)&gt;1,
   "Doublon",
   "Correcte"
)</f>
        <v>Correcte</v>
      </c>
    </row>
    <row r="1915" spans="1:18" x14ac:dyDescent="0.25">
      <c r="A1915" s="104" t="s">
        <v>2227</v>
      </c>
      <c r="B1915" s="35" t="s">
        <v>712</v>
      </c>
      <c r="C1915" s="36">
        <v>0</v>
      </c>
      <c r="D1915" s="36">
        <v>5</v>
      </c>
      <c r="E1915" s="35" t="s">
        <v>699</v>
      </c>
      <c r="F1915" s="35" t="s">
        <v>634</v>
      </c>
      <c r="G1915" s="37">
        <v>45943.667094907411</v>
      </c>
      <c r="H1915" s="37" t="str">
        <f>INDEX(_xlfn.TEXTSPLIT(mvtst[[#This Row],[QR Suivis]],"_"),1,1)</f>
        <v>OF249816-44</v>
      </c>
      <c r="I1915" s="35" t="str">
        <f>_xlfn.TEXTBEFORE(mvtst[[#This Row],[Num Suivis]],"-",,,1)</f>
        <v>OF249816</v>
      </c>
      <c r="J1915" s="36">
        <f>SUMIF(mvtst[QR Suivis],mvtst[[#This Row],[QR Suivis]],mvtst[QTE SORTIS])-SUMIF(mvtst[QR Suivis],mvtst[[#This Row],[QR Suivis]],mvtst[QTE RETOUR])</f>
        <v>0</v>
      </c>
      <c r="K1915" s="35" t="str">
        <f t="shared" si="33"/>
        <v>Usine</v>
      </c>
      <c r="L1915" s="35" t="str">
        <f>_xlfn.XLOOKUP(mvtst[[#This Row],[Sous Traitant]],coordonnee_st[Identification],coordonnee_st[SERVICE],"Non Trouvé")</f>
        <v>Frange</v>
      </c>
      <c r="M1915" s="35" t="str">
        <f>INDEX(_xlfn.TEXTSPLIT(mvtst[[#This Row],[QR Suivis]],"_"),1,2)</f>
        <v>CL00884</v>
      </c>
      <c r="N1915" s="35" t="str">
        <f>INDEX(_xlfn.TEXTSPLIT(mvtst[[#This Row],[QR Suivis]],"_"),1,3)</f>
        <v>CM-FT0119</v>
      </c>
      <c r="O1915" s="35" t="str">
        <f>INDEX(_xlfn.TEXTSPLIT(mvtst[[#This Row],[QR Suivis]],"_"),1,4)</f>
        <v>SO1020-Q29-11-14</v>
      </c>
      <c r="P1915" s="35" t="str">
        <f>INDEX(_xlfn.TEXTSPLIT(mvtst[[#This Row],[QR Suivis]],"_"),1,5)</f>
        <v>SOUSSE</v>
      </c>
      <c r="Q1915" s="35" t="str">
        <f>_xlfn.TEXTAFTER(mvtst[[#This Row],[QR Suivis]],"_",5)</f>
        <v>1020</v>
      </c>
      <c r="R1915" s="84" t="str">
        <f>IF(
   COUNTIFS($A$2:A1915,A1915,
             $B$2:B1915,B1915,
             $C$2:C1915,C1915,
             $D$2:D1915,D1915,
             $G$2:G1915,G1915)&gt;1,
   "Doublon",
   "Correcte"
)</f>
        <v>Correcte</v>
      </c>
    </row>
    <row r="1916" spans="1:18" x14ac:dyDescent="0.25">
      <c r="A1916" s="104" t="s">
        <v>2242</v>
      </c>
      <c r="B1916" s="35" t="s">
        <v>712</v>
      </c>
      <c r="C1916" s="36">
        <v>0</v>
      </c>
      <c r="D1916" s="36">
        <v>5</v>
      </c>
      <c r="E1916" s="35" t="s">
        <v>699</v>
      </c>
      <c r="F1916" s="35" t="s">
        <v>634</v>
      </c>
      <c r="G1916" s="37">
        <v>45943.667233796295</v>
      </c>
      <c r="H1916" s="37" t="str">
        <f>INDEX(_xlfn.TEXTSPLIT(mvtst[[#This Row],[QR Suivis]],"_"),1,1)</f>
        <v>OF249816-23</v>
      </c>
      <c r="I1916" s="35" t="str">
        <f>_xlfn.TEXTBEFORE(mvtst[[#This Row],[Num Suivis]],"-",,,1)</f>
        <v>OF249816</v>
      </c>
      <c r="J1916" s="36">
        <f>SUMIF(mvtst[QR Suivis],mvtst[[#This Row],[QR Suivis]],mvtst[QTE SORTIS])-SUMIF(mvtst[QR Suivis],mvtst[[#This Row],[QR Suivis]],mvtst[QTE RETOUR])</f>
        <v>0</v>
      </c>
      <c r="K1916" s="35" t="str">
        <f t="shared" si="33"/>
        <v>Usine</v>
      </c>
      <c r="L1916" s="35" t="str">
        <f>_xlfn.XLOOKUP(mvtst[[#This Row],[Sous Traitant]],coordonnee_st[Identification],coordonnee_st[SERVICE],"Non Trouvé")</f>
        <v>Frange</v>
      </c>
      <c r="M1916" s="35" t="str">
        <f>INDEX(_xlfn.TEXTSPLIT(mvtst[[#This Row],[QR Suivis]],"_"),1,2)</f>
        <v>CL00884</v>
      </c>
      <c r="N1916" s="35" t="str">
        <f>INDEX(_xlfn.TEXTSPLIT(mvtst[[#This Row],[QR Suivis]],"_"),1,3)</f>
        <v>CM-FT0119</v>
      </c>
      <c r="O1916" s="35" t="str">
        <f>INDEX(_xlfn.TEXTSPLIT(mvtst[[#This Row],[QR Suivis]],"_"),1,4)</f>
        <v>SO1020-Q29-11-14</v>
      </c>
      <c r="P1916" s="35" t="str">
        <f>INDEX(_xlfn.TEXTSPLIT(mvtst[[#This Row],[QR Suivis]],"_"),1,5)</f>
        <v>SOUSSE</v>
      </c>
      <c r="Q1916" s="35" t="str">
        <f>_xlfn.TEXTAFTER(mvtst[[#This Row],[QR Suivis]],"_",5)</f>
        <v>1020</v>
      </c>
      <c r="R1916" s="84" t="str">
        <f>IF(
   COUNTIFS($A$2:A1916,A1916,
             $B$2:B1916,B1916,
             $C$2:C1916,C1916,
             $D$2:D1916,D1916,
             $G$2:G1916,G1916)&gt;1,
   "Doublon",
   "Correcte"
)</f>
        <v>Correcte</v>
      </c>
    </row>
    <row r="1917" spans="1:18" x14ac:dyDescent="0.25">
      <c r="A1917" s="104" t="s">
        <v>2110</v>
      </c>
      <c r="B1917" s="35" t="s">
        <v>712</v>
      </c>
      <c r="C1917" s="36">
        <v>0</v>
      </c>
      <c r="D1917" s="36">
        <v>5</v>
      </c>
      <c r="E1917" s="35" t="s">
        <v>699</v>
      </c>
      <c r="F1917" s="35" t="s">
        <v>634</v>
      </c>
      <c r="G1917" s="37">
        <v>45943.66741898148</v>
      </c>
      <c r="H1917" s="37" t="str">
        <f>INDEX(_xlfn.TEXTSPLIT(mvtst[[#This Row],[QR Suivis]],"_"),1,1)</f>
        <v>OF249848-34</v>
      </c>
      <c r="I1917" s="35" t="str">
        <f>_xlfn.TEXTBEFORE(mvtst[[#This Row],[Num Suivis]],"-",,,1)</f>
        <v>OF249848</v>
      </c>
      <c r="J1917" s="36">
        <f>SUMIF(mvtst[QR Suivis],mvtst[[#This Row],[QR Suivis]],mvtst[QTE SORTIS])-SUMIF(mvtst[QR Suivis],mvtst[[#This Row],[QR Suivis]],mvtst[QTE RETOUR])</f>
        <v>0</v>
      </c>
      <c r="K1917" s="35" t="str">
        <f t="shared" si="33"/>
        <v>Usine</v>
      </c>
      <c r="L1917" s="35" t="str">
        <f>_xlfn.XLOOKUP(mvtst[[#This Row],[Sous Traitant]],coordonnee_st[Identification],coordonnee_st[SERVICE],"Non Trouvé")</f>
        <v>Frange</v>
      </c>
      <c r="M1917" s="35" t="str">
        <f>INDEX(_xlfn.TEXTSPLIT(mvtst[[#This Row],[QR Suivis]],"_"),1,2)</f>
        <v>CL00884</v>
      </c>
      <c r="N1917" s="35" t="str">
        <f>INDEX(_xlfn.TEXTSPLIT(mvtst[[#This Row],[QR Suivis]],"_"),1,3)</f>
        <v>CM-FT0119</v>
      </c>
      <c r="O1917" s="35" t="str">
        <f>INDEX(_xlfn.TEXTSPLIT(mvtst[[#This Row],[QR Suivis]],"_"),1,4)</f>
        <v>ST1020-S14-16-17</v>
      </c>
      <c r="P1917" s="35" t="str">
        <f>INDEX(_xlfn.TEXTSPLIT(mvtst[[#This Row],[QR Suivis]],"_"),1,5)</f>
        <v>ST TROPEZ</v>
      </c>
      <c r="Q1917" s="35" t="str">
        <f>_xlfn.TEXTAFTER(mvtst[[#This Row],[QR Suivis]],"_",5)</f>
        <v>1020</v>
      </c>
      <c r="R1917" s="84" t="str">
        <f>IF(
   COUNTIFS($A$2:A1917,A1917,
             $B$2:B1917,B1917,
             $C$2:C1917,C1917,
             $D$2:D1917,D1917,
             $G$2:G1917,G1917)&gt;1,
   "Doublon",
   "Correcte"
)</f>
        <v>Correcte</v>
      </c>
    </row>
    <row r="1918" spans="1:18" x14ac:dyDescent="0.25">
      <c r="A1918" s="104" t="s">
        <v>2105</v>
      </c>
      <c r="B1918" s="35" t="s">
        <v>712</v>
      </c>
      <c r="C1918" s="36">
        <v>0</v>
      </c>
      <c r="D1918" s="36">
        <v>5</v>
      </c>
      <c r="E1918" s="35" t="s">
        <v>699</v>
      </c>
      <c r="F1918" s="35" t="s">
        <v>634</v>
      </c>
      <c r="G1918" s="37">
        <v>45943.667592592596</v>
      </c>
      <c r="H1918" s="37" t="str">
        <f>INDEX(_xlfn.TEXTSPLIT(mvtst[[#This Row],[QR Suivis]],"_"),1,1)</f>
        <v>OF249848-23</v>
      </c>
      <c r="I1918" s="35" t="str">
        <f>_xlfn.TEXTBEFORE(mvtst[[#This Row],[Num Suivis]],"-",,,1)</f>
        <v>OF249848</v>
      </c>
      <c r="J1918" s="36">
        <f>SUMIF(mvtst[QR Suivis],mvtst[[#This Row],[QR Suivis]],mvtst[QTE SORTIS])-SUMIF(mvtst[QR Suivis],mvtst[[#This Row],[QR Suivis]],mvtst[QTE RETOUR])</f>
        <v>0</v>
      </c>
      <c r="K1918" s="35" t="str">
        <f t="shared" si="33"/>
        <v>Usine</v>
      </c>
      <c r="L1918" s="35" t="str">
        <f>_xlfn.XLOOKUP(mvtst[[#This Row],[Sous Traitant]],coordonnee_st[Identification],coordonnee_st[SERVICE],"Non Trouvé")</f>
        <v>Frange</v>
      </c>
      <c r="M1918" s="35" t="str">
        <f>INDEX(_xlfn.TEXTSPLIT(mvtst[[#This Row],[QR Suivis]],"_"),1,2)</f>
        <v>CL00884</v>
      </c>
      <c r="N1918" s="35" t="str">
        <f>INDEX(_xlfn.TEXTSPLIT(mvtst[[#This Row],[QR Suivis]],"_"),1,3)</f>
        <v>CM-FT0119</v>
      </c>
      <c r="O1918" s="35" t="str">
        <f>INDEX(_xlfn.TEXTSPLIT(mvtst[[#This Row],[QR Suivis]],"_"),1,4)</f>
        <v>ST1020-S14-16-17</v>
      </c>
      <c r="P1918" s="35" t="str">
        <f>INDEX(_xlfn.TEXTSPLIT(mvtst[[#This Row],[QR Suivis]],"_"),1,5)</f>
        <v>ST TROPEZ</v>
      </c>
      <c r="Q1918" s="35" t="str">
        <f>_xlfn.TEXTAFTER(mvtst[[#This Row],[QR Suivis]],"_",5)</f>
        <v>1020</v>
      </c>
      <c r="R1918" s="84" t="str">
        <f>IF(
   COUNTIFS($A$2:A1918,A1918,
             $B$2:B1918,B1918,
             $C$2:C1918,C1918,
             $D$2:D1918,D1918,
             $G$2:G1918,G1918)&gt;1,
   "Doublon",
   "Correcte"
)</f>
        <v>Correcte</v>
      </c>
    </row>
    <row r="1919" spans="1:18" x14ac:dyDescent="0.25">
      <c r="A1919" s="104" t="s">
        <v>2122</v>
      </c>
      <c r="B1919" s="35" t="s">
        <v>712</v>
      </c>
      <c r="C1919" s="36">
        <v>0</v>
      </c>
      <c r="D1919" s="36">
        <v>5</v>
      </c>
      <c r="E1919" s="35" t="s">
        <v>699</v>
      </c>
      <c r="F1919" s="35" t="s">
        <v>634</v>
      </c>
      <c r="G1919" s="37">
        <v>45943.667754629627</v>
      </c>
      <c r="H1919" s="37" t="str">
        <f>INDEX(_xlfn.TEXTSPLIT(mvtst[[#This Row],[QR Suivis]],"_"),1,1)</f>
        <v>OF249848-26</v>
      </c>
      <c r="I1919" s="35" t="str">
        <f>_xlfn.TEXTBEFORE(mvtst[[#This Row],[Num Suivis]],"-",,,1)</f>
        <v>OF249848</v>
      </c>
      <c r="J1919" s="36">
        <f>SUMIF(mvtst[QR Suivis],mvtst[[#This Row],[QR Suivis]],mvtst[QTE SORTIS])-SUMIF(mvtst[QR Suivis],mvtst[[#This Row],[QR Suivis]],mvtst[QTE RETOUR])</f>
        <v>0</v>
      </c>
      <c r="K1919" s="35" t="str">
        <f t="shared" si="33"/>
        <v>Usine</v>
      </c>
      <c r="L1919" s="35" t="str">
        <f>_xlfn.XLOOKUP(mvtst[[#This Row],[Sous Traitant]],coordonnee_st[Identification],coordonnee_st[SERVICE],"Non Trouvé")</f>
        <v>Frange</v>
      </c>
      <c r="M1919" s="35" t="str">
        <f>INDEX(_xlfn.TEXTSPLIT(mvtst[[#This Row],[QR Suivis]],"_"),1,2)</f>
        <v>CL00884</v>
      </c>
      <c r="N1919" s="35" t="str">
        <f>INDEX(_xlfn.TEXTSPLIT(mvtst[[#This Row],[QR Suivis]],"_"),1,3)</f>
        <v>CM-FT0119</v>
      </c>
      <c r="O1919" s="35" t="str">
        <f>INDEX(_xlfn.TEXTSPLIT(mvtst[[#This Row],[QR Suivis]],"_"),1,4)</f>
        <v>ST1020-S14-16-17</v>
      </c>
      <c r="P1919" s="35" t="str">
        <f>INDEX(_xlfn.TEXTSPLIT(mvtst[[#This Row],[QR Suivis]],"_"),1,5)</f>
        <v>ST TROPEZ</v>
      </c>
      <c r="Q1919" s="35" t="str">
        <f>_xlfn.TEXTAFTER(mvtst[[#This Row],[QR Suivis]],"_",5)</f>
        <v>1020</v>
      </c>
      <c r="R1919" s="84" t="str">
        <f>IF(
   COUNTIFS($A$2:A1919,A1919,
             $B$2:B1919,B1919,
             $C$2:C1919,C1919,
             $D$2:D1919,D1919,
             $G$2:G1919,G1919)&gt;1,
   "Doublon",
   "Correcte"
)</f>
        <v>Correcte</v>
      </c>
    </row>
    <row r="1920" spans="1:18" x14ac:dyDescent="0.25">
      <c r="A1920" s="104" t="s">
        <v>2116</v>
      </c>
      <c r="B1920" s="35" t="s">
        <v>712</v>
      </c>
      <c r="C1920" s="36">
        <v>0</v>
      </c>
      <c r="D1920" s="36">
        <v>5</v>
      </c>
      <c r="E1920" s="35" t="s">
        <v>699</v>
      </c>
      <c r="F1920" s="35" t="s">
        <v>634</v>
      </c>
      <c r="G1920" s="37">
        <v>45943.667962962965</v>
      </c>
      <c r="H1920" s="37" t="str">
        <f>INDEX(_xlfn.TEXTSPLIT(mvtst[[#This Row],[QR Suivis]],"_"),1,1)</f>
        <v>OF249848-41</v>
      </c>
      <c r="I1920" s="35" t="str">
        <f>_xlfn.TEXTBEFORE(mvtst[[#This Row],[Num Suivis]],"-",,,1)</f>
        <v>OF249848</v>
      </c>
      <c r="J1920" s="36">
        <f>SUMIF(mvtst[QR Suivis],mvtst[[#This Row],[QR Suivis]],mvtst[QTE SORTIS])-SUMIF(mvtst[QR Suivis],mvtst[[#This Row],[QR Suivis]],mvtst[QTE RETOUR])</f>
        <v>0</v>
      </c>
      <c r="K1920" s="35" t="str">
        <f t="shared" si="33"/>
        <v>Usine</v>
      </c>
      <c r="L1920" s="35" t="str">
        <f>_xlfn.XLOOKUP(mvtst[[#This Row],[Sous Traitant]],coordonnee_st[Identification],coordonnee_st[SERVICE],"Non Trouvé")</f>
        <v>Frange</v>
      </c>
      <c r="M1920" s="35" t="str">
        <f>INDEX(_xlfn.TEXTSPLIT(mvtst[[#This Row],[QR Suivis]],"_"),1,2)</f>
        <v>CL00884</v>
      </c>
      <c r="N1920" s="35" t="str">
        <f>INDEX(_xlfn.TEXTSPLIT(mvtst[[#This Row],[QR Suivis]],"_"),1,3)</f>
        <v>CM-FT0119</v>
      </c>
      <c r="O1920" s="35" t="str">
        <f>INDEX(_xlfn.TEXTSPLIT(mvtst[[#This Row],[QR Suivis]],"_"),1,4)</f>
        <v>ST1020-S14-16-17</v>
      </c>
      <c r="P1920" s="35" t="str">
        <f>INDEX(_xlfn.TEXTSPLIT(mvtst[[#This Row],[QR Suivis]],"_"),1,5)</f>
        <v>ST TROPEZ</v>
      </c>
      <c r="Q1920" s="35" t="str">
        <f>_xlfn.TEXTAFTER(mvtst[[#This Row],[QR Suivis]],"_",5)</f>
        <v>1020</v>
      </c>
      <c r="R1920" s="84" t="str">
        <f>IF(
   COUNTIFS($A$2:A1920,A1920,
             $B$2:B1920,B1920,
             $C$2:C1920,C1920,
             $D$2:D1920,D1920,
             $G$2:G1920,G1920)&gt;1,
   "Doublon",
   "Correcte"
)</f>
        <v>Correcte</v>
      </c>
    </row>
    <row r="1921" spans="1:18" x14ac:dyDescent="0.25">
      <c r="A1921" s="104" t="s">
        <v>2128</v>
      </c>
      <c r="B1921" s="35" t="s">
        <v>712</v>
      </c>
      <c r="C1921" s="36">
        <v>0</v>
      </c>
      <c r="D1921" s="36">
        <v>5</v>
      </c>
      <c r="E1921" s="35" t="s">
        <v>699</v>
      </c>
      <c r="F1921" s="35" t="s">
        <v>634</v>
      </c>
      <c r="G1921" s="37">
        <v>45943.668090277781</v>
      </c>
      <c r="H1921" s="37" t="str">
        <f>INDEX(_xlfn.TEXTSPLIT(mvtst[[#This Row],[QR Suivis]],"_"),1,1)</f>
        <v>OF249946-19</v>
      </c>
      <c r="I1921" s="35" t="str">
        <f>_xlfn.TEXTBEFORE(mvtst[[#This Row],[Num Suivis]],"-",,,1)</f>
        <v>OF249946</v>
      </c>
      <c r="J1921" s="36">
        <f>SUMIF(mvtst[QR Suivis],mvtst[[#This Row],[QR Suivis]],mvtst[QTE SORTIS])-SUMIF(mvtst[QR Suivis],mvtst[[#This Row],[QR Suivis]],mvtst[QTE RETOUR])</f>
        <v>0</v>
      </c>
      <c r="K1921" s="35" t="str">
        <f t="shared" si="33"/>
        <v>Usine</v>
      </c>
      <c r="L1921" s="35" t="str">
        <f>_xlfn.XLOOKUP(mvtst[[#This Row],[Sous Traitant]],coordonnee_st[Identification],coordonnee_st[SERVICE],"Non Trouvé")</f>
        <v>Frange</v>
      </c>
      <c r="M1921" s="35" t="str">
        <f>INDEX(_xlfn.TEXTSPLIT(mvtst[[#This Row],[QR Suivis]],"_"),1,2)</f>
        <v>CL00884</v>
      </c>
      <c r="N1921" s="35" t="str">
        <f>INDEX(_xlfn.TEXTSPLIT(mvtst[[#This Row],[QR Suivis]],"_"),1,3)</f>
        <v>CM-FT0120</v>
      </c>
      <c r="O1921" s="35" t="str">
        <f>INDEX(_xlfn.TEXTSPLIT(mvtst[[#This Row],[QR Suivis]],"_"),1,4)</f>
        <v>ST1020-S14-16-17</v>
      </c>
      <c r="P1921" s="35" t="str">
        <f>INDEX(_xlfn.TEXTSPLIT(mvtst[[#This Row],[QR Suivis]],"_"),1,5)</f>
        <v>ST TROPEZ</v>
      </c>
      <c r="Q1921" s="35" t="str">
        <f>_xlfn.TEXTAFTER(mvtst[[#This Row],[QR Suivis]],"_",5)</f>
        <v>1020</v>
      </c>
      <c r="R1921" s="84" t="str">
        <f>IF(
   COUNTIFS($A$2:A1921,A1921,
             $B$2:B1921,B1921,
             $C$2:C1921,C1921,
             $D$2:D1921,D1921,
             $G$2:G1921,G1921)&gt;1,
   "Doublon",
   "Correcte"
)</f>
        <v>Correcte</v>
      </c>
    </row>
    <row r="1922" spans="1:18" x14ac:dyDescent="0.25">
      <c r="A1922" s="104" t="s">
        <v>2136</v>
      </c>
      <c r="B1922" s="35" t="s">
        <v>712</v>
      </c>
      <c r="C1922" s="36">
        <v>0</v>
      </c>
      <c r="D1922" s="36">
        <v>5</v>
      </c>
      <c r="E1922" s="35" t="s">
        <v>699</v>
      </c>
      <c r="F1922" s="35" t="s">
        <v>634</v>
      </c>
      <c r="G1922" s="37">
        <v>45943.668263888889</v>
      </c>
      <c r="H1922" s="37" t="str">
        <f>INDEX(_xlfn.TEXTSPLIT(mvtst[[#This Row],[QR Suivis]],"_"),1,1)</f>
        <v>OF249946-1</v>
      </c>
      <c r="I1922" s="35" t="str">
        <f>_xlfn.TEXTBEFORE(mvtst[[#This Row],[Num Suivis]],"-",,,1)</f>
        <v>OF249946</v>
      </c>
      <c r="J1922" s="36">
        <f>SUMIF(mvtst[QR Suivis],mvtst[[#This Row],[QR Suivis]],mvtst[QTE SORTIS])-SUMIF(mvtst[QR Suivis],mvtst[[#This Row],[QR Suivis]],mvtst[QTE RETOUR])</f>
        <v>0</v>
      </c>
      <c r="K1922" s="35" t="str">
        <f t="shared" si="33"/>
        <v>Usine</v>
      </c>
      <c r="L1922" s="35" t="str">
        <f>_xlfn.XLOOKUP(mvtst[[#This Row],[Sous Traitant]],coordonnee_st[Identification],coordonnee_st[SERVICE],"Non Trouvé")</f>
        <v>Frange</v>
      </c>
      <c r="M1922" s="35" t="str">
        <f>INDEX(_xlfn.TEXTSPLIT(mvtst[[#This Row],[QR Suivis]],"_"),1,2)</f>
        <v>CL00884</v>
      </c>
      <c r="N1922" s="35" t="str">
        <f>INDEX(_xlfn.TEXTSPLIT(mvtst[[#This Row],[QR Suivis]],"_"),1,3)</f>
        <v>CM-FT0120</v>
      </c>
      <c r="O1922" s="35" t="str">
        <f>INDEX(_xlfn.TEXTSPLIT(mvtst[[#This Row],[QR Suivis]],"_"),1,4)</f>
        <v>ST1020-S14-16-17</v>
      </c>
      <c r="P1922" s="35" t="str">
        <f>INDEX(_xlfn.TEXTSPLIT(mvtst[[#This Row],[QR Suivis]],"_"),1,5)</f>
        <v>ST TROPEZ</v>
      </c>
      <c r="Q1922" s="35" t="str">
        <f>_xlfn.TEXTAFTER(mvtst[[#This Row],[QR Suivis]],"_",5)</f>
        <v>1020</v>
      </c>
      <c r="R1922" s="84" t="str">
        <f>IF(
   COUNTIFS($A$2:A1922,A1922,
             $B$2:B1922,B1922,
             $C$2:C1922,C1922,
             $D$2:D1922,D1922,
             $G$2:G1922,G1922)&gt;1,
   "Doublon",
   "Correcte"
)</f>
        <v>Correcte</v>
      </c>
    </row>
    <row r="1923" spans="1:18" x14ac:dyDescent="0.25">
      <c r="A1923" s="104" t="s">
        <v>2129</v>
      </c>
      <c r="B1923" s="35" t="s">
        <v>712</v>
      </c>
      <c r="C1923" s="36">
        <v>0</v>
      </c>
      <c r="D1923" s="36">
        <v>5</v>
      </c>
      <c r="E1923" s="35" t="s">
        <v>699</v>
      </c>
      <c r="F1923" s="35" t="s">
        <v>634</v>
      </c>
      <c r="G1923" s="37">
        <v>45943.668402777781</v>
      </c>
      <c r="H1923" s="37" t="str">
        <f>INDEX(_xlfn.TEXTSPLIT(mvtst[[#This Row],[QR Suivis]],"_"),1,1)</f>
        <v>OF249946-20</v>
      </c>
      <c r="I1923" s="35" t="str">
        <f>_xlfn.TEXTBEFORE(mvtst[[#This Row],[Num Suivis]],"-",,,1)</f>
        <v>OF249946</v>
      </c>
      <c r="J1923" s="36">
        <f>SUMIF(mvtst[QR Suivis],mvtst[[#This Row],[QR Suivis]],mvtst[QTE SORTIS])-SUMIF(mvtst[QR Suivis],mvtst[[#This Row],[QR Suivis]],mvtst[QTE RETOUR])</f>
        <v>0</v>
      </c>
      <c r="K1923" s="35" t="str">
        <f t="shared" si="33"/>
        <v>Usine</v>
      </c>
      <c r="L1923" s="35" t="str">
        <f>_xlfn.XLOOKUP(mvtst[[#This Row],[Sous Traitant]],coordonnee_st[Identification],coordonnee_st[SERVICE],"Non Trouvé")</f>
        <v>Frange</v>
      </c>
      <c r="M1923" s="35" t="str">
        <f>INDEX(_xlfn.TEXTSPLIT(mvtst[[#This Row],[QR Suivis]],"_"),1,2)</f>
        <v>CL00884</v>
      </c>
      <c r="N1923" s="35" t="str">
        <f>INDEX(_xlfn.TEXTSPLIT(mvtst[[#This Row],[QR Suivis]],"_"),1,3)</f>
        <v>CM-FT0120</v>
      </c>
      <c r="O1923" s="35" t="str">
        <f>INDEX(_xlfn.TEXTSPLIT(mvtst[[#This Row],[QR Suivis]],"_"),1,4)</f>
        <v>ST1020-S14-16-17</v>
      </c>
      <c r="P1923" s="35" t="str">
        <f>INDEX(_xlfn.TEXTSPLIT(mvtst[[#This Row],[QR Suivis]],"_"),1,5)</f>
        <v>ST TROPEZ</v>
      </c>
      <c r="Q1923" s="35" t="str">
        <f>_xlfn.TEXTAFTER(mvtst[[#This Row],[QR Suivis]],"_",5)</f>
        <v>1020</v>
      </c>
      <c r="R1923" s="84" t="str">
        <f>IF(
   COUNTIFS($A$2:A1923,A1923,
             $B$2:B1923,B1923,
             $C$2:C1923,C1923,
             $D$2:D1923,D1923,
             $G$2:G1923,G1923)&gt;1,
   "Doublon",
   "Correcte"
)</f>
        <v>Correcte</v>
      </c>
    </row>
    <row r="1924" spans="1:18" x14ac:dyDescent="0.25">
      <c r="A1924" s="104" t="s">
        <v>2131</v>
      </c>
      <c r="B1924" s="35" t="s">
        <v>712</v>
      </c>
      <c r="C1924" s="36">
        <v>0</v>
      </c>
      <c r="D1924" s="36">
        <v>5</v>
      </c>
      <c r="E1924" s="35" t="s">
        <v>699</v>
      </c>
      <c r="F1924" s="35" t="s">
        <v>634</v>
      </c>
      <c r="G1924" s="37">
        <v>45943.668622685182</v>
      </c>
      <c r="H1924" s="37" t="str">
        <f>INDEX(_xlfn.TEXTSPLIT(mvtst[[#This Row],[QR Suivis]],"_"),1,1)</f>
        <v>OF249946-11</v>
      </c>
      <c r="I1924" s="35" t="str">
        <f>_xlfn.TEXTBEFORE(mvtst[[#This Row],[Num Suivis]],"-",,,1)</f>
        <v>OF249946</v>
      </c>
      <c r="J1924" s="36">
        <f>SUMIF(mvtst[QR Suivis],mvtst[[#This Row],[QR Suivis]],mvtst[QTE SORTIS])-SUMIF(mvtst[QR Suivis],mvtst[[#This Row],[QR Suivis]],mvtst[QTE RETOUR])</f>
        <v>0</v>
      </c>
      <c r="K1924" s="35" t="str">
        <f t="shared" si="33"/>
        <v>Usine</v>
      </c>
      <c r="L1924" s="35" t="str">
        <f>_xlfn.XLOOKUP(mvtst[[#This Row],[Sous Traitant]],coordonnee_st[Identification],coordonnee_st[SERVICE],"Non Trouvé")</f>
        <v>Frange</v>
      </c>
      <c r="M1924" s="35" t="str">
        <f>INDEX(_xlfn.TEXTSPLIT(mvtst[[#This Row],[QR Suivis]],"_"),1,2)</f>
        <v>CL00884</v>
      </c>
      <c r="N1924" s="35" t="str">
        <f>INDEX(_xlfn.TEXTSPLIT(mvtst[[#This Row],[QR Suivis]],"_"),1,3)</f>
        <v>CM-FT0120</v>
      </c>
      <c r="O1924" s="35" t="str">
        <f>INDEX(_xlfn.TEXTSPLIT(mvtst[[#This Row],[QR Suivis]],"_"),1,4)</f>
        <v>ST1020-S14-16-17</v>
      </c>
      <c r="P1924" s="35" t="str">
        <f>INDEX(_xlfn.TEXTSPLIT(mvtst[[#This Row],[QR Suivis]],"_"),1,5)</f>
        <v>ST TROPEZ</v>
      </c>
      <c r="Q1924" s="35" t="str">
        <f>_xlfn.TEXTAFTER(mvtst[[#This Row],[QR Suivis]],"_",5)</f>
        <v>1020</v>
      </c>
      <c r="R1924" s="84" t="str">
        <f>IF(
   COUNTIFS($A$2:A1924,A1924,
             $B$2:B1924,B1924,
             $C$2:C1924,C1924,
             $D$2:D1924,D1924,
             $G$2:G1924,G1924)&gt;1,
   "Doublon",
   "Correcte"
)</f>
        <v>Correcte</v>
      </c>
    </row>
    <row r="1925" spans="1:18" x14ac:dyDescent="0.25">
      <c r="A1925" s="104" t="s">
        <v>2216</v>
      </c>
      <c r="B1925" s="35" t="s">
        <v>712</v>
      </c>
      <c r="C1925" s="36">
        <v>0</v>
      </c>
      <c r="D1925" s="36">
        <v>5</v>
      </c>
      <c r="E1925" s="35" t="s">
        <v>699</v>
      </c>
      <c r="F1925" s="35" t="s">
        <v>634</v>
      </c>
      <c r="G1925" s="37">
        <v>45943.668865740743</v>
      </c>
      <c r="H1925" s="37" t="str">
        <f>INDEX(_xlfn.TEXTSPLIT(mvtst[[#This Row],[QR Suivis]],"_"),1,1)</f>
        <v>OF249816-62</v>
      </c>
      <c r="I1925" s="35" t="str">
        <f>_xlfn.TEXTBEFORE(mvtst[[#This Row],[Num Suivis]],"-",,,1)</f>
        <v>OF249816</v>
      </c>
      <c r="J1925" s="36">
        <f>SUMIF(mvtst[QR Suivis],mvtst[[#This Row],[QR Suivis]],mvtst[QTE SORTIS])-SUMIF(mvtst[QR Suivis],mvtst[[#This Row],[QR Suivis]],mvtst[QTE RETOUR])</f>
        <v>0</v>
      </c>
      <c r="K1925" s="35" t="str">
        <f t="shared" si="33"/>
        <v>Usine</v>
      </c>
      <c r="L1925" s="35" t="str">
        <f>_xlfn.XLOOKUP(mvtst[[#This Row],[Sous Traitant]],coordonnee_st[Identification],coordonnee_st[SERVICE],"Non Trouvé")</f>
        <v>Frange</v>
      </c>
      <c r="M1925" s="35" t="str">
        <f>INDEX(_xlfn.TEXTSPLIT(mvtst[[#This Row],[QR Suivis]],"_"),1,2)</f>
        <v>CL00884</v>
      </c>
      <c r="N1925" s="35" t="str">
        <f>INDEX(_xlfn.TEXTSPLIT(mvtst[[#This Row],[QR Suivis]],"_"),1,3)</f>
        <v>CM-FT0119</v>
      </c>
      <c r="O1925" s="35" t="str">
        <f>INDEX(_xlfn.TEXTSPLIT(mvtst[[#This Row],[QR Suivis]],"_"),1,4)</f>
        <v>SO1020-Q29-11-14</v>
      </c>
      <c r="P1925" s="35" t="str">
        <f>INDEX(_xlfn.TEXTSPLIT(mvtst[[#This Row],[QR Suivis]],"_"),1,5)</f>
        <v>SOUSSE</v>
      </c>
      <c r="Q1925" s="35" t="str">
        <f>_xlfn.TEXTAFTER(mvtst[[#This Row],[QR Suivis]],"_",5)</f>
        <v>1020</v>
      </c>
      <c r="R1925" s="84" t="str">
        <f>IF(
   COUNTIFS($A$2:A1925,A1925,
             $B$2:B1925,B1925,
             $C$2:C1925,C1925,
             $D$2:D1925,D1925,
             $G$2:G1925,G1925)&gt;1,
   "Doublon",
   "Correcte"
)</f>
        <v>Correcte</v>
      </c>
    </row>
    <row r="1926" spans="1:18" x14ac:dyDescent="0.25">
      <c r="A1926" s="104" t="s">
        <v>2224</v>
      </c>
      <c r="B1926" s="35" t="s">
        <v>712</v>
      </c>
      <c r="C1926" s="36">
        <v>0</v>
      </c>
      <c r="D1926" s="36">
        <v>5</v>
      </c>
      <c r="E1926" s="35" t="s">
        <v>699</v>
      </c>
      <c r="F1926" s="35" t="s">
        <v>634</v>
      </c>
      <c r="G1926" s="37">
        <v>45943.669016203705</v>
      </c>
      <c r="H1926" s="37" t="str">
        <f>INDEX(_xlfn.TEXTSPLIT(mvtst[[#This Row],[QR Suivis]],"_"),1,1)</f>
        <v>OF249816-64</v>
      </c>
      <c r="I1926" s="35" t="str">
        <f>_xlfn.TEXTBEFORE(mvtst[[#This Row],[Num Suivis]],"-",,,1)</f>
        <v>OF249816</v>
      </c>
      <c r="J1926" s="36">
        <f>SUMIF(mvtst[QR Suivis],mvtst[[#This Row],[QR Suivis]],mvtst[QTE SORTIS])-SUMIF(mvtst[QR Suivis],mvtst[[#This Row],[QR Suivis]],mvtst[QTE RETOUR])</f>
        <v>0</v>
      </c>
      <c r="K1926" s="35" t="str">
        <f t="shared" si="33"/>
        <v>Usine</v>
      </c>
      <c r="L1926" s="35" t="str">
        <f>_xlfn.XLOOKUP(mvtst[[#This Row],[Sous Traitant]],coordonnee_st[Identification],coordonnee_st[SERVICE],"Non Trouvé")</f>
        <v>Frange</v>
      </c>
      <c r="M1926" s="35" t="str">
        <f>INDEX(_xlfn.TEXTSPLIT(mvtst[[#This Row],[QR Suivis]],"_"),1,2)</f>
        <v>CL00884</v>
      </c>
      <c r="N1926" s="35" t="str">
        <f>INDEX(_xlfn.TEXTSPLIT(mvtst[[#This Row],[QR Suivis]],"_"),1,3)</f>
        <v>CM-FT0119</v>
      </c>
      <c r="O1926" s="35" t="str">
        <f>INDEX(_xlfn.TEXTSPLIT(mvtst[[#This Row],[QR Suivis]],"_"),1,4)</f>
        <v>SO1020-Q29-11-14</v>
      </c>
      <c r="P1926" s="35" t="str">
        <f>INDEX(_xlfn.TEXTSPLIT(mvtst[[#This Row],[QR Suivis]],"_"),1,5)</f>
        <v>SOUSSE</v>
      </c>
      <c r="Q1926" s="35" t="str">
        <f>_xlfn.TEXTAFTER(mvtst[[#This Row],[QR Suivis]],"_",5)</f>
        <v>1020</v>
      </c>
      <c r="R1926" s="84" t="str">
        <f>IF(
   COUNTIFS($A$2:A1926,A1926,
             $B$2:B1926,B1926,
             $C$2:C1926,C1926,
             $D$2:D1926,D1926,
             $G$2:G1926,G1926)&gt;1,
   "Doublon",
   "Correcte"
)</f>
        <v>Correcte</v>
      </c>
    </row>
    <row r="1927" spans="1:18" x14ac:dyDescent="0.25">
      <c r="A1927" s="104" t="s">
        <v>2126</v>
      </c>
      <c r="B1927" s="35" t="s">
        <v>712</v>
      </c>
      <c r="C1927" s="36">
        <v>0</v>
      </c>
      <c r="D1927" s="36">
        <v>5</v>
      </c>
      <c r="E1927" s="35" t="s">
        <v>699</v>
      </c>
      <c r="F1927" s="35" t="s">
        <v>634</v>
      </c>
      <c r="G1927" s="37">
        <v>45943.66914351852</v>
      </c>
      <c r="H1927" s="37" t="str">
        <f>INDEX(_xlfn.TEXTSPLIT(mvtst[[#This Row],[QR Suivis]],"_"),1,1)</f>
        <v>OF249848-19</v>
      </c>
      <c r="I1927" s="35" t="str">
        <f>_xlfn.TEXTBEFORE(mvtst[[#This Row],[Num Suivis]],"-",,,1)</f>
        <v>OF249848</v>
      </c>
      <c r="J1927" s="36">
        <f>SUMIF(mvtst[QR Suivis],mvtst[[#This Row],[QR Suivis]],mvtst[QTE SORTIS])-SUMIF(mvtst[QR Suivis],mvtst[[#This Row],[QR Suivis]],mvtst[QTE RETOUR])</f>
        <v>0</v>
      </c>
      <c r="K1927" s="35" t="str">
        <f t="shared" si="33"/>
        <v>Usine</v>
      </c>
      <c r="L1927" s="35" t="str">
        <f>_xlfn.XLOOKUP(mvtst[[#This Row],[Sous Traitant]],coordonnee_st[Identification],coordonnee_st[SERVICE],"Non Trouvé")</f>
        <v>Frange</v>
      </c>
      <c r="M1927" s="35" t="str">
        <f>INDEX(_xlfn.TEXTSPLIT(mvtst[[#This Row],[QR Suivis]],"_"),1,2)</f>
        <v>CL00884</v>
      </c>
      <c r="N1927" s="35" t="str">
        <f>INDEX(_xlfn.TEXTSPLIT(mvtst[[#This Row],[QR Suivis]],"_"),1,3)</f>
        <v>CM-FT0119</v>
      </c>
      <c r="O1927" s="35" t="str">
        <f>INDEX(_xlfn.TEXTSPLIT(mvtst[[#This Row],[QR Suivis]],"_"),1,4)</f>
        <v>ST1020-S14-16-17</v>
      </c>
      <c r="P1927" s="35" t="str">
        <f>INDEX(_xlfn.TEXTSPLIT(mvtst[[#This Row],[QR Suivis]],"_"),1,5)</f>
        <v>ST TROPEZ</v>
      </c>
      <c r="Q1927" s="35" t="str">
        <f>_xlfn.TEXTAFTER(mvtst[[#This Row],[QR Suivis]],"_",5)</f>
        <v>1020</v>
      </c>
      <c r="R1927" s="84" t="str">
        <f>IF(
   COUNTIFS($A$2:A1927,A1927,
             $B$2:B1927,B1927,
             $C$2:C1927,C1927,
             $D$2:D1927,D1927,
             $G$2:G1927,G1927)&gt;1,
   "Doublon",
   "Correcte"
)</f>
        <v>Correcte</v>
      </c>
    </row>
    <row r="1928" spans="1:18" x14ac:dyDescent="0.25">
      <c r="A1928" s="104" t="s">
        <v>2215</v>
      </c>
      <c r="B1928" s="35" t="s">
        <v>712</v>
      </c>
      <c r="C1928" s="36">
        <v>0</v>
      </c>
      <c r="D1928" s="36">
        <v>5</v>
      </c>
      <c r="E1928" s="35" t="s">
        <v>699</v>
      </c>
      <c r="F1928" s="35" t="s">
        <v>634</v>
      </c>
      <c r="G1928" s="37">
        <v>45943.669374999998</v>
      </c>
      <c r="H1928" s="37" t="str">
        <f>INDEX(_xlfn.TEXTSPLIT(mvtst[[#This Row],[QR Suivis]],"_"),1,1)</f>
        <v>OF249816-58</v>
      </c>
      <c r="I1928" s="35" t="str">
        <f>_xlfn.TEXTBEFORE(mvtst[[#This Row],[Num Suivis]],"-",,,1)</f>
        <v>OF249816</v>
      </c>
      <c r="J1928" s="36">
        <f>SUMIF(mvtst[QR Suivis],mvtst[[#This Row],[QR Suivis]],mvtst[QTE SORTIS])-SUMIF(mvtst[QR Suivis],mvtst[[#This Row],[QR Suivis]],mvtst[QTE RETOUR])</f>
        <v>0</v>
      </c>
      <c r="K1928" s="35" t="str">
        <f t="shared" si="33"/>
        <v>Usine</v>
      </c>
      <c r="L1928" s="35" t="str">
        <f>_xlfn.XLOOKUP(mvtst[[#This Row],[Sous Traitant]],coordonnee_st[Identification],coordonnee_st[SERVICE],"Non Trouvé")</f>
        <v>Frange</v>
      </c>
      <c r="M1928" s="35" t="str">
        <f>INDEX(_xlfn.TEXTSPLIT(mvtst[[#This Row],[QR Suivis]],"_"),1,2)</f>
        <v>CL00884</v>
      </c>
      <c r="N1928" s="35" t="str">
        <f>INDEX(_xlfn.TEXTSPLIT(mvtst[[#This Row],[QR Suivis]],"_"),1,3)</f>
        <v>CM-FT0119</v>
      </c>
      <c r="O1928" s="35" t="str">
        <f>INDEX(_xlfn.TEXTSPLIT(mvtst[[#This Row],[QR Suivis]],"_"),1,4)</f>
        <v>SO1020-Q29-11-14</v>
      </c>
      <c r="P1928" s="35" t="str">
        <f>INDEX(_xlfn.TEXTSPLIT(mvtst[[#This Row],[QR Suivis]],"_"),1,5)</f>
        <v>SOUSSE</v>
      </c>
      <c r="Q1928" s="35" t="str">
        <f>_xlfn.TEXTAFTER(mvtst[[#This Row],[QR Suivis]],"_",5)</f>
        <v>1020</v>
      </c>
      <c r="R1928" s="84" t="str">
        <f>IF(
   COUNTIFS($A$2:A1928,A1928,
             $B$2:B1928,B1928,
             $C$2:C1928,C1928,
             $D$2:D1928,D1928,
             $G$2:G1928,G1928)&gt;1,
   "Doublon",
   "Correcte"
)</f>
        <v>Correcte</v>
      </c>
    </row>
    <row r="1929" spans="1:18" x14ac:dyDescent="0.25">
      <c r="A1929" s="104" t="s">
        <v>2266</v>
      </c>
      <c r="B1929" s="35" t="s">
        <v>712</v>
      </c>
      <c r="C1929" s="36">
        <v>0</v>
      </c>
      <c r="D1929" s="36">
        <v>5</v>
      </c>
      <c r="E1929" s="35" t="s">
        <v>699</v>
      </c>
      <c r="F1929" s="35" t="s">
        <v>634</v>
      </c>
      <c r="G1929" s="37">
        <v>45943.669710648152</v>
      </c>
      <c r="H1929" s="37" t="str">
        <f>INDEX(_xlfn.TEXTSPLIT(mvtst[[#This Row],[QR Suivis]],"_"),1,1)</f>
        <v>OF249816-12</v>
      </c>
      <c r="I1929" s="35" t="str">
        <f>_xlfn.TEXTBEFORE(mvtst[[#This Row],[Num Suivis]],"-",,,1)</f>
        <v>OF249816</v>
      </c>
      <c r="J1929" s="36">
        <f>SUMIF(mvtst[QR Suivis],mvtst[[#This Row],[QR Suivis]],mvtst[QTE SORTIS])-SUMIF(mvtst[QR Suivis],mvtst[[#This Row],[QR Suivis]],mvtst[QTE RETOUR])</f>
        <v>0</v>
      </c>
      <c r="K1929" s="35" t="str">
        <f t="shared" si="33"/>
        <v>Usine</v>
      </c>
      <c r="L1929" s="35" t="str">
        <f>_xlfn.XLOOKUP(mvtst[[#This Row],[Sous Traitant]],coordonnee_st[Identification],coordonnee_st[SERVICE],"Non Trouvé")</f>
        <v>Frange</v>
      </c>
      <c r="M1929" s="35" t="str">
        <f>INDEX(_xlfn.TEXTSPLIT(mvtst[[#This Row],[QR Suivis]],"_"),1,2)</f>
        <v>CL00884</v>
      </c>
      <c r="N1929" s="35" t="str">
        <f>INDEX(_xlfn.TEXTSPLIT(mvtst[[#This Row],[QR Suivis]],"_"),1,3)</f>
        <v>CM-FT0119</v>
      </c>
      <c r="O1929" s="35" t="str">
        <f>INDEX(_xlfn.TEXTSPLIT(mvtst[[#This Row],[QR Suivis]],"_"),1,4)</f>
        <v>SO1020-Q29-11-14</v>
      </c>
      <c r="P1929" s="35" t="str">
        <f>INDEX(_xlfn.TEXTSPLIT(mvtst[[#This Row],[QR Suivis]],"_"),1,5)</f>
        <v>SOUSSE</v>
      </c>
      <c r="Q1929" s="35" t="str">
        <f>_xlfn.TEXTAFTER(mvtst[[#This Row],[QR Suivis]],"_",5)</f>
        <v>1020</v>
      </c>
      <c r="R1929" s="84" t="str">
        <f>IF(
   COUNTIFS($A$2:A1929,A1929,
             $B$2:B1929,B1929,
             $C$2:C1929,C1929,
             $D$2:D1929,D1929,
             $G$2:G1929,G1929)&gt;1,
   "Doublon",
   "Correcte"
)</f>
        <v>Correcte</v>
      </c>
    </row>
    <row r="1930" spans="1:18" x14ac:dyDescent="0.25">
      <c r="A1930" s="104" t="s">
        <v>2219</v>
      </c>
      <c r="B1930" s="35" t="s">
        <v>712</v>
      </c>
      <c r="C1930" s="36">
        <v>0</v>
      </c>
      <c r="D1930" s="36">
        <v>5</v>
      </c>
      <c r="E1930" s="35" t="s">
        <v>699</v>
      </c>
      <c r="F1930" s="35" t="s">
        <v>634</v>
      </c>
      <c r="G1930" s="37">
        <v>45943.669942129629</v>
      </c>
      <c r="H1930" s="37" t="str">
        <f>INDEX(_xlfn.TEXTSPLIT(mvtst[[#This Row],[QR Suivis]],"_"),1,1)</f>
        <v>OF249816-51</v>
      </c>
      <c r="I1930" s="35" t="str">
        <f>_xlfn.TEXTBEFORE(mvtst[[#This Row],[Num Suivis]],"-",,,1)</f>
        <v>OF249816</v>
      </c>
      <c r="J1930" s="36">
        <f>SUMIF(mvtst[QR Suivis],mvtst[[#This Row],[QR Suivis]],mvtst[QTE SORTIS])-SUMIF(mvtst[QR Suivis],mvtst[[#This Row],[QR Suivis]],mvtst[QTE RETOUR])</f>
        <v>0</v>
      </c>
      <c r="K1930" s="35" t="str">
        <f t="shared" si="33"/>
        <v>Usine</v>
      </c>
      <c r="L1930" s="35" t="str">
        <f>_xlfn.XLOOKUP(mvtst[[#This Row],[Sous Traitant]],coordonnee_st[Identification],coordonnee_st[SERVICE],"Non Trouvé")</f>
        <v>Frange</v>
      </c>
      <c r="M1930" s="35" t="str">
        <f>INDEX(_xlfn.TEXTSPLIT(mvtst[[#This Row],[QR Suivis]],"_"),1,2)</f>
        <v>CL00884</v>
      </c>
      <c r="N1930" s="35" t="str">
        <f>INDEX(_xlfn.TEXTSPLIT(mvtst[[#This Row],[QR Suivis]],"_"),1,3)</f>
        <v>CM-FT0119</v>
      </c>
      <c r="O1930" s="35" t="str">
        <f>INDEX(_xlfn.TEXTSPLIT(mvtst[[#This Row],[QR Suivis]],"_"),1,4)</f>
        <v>SO1020-Q29-11-14</v>
      </c>
      <c r="P1930" s="35" t="str">
        <f>INDEX(_xlfn.TEXTSPLIT(mvtst[[#This Row],[QR Suivis]],"_"),1,5)</f>
        <v>SOUSSE</v>
      </c>
      <c r="Q1930" s="35" t="str">
        <f>_xlfn.TEXTAFTER(mvtst[[#This Row],[QR Suivis]],"_",5)</f>
        <v>1020</v>
      </c>
      <c r="R1930" s="84" t="str">
        <f>IF(
   COUNTIFS($A$2:A1930,A1930,
             $B$2:B1930,B1930,
             $C$2:C1930,C1930,
             $D$2:D1930,D1930,
             $G$2:G1930,G1930)&gt;1,
   "Doublon",
   "Correcte"
)</f>
        <v>Correcte</v>
      </c>
    </row>
    <row r="1931" spans="1:18" x14ac:dyDescent="0.25">
      <c r="A1931" s="104" t="s">
        <v>2234</v>
      </c>
      <c r="B1931" s="35" t="s">
        <v>712</v>
      </c>
      <c r="C1931" s="36">
        <v>0</v>
      </c>
      <c r="D1931" s="36">
        <v>5</v>
      </c>
      <c r="E1931" s="35" t="s">
        <v>699</v>
      </c>
      <c r="F1931" s="35" t="s">
        <v>634</v>
      </c>
      <c r="G1931" s="37">
        <v>45943.670914351853</v>
      </c>
      <c r="H1931" s="37" t="str">
        <f>INDEX(_xlfn.TEXTSPLIT(mvtst[[#This Row],[QR Suivis]],"_"),1,1)</f>
        <v>OF249816-40</v>
      </c>
      <c r="I1931" s="35" t="str">
        <f>_xlfn.TEXTBEFORE(mvtst[[#This Row],[Num Suivis]],"-",,,1)</f>
        <v>OF249816</v>
      </c>
      <c r="J1931" s="36">
        <f>SUMIF(mvtst[QR Suivis],mvtst[[#This Row],[QR Suivis]],mvtst[QTE SORTIS])-SUMIF(mvtst[QR Suivis],mvtst[[#This Row],[QR Suivis]],mvtst[QTE RETOUR])</f>
        <v>0</v>
      </c>
      <c r="K1931" s="35" t="str">
        <f t="shared" si="33"/>
        <v>Usine</v>
      </c>
      <c r="L1931" s="35" t="str">
        <f>_xlfn.XLOOKUP(mvtst[[#This Row],[Sous Traitant]],coordonnee_st[Identification],coordonnee_st[SERVICE],"Non Trouvé")</f>
        <v>Frange</v>
      </c>
      <c r="M1931" s="35" t="str">
        <f>INDEX(_xlfn.TEXTSPLIT(mvtst[[#This Row],[QR Suivis]],"_"),1,2)</f>
        <v>CL00884</v>
      </c>
      <c r="N1931" s="35" t="str">
        <f>INDEX(_xlfn.TEXTSPLIT(mvtst[[#This Row],[QR Suivis]],"_"),1,3)</f>
        <v>CM-FT0119</v>
      </c>
      <c r="O1931" s="35" t="str">
        <f>INDEX(_xlfn.TEXTSPLIT(mvtst[[#This Row],[QR Suivis]],"_"),1,4)</f>
        <v>SO1020-Q29-11-14</v>
      </c>
      <c r="P1931" s="35" t="str">
        <f>INDEX(_xlfn.TEXTSPLIT(mvtst[[#This Row],[QR Suivis]],"_"),1,5)</f>
        <v>SOUSSE</v>
      </c>
      <c r="Q1931" s="35" t="str">
        <f>_xlfn.TEXTAFTER(mvtst[[#This Row],[QR Suivis]],"_",5)</f>
        <v>1020</v>
      </c>
      <c r="R1931" s="84" t="str">
        <f>IF(
   COUNTIFS($A$2:A1931,A1931,
             $B$2:B1931,B1931,
             $C$2:C1931,C1931,
             $D$2:D1931,D1931,
             $G$2:G1931,G1931)&gt;1,
   "Doublon",
   "Correcte"
)</f>
        <v>Correcte</v>
      </c>
    </row>
    <row r="1932" spans="1:18" x14ac:dyDescent="0.25">
      <c r="A1932" s="104" t="s">
        <v>2237</v>
      </c>
      <c r="B1932" s="35" t="s">
        <v>712</v>
      </c>
      <c r="C1932" s="36">
        <v>0</v>
      </c>
      <c r="D1932" s="36">
        <v>5</v>
      </c>
      <c r="E1932" s="35" t="s">
        <v>699</v>
      </c>
      <c r="F1932" s="35" t="s">
        <v>634</v>
      </c>
      <c r="G1932" s="37">
        <v>45943.67114583333</v>
      </c>
      <c r="H1932" s="37" t="str">
        <f>INDEX(_xlfn.TEXTSPLIT(mvtst[[#This Row],[QR Suivis]],"_"),1,1)</f>
        <v>OF249816-59</v>
      </c>
      <c r="I1932" s="35" t="str">
        <f>_xlfn.TEXTBEFORE(mvtst[[#This Row],[Num Suivis]],"-",,,1)</f>
        <v>OF249816</v>
      </c>
      <c r="J1932" s="36">
        <f>SUMIF(mvtst[QR Suivis],mvtst[[#This Row],[QR Suivis]],mvtst[QTE SORTIS])-SUMIF(mvtst[QR Suivis],mvtst[[#This Row],[QR Suivis]],mvtst[QTE RETOUR])</f>
        <v>0</v>
      </c>
      <c r="K1932" s="35" t="str">
        <f t="shared" si="33"/>
        <v>Usine</v>
      </c>
      <c r="L1932" s="35" t="str">
        <f>_xlfn.XLOOKUP(mvtst[[#This Row],[Sous Traitant]],coordonnee_st[Identification],coordonnee_st[SERVICE],"Non Trouvé")</f>
        <v>Frange</v>
      </c>
      <c r="M1932" s="35" t="str">
        <f>INDEX(_xlfn.TEXTSPLIT(mvtst[[#This Row],[QR Suivis]],"_"),1,2)</f>
        <v>CL00884</v>
      </c>
      <c r="N1932" s="35" t="str">
        <f>INDEX(_xlfn.TEXTSPLIT(mvtst[[#This Row],[QR Suivis]],"_"),1,3)</f>
        <v>CM-FT0119</v>
      </c>
      <c r="O1932" s="35" t="str">
        <f>INDEX(_xlfn.TEXTSPLIT(mvtst[[#This Row],[QR Suivis]],"_"),1,4)</f>
        <v>SO1020-Q29-11-14</v>
      </c>
      <c r="P1932" s="35" t="str">
        <f>INDEX(_xlfn.TEXTSPLIT(mvtst[[#This Row],[QR Suivis]],"_"),1,5)</f>
        <v>SOUSSE</v>
      </c>
      <c r="Q1932" s="35" t="str">
        <f>_xlfn.TEXTAFTER(mvtst[[#This Row],[QR Suivis]],"_",5)</f>
        <v>1020</v>
      </c>
      <c r="R1932" s="84" t="str">
        <f>IF(
   COUNTIFS($A$2:A1932,A1932,
             $B$2:B1932,B1932,
             $C$2:C1932,C1932,
             $D$2:D1932,D1932,
             $G$2:G1932,G1932)&gt;1,
   "Doublon",
   "Correcte"
)</f>
        <v>Correcte</v>
      </c>
    </row>
    <row r="1933" spans="1:18" x14ac:dyDescent="0.25">
      <c r="A1933" s="104" t="s">
        <v>2263</v>
      </c>
      <c r="B1933" s="35" t="s">
        <v>712</v>
      </c>
      <c r="C1933" s="36">
        <v>0</v>
      </c>
      <c r="D1933" s="36">
        <v>5</v>
      </c>
      <c r="E1933" s="35" t="s">
        <v>699</v>
      </c>
      <c r="F1933" s="35" t="s">
        <v>634</v>
      </c>
      <c r="G1933" s="37">
        <v>45943.671296296299</v>
      </c>
      <c r="H1933" s="37" t="str">
        <f>INDEX(_xlfn.TEXTSPLIT(mvtst[[#This Row],[QR Suivis]],"_"),1,1)</f>
        <v>OF249816-10</v>
      </c>
      <c r="I1933" s="35" t="str">
        <f>_xlfn.TEXTBEFORE(mvtst[[#This Row],[Num Suivis]],"-",,,1)</f>
        <v>OF249816</v>
      </c>
      <c r="J1933" s="36">
        <f>SUMIF(mvtst[QR Suivis],mvtst[[#This Row],[QR Suivis]],mvtst[QTE SORTIS])-SUMIF(mvtst[QR Suivis],mvtst[[#This Row],[QR Suivis]],mvtst[QTE RETOUR])</f>
        <v>0</v>
      </c>
      <c r="K1933" s="35" t="str">
        <f t="shared" si="33"/>
        <v>Usine</v>
      </c>
      <c r="L1933" s="35" t="str">
        <f>_xlfn.XLOOKUP(mvtst[[#This Row],[Sous Traitant]],coordonnee_st[Identification],coordonnee_st[SERVICE],"Non Trouvé")</f>
        <v>Frange</v>
      </c>
      <c r="M1933" s="35" t="str">
        <f>INDEX(_xlfn.TEXTSPLIT(mvtst[[#This Row],[QR Suivis]],"_"),1,2)</f>
        <v>CL00884</v>
      </c>
      <c r="N1933" s="35" t="str">
        <f>INDEX(_xlfn.TEXTSPLIT(mvtst[[#This Row],[QR Suivis]],"_"),1,3)</f>
        <v>CM-FT0119</v>
      </c>
      <c r="O1933" s="35" t="str">
        <f>INDEX(_xlfn.TEXTSPLIT(mvtst[[#This Row],[QR Suivis]],"_"),1,4)</f>
        <v>SO1020-Q29-11-14</v>
      </c>
      <c r="P1933" s="35" t="str">
        <f>INDEX(_xlfn.TEXTSPLIT(mvtst[[#This Row],[QR Suivis]],"_"),1,5)</f>
        <v>SOUSSE</v>
      </c>
      <c r="Q1933" s="35" t="str">
        <f>_xlfn.TEXTAFTER(mvtst[[#This Row],[QR Suivis]],"_",5)</f>
        <v>1020</v>
      </c>
      <c r="R1933" s="84" t="str">
        <f>IF(
   COUNTIFS($A$2:A1933,A1933,
             $B$2:B1933,B1933,
             $C$2:C1933,C1933,
             $D$2:D1933,D1933,
             $G$2:G1933,G1933)&gt;1,
   "Doublon",
   "Correcte"
)</f>
        <v>Correcte</v>
      </c>
    </row>
    <row r="1934" spans="1:18" x14ac:dyDescent="0.25">
      <c r="A1934" s="104" t="s">
        <v>2268</v>
      </c>
      <c r="B1934" s="35" t="s">
        <v>712</v>
      </c>
      <c r="C1934" s="36">
        <v>0</v>
      </c>
      <c r="D1934" s="36">
        <v>5</v>
      </c>
      <c r="E1934" s="35" t="s">
        <v>699</v>
      </c>
      <c r="F1934" s="35" t="s">
        <v>634</v>
      </c>
      <c r="G1934" s="37">
        <v>45943.671458333331</v>
      </c>
      <c r="H1934" s="37" t="str">
        <f>INDEX(_xlfn.TEXTSPLIT(mvtst[[#This Row],[QR Suivis]],"_"),1,1)</f>
        <v>OF249816-16</v>
      </c>
      <c r="I1934" s="35" t="str">
        <f>_xlfn.TEXTBEFORE(mvtst[[#This Row],[Num Suivis]],"-",,,1)</f>
        <v>OF249816</v>
      </c>
      <c r="J1934" s="36">
        <f>SUMIF(mvtst[QR Suivis],mvtst[[#This Row],[QR Suivis]],mvtst[QTE SORTIS])-SUMIF(mvtst[QR Suivis],mvtst[[#This Row],[QR Suivis]],mvtst[QTE RETOUR])</f>
        <v>0</v>
      </c>
      <c r="K1934" s="35" t="str">
        <f t="shared" si="33"/>
        <v>Usine</v>
      </c>
      <c r="L1934" s="35" t="str">
        <f>_xlfn.XLOOKUP(mvtst[[#This Row],[Sous Traitant]],coordonnee_st[Identification],coordonnee_st[SERVICE],"Non Trouvé")</f>
        <v>Frange</v>
      </c>
      <c r="M1934" s="35" t="str">
        <f>INDEX(_xlfn.TEXTSPLIT(mvtst[[#This Row],[QR Suivis]],"_"),1,2)</f>
        <v>CL00884</v>
      </c>
      <c r="N1934" s="35" t="str">
        <f>INDEX(_xlfn.TEXTSPLIT(mvtst[[#This Row],[QR Suivis]],"_"),1,3)</f>
        <v>CM-FT0119</v>
      </c>
      <c r="O1934" s="35" t="str">
        <f>INDEX(_xlfn.TEXTSPLIT(mvtst[[#This Row],[QR Suivis]],"_"),1,4)</f>
        <v>SO1020-Q29-11-14</v>
      </c>
      <c r="P1934" s="35" t="str">
        <f>INDEX(_xlfn.TEXTSPLIT(mvtst[[#This Row],[QR Suivis]],"_"),1,5)</f>
        <v>SOUSSE</v>
      </c>
      <c r="Q1934" s="35" t="str">
        <f>_xlfn.TEXTAFTER(mvtst[[#This Row],[QR Suivis]],"_",5)</f>
        <v>1020</v>
      </c>
      <c r="R1934" s="84" t="str">
        <f>IF(
   COUNTIFS($A$2:A1934,A1934,
             $B$2:B1934,B1934,
             $C$2:C1934,C1934,
             $D$2:D1934,D1934,
             $G$2:G1934,G1934)&gt;1,
   "Doublon",
   "Correcte"
)</f>
        <v>Correcte</v>
      </c>
    </row>
    <row r="1935" spans="1:18" x14ac:dyDescent="0.25">
      <c r="A1935" s="104" t="s">
        <v>2213</v>
      </c>
      <c r="B1935" s="35" t="s">
        <v>712</v>
      </c>
      <c r="C1935" s="36">
        <v>0</v>
      </c>
      <c r="D1935" s="36">
        <v>5</v>
      </c>
      <c r="E1935" s="35" t="s">
        <v>699</v>
      </c>
      <c r="F1935" s="35" t="s">
        <v>634</v>
      </c>
      <c r="G1935" s="37">
        <v>45943.6716087963</v>
      </c>
      <c r="H1935" s="37" t="str">
        <f>INDEX(_xlfn.TEXTSPLIT(mvtst[[#This Row],[QR Suivis]],"_"),1,1)</f>
        <v>OF249816-63</v>
      </c>
      <c r="I1935" s="35" t="str">
        <f>_xlfn.TEXTBEFORE(mvtst[[#This Row],[Num Suivis]],"-",,,1)</f>
        <v>OF249816</v>
      </c>
      <c r="J1935" s="36">
        <f>SUMIF(mvtst[QR Suivis],mvtst[[#This Row],[QR Suivis]],mvtst[QTE SORTIS])-SUMIF(mvtst[QR Suivis],mvtst[[#This Row],[QR Suivis]],mvtst[QTE RETOUR])</f>
        <v>0</v>
      </c>
      <c r="K1935" s="35" t="str">
        <f t="shared" si="33"/>
        <v>Usine</v>
      </c>
      <c r="L1935" s="35" t="str">
        <f>_xlfn.XLOOKUP(mvtst[[#This Row],[Sous Traitant]],coordonnee_st[Identification],coordonnee_st[SERVICE],"Non Trouvé")</f>
        <v>Frange</v>
      </c>
      <c r="M1935" s="35" t="str">
        <f>INDEX(_xlfn.TEXTSPLIT(mvtst[[#This Row],[QR Suivis]],"_"),1,2)</f>
        <v>CL00884</v>
      </c>
      <c r="N1935" s="35" t="str">
        <f>INDEX(_xlfn.TEXTSPLIT(mvtst[[#This Row],[QR Suivis]],"_"),1,3)</f>
        <v>CM-FT0119</v>
      </c>
      <c r="O1935" s="35" t="str">
        <f>INDEX(_xlfn.TEXTSPLIT(mvtst[[#This Row],[QR Suivis]],"_"),1,4)</f>
        <v>SO1020-Q29-11-14</v>
      </c>
      <c r="P1935" s="35" t="str">
        <f>INDEX(_xlfn.TEXTSPLIT(mvtst[[#This Row],[QR Suivis]],"_"),1,5)</f>
        <v>SOUSSE</v>
      </c>
      <c r="Q1935" s="35" t="str">
        <f>_xlfn.TEXTAFTER(mvtst[[#This Row],[QR Suivis]],"_",5)</f>
        <v>1020</v>
      </c>
      <c r="R1935" s="84" t="str">
        <f>IF(
   COUNTIFS($A$2:A1935,A1935,
             $B$2:B1935,B1935,
             $C$2:C1935,C1935,
             $D$2:D1935,D1935,
             $G$2:G1935,G1935)&gt;1,
   "Doublon",
   "Correcte"
)</f>
        <v>Correcte</v>
      </c>
    </row>
    <row r="1936" spans="1:18" x14ac:dyDescent="0.25">
      <c r="A1936" s="104" t="s">
        <v>2222</v>
      </c>
      <c r="B1936" s="35" t="s">
        <v>712</v>
      </c>
      <c r="C1936" s="36">
        <v>0</v>
      </c>
      <c r="D1936" s="36">
        <v>5</v>
      </c>
      <c r="E1936" s="35" t="s">
        <v>699</v>
      </c>
      <c r="F1936" s="35" t="s">
        <v>634</v>
      </c>
      <c r="G1936" s="37">
        <v>45943.671770833331</v>
      </c>
      <c r="H1936" s="37" t="str">
        <f>INDEX(_xlfn.TEXTSPLIT(mvtst[[#This Row],[QR Suivis]],"_"),1,1)</f>
        <v>OF249816-53</v>
      </c>
      <c r="I1936" s="35" t="str">
        <f>_xlfn.TEXTBEFORE(mvtst[[#This Row],[Num Suivis]],"-",,,1)</f>
        <v>OF249816</v>
      </c>
      <c r="J1936" s="36">
        <f>SUMIF(mvtst[QR Suivis],mvtst[[#This Row],[QR Suivis]],mvtst[QTE SORTIS])-SUMIF(mvtst[QR Suivis],mvtst[[#This Row],[QR Suivis]],mvtst[QTE RETOUR])</f>
        <v>0</v>
      </c>
      <c r="K1936" s="35" t="str">
        <f t="shared" si="33"/>
        <v>Usine</v>
      </c>
      <c r="L1936" s="35" t="str">
        <f>_xlfn.XLOOKUP(mvtst[[#This Row],[Sous Traitant]],coordonnee_st[Identification],coordonnee_st[SERVICE],"Non Trouvé")</f>
        <v>Frange</v>
      </c>
      <c r="M1936" s="35" t="str">
        <f>INDEX(_xlfn.TEXTSPLIT(mvtst[[#This Row],[QR Suivis]],"_"),1,2)</f>
        <v>CL00884</v>
      </c>
      <c r="N1936" s="35" t="str">
        <f>INDEX(_xlfn.TEXTSPLIT(mvtst[[#This Row],[QR Suivis]],"_"),1,3)</f>
        <v>CM-FT0119</v>
      </c>
      <c r="O1936" s="35" t="str">
        <f>INDEX(_xlfn.TEXTSPLIT(mvtst[[#This Row],[QR Suivis]],"_"),1,4)</f>
        <v>SO1020-Q29-11-14</v>
      </c>
      <c r="P1936" s="35" t="str">
        <f>INDEX(_xlfn.TEXTSPLIT(mvtst[[#This Row],[QR Suivis]],"_"),1,5)</f>
        <v>SOUSSE</v>
      </c>
      <c r="Q1936" s="35" t="str">
        <f>_xlfn.TEXTAFTER(mvtst[[#This Row],[QR Suivis]],"_",5)</f>
        <v>1020</v>
      </c>
      <c r="R1936" s="84" t="str">
        <f>IF(
   COUNTIFS($A$2:A1936,A1936,
             $B$2:B1936,B1936,
             $C$2:C1936,C1936,
             $D$2:D1936,D1936,
             $G$2:G1936,G1936)&gt;1,
   "Doublon",
   "Correcte"
)</f>
        <v>Correcte</v>
      </c>
    </row>
    <row r="1937" spans="1:18" x14ac:dyDescent="0.25">
      <c r="A1937" s="104" t="s">
        <v>2251</v>
      </c>
      <c r="B1937" s="35" t="s">
        <v>712</v>
      </c>
      <c r="C1937" s="36">
        <v>0</v>
      </c>
      <c r="D1937" s="36">
        <v>5</v>
      </c>
      <c r="E1937" s="35" t="s">
        <v>699</v>
      </c>
      <c r="F1937" s="35" t="s">
        <v>634</v>
      </c>
      <c r="G1937" s="37">
        <v>45943.671990740739</v>
      </c>
      <c r="H1937" s="37" t="str">
        <f>INDEX(_xlfn.TEXTSPLIT(mvtst[[#This Row],[QR Suivis]],"_"),1,1)</f>
        <v>OF249816-29</v>
      </c>
      <c r="I1937" s="35" t="str">
        <f>_xlfn.TEXTBEFORE(mvtst[[#This Row],[Num Suivis]],"-",,,1)</f>
        <v>OF249816</v>
      </c>
      <c r="J1937" s="36">
        <f>SUMIF(mvtst[QR Suivis],mvtst[[#This Row],[QR Suivis]],mvtst[QTE SORTIS])-SUMIF(mvtst[QR Suivis],mvtst[[#This Row],[QR Suivis]],mvtst[QTE RETOUR])</f>
        <v>0</v>
      </c>
      <c r="K1937" s="35" t="str">
        <f t="shared" si="33"/>
        <v>Usine</v>
      </c>
      <c r="L1937" s="35" t="str">
        <f>_xlfn.XLOOKUP(mvtst[[#This Row],[Sous Traitant]],coordonnee_st[Identification],coordonnee_st[SERVICE],"Non Trouvé")</f>
        <v>Frange</v>
      </c>
      <c r="M1937" s="35" t="str">
        <f>INDEX(_xlfn.TEXTSPLIT(mvtst[[#This Row],[QR Suivis]],"_"),1,2)</f>
        <v>CL00884</v>
      </c>
      <c r="N1937" s="35" t="str">
        <f>INDEX(_xlfn.TEXTSPLIT(mvtst[[#This Row],[QR Suivis]],"_"),1,3)</f>
        <v>CM-FT0119</v>
      </c>
      <c r="O1937" s="35" t="str">
        <f>INDEX(_xlfn.TEXTSPLIT(mvtst[[#This Row],[QR Suivis]],"_"),1,4)</f>
        <v>SO1020-Q29-11-14</v>
      </c>
      <c r="P1937" s="35" t="str">
        <f>INDEX(_xlfn.TEXTSPLIT(mvtst[[#This Row],[QR Suivis]],"_"),1,5)</f>
        <v>SOUSSE</v>
      </c>
      <c r="Q1937" s="35" t="str">
        <f>_xlfn.TEXTAFTER(mvtst[[#This Row],[QR Suivis]],"_",5)</f>
        <v>1020</v>
      </c>
      <c r="R1937" s="84" t="str">
        <f>IF(
   COUNTIFS($A$2:A1937,A1937,
             $B$2:B1937,B1937,
             $C$2:C1937,C1937,
             $D$2:D1937,D1937,
             $G$2:G1937,G1937)&gt;1,
   "Doublon",
   "Correcte"
)</f>
        <v>Correcte</v>
      </c>
    </row>
    <row r="1938" spans="1:18" x14ac:dyDescent="0.25">
      <c r="A1938" s="104" t="s">
        <v>2269</v>
      </c>
      <c r="B1938" s="35" t="s">
        <v>712</v>
      </c>
      <c r="C1938" s="36">
        <v>0</v>
      </c>
      <c r="D1938" s="36">
        <v>5</v>
      </c>
      <c r="E1938" s="35" t="s">
        <v>699</v>
      </c>
      <c r="F1938" s="35" t="s">
        <v>634</v>
      </c>
      <c r="G1938" s="37">
        <v>45943.672106481485</v>
      </c>
      <c r="H1938" s="37" t="str">
        <f>INDEX(_xlfn.TEXTSPLIT(mvtst[[#This Row],[QR Suivis]],"_"),1,1)</f>
        <v>OF249816-7</v>
      </c>
      <c r="I1938" s="35" t="str">
        <f>_xlfn.TEXTBEFORE(mvtst[[#This Row],[Num Suivis]],"-",,,1)</f>
        <v>OF249816</v>
      </c>
      <c r="J1938" s="36">
        <f>SUMIF(mvtst[QR Suivis],mvtst[[#This Row],[QR Suivis]],mvtst[QTE SORTIS])-SUMIF(mvtst[QR Suivis],mvtst[[#This Row],[QR Suivis]],mvtst[QTE RETOUR])</f>
        <v>0</v>
      </c>
      <c r="K1938" s="35" t="str">
        <f t="shared" si="33"/>
        <v>Usine</v>
      </c>
      <c r="L1938" s="35" t="str">
        <f>_xlfn.XLOOKUP(mvtst[[#This Row],[Sous Traitant]],coordonnee_st[Identification],coordonnee_st[SERVICE],"Non Trouvé")</f>
        <v>Frange</v>
      </c>
      <c r="M1938" s="35" t="str">
        <f>INDEX(_xlfn.TEXTSPLIT(mvtst[[#This Row],[QR Suivis]],"_"),1,2)</f>
        <v>CL00884</v>
      </c>
      <c r="N1938" s="35" t="str">
        <f>INDEX(_xlfn.TEXTSPLIT(mvtst[[#This Row],[QR Suivis]],"_"),1,3)</f>
        <v>CM-FT0119</v>
      </c>
      <c r="O1938" s="35" t="str">
        <f>INDEX(_xlfn.TEXTSPLIT(mvtst[[#This Row],[QR Suivis]],"_"),1,4)</f>
        <v>SO1020-Q29-11-14</v>
      </c>
      <c r="P1938" s="35" t="str">
        <f>INDEX(_xlfn.TEXTSPLIT(mvtst[[#This Row],[QR Suivis]],"_"),1,5)</f>
        <v>SOUSSE</v>
      </c>
      <c r="Q1938" s="35" t="str">
        <f>_xlfn.TEXTAFTER(mvtst[[#This Row],[QR Suivis]],"_",5)</f>
        <v>1020</v>
      </c>
      <c r="R1938" s="84" t="str">
        <f>IF(
   COUNTIFS($A$2:A1938,A1938,
             $B$2:B1938,B1938,
             $C$2:C1938,C1938,
             $D$2:D1938,D1938,
             $G$2:G1938,G1938)&gt;1,
   "Doublon",
   "Correcte"
)</f>
        <v>Correcte</v>
      </c>
    </row>
    <row r="1939" spans="1:18" x14ac:dyDescent="0.25">
      <c r="A1939" s="104" t="s">
        <v>2217</v>
      </c>
      <c r="B1939" s="35" t="s">
        <v>712</v>
      </c>
      <c r="C1939" s="36">
        <v>0</v>
      </c>
      <c r="D1939" s="36">
        <v>5</v>
      </c>
      <c r="E1939" s="35" t="s">
        <v>699</v>
      </c>
      <c r="F1939" s="35" t="s">
        <v>634</v>
      </c>
      <c r="G1939" s="37">
        <v>45943.672222222223</v>
      </c>
      <c r="H1939" s="37" t="str">
        <f>INDEX(_xlfn.TEXTSPLIT(mvtst[[#This Row],[QR Suivis]],"_"),1,1)</f>
        <v>OF249816-46</v>
      </c>
      <c r="I1939" s="35" t="str">
        <f>_xlfn.TEXTBEFORE(mvtst[[#This Row],[Num Suivis]],"-",,,1)</f>
        <v>OF249816</v>
      </c>
      <c r="J1939" s="36">
        <f>SUMIF(mvtst[QR Suivis],mvtst[[#This Row],[QR Suivis]],mvtst[QTE SORTIS])-SUMIF(mvtst[QR Suivis],mvtst[[#This Row],[QR Suivis]],mvtst[QTE RETOUR])</f>
        <v>0</v>
      </c>
      <c r="K1939" s="35" t="str">
        <f t="shared" si="33"/>
        <v>Usine</v>
      </c>
      <c r="L1939" s="35" t="str">
        <f>_xlfn.XLOOKUP(mvtst[[#This Row],[Sous Traitant]],coordonnee_st[Identification],coordonnee_st[SERVICE],"Non Trouvé")</f>
        <v>Frange</v>
      </c>
      <c r="M1939" s="35" t="str">
        <f>INDEX(_xlfn.TEXTSPLIT(mvtst[[#This Row],[QR Suivis]],"_"),1,2)</f>
        <v>CL00884</v>
      </c>
      <c r="N1939" s="35" t="str">
        <f>INDEX(_xlfn.TEXTSPLIT(mvtst[[#This Row],[QR Suivis]],"_"),1,3)</f>
        <v>CM-FT0119</v>
      </c>
      <c r="O1939" s="35" t="str">
        <f>INDEX(_xlfn.TEXTSPLIT(mvtst[[#This Row],[QR Suivis]],"_"),1,4)</f>
        <v>SO1020-Q29-11-14</v>
      </c>
      <c r="P1939" s="35" t="str">
        <f>INDEX(_xlfn.TEXTSPLIT(mvtst[[#This Row],[QR Suivis]],"_"),1,5)</f>
        <v>SOUSSE</v>
      </c>
      <c r="Q1939" s="35" t="str">
        <f>_xlfn.TEXTAFTER(mvtst[[#This Row],[QR Suivis]],"_",5)</f>
        <v>1020</v>
      </c>
      <c r="R1939" s="84" t="str">
        <f>IF(
   COUNTIFS($A$2:A1939,A1939,
             $B$2:B1939,B1939,
             $C$2:C1939,C1939,
             $D$2:D1939,D1939,
             $G$2:G1939,G1939)&gt;1,
   "Doublon",
   "Correcte"
)</f>
        <v>Correcte</v>
      </c>
    </row>
    <row r="1940" spans="1:18" x14ac:dyDescent="0.25">
      <c r="A1940" s="104" t="s">
        <v>2255</v>
      </c>
      <c r="B1940" s="35" t="s">
        <v>712</v>
      </c>
      <c r="C1940" s="36">
        <v>0</v>
      </c>
      <c r="D1940" s="36">
        <v>5</v>
      </c>
      <c r="E1940" s="35" t="s">
        <v>699</v>
      </c>
      <c r="F1940" s="35" t="s">
        <v>634</v>
      </c>
      <c r="G1940" s="37">
        <v>45943.672395833331</v>
      </c>
      <c r="H1940" s="37" t="str">
        <f>INDEX(_xlfn.TEXTSPLIT(mvtst[[#This Row],[QR Suivis]],"_"),1,1)</f>
        <v>OF249816-38</v>
      </c>
      <c r="I1940" s="35" t="str">
        <f>_xlfn.TEXTBEFORE(mvtst[[#This Row],[Num Suivis]],"-",,,1)</f>
        <v>OF249816</v>
      </c>
      <c r="J1940" s="36">
        <f>SUMIF(mvtst[QR Suivis],mvtst[[#This Row],[QR Suivis]],mvtst[QTE SORTIS])-SUMIF(mvtst[QR Suivis],mvtst[[#This Row],[QR Suivis]],mvtst[QTE RETOUR])</f>
        <v>0</v>
      </c>
      <c r="K1940" s="35" t="str">
        <f t="shared" si="33"/>
        <v>Usine</v>
      </c>
      <c r="L1940" s="35" t="str">
        <f>_xlfn.XLOOKUP(mvtst[[#This Row],[Sous Traitant]],coordonnee_st[Identification],coordonnee_st[SERVICE],"Non Trouvé")</f>
        <v>Frange</v>
      </c>
      <c r="M1940" s="35" t="str">
        <f>INDEX(_xlfn.TEXTSPLIT(mvtst[[#This Row],[QR Suivis]],"_"),1,2)</f>
        <v>CL00884</v>
      </c>
      <c r="N1940" s="35" t="str">
        <f>INDEX(_xlfn.TEXTSPLIT(mvtst[[#This Row],[QR Suivis]],"_"),1,3)</f>
        <v>CM-FT0119</v>
      </c>
      <c r="O1940" s="35" t="str">
        <f>INDEX(_xlfn.TEXTSPLIT(mvtst[[#This Row],[QR Suivis]],"_"),1,4)</f>
        <v>SO1020-Q29-11-14</v>
      </c>
      <c r="P1940" s="35" t="str">
        <f>INDEX(_xlfn.TEXTSPLIT(mvtst[[#This Row],[QR Suivis]],"_"),1,5)</f>
        <v>SOUSSE</v>
      </c>
      <c r="Q1940" s="35" t="str">
        <f>_xlfn.TEXTAFTER(mvtst[[#This Row],[QR Suivis]],"_",5)</f>
        <v>1020</v>
      </c>
      <c r="R1940" s="84" t="str">
        <f>IF(
   COUNTIFS($A$2:A1940,A1940,
             $B$2:B1940,B1940,
             $C$2:C1940,C1940,
             $D$2:D1940,D1940,
             $G$2:G1940,G1940)&gt;1,
   "Doublon",
   "Correcte"
)</f>
        <v>Correcte</v>
      </c>
    </row>
    <row r="1941" spans="1:18" x14ac:dyDescent="0.25">
      <c r="A1941" s="104" t="s">
        <v>2226</v>
      </c>
      <c r="B1941" s="35" t="s">
        <v>712</v>
      </c>
      <c r="C1941" s="36">
        <v>0</v>
      </c>
      <c r="D1941" s="36">
        <v>5</v>
      </c>
      <c r="E1941" s="35" t="s">
        <v>699</v>
      </c>
      <c r="F1941" s="35" t="s">
        <v>634</v>
      </c>
      <c r="G1941" s="37">
        <v>45943.672638888886</v>
      </c>
      <c r="H1941" s="37" t="str">
        <f>INDEX(_xlfn.TEXTSPLIT(mvtst[[#This Row],[QR Suivis]],"_"),1,1)</f>
        <v>OF249816-49</v>
      </c>
      <c r="I1941" s="35" t="str">
        <f>_xlfn.TEXTBEFORE(mvtst[[#This Row],[Num Suivis]],"-",,,1)</f>
        <v>OF249816</v>
      </c>
      <c r="J1941" s="36">
        <f>SUMIF(mvtst[QR Suivis],mvtst[[#This Row],[QR Suivis]],mvtst[QTE SORTIS])-SUMIF(mvtst[QR Suivis],mvtst[[#This Row],[QR Suivis]],mvtst[QTE RETOUR])</f>
        <v>0</v>
      </c>
      <c r="K1941" s="35" t="str">
        <f t="shared" si="33"/>
        <v>Usine</v>
      </c>
      <c r="L1941" s="35" t="str">
        <f>_xlfn.XLOOKUP(mvtst[[#This Row],[Sous Traitant]],coordonnee_st[Identification],coordonnee_st[SERVICE],"Non Trouvé")</f>
        <v>Frange</v>
      </c>
      <c r="M1941" s="35" t="str">
        <f>INDEX(_xlfn.TEXTSPLIT(mvtst[[#This Row],[QR Suivis]],"_"),1,2)</f>
        <v>CL00884</v>
      </c>
      <c r="N1941" s="35" t="str">
        <f>INDEX(_xlfn.TEXTSPLIT(mvtst[[#This Row],[QR Suivis]],"_"),1,3)</f>
        <v>CM-FT0119</v>
      </c>
      <c r="O1941" s="35" t="str">
        <f>INDEX(_xlfn.TEXTSPLIT(mvtst[[#This Row],[QR Suivis]],"_"),1,4)</f>
        <v>SO1020-Q29-11-14</v>
      </c>
      <c r="P1941" s="35" t="str">
        <f>INDEX(_xlfn.TEXTSPLIT(mvtst[[#This Row],[QR Suivis]],"_"),1,5)</f>
        <v>SOUSSE</v>
      </c>
      <c r="Q1941" s="35" t="str">
        <f>_xlfn.TEXTAFTER(mvtst[[#This Row],[QR Suivis]],"_",5)</f>
        <v>1020</v>
      </c>
      <c r="R1941" s="84" t="str">
        <f>IF(
   COUNTIFS($A$2:A1941,A1941,
             $B$2:B1941,B1941,
             $C$2:C1941,C1941,
             $D$2:D1941,D1941,
             $G$2:G1941,G1941)&gt;1,
   "Doublon",
   "Correcte"
)</f>
        <v>Correcte</v>
      </c>
    </row>
    <row r="1942" spans="1:18" x14ac:dyDescent="0.25">
      <c r="A1942" s="104" t="s">
        <v>2241</v>
      </c>
      <c r="B1942" s="35" t="s">
        <v>712</v>
      </c>
      <c r="C1942" s="36">
        <v>0</v>
      </c>
      <c r="D1942" s="36">
        <v>5</v>
      </c>
      <c r="E1942" s="35" t="s">
        <v>699</v>
      </c>
      <c r="F1942" s="35" t="s">
        <v>634</v>
      </c>
      <c r="G1942" s="37">
        <v>45943.672847222224</v>
      </c>
      <c r="H1942" s="37" t="str">
        <f>INDEX(_xlfn.TEXTSPLIT(mvtst[[#This Row],[QR Suivis]],"_"),1,1)</f>
        <v>OF249816-17</v>
      </c>
      <c r="I1942" s="35" t="str">
        <f>_xlfn.TEXTBEFORE(mvtst[[#This Row],[Num Suivis]],"-",,,1)</f>
        <v>OF249816</v>
      </c>
      <c r="J1942" s="36">
        <f>SUMIF(mvtst[QR Suivis],mvtst[[#This Row],[QR Suivis]],mvtst[QTE SORTIS])-SUMIF(mvtst[QR Suivis],mvtst[[#This Row],[QR Suivis]],mvtst[QTE RETOUR])</f>
        <v>0</v>
      </c>
      <c r="K1942" s="35" t="str">
        <f t="shared" si="33"/>
        <v>Usine</v>
      </c>
      <c r="L1942" s="35" t="str">
        <f>_xlfn.XLOOKUP(mvtst[[#This Row],[Sous Traitant]],coordonnee_st[Identification],coordonnee_st[SERVICE],"Non Trouvé")</f>
        <v>Frange</v>
      </c>
      <c r="M1942" s="35" t="str">
        <f>INDEX(_xlfn.TEXTSPLIT(mvtst[[#This Row],[QR Suivis]],"_"),1,2)</f>
        <v>CL00884</v>
      </c>
      <c r="N1942" s="35" t="str">
        <f>INDEX(_xlfn.TEXTSPLIT(mvtst[[#This Row],[QR Suivis]],"_"),1,3)</f>
        <v>CM-FT0119</v>
      </c>
      <c r="O1942" s="35" t="str">
        <f>INDEX(_xlfn.TEXTSPLIT(mvtst[[#This Row],[QR Suivis]],"_"),1,4)</f>
        <v>SO1020-Q29-11-14</v>
      </c>
      <c r="P1942" s="35" t="str">
        <f>INDEX(_xlfn.TEXTSPLIT(mvtst[[#This Row],[QR Suivis]],"_"),1,5)</f>
        <v>SOUSSE</v>
      </c>
      <c r="Q1942" s="35" t="str">
        <f>_xlfn.TEXTAFTER(mvtst[[#This Row],[QR Suivis]],"_",5)</f>
        <v>1020</v>
      </c>
      <c r="R1942" s="84" t="str">
        <f>IF(
   COUNTIFS($A$2:A1942,A1942,
             $B$2:B1942,B1942,
             $C$2:C1942,C1942,
             $D$2:D1942,D1942,
             $G$2:G1942,G1942)&gt;1,
   "Doublon",
   "Correcte"
)</f>
        <v>Correcte</v>
      </c>
    </row>
    <row r="1943" spans="1:18" x14ac:dyDescent="0.25">
      <c r="A1943" s="104" t="s">
        <v>2270</v>
      </c>
      <c r="B1943" s="35" t="s">
        <v>712</v>
      </c>
      <c r="C1943" s="36">
        <v>0</v>
      </c>
      <c r="D1943" s="36">
        <v>5</v>
      </c>
      <c r="E1943" s="35" t="s">
        <v>699</v>
      </c>
      <c r="F1943" s="35" t="s">
        <v>634</v>
      </c>
      <c r="G1943" s="37">
        <v>45943.673020833332</v>
      </c>
      <c r="H1943" s="37" t="str">
        <f>INDEX(_xlfn.TEXTSPLIT(mvtst[[#This Row],[QR Suivis]],"_"),1,1)</f>
        <v>OF249816-6</v>
      </c>
      <c r="I1943" s="35" t="str">
        <f>_xlfn.TEXTBEFORE(mvtst[[#This Row],[Num Suivis]],"-",,,1)</f>
        <v>OF249816</v>
      </c>
      <c r="J1943" s="36">
        <f>SUMIF(mvtst[QR Suivis],mvtst[[#This Row],[QR Suivis]],mvtst[QTE SORTIS])-SUMIF(mvtst[QR Suivis],mvtst[[#This Row],[QR Suivis]],mvtst[QTE RETOUR])</f>
        <v>0</v>
      </c>
      <c r="K1943" s="35" t="str">
        <f t="shared" si="33"/>
        <v>Usine</v>
      </c>
      <c r="L1943" s="35" t="str">
        <f>_xlfn.XLOOKUP(mvtst[[#This Row],[Sous Traitant]],coordonnee_st[Identification],coordonnee_st[SERVICE],"Non Trouvé")</f>
        <v>Frange</v>
      </c>
      <c r="M1943" s="35" t="str">
        <f>INDEX(_xlfn.TEXTSPLIT(mvtst[[#This Row],[QR Suivis]],"_"),1,2)</f>
        <v>CL00884</v>
      </c>
      <c r="N1943" s="35" t="str">
        <f>INDEX(_xlfn.TEXTSPLIT(mvtst[[#This Row],[QR Suivis]],"_"),1,3)</f>
        <v>CM-FT0119</v>
      </c>
      <c r="O1943" s="35" t="str">
        <f>INDEX(_xlfn.TEXTSPLIT(mvtst[[#This Row],[QR Suivis]],"_"),1,4)</f>
        <v>SO1020-Q29-11-14</v>
      </c>
      <c r="P1943" s="35" t="str">
        <f>INDEX(_xlfn.TEXTSPLIT(mvtst[[#This Row],[QR Suivis]],"_"),1,5)</f>
        <v>SOUSSE</v>
      </c>
      <c r="Q1943" s="35" t="str">
        <f>_xlfn.TEXTAFTER(mvtst[[#This Row],[QR Suivis]],"_",5)</f>
        <v>1020</v>
      </c>
      <c r="R1943" s="84" t="str">
        <f>IF(
   COUNTIFS($A$2:A1943,A1943,
             $B$2:B1943,B1943,
             $C$2:C1943,C1943,
             $D$2:D1943,D1943,
             $G$2:G1943,G1943)&gt;1,
   "Doublon",
   "Correcte"
)</f>
        <v>Correcte</v>
      </c>
    </row>
    <row r="1944" spans="1:18" x14ac:dyDescent="0.25">
      <c r="A1944" s="104" t="s">
        <v>2274</v>
      </c>
      <c r="B1944" s="35" t="s">
        <v>712</v>
      </c>
      <c r="C1944" s="36">
        <v>0</v>
      </c>
      <c r="D1944" s="36">
        <v>5</v>
      </c>
      <c r="E1944" s="35" t="s">
        <v>699</v>
      </c>
      <c r="F1944" s="35" t="s">
        <v>634</v>
      </c>
      <c r="G1944" s="37">
        <v>45943.67328703704</v>
      </c>
      <c r="H1944" s="37" t="str">
        <f>INDEX(_xlfn.TEXTSPLIT(mvtst[[#This Row],[QR Suivis]],"_"),1,1)</f>
        <v>OF249816-3</v>
      </c>
      <c r="I1944" s="35" t="str">
        <f>_xlfn.TEXTBEFORE(mvtst[[#This Row],[Num Suivis]],"-",,,1)</f>
        <v>OF249816</v>
      </c>
      <c r="J1944" s="36">
        <f>SUMIF(mvtst[QR Suivis],mvtst[[#This Row],[QR Suivis]],mvtst[QTE SORTIS])-SUMIF(mvtst[QR Suivis],mvtst[[#This Row],[QR Suivis]],mvtst[QTE RETOUR])</f>
        <v>0</v>
      </c>
      <c r="K1944" s="35" t="str">
        <f t="shared" si="33"/>
        <v>Usine</v>
      </c>
      <c r="L1944" s="35" t="str">
        <f>_xlfn.XLOOKUP(mvtst[[#This Row],[Sous Traitant]],coordonnee_st[Identification],coordonnee_st[SERVICE],"Non Trouvé")</f>
        <v>Frange</v>
      </c>
      <c r="M1944" s="35" t="str">
        <f>INDEX(_xlfn.TEXTSPLIT(mvtst[[#This Row],[QR Suivis]],"_"),1,2)</f>
        <v>CL00884</v>
      </c>
      <c r="N1944" s="35" t="str">
        <f>INDEX(_xlfn.TEXTSPLIT(mvtst[[#This Row],[QR Suivis]],"_"),1,3)</f>
        <v>CM-FT0119</v>
      </c>
      <c r="O1944" s="35" t="str">
        <f>INDEX(_xlfn.TEXTSPLIT(mvtst[[#This Row],[QR Suivis]],"_"),1,4)</f>
        <v>SO1020-Q29-11-14</v>
      </c>
      <c r="P1944" s="35" t="str">
        <f>INDEX(_xlfn.TEXTSPLIT(mvtst[[#This Row],[QR Suivis]],"_"),1,5)</f>
        <v>SOUSSE</v>
      </c>
      <c r="Q1944" s="35" t="str">
        <f>_xlfn.TEXTAFTER(mvtst[[#This Row],[QR Suivis]],"_",5)</f>
        <v>1020</v>
      </c>
      <c r="R1944" s="84" t="str">
        <f>IF(
   COUNTIFS($A$2:A1944,A1944,
             $B$2:B1944,B1944,
             $C$2:C1944,C1944,
             $D$2:D1944,D1944,
             $G$2:G1944,G1944)&gt;1,
   "Doublon",
   "Correcte"
)</f>
        <v>Correcte</v>
      </c>
    </row>
    <row r="1945" spans="1:18" x14ac:dyDescent="0.25">
      <c r="A1945" s="104" t="s">
        <v>2225</v>
      </c>
      <c r="B1945" s="35" t="s">
        <v>712</v>
      </c>
      <c r="C1945" s="36">
        <v>0</v>
      </c>
      <c r="D1945" s="36">
        <v>5</v>
      </c>
      <c r="E1945" s="35" t="s">
        <v>699</v>
      </c>
      <c r="F1945" s="35" t="s">
        <v>634</v>
      </c>
      <c r="G1945" s="37">
        <v>45943.673495370371</v>
      </c>
      <c r="H1945" s="37" t="str">
        <f>INDEX(_xlfn.TEXTSPLIT(mvtst[[#This Row],[QR Suivis]],"_"),1,1)</f>
        <v>OF249816-43</v>
      </c>
      <c r="I1945" s="35" t="str">
        <f>_xlfn.TEXTBEFORE(mvtst[[#This Row],[Num Suivis]],"-",,,1)</f>
        <v>OF249816</v>
      </c>
      <c r="J1945" s="36">
        <f>SUMIF(mvtst[QR Suivis],mvtst[[#This Row],[QR Suivis]],mvtst[QTE SORTIS])-SUMIF(mvtst[QR Suivis],mvtst[[#This Row],[QR Suivis]],mvtst[QTE RETOUR])</f>
        <v>0</v>
      </c>
      <c r="K1945" s="35" t="str">
        <f t="shared" si="33"/>
        <v>Usine</v>
      </c>
      <c r="L1945" s="35" t="str">
        <f>_xlfn.XLOOKUP(mvtst[[#This Row],[Sous Traitant]],coordonnee_st[Identification],coordonnee_st[SERVICE],"Non Trouvé")</f>
        <v>Frange</v>
      </c>
      <c r="M1945" s="35" t="str">
        <f>INDEX(_xlfn.TEXTSPLIT(mvtst[[#This Row],[QR Suivis]],"_"),1,2)</f>
        <v>CL00884</v>
      </c>
      <c r="N1945" s="35" t="str">
        <f>INDEX(_xlfn.TEXTSPLIT(mvtst[[#This Row],[QR Suivis]],"_"),1,3)</f>
        <v>CM-FT0119</v>
      </c>
      <c r="O1945" s="35" t="str">
        <f>INDEX(_xlfn.TEXTSPLIT(mvtst[[#This Row],[QR Suivis]],"_"),1,4)</f>
        <v>SO1020-Q29-11-14</v>
      </c>
      <c r="P1945" s="35" t="str">
        <f>INDEX(_xlfn.TEXTSPLIT(mvtst[[#This Row],[QR Suivis]],"_"),1,5)</f>
        <v>SOUSSE</v>
      </c>
      <c r="Q1945" s="35" t="str">
        <f>_xlfn.TEXTAFTER(mvtst[[#This Row],[QR Suivis]],"_",5)</f>
        <v>1020</v>
      </c>
      <c r="R1945" s="84" t="str">
        <f>IF(
   COUNTIFS($A$2:A1945,A1945,
             $B$2:B1945,B1945,
             $C$2:C1945,C1945,
             $D$2:D1945,D1945,
             $G$2:G1945,G1945)&gt;1,
   "Doublon",
   "Correcte"
)</f>
        <v>Correcte</v>
      </c>
    </row>
    <row r="1946" spans="1:18" x14ac:dyDescent="0.25">
      <c r="A1946" s="104" t="s">
        <v>2264</v>
      </c>
      <c r="B1946" s="35" t="s">
        <v>712</v>
      </c>
      <c r="C1946" s="36">
        <v>0</v>
      </c>
      <c r="D1946" s="36">
        <v>5</v>
      </c>
      <c r="E1946" s="35" t="s">
        <v>699</v>
      </c>
      <c r="F1946" s="35" t="s">
        <v>634</v>
      </c>
      <c r="G1946" s="37">
        <v>45943.673726851855</v>
      </c>
      <c r="H1946" s="37" t="str">
        <f>INDEX(_xlfn.TEXTSPLIT(mvtst[[#This Row],[QR Suivis]],"_"),1,1)</f>
        <v>OF249816-14</v>
      </c>
      <c r="I1946" s="35" t="str">
        <f>_xlfn.TEXTBEFORE(mvtst[[#This Row],[Num Suivis]],"-",,,1)</f>
        <v>OF249816</v>
      </c>
      <c r="J1946" s="36">
        <f>SUMIF(mvtst[QR Suivis],mvtst[[#This Row],[QR Suivis]],mvtst[QTE SORTIS])-SUMIF(mvtst[QR Suivis],mvtst[[#This Row],[QR Suivis]],mvtst[QTE RETOUR])</f>
        <v>0</v>
      </c>
      <c r="K1946" s="35" t="str">
        <f t="shared" si="33"/>
        <v>Usine</v>
      </c>
      <c r="L1946" s="35" t="str">
        <f>_xlfn.XLOOKUP(mvtst[[#This Row],[Sous Traitant]],coordonnee_st[Identification],coordonnee_st[SERVICE],"Non Trouvé")</f>
        <v>Frange</v>
      </c>
      <c r="M1946" s="35" t="str">
        <f>INDEX(_xlfn.TEXTSPLIT(mvtst[[#This Row],[QR Suivis]],"_"),1,2)</f>
        <v>CL00884</v>
      </c>
      <c r="N1946" s="35" t="str">
        <f>INDEX(_xlfn.TEXTSPLIT(mvtst[[#This Row],[QR Suivis]],"_"),1,3)</f>
        <v>CM-FT0119</v>
      </c>
      <c r="O1946" s="35" t="str">
        <f>INDEX(_xlfn.TEXTSPLIT(mvtst[[#This Row],[QR Suivis]],"_"),1,4)</f>
        <v>SO1020-Q29-11-14</v>
      </c>
      <c r="P1946" s="35" t="str">
        <f>INDEX(_xlfn.TEXTSPLIT(mvtst[[#This Row],[QR Suivis]],"_"),1,5)</f>
        <v>SOUSSE</v>
      </c>
      <c r="Q1946" s="35" t="str">
        <f>_xlfn.TEXTAFTER(mvtst[[#This Row],[QR Suivis]],"_",5)</f>
        <v>1020</v>
      </c>
      <c r="R1946" s="84" t="str">
        <f>IF(
   COUNTIFS($A$2:A1946,A1946,
             $B$2:B1946,B1946,
             $C$2:C1946,C1946,
             $D$2:D1946,D1946,
             $G$2:G1946,G1946)&gt;1,
   "Doublon",
   "Correcte"
)</f>
        <v>Correcte</v>
      </c>
    </row>
    <row r="1947" spans="1:18" x14ac:dyDescent="0.25">
      <c r="A1947" s="104" t="s">
        <v>2236</v>
      </c>
      <c r="B1947" s="35" t="s">
        <v>712</v>
      </c>
      <c r="C1947" s="36">
        <v>0</v>
      </c>
      <c r="D1947" s="36">
        <v>5</v>
      </c>
      <c r="E1947" s="35" t="s">
        <v>699</v>
      </c>
      <c r="F1947" s="35" t="s">
        <v>634</v>
      </c>
      <c r="G1947" s="37">
        <v>45943.673842592594</v>
      </c>
      <c r="H1947" s="37" t="str">
        <f>INDEX(_xlfn.TEXTSPLIT(mvtst[[#This Row],[QR Suivis]],"_"),1,1)</f>
        <v>OF249816-48</v>
      </c>
      <c r="I1947" s="35" t="str">
        <f>_xlfn.TEXTBEFORE(mvtst[[#This Row],[Num Suivis]],"-",,,1)</f>
        <v>OF249816</v>
      </c>
      <c r="J1947" s="36">
        <f>SUMIF(mvtst[QR Suivis],mvtst[[#This Row],[QR Suivis]],mvtst[QTE SORTIS])-SUMIF(mvtst[QR Suivis],mvtst[[#This Row],[QR Suivis]],mvtst[QTE RETOUR])</f>
        <v>0</v>
      </c>
      <c r="K1947" s="35" t="str">
        <f t="shared" si="33"/>
        <v>Usine</v>
      </c>
      <c r="L1947" s="35" t="str">
        <f>_xlfn.XLOOKUP(mvtst[[#This Row],[Sous Traitant]],coordonnee_st[Identification],coordonnee_st[SERVICE],"Non Trouvé")</f>
        <v>Frange</v>
      </c>
      <c r="M1947" s="35" t="str">
        <f>INDEX(_xlfn.TEXTSPLIT(mvtst[[#This Row],[QR Suivis]],"_"),1,2)</f>
        <v>CL00884</v>
      </c>
      <c r="N1947" s="35" t="str">
        <f>INDEX(_xlfn.TEXTSPLIT(mvtst[[#This Row],[QR Suivis]],"_"),1,3)</f>
        <v>CM-FT0119</v>
      </c>
      <c r="O1947" s="35" t="str">
        <f>INDEX(_xlfn.TEXTSPLIT(mvtst[[#This Row],[QR Suivis]],"_"),1,4)</f>
        <v>SO1020-Q29-11-14</v>
      </c>
      <c r="P1947" s="35" t="str">
        <f>INDEX(_xlfn.TEXTSPLIT(mvtst[[#This Row],[QR Suivis]],"_"),1,5)</f>
        <v>SOUSSE</v>
      </c>
      <c r="Q1947" s="35" t="str">
        <f>_xlfn.TEXTAFTER(mvtst[[#This Row],[QR Suivis]],"_",5)</f>
        <v>1020</v>
      </c>
      <c r="R1947" s="84" t="str">
        <f>IF(
   COUNTIFS($A$2:A1947,A1947,
             $B$2:B1947,B1947,
             $C$2:C1947,C1947,
             $D$2:D1947,D1947,
             $G$2:G1947,G1947)&gt;1,
   "Doublon",
   "Correcte"
)</f>
        <v>Correcte</v>
      </c>
    </row>
    <row r="1948" spans="1:18" x14ac:dyDescent="0.25">
      <c r="A1948" s="104" t="s">
        <v>2218</v>
      </c>
      <c r="B1948" s="35" t="s">
        <v>712</v>
      </c>
      <c r="C1948" s="36">
        <v>0</v>
      </c>
      <c r="D1948" s="36">
        <v>5</v>
      </c>
      <c r="E1948" s="35" t="s">
        <v>699</v>
      </c>
      <c r="F1948" s="35" t="s">
        <v>634</v>
      </c>
      <c r="G1948" s="37">
        <v>45943.674027777779</v>
      </c>
      <c r="H1948" s="37" t="str">
        <f>INDEX(_xlfn.TEXTSPLIT(mvtst[[#This Row],[QR Suivis]],"_"),1,1)</f>
        <v>OF249816-50</v>
      </c>
      <c r="I1948" s="35" t="str">
        <f>_xlfn.TEXTBEFORE(mvtst[[#This Row],[Num Suivis]],"-",,,1)</f>
        <v>OF249816</v>
      </c>
      <c r="J1948" s="36">
        <f>SUMIF(mvtst[QR Suivis],mvtst[[#This Row],[QR Suivis]],mvtst[QTE SORTIS])-SUMIF(mvtst[QR Suivis],mvtst[[#This Row],[QR Suivis]],mvtst[QTE RETOUR])</f>
        <v>0</v>
      </c>
      <c r="K1948" s="35" t="str">
        <f t="shared" si="33"/>
        <v>Usine</v>
      </c>
      <c r="L1948" s="35" t="str">
        <f>_xlfn.XLOOKUP(mvtst[[#This Row],[Sous Traitant]],coordonnee_st[Identification],coordonnee_st[SERVICE],"Non Trouvé")</f>
        <v>Frange</v>
      </c>
      <c r="M1948" s="35" t="str">
        <f>INDEX(_xlfn.TEXTSPLIT(mvtst[[#This Row],[QR Suivis]],"_"),1,2)</f>
        <v>CL00884</v>
      </c>
      <c r="N1948" s="35" t="str">
        <f>INDEX(_xlfn.TEXTSPLIT(mvtst[[#This Row],[QR Suivis]],"_"),1,3)</f>
        <v>CM-FT0119</v>
      </c>
      <c r="O1948" s="35" t="str">
        <f>INDEX(_xlfn.TEXTSPLIT(mvtst[[#This Row],[QR Suivis]],"_"),1,4)</f>
        <v>SO1020-Q29-11-14</v>
      </c>
      <c r="P1948" s="35" t="str">
        <f>INDEX(_xlfn.TEXTSPLIT(mvtst[[#This Row],[QR Suivis]],"_"),1,5)</f>
        <v>SOUSSE</v>
      </c>
      <c r="Q1948" s="35" t="str">
        <f>_xlfn.TEXTAFTER(mvtst[[#This Row],[QR Suivis]],"_",5)</f>
        <v>1020</v>
      </c>
      <c r="R1948" s="84" t="str">
        <f>IF(
   COUNTIFS($A$2:A1948,A1948,
             $B$2:B1948,B1948,
             $C$2:C1948,C1948,
             $D$2:D1948,D1948,
             $G$2:G1948,G1948)&gt;1,
   "Doublon",
   "Correcte"
)</f>
        <v>Correcte</v>
      </c>
    </row>
    <row r="1949" spans="1:18" x14ac:dyDescent="0.25">
      <c r="A1949" s="104" t="s">
        <v>2220</v>
      </c>
      <c r="B1949" s="35" t="s">
        <v>712</v>
      </c>
      <c r="C1949" s="36">
        <v>0</v>
      </c>
      <c r="D1949" s="36">
        <v>5</v>
      </c>
      <c r="E1949" s="35" t="s">
        <v>699</v>
      </c>
      <c r="F1949" s="35" t="s">
        <v>634</v>
      </c>
      <c r="G1949" s="37">
        <v>45943.674212962964</v>
      </c>
      <c r="H1949" s="37" t="str">
        <f>INDEX(_xlfn.TEXTSPLIT(mvtst[[#This Row],[QR Suivis]],"_"),1,1)</f>
        <v>OF249816-41</v>
      </c>
      <c r="I1949" s="35" t="str">
        <f>_xlfn.TEXTBEFORE(mvtst[[#This Row],[Num Suivis]],"-",,,1)</f>
        <v>OF249816</v>
      </c>
      <c r="J1949" s="36">
        <f>SUMIF(mvtst[QR Suivis],mvtst[[#This Row],[QR Suivis]],mvtst[QTE SORTIS])-SUMIF(mvtst[QR Suivis],mvtst[[#This Row],[QR Suivis]],mvtst[QTE RETOUR])</f>
        <v>0</v>
      </c>
      <c r="K1949" s="35" t="str">
        <f t="shared" si="33"/>
        <v>Usine</v>
      </c>
      <c r="L1949" s="35" t="str">
        <f>_xlfn.XLOOKUP(mvtst[[#This Row],[Sous Traitant]],coordonnee_st[Identification],coordonnee_st[SERVICE],"Non Trouvé")</f>
        <v>Frange</v>
      </c>
      <c r="M1949" s="35" t="str">
        <f>INDEX(_xlfn.TEXTSPLIT(mvtst[[#This Row],[QR Suivis]],"_"),1,2)</f>
        <v>CL00884</v>
      </c>
      <c r="N1949" s="35" t="str">
        <f>INDEX(_xlfn.TEXTSPLIT(mvtst[[#This Row],[QR Suivis]],"_"),1,3)</f>
        <v>CM-FT0119</v>
      </c>
      <c r="O1949" s="35" t="str">
        <f>INDEX(_xlfn.TEXTSPLIT(mvtst[[#This Row],[QR Suivis]],"_"),1,4)</f>
        <v>SO1020-Q29-11-14</v>
      </c>
      <c r="P1949" s="35" t="str">
        <f>INDEX(_xlfn.TEXTSPLIT(mvtst[[#This Row],[QR Suivis]],"_"),1,5)</f>
        <v>SOUSSE</v>
      </c>
      <c r="Q1949" s="35" t="str">
        <f>_xlfn.TEXTAFTER(mvtst[[#This Row],[QR Suivis]],"_",5)</f>
        <v>1020</v>
      </c>
      <c r="R1949" s="84" t="str">
        <f>IF(
   COUNTIFS($A$2:A1949,A1949,
             $B$2:B1949,B1949,
             $C$2:C1949,C1949,
             $D$2:D1949,D1949,
             $G$2:G1949,G1949)&gt;1,
   "Doublon",
   "Correcte"
)</f>
        <v>Correcte</v>
      </c>
    </row>
    <row r="1950" spans="1:18" x14ac:dyDescent="0.25">
      <c r="A1950" s="104" t="s">
        <v>2221</v>
      </c>
      <c r="B1950" s="35" t="s">
        <v>712</v>
      </c>
      <c r="C1950" s="36">
        <v>0</v>
      </c>
      <c r="D1950" s="36">
        <v>5</v>
      </c>
      <c r="E1950" s="35" t="s">
        <v>699</v>
      </c>
      <c r="F1950" s="35" t="s">
        <v>634</v>
      </c>
      <c r="G1950" s="37">
        <v>45943.674351851849</v>
      </c>
      <c r="H1950" s="37" t="str">
        <f>INDEX(_xlfn.TEXTSPLIT(mvtst[[#This Row],[QR Suivis]],"_"),1,1)</f>
        <v>OF249816-54</v>
      </c>
      <c r="I1950" s="35" t="str">
        <f>_xlfn.TEXTBEFORE(mvtst[[#This Row],[Num Suivis]],"-",,,1)</f>
        <v>OF249816</v>
      </c>
      <c r="J1950" s="36">
        <f>SUMIF(mvtst[QR Suivis],mvtst[[#This Row],[QR Suivis]],mvtst[QTE SORTIS])-SUMIF(mvtst[QR Suivis],mvtst[[#This Row],[QR Suivis]],mvtst[QTE RETOUR])</f>
        <v>0</v>
      </c>
      <c r="K1950" s="35" t="str">
        <f t="shared" si="33"/>
        <v>Usine</v>
      </c>
      <c r="L1950" s="35" t="str">
        <f>_xlfn.XLOOKUP(mvtst[[#This Row],[Sous Traitant]],coordonnee_st[Identification],coordonnee_st[SERVICE],"Non Trouvé")</f>
        <v>Frange</v>
      </c>
      <c r="M1950" s="35" t="str">
        <f>INDEX(_xlfn.TEXTSPLIT(mvtst[[#This Row],[QR Suivis]],"_"),1,2)</f>
        <v>CL00884</v>
      </c>
      <c r="N1950" s="35" t="str">
        <f>INDEX(_xlfn.TEXTSPLIT(mvtst[[#This Row],[QR Suivis]],"_"),1,3)</f>
        <v>CM-FT0119</v>
      </c>
      <c r="O1950" s="35" t="str">
        <f>INDEX(_xlfn.TEXTSPLIT(mvtst[[#This Row],[QR Suivis]],"_"),1,4)</f>
        <v>SO1020-Q29-11-14</v>
      </c>
      <c r="P1950" s="35" t="str">
        <f>INDEX(_xlfn.TEXTSPLIT(mvtst[[#This Row],[QR Suivis]],"_"),1,5)</f>
        <v>SOUSSE</v>
      </c>
      <c r="Q1950" s="35" t="str">
        <f>_xlfn.TEXTAFTER(mvtst[[#This Row],[QR Suivis]],"_",5)</f>
        <v>1020</v>
      </c>
      <c r="R1950" s="84" t="str">
        <f>IF(
   COUNTIFS($A$2:A1950,A1950,
             $B$2:B1950,B1950,
             $C$2:C1950,C1950,
             $D$2:D1950,D1950,
             $G$2:G1950,G1950)&gt;1,
   "Doublon",
   "Correcte"
)</f>
        <v>Correcte</v>
      </c>
    </row>
    <row r="1951" spans="1:18" x14ac:dyDescent="0.25">
      <c r="A1951" s="104" t="s">
        <v>2229</v>
      </c>
      <c r="B1951" s="35" t="s">
        <v>712</v>
      </c>
      <c r="C1951" s="36">
        <v>0</v>
      </c>
      <c r="D1951" s="36">
        <v>5</v>
      </c>
      <c r="E1951" s="35" t="s">
        <v>699</v>
      </c>
      <c r="F1951" s="35" t="s">
        <v>634</v>
      </c>
      <c r="G1951" s="37">
        <v>45943.674513888887</v>
      </c>
      <c r="H1951" s="37" t="str">
        <f>INDEX(_xlfn.TEXTSPLIT(mvtst[[#This Row],[QR Suivis]],"_"),1,1)</f>
        <v>OF249816-52</v>
      </c>
      <c r="I1951" s="35" t="str">
        <f>_xlfn.TEXTBEFORE(mvtst[[#This Row],[Num Suivis]],"-",,,1)</f>
        <v>OF249816</v>
      </c>
      <c r="J1951" s="36">
        <f>SUMIF(mvtst[QR Suivis],mvtst[[#This Row],[QR Suivis]],mvtst[QTE SORTIS])-SUMIF(mvtst[QR Suivis],mvtst[[#This Row],[QR Suivis]],mvtst[QTE RETOUR])</f>
        <v>0</v>
      </c>
      <c r="K1951" s="35" t="str">
        <f t="shared" si="33"/>
        <v>Usine</v>
      </c>
      <c r="L1951" s="35" t="str">
        <f>_xlfn.XLOOKUP(mvtst[[#This Row],[Sous Traitant]],coordonnee_st[Identification],coordonnee_st[SERVICE],"Non Trouvé")</f>
        <v>Frange</v>
      </c>
      <c r="M1951" s="35" t="str">
        <f>INDEX(_xlfn.TEXTSPLIT(mvtst[[#This Row],[QR Suivis]],"_"),1,2)</f>
        <v>CL00884</v>
      </c>
      <c r="N1951" s="35" t="str">
        <f>INDEX(_xlfn.TEXTSPLIT(mvtst[[#This Row],[QR Suivis]],"_"),1,3)</f>
        <v>CM-FT0119</v>
      </c>
      <c r="O1951" s="35" t="str">
        <f>INDEX(_xlfn.TEXTSPLIT(mvtst[[#This Row],[QR Suivis]],"_"),1,4)</f>
        <v>SO1020-Q29-11-14</v>
      </c>
      <c r="P1951" s="35" t="str">
        <f>INDEX(_xlfn.TEXTSPLIT(mvtst[[#This Row],[QR Suivis]],"_"),1,5)</f>
        <v>SOUSSE</v>
      </c>
      <c r="Q1951" s="35" t="str">
        <f>_xlfn.TEXTAFTER(mvtst[[#This Row],[QR Suivis]],"_",5)</f>
        <v>1020</v>
      </c>
      <c r="R1951" s="84" t="str">
        <f>IF(
   COUNTIFS($A$2:A1951,A1951,
             $B$2:B1951,B1951,
             $C$2:C1951,C1951,
             $D$2:D1951,D1951,
             $G$2:G1951,G1951)&gt;1,
   "Doublon",
   "Correcte"
)</f>
        <v>Correcte</v>
      </c>
    </row>
    <row r="1952" spans="1:18" x14ac:dyDescent="0.25">
      <c r="A1952" s="104" t="s">
        <v>2233</v>
      </c>
      <c r="B1952" s="35" t="s">
        <v>712</v>
      </c>
      <c r="C1952" s="36">
        <v>0</v>
      </c>
      <c r="D1952" s="36">
        <v>5</v>
      </c>
      <c r="E1952" s="35" t="s">
        <v>699</v>
      </c>
      <c r="F1952" s="35" t="s">
        <v>634</v>
      </c>
      <c r="G1952" s="37">
        <v>45943.674710648149</v>
      </c>
      <c r="H1952" s="37" t="str">
        <f>INDEX(_xlfn.TEXTSPLIT(mvtst[[#This Row],[QR Suivis]],"_"),1,1)</f>
        <v>OF249816-45</v>
      </c>
      <c r="I1952" s="35" t="str">
        <f>_xlfn.TEXTBEFORE(mvtst[[#This Row],[Num Suivis]],"-",,,1)</f>
        <v>OF249816</v>
      </c>
      <c r="J1952" s="36">
        <f>SUMIF(mvtst[QR Suivis],mvtst[[#This Row],[QR Suivis]],mvtst[QTE SORTIS])-SUMIF(mvtst[QR Suivis],mvtst[[#This Row],[QR Suivis]],mvtst[QTE RETOUR])</f>
        <v>0</v>
      </c>
      <c r="K1952" s="35" t="str">
        <f t="shared" si="33"/>
        <v>Usine</v>
      </c>
      <c r="L1952" s="35" t="str">
        <f>_xlfn.XLOOKUP(mvtst[[#This Row],[Sous Traitant]],coordonnee_st[Identification],coordonnee_st[SERVICE],"Non Trouvé")</f>
        <v>Frange</v>
      </c>
      <c r="M1952" s="35" t="str">
        <f>INDEX(_xlfn.TEXTSPLIT(mvtst[[#This Row],[QR Suivis]],"_"),1,2)</f>
        <v>CL00884</v>
      </c>
      <c r="N1952" s="35" t="str">
        <f>INDEX(_xlfn.TEXTSPLIT(mvtst[[#This Row],[QR Suivis]],"_"),1,3)</f>
        <v>CM-FT0119</v>
      </c>
      <c r="O1952" s="35" t="str">
        <f>INDEX(_xlfn.TEXTSPLIT(mvtst[[#This Row],[QR Suivis]],"_"),1,4)</f>
        <v>SO1020-Q29-11-14</v>
      </c>
      <c r="P1952" s="35" t="str">
        <f>INDEX(_xlfn.TEXTSPLIT(mvtst[[#This Row],[QR Suivis]],"_"),1,5)</f>
        <v>SOUSSE</v>
      </c>
      <c r="Q1952" s="35" t="str">
        <f>_xlfn.TEXTAFTER(mvtst[[#This Row],[QR Suivis]],"_",5)</f>
        <v>1020</v>
      </c>
      <c r="R1952" s="84" t="str">
        <f>IF(
   COUNTIFS($A$2:A1952,A1952,
             $B$2:B1952,B1952,
             $C$2:C1952,C1952,
             $D$2:D1952,D1952,
             $G$2:G1952,G1952)&gt;1,
   "Doublon",
   "Correcte"
)</f>
        <v>Correcte</v>
      </c>
    </row>
    <row r="1953" spans="1:18" x14ac:dyDescent="0.25">
      <c r="A1953" s="104" t="s">
        <v>2223</v>
      </c>
      <c r="B1953" s="35" t="s">
        <v>712</v>
      </c>
      <c r="C1953" s="36">
        <v>0</v>
      </c>
      <c r="D1953" s="36">
        <v>5</v>
      </c>
      <c r="E1953" s="35" t="s">
        <v>699</v>
      </c>
      <c r="F1953" s="35" t="s">
        <v>634</v>
      </c>
      <c r="G1953" s="37">
        <v>45943.674884259257</v>
      </c>
      <c r="H1953" s="37" t="str">
        <f>INDEX(_xlfn.TEXTSPLIT(mvtst[[#This Row],[QR Suivis]],"_"),1,1)</f>
        <v>OF249816-55</v>
      </c>
      <c r="I1953" s="35" t="str">
        <f>_xlfn.TEXTBEFORE(mvtst[[#This Row],[Num Suivis]],"-",,,1)</f>
        <v>OF249816</v>
      </c>
      <c r="J1953" s="36">
        <f>SUMIF(mvtst[QR Suivis],mvtst[[#This Row],[QR Suivis]],mvtst[QTE SORTIS])-SUMIF(mvtst[QR Suivis],mvtst[[#This Row],[QR Suivis]],mvtst[QTE RETOUR])</f>
        <v>0</v>
      </c>
      <c r="K1953" s="35" t="str">
        <f t="shared" si="33"/>
        <v>Usine</v>
      </c>
      <c r="L1953" s="35" t="str">
        <f>_xlfn.XLOOKUP(mvtst[[#This Row],[Sous Traitant]],coordonnee_st[Identification],coordonnee_st[SERVICE],"Non Trouvé")</f>
        <v>Frange</v>
      </c>
      <c r="M1953" s="35" t="str">
        <f>INDEX(_xlfn.TEXTSPLIT(mvtst[[#This Row],[QR Suivis]],"_"),1,2)</f>
        <v>CL00884</v>
      </c>
      <c r="N1953" s="35" t="str">
        <f>INDEX(_xlfn.TEXTSPLIT(mvtst[[#This Row],[QR Suivis]],"_"),1,3)</f>
        <v>CM-FT0119</v>
      </c>
      <c r="O1953" s="35" t="str">
        <f>INDEX(_xlfn.TEXTSPLIT(mvtst[[#This Row],[QR Suivis]],"_"),1,4)</f>
        <v>SO1020-Q29-11-14</v>
      </c>
      <c r="P1953" s="35" t="str">
        <f>INDEX(_xlfn.TEXTSPLIT(mvtst[[#This Row],[QR Suivis]],"_"),1,5)</f>
        <v>SOUSSE</v>
      </c>
      <c r="Q1953" s="35" t="str">
        <f>_xlfn.TEXTAFTER(mvtst[[#This Row],[QR Suivis]],"_",5)</f>
        <v>1020</v>
      </c>
      <c r="R1953" s="84" t="str">
        <f>IF(
   COUNTIFS($A$2:A1953,A1953,
             $B$2:B1953,B1953,
             $C$2:C1953,C1953,
             $D$2:D1953,D1953,
             $G$2:G1953,G1953)&gt;1,
   "Doublon",
   "Correcte"
)</f>
        <v>Correcte</v>
      </c>
    </row>
    <row r="1954" spans="1:18" x14ac:dyDescent="0.25">
      <c r="A1954" s="104" t="s">
        <v>2228</v>
      </c>
      <c r="B1954" s="35" t="s">
        <v>712</v>
      </c>
      <c r="C1954" s="36">
        <v>0</v>
      </c>
      <c r="D1954" s="36">
        <v>5</v>
      </c>
      <c r="E1954" s="35" t="s">
        <v>699</v>
      </c>
      <c r="F1954" s="35" t="s">
        <v>634</v>
      </c>
      <c r="G1954" s="37">
        <v>45943.675000000003</v>
      </c>
      <c r="H1954" s="37" t="str">
        <f>INDEX(_xlfn.TEXTSPLIT(mvtst[[#This Row],[QR Suivis]],"_"),1,1)</f>
        <v>OF249816-61</v>
      </c>
      <c r="I1954" s="35" t="str">
        <f>_xlfn.TEXTBEFORE(mvtst[[#This Row],[Num Suivis]],"-",,,1)</f>
        <v>OF249816</v>
      </c>
      <c r="J1954" s="36">
        <f>SUMIF(mvtst[QR Suivis],mvtst[[#This Row],[QR Suivis]],mvtst[QTE SORTIS])-SUMIF(mvtst[QR Suivis],mvtst[[#This Row],[QR Suivis]],mvtst[QTE RETOUR])</f>
        <v>0</v>
      </c>
      <c r="K1954" s="35" t="str">
        <f t="shared" si="33"/>
        <v>Usine</v>
      </c>
      <c r="L1954" s="35" t="str">
        <f>_xlfn.XLOOKUP(mvtst[[#This Row],[Sous Traitant]],coordonnee_st[Identification],coordonnee_st[SERVICE],"Non Trouvé")</f>
        <v>Frange</v>
      </c>
      <c r="M1954" s="35" t="str">
        <f>INDEX(_xlfn.TEXTSPLIT(mvtst[[#This Row],[QR Suivis]],"_"),1,2)</f>
        <v>CL00884</v>
      </c>
      <c r="N1954" s="35" t="str">
        <f>INDEX(_xlfn.TEXTSPLIT(mvtst[[#This Row],[QR Suivis]],"_"),1,3)</f>
        <v>CM-FT0119</v>
      </c>
      <c r="O1954" s="35" t="str">
        <f>INDEX(_xlfn.TEXTSPLIT(mvtst[[#This Row],[QR Suivis]],"_"),1,4)</f>
        <v>SO1020-Q29-11-14</v>
      </c>
      <c r="P1954" s="35" t="str">
        <f>INDEX(_xlfn.TEXTSPLIT(mvtst[[#This Row],[QR Suivis]],"_"),1,5)</f>
        <v>SOUSSE</v>
      </c>
      <c r="Q1954" s="35" t="str">
        <f>_xlfn.TEXTAFTER(mvtst[[#This Row],[QR Suivis]],"_",5)</f>
        <v>1020</v>
      </c>
      <c r="R1954" s="84" t="str">
        <f>IF(
   COUNTIFS($A$2:A1954,A1954,
             $B$2:B1954,B1954,
             $C$2:C1954,C1954,
             $D$2:D1954,D1954,
             $G$2:G1954,G1954)&gt;1,
   "Doublon",
   "Correcte"
)</f>
        <v>Correcte</v>
      </c>
    </row>
    <row r="1955" spans="1:18" x14ac:dyDescent="0.25">
      <c r="A1955" s="104" t="s">
        <v>2111</v>
      </c>
      <c r="B1955" s="35" t="s">
        <v>712</v>
      </c>
      <c r="C1955" s="36">
        <v>0</v>
      </c>
      <c r="D1955" s="36">
        <v>5</v>
      </c>
      <c r="E1955" s="35" t="s">
        <v>699</v>
      </c>
      <c r="F1955" s="35" t="s">
        <v>634</v>
      </c>
      <c r="G1955" s="37">
        <v>45943.677789351852</v>
      </c>
      <c r="H1955" s="37" t="str">
        <f>INDEX(_xlfn.TEXTSPLIT(mvtst[[#This Row],[QR Suivis]],"_"),1,1)</f>
        <v>OF249848-42</v>
      </c>
      <c r="I1955" s="35" t="str">
        <f>_xlfn.TEXTBEFORE(mvtst[[#This Row],[Num Suivis]],"-",,,1)</f>
        <v>OF249848</v>
      </c>
      <c r="J1955" s="36">
        <f>SUMIF(mvtst[QR Suivis],mvtst[[#This Row],[QR Suivis]],mvtst[QTE SORTIS])-SUMIF(mvtst[QR Suivis],mvtst[[#This Row],[QR Suivis]],mvtst[QTE RETOUR])</f>
        <v>0</v>
      </c>
      <c r="K1955" s="35" t="str">
        <f t="shared" si="33"/>
        <v>Usine</v>
      </c>
      <c r="L1955" s="35" t="str">
        <f>_xlfn.XLOOKUP(mvtst[[#This Row],[Sous Traitant]],coordonnee_st[Identification],coordonnee_st[SERVICE],"Non Trouvé")</f>
        <v>Frange</v>
      </c>
      <c r="M1955" s="35" t="str">
        <f>INDEX(_xlfn.TEXTSPLIT(mvtst[[#This Row],[QR Suivis]],"_"),1,2)</f>
        <v>CL00884</v>
      </c>
      <c r="N1955" s="35" t="str">
        <f>INDEX(_xlfn.TEXTSPLIT(mvtst[[#This Row],[QR Suivis]],"_"),1,3)</f>
        <v>CM-FT0119</v>
      </c>
      <c r="O1955" s="35" t="str">
        <f>INDEX(_xlfn.TEXTSPLIT(mvtst[[#This Row],[QR Suivis]],"_"),1,4)</f>
        <v>ST1020-S14-16-17</v>
      </c>
      <c r="P1955" s="35" t="str">
        <f>INDEX(_xlfn.TEXTSPLIT(mvtst[[#This Row],[QR Suivis]],"_"),1,5)</f>
        <v>ST TROPEZ</v>
      </c>
      <c r="Q1955" s="35" t="str">
        <f>_xlfn.TEXTAFTER(mvtst[[#This Row],[QR Suivis]],"_",5)</f>
        <v>1020</v>
      </c>
      <c r="R1955" s="84" t="str">
        <f>IF(
   COUNTIFS($A$2:A1955,A1955,
             $B$2:B1955,B1955,
             $C$2:C1955,C1955,
             $D$2:D1955,D1955,
             $G$2:G1955,G1955)&gt;1,
   "Doublon",
   "Correcte"
)</f>
        <v>Correcte</v>
      </c>
    </row>
    <row r="1956" spans="1:18" x14ac:dyDescent="0.25">
      <c r="A1956" s="104" t="s">
        <v>2112</v>
      </c>
      <c r="B1956" s="35" t="s">
        <v>712</v>
      </c>
      <c r="C1956" s="36">
        <v>0</v>
      </c>
      <c r="D1956" s="36">
        <v>5</v>
      </c>
      <c r="E1956" s="35" t="s">
        <v>699</v>
      </c>
      <c r="F1956" s="35" t="s">
        <v>634</v>
      </c>
      <c r="G1956" s="37">
        <v>45943.677951388891</v>
      </c>
      <c r="H1956" s="37" t="str">
        <f>INDEX(_xlfn.TEXTSPLIT(mvtst[[#This Row],[QR Suivis]],"_"),1,1)</f>
        <v>OF249848-33</v>
      </c>
      <c r="I1956" s="35" t="str">
        <f>_xlfn.TEXTBEFORE(mvtst[[#This Row],[Num Suivis]],"-",,,1)</f>
        <v>OF249848</v>
      </c>
      <c r="J1956" s="36">
        <f>SUMIF(mvtst[QR Suivis],mvtst[[#This Row],[QR Suivis]],mvtst[QTE SORTIS])-SUMIF(mvtst[QR Suivis],mvtst[[#This Row],[QR Suivis]],mvtst[QTE RETOUR])</f>
        <v>0</v>
      </c>
      <c r="K1956" s="35" t="str">
        <f t="shared" si="33"/>
        <v>Usine</v>
      </c>
      <c r="L1956" s="35" t="str">
        <f>_xlfn.XLOOKUP(mvtst[[#This Row],[Sous Traitant]],coordonnee_st[Identification],coordonnee_st[SERVICE],"Non Trouvé")</f>
        <v>Frange</v>
      </c>
      <c r="M1956" s="35" t="str">
        <f>INDEX(_xlfn.TEXTSPLIT(mvtst[[#This Row],[QR Suivis]],"_"),1,2)</f>
        <v>CL00884</v>
      </c>
      <c r="N1956" s="35" t="str">
        <f>INDEX(_xlfn.TEXTSPLIT(mvtst[[#This Row],[QR Suivis]],"_"),1,3)</f>
        <v>CM-FT0119</v>
      </c>
      <c r="O1956" s="35" t="str">
        <f>INDEX(_xlfn.TEXTSPLIT(mvtst[[#This Row],[QR Suivis]],"_"),1,4)</f>
        <v>ST1020-S14-16-17</v>
      </c>
      <c r="P1956" s="35" t="str">
        <f>INDEX(_xlfn.TEXTSPLIT(mvtst[[#This Row],[QR Suivis]],"_"),1,5)</f>
        <v>ST TROPEZ</v>
      </c>
      <c r="Q1956" s="35" t="str">
        <f>_xlfn.TEXTAFTER(mvtst[[#This Row],[QR Suivis]],"_",5)</f>
        <v>1020</v>
      </c>
      <c r="R1956" s="84" t="str">
        <f>IF(
   COUNTIFS($A$2:A1956,A1956,
             $B$2:B1956,B1956,
             $C$2:C1956,C1956,
             $D$2:D1956,D1956,
             $G$2:G1956,G1956)&gt;1,
   "Doublon",
   "Correcte"
)</f>
        <v>Correcte</v>
      </c>
    </row>
    <row r="1957" spans="1:18" x14ac:dyDescent="0.25">
      <c r="A1957" s="104" t="s">
        <v>2061</v>
      </c>
      <c r="B1957" s="35" t="s">
        <v>712</v>
      </c>
      <c r="C1957" s="36">
        <v>0</v>
      </c>
      <c r="D1957" s="36">
        <v>5</v>
      </c>
      <c r="E1957" s="35" t="s">
        <v>699</v>
      </c>
      <c r="F1957" s="35" t="s">
        <v>634</v>
      </c>
      <c r="G1957" s="37">
        <v>45943.678067129629</v>
      </c>
      <c r="H1957" s="37" t="str">
        <f>INDEX(_xlfn.TEXTSPLIT(mvtst[[#This Row],[QR Suivis]],"_"),1,1)</f>
        <v>OF249946-61</v>
      </c>
      <c r="I1957" s="35" t="str">
        <f>_xlfn.TEXTBEFORE(mvtst[[#This Row],[Num Suivis]],"-",,,1)</f>
        <v>OF249946</v>
      </c>
      <c r="J1957" s="36">
        <f>SUMIF(mvtst[QR Suivis],mvtst[[#This Row],[QR Suivis]],mvtst[QTE SORTIS])-SUMIF(mvtst[QR Suivis],mvtst[[#This Row],[QR Suivis]],mvtst[QTE RETOUR])</f>
        <v>0</v>
      </c>
      <c r="K1957" s="35" t="str">
        <f t="shared" si="33"/>
        <v>Usine</v>
      </c>
      <c r="L1957" s="35" t="str">
        <f>_xlfn.XLOOKUP(mvtst[[#This Row],[Sous Traitant]],coordonnee_st[Identification],coordonnee_st[SERVICE],"Non Trouvé")</f>
        <v>Frange</v>
      </c>
      <c r="M1957" s="35" t="str">
        <f>INDEX(_xlfn.TEXTSPLIT(mvtst[[#This Row],[QR Suivis]],"_"),1,2)</f>
        <v>CL00884</v>
      </c>
      <c r="N1957" s="35" t="str">
        <f>INDEX(_xlfn.TEXTSPLIT(mvtst[[#This Row],[QR Suivis]],"_"),1,3)</f>
        <v>CM-FT0120</v>
      </c>
      <c r="O1957" s="35" t="str">
        <f>INDEX(_xlfn.TEXTSPLIT(mvtst[[#This Row],[QR Suivis]],"_"),1,4)</f>
        <v>ST1020-S14-16-17</v>
      </c>
      <c r="P1957" s="35" t="str">
        <f>INDEX(_xlfn.TEXTSPLIT(mvtst[[#This Row],[QR Suivis]],"_"),1,5)</f>
        <v>ST TROPEZ</v>
      </c>
      <c r="Q1957" s="35" t="str">
        <f>_xlfn.TEXTAFTER(mvtst[[#This Row],[QR Suivis]],"_",5)</f>
        <v>1020</v>
      </c>
      <c r="R1957" s="84" t="str">
        <f>IF(
   COUNTIFS($A$2:A1957,A1957,
             $B$2:B1957,B1957,
             $C$2:C1957,C1957,
             $D$2:D1957,D1957,
             $G$2:G1957,G1957)&gt;1,
   "Doublon",
   "Correcte"
)</f>
        <v>Correcte</v>
      </c>
    </row>
    <row r="1958" spans="1:18" x14ac:dyDescent="0.25">
      <c r="A1958" s="104" t="s">
        <v>2135</v>
      </c>
      <c r="B1958" s="35" t="s">
        <v>712</v>
      </c>
      <c r="C1958" s="36">
        <v>0</v>
      </c>
      <c r="D1958" s="36">
        <v>5</v>
      </c>
      <c r="E1958" s="35" t="s">
        <v>699</v>
      </c>
      <c r="F1958" s="35" t="s">
        <v>634</v>
      </c>
      <c r="G1958" s="37">
        <v>45943.678310185183</v>
      </c>
      <c r="H1958" s="37" t="str">
        <f>INDEX(_xlfn.TEXTSPLIT(mvtst[[#This Row],[QR Suivis]],"_"),1,1)</f>
        <v>OF249946-28</v>
      </c>
      <c r="I1958" s="35" t="str">
        <f>_xlfn.TEXTBEFORE(mvtst[[#This Row],[Num Suivis]],"-",,,1)</f>
        <v>OF249946</v>
      </c>
      <c r="J1958" s="36">
        <f>SUMIF(mvtst[QR Suivis],mvtst[[#This Row],[QR Suivis]],mvtst[QTE SORTIS])-SUMIF(mvtst[QR Suivis],mvtst[[#This Row],[QR Suivis]],mvtst[QTE RETOUR])</f>
        <v>0</v>
      </c>
      <c r="K1958" s="35" t="str">
        <f t="shared" si="33"/>
        <v>Usine</v>
      </c>
      <c r="L1958" s="35" t="str">
        <f>_xlfn.XLOOKUP(mvtst[[#This Row],[Sous Traitant]],coordonnee_st[Identification],coordonnee_st[SERVICE],"Non Trouvé")</f>
        <v>Frange</v>
      </c>
      <c r="M1958" s="35" t="str">
        <f>INDEX(_xlfn.TEXTSPLIT(mvtst[[#This Row],[QR Suivis]],"_"),1,2)</f>
        <v>CL00884</v>
      </c>
      <c r="N1958" s="35" t="str">
        <f>INDEX(_xlfn.TEXTSPLIT(mvtst[[#This Row],[QR Suivis]],"_"),1,3)</f>
        <v>CM-FT0120</v>
      </c>
      <c r="O1958" s="35" t="str">
        <f>INDEX(_xlfn.TEXTSPLIT(mvtst[[#This Row],[QR Suivis]],"_"),1,4)</f>
        <v>ST1020-S14-16-17</v>
      </c>
      <c r="P1958" s="35" t="str">
        <f>INDEX(_xlfn.TEXTSPLIT(mvtst[[#This Row],[QR Suivis]],"_"),1,5)</f>
        <v>ST TROPEZ</v>
      </c>
      <c r="Q1958" s="35" t="str">
        <f>_xlfn.TEXTAFTER(mvtst[[#This Row],[QR Suivis]],"_",5)</f>
        <v>1020</v>
      </c>
      <c r="R1958" s="84" t="str">
        <f>IF(
   COUNTIFS($A$2:A1958,A1958,
             $B$2:B1958,B1958,
             $C$2:C1958,C1958,
             $D$2:D1958,D1958,
             $G$2:G1958,G1958)&gt;1,
   "Doublon",
   "Correcte"
)</f>
        <v>Correcte</v>
      </c>
    </row>
    <row r="1959" spans="1:18" x14ac:dyDescent="0.25">
      <c r="A1959" s="104" t="s">
        <v>2132</v>
      </c>
      <c r="B1959" s="35" t="s">
        <v>712</v>
      </c>
      <c r="C1959" s="36">
        <v>0</v>
      </c>
      <c r="D1959" s="36">
        <v>5</v>
      </c>
      <c r="E1959" s="35" t="s">
        <v>699</v>
      </c>
      <c r="F1959" s="35" t="s">
        <v>634</v>
      </c>
      <c r="G1959" s="37">
        <v>45943.678483796299</v>
      </c>
      <c r="H1959" s="37" t="str">
        <f>INDEX(_xlfn.TEXTSPLIT(mvtst[[#This Row],[QR Suivis]],"_"),1,1)</f>
        <v>OF249946-8</v>
      </c>
      <c r="I1959" s="35" t="str">
        <f>_xlfn.TEXTBEFORE(mvtst[[#This Row],[Num Suivis]],"-",,,1)</f>
        <v>OF249946</v>
      </c>
      <c r="J1959" s="36">
        <f>SUMIF(mvtst[QR Suivis],mvtst[[#This Row],[QR Suivis]],mvtst[QTE SORTIS])-SUMIF(mvtst[QR Suivis],mvtst[[#This Row],[QR Suivis]],mvtst[QTE RETOUR])</f>
        <v>0</v>
      </c>
      <c r="K1959" s="35" t="str">
        <f t="shared" si="33"/>
        <v>Usine</v>
      </c>
      <c r="L1959" s="35" t="str">
        <f>_xlfn.XLOOKUP(mvtst[[#This Row],[Sous Traitant]],coordonnee_st[Identification],coordonnee_st[SERVICE],"Non Trouvé")</f>
        <v>Frange</v>
      </c>
      <c r="M1959" s="35" t="str">
        <f>INDEX(_xlfn.TEXTSPLIT(mvtst[[#This Row],[QR Suivis]],"_"),1,2)</f>
        <v>CL00884</v>
      </c>
      <c r="N1959" s="35" t="str">
        <f>INDEX(_xlfn.TEXTSPLIT(mvtst[[#This Row],[QR Suivis]],"_"),1,3)</f>
        <v>CM-FT0120</v>
      </c>
      <c r="O1959" s="35" t="str">
        <f>INDEX(_xlfn.TEXTSPLIT(mvtst[[#This Row],[QR Suivis]],"_"),1,4)</f>
        <v>ST1020-S14-16-17</v>
      </c>
      <c r="P1959" s="35" t="str">
        <f>INDEX(_xlfn.TEXTSPLIT(mvtst[[#This Row],[QR Suivis]],"_"),1,5)</f>
        <v>ST TROPEZ</v>
      </c>
      <c r="Q1959" s="35" t="str">
        <f>_xlfn.TEXTAFTER(mvtst[[#This Row],[QR Suivis]],"_",5)</f>
        <v>1020</v>
      </c>
      <c r="R1959" s="84" t="str">
        <f>IF(
   COUNTIFS($A$2:A1959,A1959,
             $B$2:B1959,B1959,
             $C$2:C1959,C1959,
             $D$2:D1959,D1959,
             $G$2:G1959,G1959)&gt;1,
   "Doublon",
   "Correcte"
)</f>
        <v>Correcte</v>
      </c>
    </row>
    <row r="1960" spans="1:18" x14ac:dyDescent="0.25">
      <c r="A1960" s="104" t="s">
        <v>2139</v>
      </c>
      <c r="B1960" s="35" t="s">
        <v>712</v>
      </c>
      <c r="C1960" s="36">
        <v>0</v>
      </c>
      <c r="D1960" s="36">
        <v>5</v>
      </c>
      <c r="E1960" s="35" t="s">
        <v>699</v>
      </c>
      <c r="F1960" s="35" t="s">
        <v>634</v>
      </c>
      <c r="G1960" s="37">
        <v>45943.678865740738</v>
      </c>
      <c r="H1960" s="37" t="str">
        <f>INDEX(_xlfn.TEXTSPLIT(mvtst[[#This Row],[QR Suivis]],"_"),1,1)</f>
        <v>OF249946-17</v>
      </c>
      <c r="I1960" s="35" t="str">
        <f>_xlfn.TEXTBEFORE(mvtst[[#This Row],[Num Suivis]],"-",,,1)</f>
        <v>OF249946</v>
      </c>
      <c r="J1960" s="36">
        <f>SUMIF(mvtst[QR Suivis],mvtst[[#This Row],[QR Suivis]],mvtst[QTE SORTIS])-SUMIF(mvtst[QR Suivis],mvtst[[#This Row],[QR Suivis]],mvtst[QTE RETOUR])</f>
        <v>0</v>
      </c>
      <c r="K1960" s="35" t="str">
        <f t="shared" si="33"/>
        <v>Usine</v>
      </c>
      <c r="L1960" s="35" t="str">
        <f>_xlfn.XLOOKUP(mvtst[[#This Row],[Sous Traitant]],coordonnee_st[Identification],coordonnee_st[SERVICE],"Non Trouvé")</f>
        <v>Frange</v>
      </c>
      <c r="M1960" s="35" t="str">
        <f>INDEX(_xlfn.TEXTSPLIT(mvtst[[#This Row],[QR Suivis]],"_"),1,2)</f>
        <v>CL00884</v>
      </c>
      <c r="N1960" s="35" t="str">
        <f>INDEX(_xlfn.TEXTSPLIT(mvtst[[#This Row],[QR Suivis]],"_"),1,3)</f>
        <v>CM-FT0120</v>
      </c>
      <c r="O1960" s="35" t="str">
        <f>INDEX(_xlfn.TEXTSPLIT(mvtst[[#This Row],[QR Suivis]],"_"),1,4)</f>
        <v>ST1020-S14-16-17</v>
      </c>
      <c r="P1960" s="35" t="str">
        <f>INDEX(_xlfn.TEXTSPLIT(mvtst[[#This Row],[QR Suivis]],"_"),1,5)</f>
        <v>ST TROPEZ</v>
      </c>
      <c r="Q1960" s="35" t="str">
        <f>_xlfn.TEXTAFTER(mvtst[[#This Row],[QR Suivis]],"_",5)</f>
        <v>1020</v>
      </c>
      <c r="R1960" s="84" t="str">
        <f>IF(
   COUNTIFS($A$2:A1960,A1960,
             $B$2:B1960,B1960,
             $C$2:C1960,C1960,
             $D$2:D1960,D1960,
             $G$2:G1960,G1960)&gt;1,
   "Doublon",
   "Correcte"
)</f>
        <v>Correcte</v>
      </c>
    </row>
    <row r="1961" spans="1:18" x14ac:dyDescent="0.25">
      <c r="A1961" s="104" t="s">
        <v>2113</v>
      </c>
      <c r="B1961" s="35" t="s">
        <v>712</v>
      </c>
      <c r="C1961" s="36">
        <v>0</v>
      </c>
      <c r="D1961" s="36">
        <v>5</v>
      </c>
      <c r="E1961" s="35" t="s">
        <v>699</v>
      </c>
      <c r="F1961" s="35" t="s">
        <v>634</v>
      </c>
      <c r="G1961" s="37">
        <v>45943.679027777776</v>
      </c>
      <c r="H1961" s="37" t="str">
        <f>INDEX(_xlfn.TEXTSPLIT(mvtst[[#This Row],[QR Suivis]],"_"),1,1)</f>
        <v>OF249848-37</v>
      </c>
      <c r="I1961" s="35" t="str">
        <f>_xlfn.TEXTBEFORE(mvtst[[#This Row],[Num Suivis]],"-",,,1)</f>
        <v>OF249848</v>
      </c>
      <c r="J1961" s="36">
        <f>SUMIF(mvtst[QR Suivis],mvtst[[#This Row],[QR Suivis]],mvtst[QTE SORTIS])-SUMIF(mvtst[QR Suivis],mvtst[[#This Row],[QR Suivis]],mvtst[QTE RETOUR])</f>
        <v>0</v>
      </c>
      <c r="K1961" s="35" t="str">
        <f t="shared" si="33"/>
        <v>Usine</v>
      </c>
      <c r="L1961" s="35" t="str">
        <f>_xlfn.XLOOKUP(mvtst[[#This Row],[Sous Traitant]],coordonnee_st[Identification],coordonnee_st[SERVICE],"Non Trouvé")</f>
        <v>Frange</v>
      </c>
      <c r="M1961" s="35" t="str">
        <f>INDEX(_xlfn.TEXTSPLIT(mvtst[[#This Row],[QR Suivis]],"_"),1,2)</f>
        <v>CL00884</v>
      </c>
      <c r="N1961" s="35" t="str">
        <f>INDEX(_xlfn.TEXTSPLIT(mvtst[[#This Row],[QR Suivis]],"_"),1,3)</f>
        <v>CM-FT0119</v>
      </c>
      <c r="O1961" s="35" t="str">
        <f>INDEX(_xlfn.TEXTSPLIT(mvtst[[#This Row],[QR Suivis]],"_"),1,4)</f>
        <v>ST1020-S14-16-17</v>
      </c>
      <c r="P1961" s="35" t="str">
        <f>INDEX(_xlfn.TEXTSPLIT(mvtst[[#This Row],[QR Suivis]],"_"),1,5)</f>
        <v>ST TROPEZ</v>
      </c>
      <c r="Q1961" s="35" t="str">
        <f>_xlfn.TEXTAFTER(mvtst[[#This Row],[QR Suivis]],"_",5)</f>
        <v>1020</v>
      </c>
      <c r="R1961" s="84" t="str">
        <f>IF(
   COUNTIFS($A$2:A1961,A1961,
             $B$2:B1961,B1961,
             $C$2:C1961,C1961,
             $D$2:D1961,D1961,
             $G$2:G1961,G1961)&gt;1,
   "Doublon",
   "Correcte"
)</f>
        <v>Correcte</v>
      </c>
    </row>
    <row r="1962" spans="1:18" x14ac:dyDescent="0.25">
      <c r="A1962" s="104" t="s">
        <v>2134</v>
      </c>
      <c r="B1962" s="35" t="s">
        <v>712</v>
      </c>
      <c r="C1962" s="36">
        <v>0</v>
      </c>
      <c r="D1962" s="36">
        <v>5</v>
      </c>
      <c r="E1962" s="35" t="s">
        <v>699</v>
      </c>
      <c r="F1962" s="35" t="s">
        <v>634</v>
      </c>
      <c r="G1962" s="37">
        <v>45943.679155092592</v>
      </c>
      <c r="H1962" s="37" t="str">
        <f>INDEX(_xlfn.TEXTSPLIT(mvtst[[#This Row],[QR Suivis]],"_"),1,1)</f>
        <v>OF249946-10</v>
      </c>
      <c r="I1962" s="35" t="str">
        <f>_xlfn.TEXTBEFORE(mvtst[[#This Row],[Num Suivis]],"-",,,1)</f>
        <v>OF249946</v>
      </c>
      <c r="J1962" s="36">
        <f>SUMIF(mvtst[QR Suivis],mvtst[[#This Row],[QR Suivis]],mvtst[QTE SORTIS])-SUMIF(mvtst[QR Suivis],mvtst[[#This Row],[QR Suivis]],mvtst[QTE RETOUR])</f>
        <v>0</v>
      </c>
      <c r="K1962" s="35" t="str">
        <f t="shared" si="33"/>
        <v>Usine</v>
      </c>
      <c r="L1962" s="35" t="str">
        <f>_xlfn.XLOOKUP(mvtst[[#This Row],[Sous Traitant]],coordonnee_st[Identification],coordonnee_st[SERVICE],"Non Trouvé")</f>
        <v>Frange</v>
      </c>
      <c r="M1962" s="35" t="str">
        <f>INDEX(_xlfn.TEXTSPLIT(mvtst[[#This Row],[QR Suivis]],"_"),1,2)</f>
        <v>CL00884</v>
      </c>
      <c r="N1962" s="35" t="str">
        <f>INDEX(_xlfn.TEXTSPLIT(mvtst[[#This Row],[QR Suivis]],"_"),1,3)</f>
        <v>CM-FT0120</v>
      </c>
      <c r="O1962" s="35" t="str">
        <f>INDEX(_xlfn.TEXTSPLIT(mvtst[[#This Row],[QR Suivis]],"_"),1,4)</f>
        <v>ST1020-S14-16-17</v>
      </c>
      <c r="P1962" s="35" t="str">
        <f>INDEX(_xlfn.TEXTSPLIT(mvtst[[#This Row],[QR Suivis]],"_"),1,5)</f>
        <v>ST TROPEZ</v>
      </c>
      <c r="Q1962" s="35" t="str">
        <f>_xlfn.TEXTAFTER(mvtst[[#This Row],[QR Suivis]],"_",5)</f>
        <v>1020</v>
      </c>
      <c r="R1962" s="84" t="str">
        <f>IF(
   COUNTIFS($A$2:A1962,A1962,
             $B$2:B1962,B1962,
             $C$2:C1962,C1962,
             $D$2:D1962,D1962,
             $G$2:G1962,G1962)&gt;1,
   "Doublon",
   "Correcte"
)</f>
        <v>Correcte</v>
      </c>
    </row>
    <row r="1963" spans="1:18" x14ac:dyDescent="0.25">
      <c r="A1963" s="104" t="s">
        <v>2107</v>
      </c>
      <c r="B1963" s="35" t="s">
        <v>712</v>
      </c>
      <c r="C1963" s="36">
        <v>0</v>
      </c>
      <c r="D1963" s="36">
        <v>5</v>
      </c>
      <c r="E1963" s="35" t="s">
        <v>699</v>
      </c>
      <c r="F1963" s="35" t="s">
        <v>634</v>
      </c>
      <c r="G1963" s="37">
        <v>45943.679351851853</v>
      </c>
      <c r="H1963" s="37" t="str">
        <f>INDEX(_xlfn.TEXTSPLIT(mvtst[[#This Row],[QR Suivis]],"_"),1,1)</f>
        <v>OF249848-35</v>
      </c>
      <c r="I1963" s="35" t="str">
        <f>_xlfn.TEXTBEFORE(mvtst[[#This Row],[Num Suivis]],"-",,,1)</f>
        <v>OF249848</v>
      </c>
      <c r="J1963" s="36">
        <f>SUMIF(mvtst[QR Suivis],mvtst[[#This Row],[QR Suivis]],mvtst[QTE SORTIS])-SUMIF(mvtst[QR Suivis],mvtst[[#This Row],[QR Suivis]],mvtst[QTE RETOUR])</f>
        <v>0</v>
      </c>
      <c r="K1963" s="35" t="str">
        <f t="shared" si="33"/>
        <v>Usine</v>
      </c>
      <c r="L1963" s="35" t="str">
        <f>_xlfn.XLOOKUP(mvtst[[#This Row],[Sous Traitant]],coordonnee_st[Identification],coordonnee_st[SERVICE],"Non Trouvé")</f>
        <v>Frange</v>
      </c>
      <c r="M1963" s="35" t="str">
        <f>INDEX(_xlfn.TEXTSPLIT(mvtst[[#This Row],[QR Suivis]],"_"),1,2)</f>
        <v>CL00884</v>
      </c>
      <c r="N1963" s="35" t="str">
        <f>INDEX(_xlfn.TEXTSPLIT(mvtst[[#This Row],[QR Suivis]],"_"),1,3)</f>
        <v>CM-FT0119</v>
      </c>
      <c r="O1963" s="35" t="str">
        <f>INDEX(_xlfn.TEXTSPLIT(mvtst[[#This Row],[QR Suivis]],"_"),1,4)</f>
        <v>ST1020-S14-16-17</v>
      </c>
      <c r="P1963" s="35" t="str">
        <f>INDEX(_xlfn.TEXTSPLIT(mvtst[[#This Row],[QR Suivis]],"_"),1,5)</f>
        <v>ST TROPEZ</v>
      </c>
      <c r="Q1963" s="35" t="str">
        <f>_xlfn.TEXTAFTER(mvtst[[#This Row],[QR Suivis]],"_",5)</f>
        <v>1020</v>
      </c>
      <c r="R1963" s="84" t="str">
        <f>IF(
   COUNTIFS($A$2:A1963,A1963,
             $B$2:B1963,B1963,
             $C$2:C1963,C1963,
             $D$2:D1963,D1963,
             $G$2:G1963,G1963)&gt;1,
   "Doublon",
   "Correcte"
)</f>
        <v>Correcte</v>
      </c>
    </row>
    <row r="1964" spans="1:18" x14ac:dyDescent="0.25">
      <c r="A1964" s="104" t="s">
        <v>2118</v>
      </c>
      <c r="B1964" s="35" t="s">
        <v>712</v>
      </c>
      <c r="C1964" s="36">
        <v>0</v>
      </c>
      <c r="D1964" s="36">
        <v>5</v>
      </c>
      <c r="E1964" s="35" t="s">
        <v>699</v>
      </c>
      <c r="F1964" s="35" t="s">
        <v>634</v>
      </c>
      <c r="G1964" s="37">
        <v>45943.679525462961</v>
      </c>
      <c r="H1964" s="37" t="str">
        <f>INDEX(_xlfn.TEXTSPLIT(mvtst[[#This Row],[QR Suivis]],"_"),1,1)</f>
        <v>OF249848-29</v>
      </c>
      <c r="I1964" s="35" t="str">
        <f>_xlfn.TEXTBEFORE(mvtst[[#This Row],[Num Suivis]],"-",,,1)</f>
        <v>OF249848</v>
      </c>
      <c r="J1964" s="36">
        <f>SUMIF(mvtst[QR Suivis],mvtst[[#This Row],[QR Suivis]],mvtst[QTE SORTIS])-SUMIF(mvtst[QR Suivis],mvtst[[#This Row],[QR Suivis]],mvtst[QTE RETOUR])</f>
        <v>0</v>
      </c>
      <c r="K1964" s="35" t="str">
        <f t="shared" si="33"/>
        <v>Usine</v>
      </c>
      <c r="L1964" s="35" t="str">
        <f>_xlfn.XLOOKUP(mvtst[[#This Row],[Sous Traitant]],coordonnee_st[Identification],coordonnee_st[SERVICE],"Non Trouvé")</f>
        <v>Frange</v>
      </c>
      <c r="M1964" s="35" t="str">
        <f>INDEX(_xlfn.TEXTSPLIT(mvtst[[#This Row],[QR Suivis]],"_"),1,2)</f>
        <v>CL00884</v>
      </c>
      <c r="N1964" s="35" t="str">
        <f>INDEX(_xlfn.TEXTSPLIT(mvtst[[#This Row],[QR Suivis]],"_"),1,3)</f>
        <v>CM-FT0119</v>
      </c>
      <c r="O1964" s="35" t="str">
        <f>INDEX(_xlfn.TEXTSPLIT(mvtst[[#This Row],[QR Suivis]],"_"),1,4)</f>
        <v>ST1020-S14-16-17</v>
      </c>
      <c r="P1964" s="35" t="str">
        <f>INDEX(_xlfn.TEXTSPLIT(mvtst[[#This Row],[QR Suivis]],"_"),1,5)</f>
        <v>ST TROPEZ</v>
      </c>
      <c r="Q1964" s="35" t="str">
        <f>_xlfn.TEXTAFTER(mvtst[[#This Row],[QR Suivis]],"_",5)</f>
        <v>1020</v>
      </c>
      <c r="R1964" s="84" t="str">
        <f>IF(
   COUNTIFS($A$2:A1964,A1964,
             $B$2:B1964,B1964,
             $C$2:C1964,C1964,
             $D$2:D1964,D1964,
             $G$2:G1964,G1964)&gt;1,
   "Doublon",
   "Correcte"
)</f>
        <v>Correcte</v>
      </c>
    </row>
    <row r="1965" spans="1:18" x14ac:dyDescent="0.25">
      <c r="A1965" s="104" t="s">
        <v>2114</v>
      </c>
      <c r="B1965" s="35" t="s">
        <v>712</v>
      </c>
      <c r="C1965" s="36">
        <v>0</v>
      </c>
      <c r="D1965" s="36">
        <v>5</v>
      </c>
      <c r="E1965" s="35" t="s">
        <v>699</v>
      </c>
      <c r="F1965" s="35" t="s">
        <v>634</v>
      </c>
      <c r="G1965" s="37">
        <v>45943.679629629631</v>
      </c>
      <c r="H1965" s="37" t="str">
        <f>INDEX(_xlfn.TEXTSPLIT(mvtst[[#This Row],[QR Suivis]],"_"),1,1)</f>
        <v>OF249848-36</v>
      </c>
      <c r="I1965" s="35" t="str">
        <f>_xlfn.TEXTBEFORE(mvtst[[#This Row],[Num Suivis]],"-",,,1)</f>
        <v>OF249848</v>
      </c>
      <c r="J1965" s="36">
        <f>SUMIF(mvtst[QR Suivis],mvtst[[#This Row],[QR Suivis]],mvtst[QTE SORTIS])-SUMIF(mvtst[QR Suivis],mvtst[[#This Row],[QR Suivis]],mvtst[QTE RETOUR])</f>
        <v>0</v>
      </c>
      <c r="K1965" s="35" t="str">
        <f t="shared" si="33"/>
        <v>Usine</v>
      </c>
      <c r="L1965" s="35" t="str">
        <f>_xlfn.XLOOKUP(mvtst[[#This Row],[Sous Traitant]],coordonnee_st[Identification],coordonnee_st[SERVICE],"Non Trouvé")</f>
        <v>Frange</v>
      </c>
      <c r="M1965" s="35" t="str">
        <f>INDEX(_xlfn.TEXTSPLIT(mvtst[[#This Row],[QR Suivis]],"_"),1,2)</f>
        <v>CL00884</v>
      </c>
      <c r="N1965" s="35" t="str">
        <f>INDEX(_xlfn.TEXTSPLIT(mvtst[[#This Row],[QR Suivis]],"_"),1,3)</f>
        <v>CM-FT0119</v>
      </c>
      <c r="O1965" s="35" t="str">
        <f>INDEX(_xlfn.TEXTSPLIT(mvtst[[#This Row],[QR Suivis]],"_"),1,4)</f>
        <v>ST1020-S14-16-17</v>
      </c>
      <c r="P1965" s="35" t="str">
        <f>INDEX(_xlfn.TEXTSPLIT(mvtst[[#This Row],[QR Suivis]],"_"),1,5)</f>
        <v>ST TROPEZ</v>
      </c>
      <c r="Q1965" s="35" t="str">
        <f>_xlfn.TEXTAFTER(mvtst[[#This Row],[QR Suivis]],"_",5)</f>
        <v>1020</v>
      </c>
      <c r="R1965" s="84" t="str">
        <f>IF(
   COUNTIFS($A$2:A1965,A1965,
             $B$2:B1965,B1965,
             $C$2:C1965,C1965,
             $D$2:D1965,D1965,
             $G$2:G1965,G1965)&gt;1,
   "Doublon",
   "Correcte"
)</f>
        <v>Correcte</v>
      </c>
    </row>
    <row r="1966" spans="1:18" x14ac:dyDescent="0.25">
      <c r="A1966" s="104" t="s">
        <v>2042</v>
      </c>
      <c r="B1966" s="35" t="s">
        <v>712</v>
      </c>
      <c r="C1966" s="36">
        <v>0</v>
      </c>
      <c r="D1966" s="36">
        <v>5</v>
      </c>
      <c r="E1966" s="35" t="s">
        <v>699</v>
      </c>
      <c r="F1966" s="35" t="s">
        <v>634</v>
      </c>
      <c r="G1966" s="37">
        <v>45943.679780092592</v>
      </c>
      <c r="H1966" s="37" t="str">
        <f>INDEX(_xlfn.TEXTSPLIT(mvtst[[#This Row],[QR Suivis]],"_"),1,1)</f>
        <v>OF249848-11</v>
      </c>
      <c r="I1966" s="35" t="str">
        <f>_xlfn.TEXTBEFORE(mvtst[[#This Row],[Num Suivis]],"-",,,1)</f>
        <v>OF249848</v>
      </c>
      <c r="J1966" s="36">
        <f>SUMIF(mvtst[QR Suivis],mvtst[[#This Row],[QR Suivis]],mvtst[QTE SORTIS])-SUMIF(mvtst[QR Suivis],mvtst[[#This Row],[QR Suivis]],mvtst[QTE RETOUR])</f>
        <v>0</v>
      </c>
      <c r="K1966" s="35" t="str">
        <f t="shared" si="33"/>
        <v>Usine</v>
      </c>
      <c r="L1966" s="35" t="str">
        <f>_xlfn.XLOOKUP(mvtst[[#This Row],[Sous Traitant]],coordonnee_st[Identification],coordonnee_st[SERVICE],"Non Trouvé")</f>
        <v>Frange</v>
      </c>
      <c r="M1966" s="35" t="str">
        <f>INDEX(_xlfn.TEXTSPLIT(mvtst[[#This Row],[QR Suivis]],"_"),1,2)</f>
        <v>CL00884</v>
      </c>
      <c r="N1966" s="35" t="str">
        <f>INDEX(_xlfn.TEXTSPLIT(mvtst[[#This Row],[QR Suivis]],"_"),1,3)</f>
        <v>CM-FT0119</v>
      </c>
      <c r="O1966" s="35" t="str">
        <f>INDEX(_xlfn.TEXTSPLIT(mvtst[[#This Row],[QR Suivis]],"_"),1,4)</f>
        <v>ST1020-S14-16-17</v>
      </c>
      <c r="P1966" s="35" t="str">
        <f>INDEX(_xlfn.TEXTSPLIT(mvtst[[#This Row],[QR Suivis]],"_"),1,5)</f>
        <v>ST TROPEZ</v>
      </c>
      <c r="Q1966" s="35" t="str">
        <f>_xlfn.TEXTAFTER(mvtst[[#This Row],[QR Suivis]],"_",5)</f>
        <v>1020</v>
      </c>
      <c r="R1966" s="84" t="str">
        <f>IF(
   COUNTIFS($A$2:A1966,A1966,
             $B$2:B1966,B1966,
             $C$2:C1966,C1966,
             $D$2:D1966,D1966,
             $G$2:G1966,G1966)&gt;1,
   "Doublon",
   "Correcte"
)</f>
        <v>Correcte</v>
      </c>
    </row>
    <row r="1967" spans="1:18" x14ac:dyDescent="0.25">
      <c r="A1967" s="104" t="s">
        <v>2151</v>
      </c>
      <c r="B1967" s="35" t="s">
        <v>712</v>
      </c>
      <c r="C1967" s="36">
        <v>0</v>
      </c>
      <c r="D1967" s="36">
        <v>5</v>
      </c>
      <c r="E1967" s="35" t="s">
        <v>699</v>
      </c>
      <c r="F1967" s="35" t="s">
        <v>634</v>
      </c>
      <c r="G1967" s="37">
        <v>45943.680023148147</v>
      </c>
      <c r="H1967" s="37" t="str">
        <f>INDEX(_xlfn.TEXTSPLIT(mvtst[[#This Row],[QR Suivis]],"_"),1,1)</f>
        <v>OF249946-25</v>
      </c>
      <c r="I1967" s="35" t="str">
        <f>_xlfn.TEXTBEFORE(mvtst[[#This Row],[Num Suivis]],"-",,,1)</f>
        <v>OF249946</v>
      </c>
      <c r="J1967" s="36">
        <f>SUMIF(mvtst[QR Suivis],mvtst[[#This Row],[QR Suivis]],mvtst[QTE SORTIS])-SUMIF(mvtst[QR Suivis],mvtst[[#This Row],[QR Suivis]],mvtst[QTE RETOUR])</f>
        <v>0</v>
      </c>
      <c r="K1967" s="35" t="str">
        <f t="shared" si="33"/>
        <v>Usine</v>
      </c>
      <c r="L1967" s="35" t="str">
        <f>_xlfn.XLOOKUP(mvtst[[#This Row],[Sous Traitant]],coordonnee_st[Identification],coordonnee_st[SERVICE],"Non Trouvé")</f>
        <v>Frange</v>
      </c>
      <c r="M1967" s="35" t="str">
        <f>INDEX(_xlfn.TEXTSPLIT(mvtst[[#This Row],[QR Suivis]],"_"),1,2)</f>
        <v>CL00884</v>
      </c>
      <c r="N1967" s="35" t="str">
        <f>INDEX(_xlfn.TEXTSPLIT(mvtst[[#This Row],[QR Suivis]],"_"),1,3)</f>
        <v>CM-FT0120</v>
      </c>
      <c r="O1967" s="35" t="str">
        <f>INDEX(_xlfn.TEXTSPLIT(mvtst[[#This Row],[QR Suivis]],"_"),1,4)</f>
        <v>ST1020-S14-16-17</v>
      </c>
      <c r="P1967" s="35" t="str">
        <f>INDEX(_xlfn.TEXTSPLIT(mvtst[[#This Row],[QR Suivis]],"_"),1,5)</f>
        <v>ST TROPEZ</v>
      </c>
      <c r="Q1967" s="35" t="str">
        <f>_xlfn.TEXTAFTER(mvtst[[#This Row],[QR Suivis]],"_",5)</f>
        <v>1020</v>
      </c>
      <c r="R1967" s="84" t="str">
        <f>IF(
   COUNTIFS($A$2:A1967,A1967,
             $B$2:B1967,B1967,
             $C$2:C1967,C1967,
             $D$2:D1967,D1967,
             $G$2:G1967,G1967)&gt;1,
   "Doublon",
   "Correcte"
)</f>
        <v>Correcte</v>
      </c>
    </row>
    <row r="1968" spans="1:18" x14ac:dyDescent="0.25">
      <c r="A1968" s="104" t="s">
        <v>2152</v>
      </c>
      <c r="B1968" s="35" t="s">
        <v>712</v>
      </c>
      <c r="C1968" s="36">
        <v>0</v>
      </c>
      <c r="D1968" s="36">
        <v>5</v>
      </c>
      <c r="E1968" s="35" t="s">
        <v>699</v>
      </c>
      <c r="F1968" s="35" t="s">
        <v>634</v>
      </c>
      <c r="G1968" s="37">
        <v>45943.680405092593</v>
      </c>
      <c r="H1968" s="37" t="str">
        <f>INDEX(_xlfn.TEXTSPLIT(mvtst[[#This Row],[QR Suivis]],"_"),1,1)</f>
        <v>OF249946-23</v>
      </c>
      <c r="I1968" s="35" t="str">
        <f>_xlfn.TEXTBEFORE(mvtst[[#This Row],[Num Suivis]],"-",,,1)</f>
        <v>OF249946</v>
      </c>
      <c r="J1968" s="36">
        <f>SUMIF(mvtst[QR Suivis],mvtst[[#This Row],[QR Suivis]],mvtst[QTE SORTIS])-SUMIF(mvtst[QR Suivis],mvtst[[#This Row],[QR Suivis]],mvtst[QTE RETOUR])</f>
        <v>0</v>
      </c>
      <c r="K1968" s="35" t="str">
        <f t="shared" si="33"/>
        <v>Usine</v>
      </c>
      <c r="L1968" s="35" t="str">
        <f>_xlfn.XLOOKUP(mvtst[[#This Row],[Sous Traitant]],coordonnee_st[Identification],coordonnee_st[SERVICE],"Non Trouvé")</f>
        <v>Frange</v>
      </c>
      <c r="M1968" s="35" t="str">
        <f>INDEX(_xlfn.TEXTSPLIT(mvtst[[#This Row],[QR Suivis]],"_"),1,2)</f>
        <v>CL00884</v>
      </c>
      <c r="N1968" s="35" t="str">
        <f>INDEX(_xlfn.TEXTSPLIT(mvtst[[#This Row],[QR Suivis]],"_"),1,3)</f>
        <v>CM-FT0120</v>
      </c>
      <c r="O1968" s="35" t="str">
        <f>INDEX(_xlfn.TEXTSPLIT(mvtst[[#This Row],[QR Suivis]],"_"),1,4)</f>
        <v>ST1020-S14-16-17</v>
      </c>
      <c r="P1968" s="35" t="str">
        <f>INDEX(_xlfn.TEXTSPLIT(mvtst[[#This Row],[QR Suivis]],"_"),1,5)</f>
        <v>ST TROPEZ</v>
      </c>
      <c r="Q1968" s="35" t="str">
        <f>_xlfn.TEXTAFTER(mvtst[[#This Row],[QR Suivis]],"_",5)</f>
        <v>1020</v>
      </c>
      <c r="R1968" s="84" t="str">
        <f>IF(
   COUNTIFS($A$2:A1968,A1968,
             $B$2:B1968,B1968,
             $C$2:C1968,C1968,
             $D$2:D1968,D1968,
             $G$2:G1968,G1968)&gt;1,
   "Doublon",
   "Correcte"
)</f>
        <v>Correcte</v>
      </c>
    </row>
    <row r="1969" spans="1:18" x14ac:dyDescent="0.25">
      <c r="A1969" s="104" t="s">
        <v>2147</v>
      </c>
      <c r="B1969" s="35" t="s">
        <v>712</v>
      </c>
      <c r="C1969" s="36">
        <v>0</v>
      </c>
      <c r="D1969" s="36">
        <v>5</v>
      </c>
      <c r="E1969" s="35" t="s">
        <v>699</v>
      </c>
      <c r="F1969" s="35" t="s">
        <v>634</v>
      </c>
      <c r="G1969" s="37">
        <v>45943.680590277778</v>
      </c>
      <c r="H1969" s="37" t="str">
        <f>INDEX(_xlfn.TEXTSPLIT(mvtst[[#This Row],[QR Suivis]],"_"),1,1)</f>
        <v>OF249946-5</v>
      </c>
      <c r="I1969" s="35" t="str">
        <f>_xlfn.TEXTBEFORE(mvtst[[#This Row],[Num Suivis]],"-",,,1)</f>
        <v>OF249946</v>
      </c>
      <c r="J1969" s="36">
        <f>SUMIF(mvtst[QR Suivis],mvtst[[#This Row],[QR Suivis]],mvtst[QTE SORTIS])-SUMIF(mvtst[QR Suivis],mvtst[[#This Row],[QR Suivis]],mvtst[QTE RETOUR])</f>
        <v>0</v>
      </c>
      <c r="K1969" s="35" t="str">
        <f t="shared" si="33"/>
        <v>Usine</v>
      </c>
      <c r="L1969" s="35" t="str">
        <f>_xlfn.XLOOKUP(mvtst[[#This Row],[Sous Traitant]],coordonnee_st[Identification],coordonnee_st[SERVICE],"Non Trouvé")</f>
        <v>Frange</v>
      </c>
      <c r="M1969" s="35" t="str">
        <f>INDEX(_xlfn.TEXTSPLIT(mvtst[[#This Row],[QR Suivis]],"_"),1,2)</f>
        <v>CL00884</v>
      </c>
      <c r="N1969" s="35" t="str">
        <f>INDEX(_xlfn.TEXTSPLIT(mvtst[[#This Row],[QR Suivis]],"_"),1,3)</f>
        <v>CM-FT0120</v>
      </c>
      <c r="O1969" s="35" t="str">
        <f>INDEX(_xlfn.TEXTSPLIT(mvtst[[#This Row],[QR Suivis]],"_"),1,4)</f>
        <v>ST1020-S14-16-17</v>
      </c>
      <c r="P1969" s="35" t="str">
        <f>INDEX(_xlfn.TEXTSPLIT(mvtst[[#This Row],[QR Suivis]],"_"),1,5)</f>
        <v>ST TROPEZ</v>
      </c>
      <c r="Q1969" s="35" t="str">
        <f>_xlfn.TEXTAFTER(mvtst[[#This Row],[QR Suivis]],"_",5)</f>
        <v>1020</v>
      </c>
      <c r="R1969" s="84" t="str">
        <f>IF(
   COUNTIFS($A$2:A1969,A1969,
             $B$2:B1969,B1969,
             $C$2:C1969,C1969,
             $D$2:D1969,D1969,
             $G$2:G1969,G1969)&gt;1,
   "Doublon",
   "Correcte"
)</f>
        <v>Correcte</v>
      </c>
    </row>
    <row r="1970" spans="1:18" x14ac:dyDescent="0.25">
      <c r="A1970" s="104" t="s">
        <v>2041</v>
      </c>
      <c r="B1970" s="35" t="s">
        <v>712</v>
      </c>
      <c r="C1970" s="36">
        <v>0</v>
      </c>
      <c r="D1970" s="36">
        <v>5</v>
      </c>
      <c r="E1970" s="35" t="s">
        <v>699</v>
      </c>
      <c r="F1970" s="35" t="s">
        <v>634</v>
      </c>
      <c r="G1970" s="37">
        <v>45943.680717592593</v>
      </c>
      <c r="H1970" s="37" t="str">
        <f>INDEX(_xlfn.TEXTSPLIT(mvtst[[#This Row],[QR Suivis]],"_"),1,1)</f>
        <v>OF249848-12</v>
      </c>
      <c r="I1970" s="35" t="str">
        <f>_xlfn.TEXTBEFORE(mvtst[[#This Row],[Num Suivis]],"-",,,1)</f>
        <v>OF249848</v>
      </c>
      <c r="J1970" s="36">
        <f>SUMIF(mvtst[QR Suivis],mvtst[[#This Row],[QR Suivis]],mvtst[QTE SORTIS])-SUMIF(mvtst[QR Suivis],mvtst[[#This Row],[QR Suivis]],mvtst[QTE RETOUR])</f>
        <v>0</v>
      </c>
      <c r="K1970" s="35" t="str">
        <f t="shared" si="33"/>
        <v>Usine</v>
      </c>
      <c r="L1970" s="35" t="str">
        <f>_xlfn.XLOOKUP(mvtst[[#This Row],[Sous Traitant]],coordonnee_st[Identification],coordonnee_st[SERVICE],"Non Trouvé")</f>
        <v>Frange</v>
      </c>
      <c r="M1970" s="35" t="str">
        <f>INDEX(_xlfn.TEXTSPLIT(mvtst[[#This Row],[QR Suivis]],"_"),1,2)</f>
        <v>CL00884</v>
      </c>
      <c r="N1970" s="35" t="str">
        <f>INDEX(_xlfn.TEXTSPLIT(mvtst[[#This Row],[QR Suivis]],"_"),1,3)</f>
        <v>CM-FT0119</v>
      </c>
      <c r="O1970" s="35" t="str">
        <f>INDEX(_xlfn.TEXTSPLIT(mvtst[[#This Row],[QR Suivis]],"_"),1,4)</f>
        <v>ST1020-S14-16-17</v>
      </c>
      <c r="P1970" s="35" t="str">
        <f>INDEX(_xlfn.TEXTSPLIT(mvtst[[#This Row],[QR Suivis]],"_"),1,5)</f>
        <v>ST TROPEZ</v>
      </c>
      <c r="Q1970" s="35" t="str">
        <f>_xlfn.TEXTAFTER(mvtst[[#This Row],[QR Suivis]],"_",5)</f>
        <v>1020</v>
      </c>
      <c r="R1970" s="84" t="str">
        <f>IF(
   COUNTIFS($A$2:A1970,A1970,
             $B$2:B1970,B1970,
             $C$2:C1970,C1970,
             $D$2:D1970,D1970,
             $G$2:G1970,G1970)&gt;1,
   "Doublon",
   "Correcte"
)</f>
        <v>Correcte</v>
      </c>
    </row>
    <row r="1971" spans="1:18" x14ac:dyDescent="0.25">
      <c r="A1971" s="104" t="s">
        <v>2106</v>
      </c>
      <c r="B1971" s="35" t="s">
        <v>712</v>
      </c>
      <c r="C1971" s="36">
        <v>0</v>
      </c>
      <c r="D1971" s="36">
        <v>5</v>
      </c>
      <c r="E1971" s="35" t="s">
        <v>699</v>
      </c>
      <c r="F1971" s="35" t="s">
        <v>634</v>
      </c>
      <c r="G1971" s="37">
        <v>45943.680891203701</v>
      </c>
      <c r="H1971" s="37" t="str">
        <f>INDEX(_xlfn.TEXTSPLIT(mvtst[[#This Row],[QR Suivis]],"_"),1,1)</f>
        <v>OF249848-22</v>
      </c>
      <c r="I1971" s="35" t="str">
        <f>_xlfn.TEXTBEFORE(mvtst[[#This Row],[Num Suivis]],"-",,,1)</f>
        <v>OF249848</v>
      </c>
      <c r="J1971" s="36">
        <f>SUMIF(mvtst[QR Suivis],mvtst[[#This Row],[QR Suivis]],mvtst[QTE SORTIS])-SUMIF(mvtst[QR Suivis],mvtst[[#This Row],[QR Suivis]],mvtst[QTE RETOUR])</f>
        <v>0</v>
      </c>
      <c r="K1971" s="35" t="str">
        <f t="shared" si="33"/>
        <v>Usine</v>
      </c>
      <c r="L1971" s="35" t="str">
        <f>_xlfn.XLOOKUP(mvtst[[#This Row],[Sous Traitant]],coordonnee_st[Identification],coordonnee_st[SERVICE],"Non Trouvé")</f>
        <v>Frange</v>
      </c>
      <c r="M1971" s="35" t="str">
        <f>INDEX(_xlfn.TEXTSPLIT(mvtst[[#This Row],[QR Suivis]],"_"),1,2)</f>
        <v>CL00884</v>
      </c>
      <c r="N1971" s="35" t="str">
        <f>INDEX(_xlfn.TEXTSPLIT(mvtst[[#This Row],[QR Suivis]],"_"),1,3)</f>
        <v>CM-FT0119</v>
      </c>
      <c r="O1971" s="35" t="str">
        <f>INDEX(_xlfn.TEXTSPLIT(mvtst[[#This Row],[QR Suivis]],"_"),1,4)</f>
        <v>ST1020-S14-16-17</v>
      </c>
      <c r="P1971" s="35" t="str">
        <f>INDEX(_xlfn.TEXTSPLIT(mvtst[[#This Row],[QR Suivis]],"_"),1,5)</f>
        <v>ST TROPEZ</v>
      </c>
      <c r="Q1971" s="35" t="str">
        <f>_xlfn.TEXTAFTER(mvtst[[#This Row],[QR Suivis]],"_",5)</f>
        <v>1020</v>
      </c>
      <c r="R1971" s="84" t="str">
        <f>IF(
   COUNTIFS($A$2:A1971,A1971,
             $B$2:B1971,B1971,
             $C$2:C1971,C1971,
             $D$2:D1971,D1971,
             $G$2:G1971,G1971)&gt;1,
   "Doublon",
   "Correcte"
)</f>
        <v>Correcte</v>
      </c>
    </row>
    <row r="1972" spans="1:18" x14ac:dyDescent="0.25">
      <c r="A1972" s="104" t="s">
        <v>2240</v>
      </c>
      <c r="B1972" s="35" t="s">
        <v>712</v>
      </c>
      <c r="C1972" s="36">
        <v>0</v>
      </c>
      <c r="D1972" s="36">
        <v>5</v>
      </c>
      <c r="E1972" s="35" t="s">
        <v>699</v>
      </c>
      <c r="F1972" s="35" t="s">
        <v>634</v>
      </c>
      <c r="G1972" s="37">
        <v>45943.681041666663</v>
      </c>
      <c r="H1972" s="37" t="str">
        <f>INDEX(_xlfn.TEXTSPLIT(mvtst[[#This Row],[QR Suivis]],"_"),1,1)</f>
        <v>OF249816-21</v>
      </c>
      <c r="I1972" s="35" t="str">
        <f>_xlfn.TEXTBEFORE(mvtst[[#This Row],[Num Suivis]],"-",,,1)</f>
        <v>OF249816</v>
      </c>
      <c r="J1972" s="36">
        <f>SUMIF(mvtst[QR Suivis],mvtst[[#This Row],[QR Suivis]],mvtst[QTE SORTIS])-SUMIF(mvtst[QR Suivis],mvtst[[#This Row],[QR Suivis]],mvtst[QTE RETOUR])</f>
        <v>0</v>
      </c>
      <c r="K1972" s="35" t="str">
        <f t="shared" si="33"/>
        <v>Usine</v>
      </c>
      <c r="L1972" s="35" t="str">
        <f>_xlfn.XLOOKUP(mvtst[[#This Row],[Sous Traitant]],coordonnee_st[Identification],coordonnee_st[SERVICE],"Non Trouvé")</f>
        <v>Frange</v>
      </c>
      <c r="M1972" s="35" t="str">
        <f>INDEX(_xlfn.TEXTSPLIT(mvtst[[#This Row],[QR Suivis]],"_"),1,2)</f>
        <v>CL00884</v>
      </c>
      <c r="N1972" s="35" t="str">
        <f>INDEX(_xlfn.TEXTSPLIT(mvtst[[#This Row],[QR Suivis]],"_"),1,3)</f>
        <v>CM-FT0119</v>
      </c>
      <c r="O1972" s="35" t="str">
        <f>INDEX(_xlfn.TEXTSPLIT(mvtst[[#This Row],[QR Suivis]],"_"),1,4)</f>
        <v>SO1020-Q29-11-14</v>
      </c>
      <c r="P1972" s="35" t="str">
        <f>INDEX(_xlfn.TEXTSPLIT(mvtst[[#This Row],[QR Suivis]],"_"),1,5)</f>
        <v>SOUSSE</v>
      </c>
      <c r="Q1972" s="35" t="str">
        <f>_xlfn.TEXTAFTER(mvtst[[#This Row],[QR Suivis]],"_",5)</f>
        <v>1020</v>
      </c>
      <c r="R1972" s="84" t="str">
        <f>IF(
   COUNTIFS($A$2:A1972,A1972,
             $B$2:B1972,B1972,
             $C$2:C1972,C1972,
             $D$2:D1972,D1972,
             $G$2:G1972,G1972)&gt;1,
   "Doublon",
   "Correcte"
)</f>
        <v>Correcte</v>
      </c>
    </row>
    <row r="1973" spans="1:18" x14ac:dyDescent="0.25">
      <c r="A1973" s="104" t="s">
        <v>2121</v>
      </c>
      <c r="B1973" s="35" t="s">
        <v>712</v>
      </c>
      <c r="C1973" s="36">
        <v>0</v>
      </c>
      <c r="D1973" s="36">
        <v>5</v>
      </c>
      <c r="E1973" s="35" t="s">
        <v>699</v>
      </c>
      <c r="F1973" s="35" t="s">
        <v>634</v>
      </c>
      <c r="G1973" s="37">
        <v>45943.681261574071</v>
      </c>
      <c r="H1973" s="37" t="str">
        <f>INDEX(_xlfn.TEXTSPLIT(mvtst[[#This Row],[QR Suivis]],"_"),1,1)</f>
        <v>OF249848-27</v>
      </c>
      <c r="I1973" s="35" t="str">
        <f>_xlfn.TEXTBEFORE(mvtst[[#This Row],[Num Suivis]],"-",,,1)</f>
        <v>OF249848</v>
      </c>
      <c r="J1973" s="36">
        <f>SUMIF(mvtst[QR Suivis],mvtst[[#This Row],[QR Suivis]],mvtst[QTE SORTIS])-SUMIF(mvtst[QR Suivis],mvtst[[#This Row],[QR Suivis]],mvtst[QTE RETOUR])</f>
        <v>0</v>
      </c>
      <c r="K1973" s="35" t="str">
        <f t="shared" si="33"/>
        <v>Usine</v>
      </c>
      <c r="L1973" s="35" t="str">
        <f>_xlfn.XLOOKUP(mvtst[[#This Row],[Sous Traitant]],coordonnee_st[Identification],coordonnee_st[SERVICE],"Non Trouvé")</f>
        <v>Frange</v>
      </c>
      <c r="M1973" s="35" t="str">
        <f>INDEX(_xlfn.TEXTSPLIT(mvtst[[#This Row],[QR Suivis]],"_"),1,2)</f>
        <v>CL00884</v>
      </c>
      <c r="N1973" s="35" t="str">
        <f>INDEX(_xlfn.TEXTSPLIT(mvtst[[#This Row],[QR Suivis]],"_"),1,3)</f>
        <v>CM-FT0119</v>
      </c>
      <c r="O1973" s="35" t="str">
        <f>INDEX(_xlfn.TEXTSPLIT(mvtst[[#This Row],[QR Suivis]],"_"),1,4)</f>
        <v>ST1020-S14-16-17</v>
      </c>
      <c r="P1973" s="35" t="str">
        <f>INDEX(_xlfn.TEXTSPLIT(mvtst[[#This Row],[QR Suivis]],"_"),1,5)</f>
        <v>ST TROPEZ</v>
      </c>
      <c r="Q1973" s="35" t="str">
        <f>_xlfn.TEXTAFTER(mvtst[[#This Row],[QR Suivis]],"_",5)</f>
        <v>1020</v>
      </c>
      <c r="R1973" s="84" t="str">
        <f>IF(
   COUNTIFS($A$2:A1973,A1973,
             $B$2:B1973,B1973,
             $C$2:C1973,C1973,
             $D$2:D1973,D1973,
             $G$2:G1973,G1973)&gt;1,
   "Doublon",
   "Correcte"
)</f>
        <v>Correcte</v>
      </c>
    </row>
    <row r="1974" spans="1:18" x14ac:dyDescent="0.25">
      <c r="A1974" s="104" t="s">
        <v>2092</v>
      </c>
      <c r="B1974" s="35" t="s">
        <v>712</v>
      </c>
      <c r="C1974" s="36">
        <v>0</v>
      </c>
      <c r="D1974" s="36">
        <v>5</v>
      </c>
      <c r="E1974" s="35" t="s">
        <v>699</v>
      </c>
      <c r="F1974" s="35" t="s">
        <v>634</v>
      </c>
      <c r="G1974" s="37">
        <v>45943.68136574074</v>
      </c>
      <c r="H1974" s="37" t="str">
        <f>INDEX(_xlfn.TEXTSPLIT(mvtst[[#This Row],[QR Suivis]],"_"),1,1)</f>
        <v>OF249946-45</v>
      </c>
      <c r="I1974" s="35" t="str">
        <f>_xlfn.TEXTBEFORE(mvtst[[#This Row],[Num Suivis]],"-",,,1)</f>
        <v>OF249946</v>
      </c>
      <c r="J1974" s="36">
        <f>SUMIF(mvtst[QR Suivis],mvtst[[#This Row],[QR Suivis]],mvtst[QTE SORTIS])-SUMIF(mvtst[QR Suivis],mvtst[[#This Row],[QR Suivis]],mvtst[QTE RETOUR])</f>
        <v>0</v>
      </c>
      <c r="K1974" s="35" t="str">
        <f t="shared" ref="K1974:K2013" si="34">"Usine"</f>
        <v>Usine</v>
      </c>
      <c r="L1974" s="35" t="str">
        <f>_xlfn.XLOOKUP(mvtst[[#This Row],[Sous Traitant]],coordonnee_st[Identification],coordonnee_st[SERVICE],"Non Trouvé")</f>
        <v>Frange</v>
      </c>
      <c r="M1974" s="35" t="str">
        <f>INDEX(_xlfn.TEXTSPLIT(mvtst[[#This Row],[QR Suivis]],"_"),1,2)</f>
        <v>CL00884</v>
      </c>
      <c r="N1974" s="35" t="str">
        <f>INDEX(_xlfn.TEXTSPLIT(mvtst[[#This Row],[QR Suivis]],"_"),1,3)</f>
        <v>CM-FT0120</v>
      </c>
      <c r="O1974" s="35" t="str">
        <f>INDEX(_xlfn.TEXTSPLIT(mvtst[[#This Row],[QR Suivis]],"_"),1,4)</f>
        <v>ST1020-S14-16-17</v>
      </c>
      <c r="P1974" s="35" t="str">
        <f>INDEX(_xlfn.TEXTSPLIT(mvtst[[#This Row],[QR Suivis]],"_"),1,5)</f>
        <v>ST TROPEZ</v>
      </c>
      <c r="Q1974" s="35" t="str">
        <f>_xlfn.TEXTAFTER(mvtst[[#This Row],[QR Suivis]],"_",5)</f>
        <v>1020</v>
      </c>
      <c r="R1974" s="84" t="str">
        <f>IF(
   COUNTIFS($A$2:A1974,A1974,
             $B$2:B1974,B1974,
             $C$2:C1974,C1974,
             $D$2:D1974,D1974,
             $G$2:G1974,G1974)&gt;1,
   "Doublon",
   "Correcte"
)</f>
        <v>Correcte</v>
      </c>
    </row>
    <row r="1975" spans="1:18" x14ac:dyDescent="0.25">
      <c r="A1975" s="104" t="s">
        <v>2141</v>
      </c>
      <c r="B1975" s="35" t="s">
        <v>712</v>
      </c>
      <c r="C1975" s="36">
        <v>0</v>
      </c>
      <c r="D1975" s="36">
        <v>5</v>
      </c>
      <c r="E1975" s="35" t="s">
        <v>699</v>
      </c>
      <c r="F1975" s="35" t="s">
        <v>634</v>
      </c>
      <c r="G1975" s="37">
        <v>45943.681562500002</v>
      </c>
      <c r="H1975" s="37" t="str">
        <f>INDEX(_xlfn.TEXTSPLIT(mvtst[[#This Row],[QR Suivis]],"_"),1,1)</f>
        <v>OF249946-31</v>
      </c>
      <c r="I1975" s="35" t="str">
        <f>_xlfn.TEXTBEFORE(mvtst[[#This Row],[Num Suivis]],"-",,,1)</f>
        <v>OF249946</v>
      </c>
      <c r="J1975" s="36">
        <f>SUMIF(mvtst[QR Suivis],mvtst[[#This Row],[QR Suivis]],mvtst[QTE SORTIS])-SUMIF(mvtst[QR Suivis],mvtst[[#This Row],[QR Suivis]],mvtst[QTE RETOUR])</f>
        <v>0</v>
      </c>
      <c r="K1975" s="35" t="str">
        <f t="shared" si="34"/>
        <v>Usine</v>
      </c>
      <c r="L1975" s="35" t="str">
        <f>_xlfn.XLOOKUP(mvtst[[#This Row],[Sous Traitant]],coordonnee_st[Identification],coordonnee_st[SERVICE],"Non Trouvé")</f>
        <v>Frange</v>
      </c>
      <c r="M1975" s="35" t="str">
        <f>INDEX(_xlfn.TEXTSPLIT(mvtst[[#This Row],[QR Suivis]],"_"),1,2)</f>
        <v>CL00884</v>
      </c>
      <c r="N1975" s="35" t="str">
        <f>INDEX(_xlfn.TEXTSPLIT(mvtst[[#This Row],[QR Suivis]],"_"),1,3)</f>
        <v>CM-FT0120</v>
      </c>
      <c r="O1975" s="35" t="str">
        <f>INDEX(_xlfn.TEXTSPLIT(mvtst[[#This Row],[QR Suivis]],"_"),1,4)</f>
        <v>ST1020-S14-16-17</v>
      </c>
      <c r="P1975" s="35" t="str">
        <f>INDEX(_xlfn.TEXTSPLIT(mvtst[[#This Row],[QR Suivis]],"_"),1,5)</f>
        <v>ST TROPEZ</v>
      </c>
      <c r="Q1975" s="35" t="str">
        <f>_xlfn.TEXTAFTER(mvtst[[#This Row],[QR Suivis]],"_",5)</f>
        <v>1020</v>
      </c>
      <c r="R1975" s="84" t="str">
        <f>IF(
   COUNTIFS($A$2:A1975,A1975,
             $B$2:B1975,B1975,
             $C$2:C1975,C1975,
             $D$2:D1975,D1975,
             $G$2:G1975,G1975)&gt;1,
   "Doublon",
   "Correcte"
)</f>
        <v>Correcte</v>
      </c>
    </row>
    <row r="1976" spans="1:18" x14ac:dyDescent="0.25">
      <c r="A1976" s="104" t="s">
        <v>2095</v>
      </c>
      <c r="B1976" s="35" t="s">
        <v>712</v>
      </c>
      <c r="C1976" s="36">
        <v>0</v>
      </c>
      <c r="D1976" s="36">
        <v>5</v>
      </c>
      <c r="E1976" s="35" t="s">
        <v>699</v>
      </c>
      <c r="F1976" s="35" t="s">
        <v>634</v>
      </c>
      <c r="G1976" s="37">
        <v>45943.681701388887</v>
      </c>
      <c r="H1976" s="37" t="str">
        <f>INDEX(_xlfn.TEXTSPLIT(mvtst[[#This Row],[QR Suivis]],"_"),1,1)</f>
        <v>OF249946-34</v>
      </c>
      <c r="I1976" s="35" t="str">
        <f>_xlfn.TEXTBEFORE(mvtst[[#This Row],[Num Suivis]],"-",,,1)</f>
        <v>OF249946</v>
      </c>
      <c r="J1976" s="36">
        <f>SUMIF(mvtst[QR Suivis],mvtst[[#This Row],[QR Suivis]],mvtst[QTE SORTIS])-SUMIF(mvtst[QR Suivis],mvtst[[#This Row],[QR Suivis]],mvtst[QTE RETOUR])</f>
        <v>0</v>
      </c>
      <c r="K1976" s="35" t="str">
        <f t="shared" si="34"/>
        <v>Usine</v>
      </c>
      <c r="L1976" s="35" t="str">
        <f>_xlfn.XLOOKUP(mvtst[[#This Row],[Sous Traitant]],coordonnee_st[Identification],coordonnee_st[SERVICE],"Non Trouvé")</f>
        <v>Frange</v>
      </c>
      <c r="M1976" s="35" t="str">
        <f>INDEX(_xlfn.TEXTSPLIT(mvtst[[#This Row],[QR Suivis]],"_"),1,2)</f>
        <v>CL00884</v>
      </c>
      <c r="N1976" s="35" t="str">
        <f>INDEX(_xlfn.TEXTSPLIT(mvtst[[#This Row],[QR Suivis]],"_"),1,3)</f>
        <v>CM-FT0120</v>
      </c>
      <c r="O1976" s="35" t="str">
        <f>INDEX(_xlfn.TEXTSPLIT(mvtst[[#This Row],[QR Suivis]],"_"),1,4)</f>
        <v>ST1020-S14-16-17</v>
      </c>
      <c r="P1976" s="35" t="str">
        <f>INDEX(_xlfn.TEXTSPLIT(mvtst[[#This Row],[QR Suivis]],"_"),1,5)</f>
        <v>ST TROPEZ</v>
      </c>
      <c r="Q1976" s="35" t="str">
        <f>_xlfn.TEXTAFTER(mvtst[[#This Row],[QR Suivis]],"_",5)</f>
        <v>1020</v>
      </c>
      <c r="R1976" s="84" t="str">
        <f>IF(
   COUNTIFS($A$2:A1976,A1976,
             $B$2:B1976,B1976,
             $C$2:C1976,C1976,
             $D$2:D1976,D1976,
             $G$2:G1976,G1976)&gt;1,
   "Doublon",
   "Correcte"
)</f>
        <v>Correcte</v>
      </c>
    </row>
    <row r="1977" spans="1:18" x14ac:dyDescent="0.25">
      <c r="A1977" s="104" t="s">
        <v>2123</v>
      </c>
      <c r="B1977" s="35" t="s">
        <v>712</v>
      </c>
      <c r="C1977" s="36">
        <v>0</v>
      </c>
      <c r="D1977" s="36">
        <v>5</v>
      </c>
      <c r="E1977" s="35" t="s">
        <v>699</v>
      </c>
      <c r="F1977" s="35" t="s">
        <v>634</v>
      </c>
      <c r="G1977" s="37">
        <v>45943.681898148148</v>
      </c>
      <c r="H1977" s="37" t="str">
        <f>INDEX(_xlfn.TEXTSPLIT(mvtst[[#This Row],[QR Suivis]],"_"),1,1)</f>
        <v>OF249848-25</v>
      </c>
      <c r="I1977" s="35" t="str">
        <f>_xlfn.TEXTBEFORE(mvtst[[#This Row],[Num Suivis]],"-",,,1)</f>
        <v>OF249848</v>
      </c>
      <c r="J1977" s="36">
        <f>SUMIF(mvtst[QR Suivis],mvtst[[#This Row],[QR Suivis]],mvtst[QTE SORTIS])-SUMIF(mvtst[QR Suivis],mvtst[[#This Row],[QR Suivis]],mvtst[QTE RETOUR])</f>
        <v>0</v>
      </c>
      <c r="K1977" s="35" t="str">
        <f t="shared" si="34"/>
        <v>Usine</v>
      </c>
      <c r="L1977" s="35" t="str">
        <f>_xlfn.XLOOKUP(mvtst[[#This Row],[Sous Traitant]],coordonnee_st[Identification],coordonnee_st[SERVICE],"Non Trouvé")</f>
        <v>Frange</v>
      </c>
      <c r="M1977" s="35" t="str">
        <f>INDEX(_xlfn.TEXTSPLIT(mvtst[[#This Row],[QR Suivis]],"_"),1,2)</f>
        <v>CL00884</v>
      </c>
      <c r="N1977" s="35" t="str">
        <f>INDEX(_xlfn.TEXTSPLIT(mvtst[[#This Row],[QR Suivis]],"_"),1,3)</f>
        <v>CM-FT0119</v>
      </c>
      <c r="O1977" s="35" t="str">
        <f>INDEX(_xlfn.TEXTSPLIT(mvtst[[#This Row],[QR Suivis]],"_"),1,4)</f>
        <v>ST1020-S14-16-17</v>
      </c>
      <c r="P1977" s="35" t="str">
        <f>INDEX(_xlfn.TEXTSPLIT(mvtst[[#This Row],[QR Suivis]],"_"),1,5)</f>
        <v>ST TROPEZ</v>
      </c>
      <c r="Q1977" s="35" t="str">
        <f>_xlfn.TEXTAFTER(mvtst[[#This Row],[QR Suivis]],"_",5)</f>
        <v>1020</v>
      </c>
      <c r="R1977" s="84" t="str">
        <f>IF(
   COUNTIFS($A$2:A1977,A1977,
             $B$2:B1977,B1977,
             $C$2:C1977,C1977,
             $D$2:D1977,D1977,
             $G$2:G1977,G1977)&gt;1,
   "Doublon",
   "Correcte"
)</f>
        <v>Correcte</v>
      </c>
    </row>
    <row r="1978" spans="1:18" x14ac:dyDescent="0.25">
      <c r="A1978" s="104" t="s">
        <v>2127</v>
      </c>
      <c r="B1978" s="35" t="s">
        <v>712</v>
      </c>
      <c r="C1978" s="36">
        <v>0</v>
      </c>
      <c r="D1978" s="36">
        <v>5</v>
      </c>
      <c r="E1978" s="35" t="s">
        <v>699</v>
      </c>
      <c r="F1978" s="35" t="s">
        <v>634</v>
      </c>
      <c r="G1978" s="37">
        <v>45943.682083333333</v>
      </c>
      <c r="H1978" s="37" t="str">
        <f>INDEX(_xlfn.TEXTSPLIT(mvtst[[#This Row],[QR Suivis]],"_"),1,1)</f>
        <v>OF249946-2</v>
      </c>
      <c r="I1978" s="35" t="str">
        <f>_xlfn.TEXTBEFORE(mvtst[[#This Row],[Num Suivis]],"-",,,1)</f>
        <v>OF249946</v>
      </c>
      <c r="J1978" s="36">
        <f>SUMIF(mvtst[QR Suivis],mvtst[[#This Row],[QR Suivis]],mvtst[QTE SORTIS])-SUMIF(mvtst[QR Suivis],mvtst[[#This Row],[QR Suivis]],mvtst[QTE RETOUR])</f>
        <v>0</v>
      </c>
      <c r="K1978" s="35" t="str">
        <f t="shared" si="34"/>
        <v>Usine</v>
      </c>
      <c r="L1978" s="35" t="str">
        <f>_xlfn.XLOOKUP(mvtst[[#This Row],[Sous Traitant]],coordonnee_st[Identification],coordonnee_st[SERVICE],"Non Trouvé")</f>
        <v>Frange</v>
      </c>
      <c r="M1978" s="35" t="str">
        <f>INDEX(_xlfn.TEXTSPLIT(mvtst[[#This Row],[QR Suivis]],"_"),1,2)</f>
        <v>CL00884</v>
      </c>
      <c r="N1978" s="35" t="str">
        <f>INDEX(_xlfn.TEXTSPLIT(mvtst[[#This Row],[QR Suivis]],"_"),1,3)</f>
        <v>CM-FT0120</v>
      </c>
      <c r="O1978" s="35" t="str">
        <f>INDEX(_xlfn.TEXTSPLIT(mvtst[[#This Row],[QR Suivis]],"_"),1,4)</f>
        <v>ST1020-S14-16-17</v>
      </c>
      <c r="P1978" s="35" t="str">
        <f>INDEX(_xlfn.TEXTSPLIT(mvtst[[#This Row],[QR Suivis]],"_"),1,5)</f>
        <v>ST TROPEZ</v>
      </c>
      <c r="Q1978" s="35" t="str">
        <f>_xlfn.TEXTAFTER(mvtst[[#This Row],[QR Suivis]],"_",5)</f>
        <v>1020</v>
      </c>
      <c r="R1978" s="84" t="str">
        <f>IF(
   COUNTIFS($A$2:A1978,A1978,
             $B$2:B1978,B1978,
             $C$2:C1978,C1978,
             $D$2:D1978,D1978,
             $G$2:G1978,G1978)&gt;1,
   "Doublon",
   "Correcte"
)</f>
        <v>Correcte</v>
      </c>
    </row>
    <row r="1979" spans="1:18" x14ac:dyDescent="0.25">
      <c r="A1979" s="104" t="s">
        <v>2047</v>
      </c>
      <c r="B1979" s="35" t="s">
        <v>712</v>
      </c>
      <c r="C1979" s="36">
        <v>0</v>
      </c>
      <c r="D1979" s="36">
        <v>5</v>
      </c>
      <c r="E1979" s="35" t="s">
        <v>699</v>
      </c>
      <c r="F1979" s="35" t="s">
        <v>634</v>
      </c>
      <c r="G1979" s="37">
        <v>45943.682233796295</v>
      </c>
      <c r="H1979" s="37" t="str">
        <f>INDEX(_xlfn.TEXTSPLIT(mvtst[[#This Row],[QR Suivis]],"_"),1,1)</f>
        <v>OF249848-6</v>
      </c>
      <c r="I1979" s="35" t="str">
        <f>_xlfn.TEXTBEFORE(mvtst[[#This Row],[Num Suivis]],"-",,,1)</f>
        <v>OF249848</v>
      </c>
      <c r="J1979" s="36">
        <f>SUMIF(mvtst[QR Suivis],mvtst[[#This Row],[QR Suivis]],mvtst[QTE SORTIS])-SUMIF(mvtst[QR Suivis],mvtst[[#This Row],[QR Suivis]],mvtst[QTE RETOUR])</f>
        <v>0</v>
      </c>
      <c r="K1979" s="35" t="str">
        <f t="shared" si="34"/>
        <v>Usine</v>
      </c>
      <c r="L1979" s="35" t="str">
        <f>_xlfn.XLOOKUP(mvtst[[#This Row],[Sous Traitant]],coordonnee_st[Identification],coordonnee_st[SERVICE],"Non Trouvé")</f>
        <v>Frange</v>
      </c>
      <c r="M1979" s="35" t="str">
        <f>INDEX(_xlfn.TEXTSPLIT(mvtst[[#This Row],[QR Suivis]],"_"),1,2)</f>
        <v>CL00884</v>
      </c>
      <c r="N1979" s="35" t="str">
        <f>INDEX(_xlfn.TEXTSPLIT(mvtst[[#This Row],[QR Suivis]],"_"),1,3)</f>
        <v>CM-FT0119</v>
      </c>
      <c r="O1979" s="35" t="str">
        <f>INDEX(_xlfn.TEXTSPLIT(mvtst[[#This Row],[QR Suivis]],"_"),1,4)</f>
        <v>ST1020-S14-16-17</v>
      </c>
      <c r="P1979" s="35" t="str">
        <f>INDEX(_xlfn.TEXTSPLIT(mvtst[[#This Row],[QR Suivis]],"_"),1,5)</f>
        <v>ST TROPEZ</v>
      </c>
      <c r="Q1979" s="35" t="str">
        <f>_xlfn.TEXTAFTER(mvtst[[#This Row],[QR Suivis]],"_",5)</f>
        <v>1020</v>
      </c>
      <c r="R1979" s="84" t="str">
        <f>IF(
   COUNTIFS($A$2:A1979,A1979,
             $B$2:B1979,B1979,
             $C$2:C1979,C1979,
             $D$2:D1979,D1979,
             $G$2:G1979,G1979)&gt;1,
   "Doublon",
   "Correcte"
)</f>
        <v>Correcte</v>
      </c>
    </row>
    <row r="1980" spans="1:18" x14ac:dyDescent="0.25">
      <c r="A1980" s="104" t="s">
        <v>2088</v>
      </c>
      <c r="B1980" s="35" t="s">
        <v>712</v>
      </c>
      <c r="C1980" s="36">
        <v>0</v>
      </c>
      <c r="D1980" s="36">
        <v>5</v>
      </c>
      <c r="E1980" s="35" t="s">
        <v>699</v>
      </c>
      <c r="F1980" s="35" t="s">
        <v>634</v>
      </c>
      <c r="G1980" s="37">
        <v>45943.682523148149</v>
      </c>
      <c r="H1980" s="37" t="str">
        <f>INDEX(_xlfn.TEXTSPLIT(mvtst[[#This Row],[QR Suivis]],"_"),1,1)</f>
        <v>OF249946-41</v>
      </c>
      <c r="I1980" s="35" t="str">
        <f>_xlfn.TEXTBEFORE(mvtst[[#This Row],[Num Suivis]],"-",,,1)</f>
        <v>OF249946</v>
      </c>
      <c r="J1980" s="36">
        <f>SUMIF(mvtst[QR Suivis],mvtst[[#This Row],[QR Suivis]],mvtst[QTE SORTIS])-SUMIF(mvtst[QR Suivis],mvtst[[#This Row],[QR Suivis]],mvtst[QTE RETOUR])</f>
        <v>0</v>
      </c>
      <c r="K1980" s="35" t="str">
        <f t="shared" si="34"/>
        <v>Usine</v>
      </c>
      <c r="L1980" s="35" t="str">
        <f>_xlfn.XLOOKUP(mvtst[[#This Row],[Sous Traitant]],coordonnee_st[Identification],coordonnee_st[SERVICE],"Non Trouvé")</f>
        <v>Frange</v>
      </c>
      <c r="M1980" s="35" t="str">
        <f>INDEX(_xlfn.TEXTSPLIT(mvtst[[#This Row],[QR Suivis]],"_"),1,2)</f>
        <v>CL00884</v>
      </c>
      <c r="N1980" s="35" t="str">
        <f>INDEX(_xlfn.TEXTSPLIT(mvtst[[#This Row],[QR Suivis]],"_"),1,3)</f>
        <v>CM-FT0120</v>
      </c>
      <c r="O1980" s="35" t="str">
        <f>INDEX(_xlfn.TEXTSPLIT(mvtst[[#This Row],[QR Suivis]],"_"),1,4)</f>
        <v>ST1020-S14-16-17</v>
      </c>
      <c r="P1980" s="35" t="str">
        <f>INDEX(_xlfn.TEXTSPLIT(mvtst[[#This Row],[QR Suivis]],"_"),1,5)</f>
        <v>ST TROPEZ</v>
      </c>
      <c r="Q1980" s="35" t="str">
        <f>_xlfn.TEXTAFTER(mvtst[[#This Row],[QR Suivis]],"_",5)</f>
        <v>1020</v>
      </c>
      <c r="R1980" s="84" t="str">
        <f>IF(
   COUNTIFS($A$2:A1980,A1980,
             $B$2:B1980,B1980,
             $C$2:C1980,C1980,
             $D$2:D1980,D1980,
             $G$2:G1980,G1980)&gt;1,
   "Doublon",
   "Correcte"
)</f>
        <v>Correcte</v>
      </c>
    </row>
    <row r="1981" spans="1:18" x14ac:dyDescent="0.25">
      <c r="A1981" s="104" t="s">
        <v>2075</v>
      </c>
      <c r="B1981" s="35" t="s">
        <v>712</v>
      </c>
      <c r="C1981" s="36">
        <v>0</v>
      </c>
      <c r="D1981" s="36">
        <v>5</v>
      </c>
      <c r="E1981" s="35" t="s">
        <v>699</v>
      </c>
      <c r="F1981" s="35" t="s">
        <v>634</v>
      </c>
      <c r="G1981" s="37">
        <v>45943.682951388888</v>
      </c>
      <c r="H1981" s="37" t="str">
        <f>INDEX(_xlfn.TEXTSPLIT(mvtst[[#This Row],[QR Suivis]],"_"),1,1)</f>
        <v>OF249946-57</v>
      </c>
      <c r="I1981" s="35" t="str">
        <f>_xlfn.TEXTBEFORE(mvtst[[#This Row],[Num Suivis]],"-",,,1)</f>
        <v>OF249946</v>
      </c>
      <c r="J1981" s="36">
        <f>SUMIF(mvtst[QR Suivis],mvtst[[#This Row],[QR Suivis]],mvtst[QTE SORTIS])-SUMIF(mvtst[QR Suivis],mvtst[[#This Row],[QR Suivis]],mvtst[QTE RETOUR])</f>
        <v>0</v>
      </c>
      <c r="K1981" s="35" t="str">
        <f t="shared" si="34"/>
        <v>Usine</v>
      </c>
      <c r="L1981" s="35" t="str">
        <f>_xlfn.XLOOKUP(mvtst[[#This Row],[Sous Traitant]],coordonnee_st[Identification],coordonnee_st[SERVICE],"Non Trouvé")</f>
        <v>Frange</v>
      </c>
      <c r="M1981" s="35" t="str">
        <f>INDEX(_xlfn.TEXTSPLIT(mvtst[[#This Row],[QR Suivis]],"_"),1,2)</f>
        <v>CL00884</v>
      </c>
      <c r="N1981" s="35" t="str">
        <f>INDEX(_xlfn.TEXTSPLIT(mvtst[[#This Row],[QR Suivis]],"_"),1,3)</f>
        <v>CM-FT0120</v>
      </c>
      <c r="O1981" s="35" t="str">
        <f>INDEX(_xlfn.TEXTSPLIT(mvtst[[#This Row],[QR Suivis]],"_"),1,4)</f>
        <v>ST1020-S14-16-17</v>
      </c>
      <c r="P1981" s="35" t="str">
        <f>INDEX(_xlfn.TEXTSPLIT(mvtst[[#This Row],[QR Suivis]],"_"),1,5)</f>
        <v>ST TROPEZ</v>
      </c>
      <c r="Q1981" s="35" t="str">
        <f>_xlfn.TEXTAFTER(mvtst[[#This Row],[QR Suivis]],"_",5)</f>
        <v>1020</v>
      </c>
      <c r="R1981" s="84" t="str">
        <f>IF(
   COUNTIFS($A$2:A1981,A1981,
             $B$2:B1981,B1981,
             $C$2:C1981,C1981,
             $D$2:D1981,D1981,
             $G$2:G1981,G1981)&gt;1,
   "Doublon",
   "Correcte"
)</f>
        <v>Correcte</v>
      </c>
    </row>
    <row r="1982" spans="1:18" x14ac:dyDescent="0.25">
      <c r="A1982" s="104" t="s">
        <v>2096</v>
      </c>
      <c r="B1982" s="35" t="s">
        <v>712</v>
      </c>
      <c r="C1982" s="36">
        <v>0</v>
      </c>
      <c r="D1982" s="36">
        <v>5</v>
      </c>
      <c r="E1982" s="35" t="s">
        <v>699</v>
      </c>
      <c r="F1982" s="35" t="s">
        <v>634</v>
      </c>
      <c r="G1982" s="37">
        <v>45943.683368055557</v>
      </c>
      <c r="H1982" s="37" t="str">
        <f>INDEX(_xlfn.TEXTSPLIT(mvtst[[#This Row],[QR Suivis]],"_"),1,1)</f>
        <v>OF249946-33</v>
      </c>
      <c r="I1982" s="35" t="str">
        <f>_xlfn.TEXTBEFORE(mvtst[[#This Row],[Num Suivis]],"-",,,1)</f>
        <v>OF249946</v>
      </c>
      <c r="J1982" s="36">
        <f>SUMIF(mvtst[QR Suivis],mvtst[[#This Row],[QR Suivis]],mvtst[QTE SORTIS])-SUMIF(mvtst[QR Suivis],mvtst[[#This Row],[QR Suivis]],mvtst[QTE RETOUR])</f>
        <v>0</v>
      </c>
      <c r="K1982" s="35" t="str">
        <f t="shared" si="34"/>
        <v>Usine</v>
      </c>
      <c r="L1982" s="35" t="str">
        <f>_xlfn.XLOOKUP(mvtst[[#This Row],[Sous Traitant]],coordonnee_st[Identification],coordonnee_st[SERVICE],"Non Trouvé")</f>
        <v>Frange</v>
      </c>
      <c r="M1982" s="35" t="str">
        <f>INDEX(_xlfn.TEXTSPLIT(mvtst[[#This Row],[QR Suivis]],"_"),1,2)</f>
        <v>CL00884</v>
      </c>
      <c r="N1982" s="35" t="str">
        <f>INDEX(_xlfn.TEXTSPLIT(mvtst[[#This Row],[QR Suivis]],"_"),1,3)</f>
        <v>CM-FT0120</v>
      </c>
      <c r="O1982" s="35" t="str">
        <f>INDEX(_xlfn.TEXTSPLIT(mvtst[[#This Row],[QR Suivis]],"_"),1,4)</f>
        <v>ST1020-S14-16-17</v>
      </c>
      <c r="P1982" s="35" t="str">
        <f>INDEX(_xlfn.TEXTSPLIT(mvtst[[#This Row],[QR Suivis]],"_"),1,5)</f>
        <v>ST TROPEZ</v>
      </c>
      <c r="Q1982" s="35" t="str">
        <f>_xlfn.TEXTAFTER(mvtst[[#This Row],[QR Suivis]],"_",5)</f>
        <v>1020</v>
      </c>
      <c r="R1982" s="84" t="str">
        <f>IF(
   COUNTIFS($A$2:A1982,A1982,
             $B$2:B1982,B1982,
             $C$2:C1982,C1982,
             $D$2:D1982,D1982,
             $G$2:G1982,G1982)&gt;1,
   "Doublon",
   "Correcte"
)</f>
        <v>Correcte</v>
      </c>
    </row>
    <row r="1983" spans="1:18" x14ac:dyDescent="0.25">
      <c r="A1983" s="104" t="s">
        <v>2089</v>
      </c>
      <c r="B1983" s="35" t="s">
        <v>712</v>
      </c>
      <c r="C1983" s="36">
        <v>0</v>
      </c>
      <c r="D1983" s="36">
        <v>5</v>
      </c>
      <c r="E1983" s="35" t="s">
        <v>699</v>
      </c>
      <c r="F1983" s="35" t="s">
        <v>634</v>
      </c>
      <c r="G1983" s="37">
        <v>45943.683530092596</v>
      </c>
      <c r="H1983" s="37" t="str">
        <f>INDEX(_xlfn.TEXTSPLIT(mvtst[[#This Row],[QR Suivis]],"_"),1,1)</f>
        <v>OF249946-46</v>
      </c>
      <c r="I1983" s="35" t="str">
        <f>_xlfn.TEXTBEFORE(mvtst[[#This Row],[Num Suivis]],"-",,,1)</f>
        <v>OF249946</v>
      </c>
      <c r="J1983" s="36">
        <f>SUMIF(mvtst[QR Suivis],mvtst[[#This Row],[QR Suivis]],mvtst[QTE SORTIS])-SUMIF(mvtst[QR Suivis],mvtst[[#This Row],[QR Suivis]],mvtst[QTE RETOUR])</f>
        <v>0</v>
      </c>
      <c r="K1983" s="35" t="str">
        <f t="shared" si="34"/>
        <v>Usine</v>
      </c>
      <c r="L1983" s="35" t="str">
        <f>_xlfn.XLOOKUP(mvtst[[#This Row],[Sous Traitant]],coordonnee_st[Identification],coordonnee_st[SERVICE],"Non Trouvé")</f>
        <v>Frange</v>
      </c>
      <c r="M1983" s="35" t="str">
        <f>INDEX(_xlfn.TEXTSPLIT(mvtst[[#This Row],[QR Suivis]],"_"),1,2)</f>
        <v>CL00884</v>
      </c>
      <c r="N1983" s="35" t="str">
        <f>INDEX(_xlfn.TEXTSPLIT(mvtst[[#This Row],[QR Suivis]],"_"),1,3)</f>
        <v>CM-FT0120</v>
      </c>
      <c r="O1983" s="35" t="str">
        <f>INDEX(_xlfn.TEXTSPLIT(mvtst[[#This Row],[QR Suivis]],"_"),1,4)</f>
        <v>ST1020-S14-16-17</v>
      </c>
      <c r="P1983" s="35" t="str">
        <f>INDEX(_xlfn.TEXTSPLIT(mvtst[[#This Row],[QR Suivis]],"_"),1,5)</f>
        <v>ST TROPEZ</v>
      </c>
      <c r="Q1983" s="35" t="str">
        <f>_xlfn.TEXTAFTER(mvtst[[#This Row],[QR Suivis]],"_",5)</f>
        <v>1020</v>
      </c>
      <c r="R1983" s="84" t="str">
        <f>IF(
   COUNTIFS($A$2:A1983,A1983,
             $B$2:B1983,B1983,
             $C$2:C1983,C1983,
             $D$2:D1983,D1983,
             $G$2:G1983,G1983)&gt;1,
   "Doublon",
   "Correcte"
)</f>
        <v>Correcte</v>
      </c>
    </row>
    <row r="1984" spans="1:18" x14ac:dyDescent="0.25">
      <c r="A1984" s="104" t="s">
        <v>2133</v>
      </c>
      <c r="B1984" s="35" t="s">
        <v>712</v>
      </c>
      <c r="C1984" s="36">
        <v>0</v>
      </c>
      <c r="D1984" s="36">
        <v>5</v>
      </c>
      <c r="E1984" s="35" t="s">
        <v>699</v>
      </c>
      <c r="F1984" s="35" t="s">
        <v>634</v>
      </c>
      <c r="G1984" s="37">
        <v>45943.684386574074</v>
      </c>
      <c r="H1984" s="37" t="str">
        <f>INDEX(_xlfn.TEXTSPLIT(mvtst[[#This Row],[QR Suivis]],"_"),1,1)</f>
        <v>OF249946-9</v>
      </c>
      <c r="I1984" s="35" t="str">
        <f>_xlfn.TEXTBEFORE(mvtst[[#This Row],[Num Suivis]],"-",,,1)</f>
        <v>OF249946</v>
      </c>
      <c r="J1984" s="36">
        <f>SUMIF(mvtst[QR Suivis],mvtst[[#This Row],[QR Suivis]],mvtst[QTE SORTIS])-SUMIF(mvtst[QR Suivis],mvtst[[#This Row],[QR Suivis]],mvtst[QTE RETOUR])</f>
        <v>0</v>
      </c>
      <c r="K1984" s="35" t="str">
        <f t="shared" si="34"/>
        <v>Usine</v>
      </c>
      <c r="L1984" s="35" t="str">
        <f>_xlfn.XLOOKUP(mvtst[[#This Row],[Sous Traitant]],coordonnee_st[Identification],coordonnee_st[SERVICE],"Non Trouvé")</f>
        <v>Frange</v>
      </c>
      <c r="M1984" s="35" t="str">
        <f>INDEX(_xlfn.TEXTSPLIT(mvtst[[#This Row],[QR Suivis]],"_"),1,2)</f>
        <v>CL00884</v>
      </c>
      <c r="N1984" s="35" t="str">
        <f>INDEX(_xlfn.TEXTSPLIT(mvtst[[#This Row],[QR Suivis]],"_"),1,3)</f>
        <v>CM-FT0120</v>
      </c>
      <c r="O1984" s="35" t="str">
        <f>INDEX(_xlfn.TEXTSPLIT(mvtst[[#This Row],[QR Suivis]],"_"),1,4)</f>
        <v>ST1020-S14-16-17</v>
      </c>
      <c r="P1984" s="35" t="str">
        <f>INDEX(_xlfn.TEXTSPLIT(mvtst[[#This Row],[QR Suivis]],"_"),1,5)</f>
        <v>ST TROPEZ</v>
      </c>
      <c r="Q1984" s="35" t="str">
        <f>_xlfn.TEXTAFTER(mvtst[[#This Row],[QR Suivis]],"_",5)</f>
        <v>1020</v>
      </c>
      <c r="R1984" s="84" t="str">
        <f>IF(
   COUNTIFS($A$2:A1984,A1984,
             $B$2:B1984,B1984,
             $C$2:C1984,C1984,
             $D$2:D1984,D1984,
             $G$2:G1984,G1984)&gt;1,
   "Doublon",
   "Correcte"
)</f>
        <v>Correcte</v>
      </c>
    </row>
    <row r="1985" spans="1:18" x14ac:dyDescent="0.25">
      <c r="A1985" s="104" t="s">
        <v>2046</v>
      </c>
      <c r="B1985" s="35" t="s">
        <v>712</v>
      </c>
      <c r="C1985" s="36">
        <v>0</v>
      </c>
      <c r="D1985" s="36">
        <v>5</v>
      </c>
      <c r="E1985" s="35" t="s">
        <v>699</v>
      </c>
      <c r="F1985" s="35" t="s">
        <v>634</v>
      </c>
      <c r="G1985" s="37">
        <v>45943.684560185182</v>
      </c>
      <c r="H1985" s="37" t="str">
        <f>INDEX(_xlfn.TEXTSPLIT(mvtst[[#This Row],[QR Suivis]],"_"),1,1)</f>
        <v>OF249848-7</v>
      </c>
      <c r="I1985" s="35" t="str">
        <f>_xlfn.TEXTBEFORE(mvtst[[#This Row],[Num Suivis]],"-",,,1)</f>
        <v>OF249848</v>
      </c>
      <c r="J1985" s="36">
        <f>SUMIF(mvtst[QR Suivis],mvtst[[#This Row],[QR Suivis]],mvtst[QTE SORTIS])-SUMIF(mvtst[QR Suivis],mvtst[[#This Row],[QR Suivis]],mvtst[QTE RETOUR])</f>
        <v>0</v>
      </c>
      <c r="K1985" s="35" t="str">
        <f t="shared" si="34"/>
        <v>Usine</v>
      </c>
      <c r="L1985" s="35" t="str">
        <f>_xlfn.XLOOKUP(mvtst[[#This Row],[Sous Traitant]],coordonnee_st[Identification],coordonnee_st[SERVICE],"Non Trouvé")</f>
        <v>Frange</v>
      </c>
      <c r="M1985" s="35" t="str">
        <f>INDEX(_xlfn.TEXTSPLIT(mvtst[[#This Row],[QR Suivis]],"_"),1,2)</f>
        <v>CL00884</v>
      </c>
      <c r="N1985" s="35" t="str">
        <f>INDEX(_xlfn.TEXTSPLIT(mvtst[[#This Row],[QR Suivis]],"_"),1,3)</f>
        <v>CM-FT0119</v>
      </c>
      <c r="O1985" s="35" t="str">
        <f>INDEX(_xlfn.TEXTSPLIT(mvtst[[#This Row],[QR Suivis]],"_"),1,4)</f>
        <v>ST1020-S14-16-17</v>
      </c>
      <c r="P1985" s="35" t="str">
        <f>INDEX(_xlfn.TEXTSPLIT(mvtst[[#This Row],[QR Suivis]],"_"),1,5)</f>
        <v>ST TROPEZ</v>
      </c>
      <c r="Q1985" s="35" t="str">
        <f>_xlfn.TEXTAFTER(mvtst[[#This Row],[QR Suivis]],"_",5)</f>
        <v>1020</v>
      </c>
      <c r="R1985" s="84" t="str">
        <f>IF(
   COUNTIFS($A$2:A1985,A1985,
             $B$2:B1985,B1985,
             $C$2:C1985,C1985,
             $D$2:D1985,D1985,
             $G$2:G1985,G1985)&gt;1,
   "Doublon",
   "Correcte"
)</f>
        <v>Correcte</v>
      </c>
    </row>
    <row r="1986" spans="1:18" x14ac:dyDescent="0.25">
      <c r="A1986" s="104" t="s">
        <v>2249</v>
      </c>
      <c r="B1986" s="35" t="s">
        <v>712</v>
      </c>
      <c r="C1986" s="36">
        <v>0</v>
      </c>
      <c r="D1986" s="36">
        <v>5</v>
      </c>
      <c r="E1986" s="35" t="s">
        <v>699</v>
      </c>
      <c r="F1986" s="35" t="s">
        <v>634</v>
      </c>
      <c r="G1986" s="37">
        <v>45943.686284722222</v>
      </c>
      <c r="H1986" s="37" t="str">
        <f>INDEX(_xlfn.TEXTSPLIT(mvtst[[#This Row],[QR Suivis]],"_"),1,1)</f>
        <v>OF249816-37</v>
      </c>
      <c r="I1986" s="35" t="str">
        <f>_xlfn.TEXTBEFORE(mvtst[[#This Row],[Num Suivis]],"-",,,1)</f>
        <v>OF249816</v>
      </c>
      <c r="J1986" s="36">
        <f>SUMIF(mvtst[QR Suivis],mvtst[[#This Row],[QR Suivis]],mvtst[QTE SORTIS])-SUMIF(mvtst[QR Suivis],mvtst[[#This Row],[QR Suivis]],mvtst[QTE RETOUR])</f>
        <v>0</v>
      </c>
      <c r="K1986" s="35" t="str">
        <f t="shared" si="34"/>
        <v>Usine</v>
      </c>
      <c r="L1986" s="35" t="str">
        <f>_xlfn.XLOOKUP(mvtst[[#This Row],[Sous Traitant]],coordonnee_st[Identification],coordonnee_st[SERVICE],"Non Trouvé")</f>
        <v>Frange</v>
      </c>
      <c r="M1986" s="35" t="str">
        <f>INDEX(_xlfn.TEXTSPLIT(mvtst[[#This Row],[QR Suivis]],"_"),1,2)</f>
        <v>CL00884</v>
      </c>
      <c r="N1986" s="35" t="str">
        <f>INDEX(_xlfn.TEXTSPLIT(mvtst[[#This Row],[QR Suivis]],"_"),1,3)</f>
        <v>CM-FT0119</v>
      </c>
      <c r="O1986" s="35" t="str">
        <f>INDEX(_xlfn.TEXTSPLIT(mvtst[[#This Row],[QR Suivis]],"_"),1,4)</f>
        <v>SO1020-Q29-11-14</v>
      </c>
      <c r="P1986" s="35" t="str">
        <f>INDEX(_xlfn.TEXTSPLIT(mvtst[[#This Row],[QR Suivis]],"_"),1,5)</f>
        <v>SOUSSE</v>
      </c>
      <c r="Q1986" s="35" t="str">
        <f>_xlfn.TEXTAFTER(mvtst[[#This Row],[QR Suivis]],"_",5)</f>
        <v>1020</v>
      </c>
      <c r="R1986" s="84" t="str">
        <f>IF(
   COUNTIFS($A$2:A1986,A1986,
             $B$2:B1986,B1986,
             $C$2:C1986,C1986,
             $D$2:D1986,D1986,
             $G$2:G1986,G1986)&gt;1,
   "Doublon",
   "Correcte"
)</f>
        <v>Correcte</v>
      </c>
    </row>
    <row r="1987" spans="1:18" x14ac:dyDescent="0.25">
      <c r="A1987" s="104" t="s">
        <v>2253</v>
      </c>
      <c r="B1987" s="35" t="s">
        <v>712</v>
      </c>
      <c r="C1987" s="36">
        <v>0</v>
      </c>
      <c r="D1987" s="36">
        <v>5</v>
      </c>
      <c r="E1987" s="35" t="s">
        <v>699</v>
      </c>
      <c r="F1987" s="35" t="s">
        <v>634</v>
      </c>
      <c r="G1987" s="37">
        <v>45943.686435185184</v>
      </c>
      <c r="H1987" s="37" t="str">
        <f>INDEX(_xlfn.TEXTSPLIT(mvtst[[#This Row],[QR Suivis]],"_"),1,1)</f>
        <v>OF249816-35</v>
      </c>
      <c r="I1987" s="35" t="str">
        <f>_xlfn.TEXTBEFORE(mvtst[[#This Row],[Num Suivis]],"-",,,1)</f>
        <v>OF249816</v>
      </c>
      <c r="J1987" s="36">
        <f>SUMIF(mvtst[QR Suivis],mvtst[[#This Row],[QR Suivis]],mvtst[QTE SORTIS])-SUMIF(mvtst[QR Suivis],mvtst[[#This Row],[QR Suivis]],mvtst[QTE RETOUR])</f>
        <v>0</v>
      </c>
      <c r="K1987" s="35" t="str">
        <f t="shared" si="34"/>
        <v>Usine</v>
      </c>
      <c r="L1987" s="35" t="str">
        <f>_xlfn.XLOOKUP(mvtst[[#This Row],[Sous Traitant]],coordonnee_st[Identification],coordonnee_st[SERVICE],"Non Trouvé")</f>
        <v>Frange</v>
      </c>
      <c r="M1987" s="35" t="str">
        <f>INDEX(_xlfn.TEXTSPLIT(mvtst[[#This Row],[QR Suivis]],"_"),1,2)</f>
        <v>CL00884</v>
      </c>
      <c r="N1987" s="35" t="str">
        <f>INDEX(_xlfn.TEXTSPLIT(mvtst[[#This Row],[QR Suivis]],"_"),1,3)</f>
        <v>CM-FT0119</v>
      </c>
      <c r="O1987" s="35" t="str">
        <f>INDEX(_xlfn.TEXTSPLIT(mvtst[[#This Row],[QR Suivis]],"_"),1,4)</f>
        <v>SO1020-Q29-11-14</v>
      </c>
      <c r="P1987" s="35" t="str">
        <f>INDEX(_xlfn.TEXTSPLIT(mvtst[[#This Row],[QR Suivis]],"_"),1,5)</f>
        <v>SOUSSE</v>
      </c>
      <c r="Q1987" s="35" t="str">
        <f>_xlfn.TEXTAFTER(mvtst[[#This Row],[QR Suivis]],"_",5)</f>
        <v>1020</v>
      </c>
      <c r="R1987" s="84" t="str">
        <f>IF(
   COUNTIFS($A$2:A1987,A1987,
             $B$2:B1987,B1987,
             $C$2:C1987,C1987,
             $D$2:D1987,D1987,
             $G$2:G1987,G1987)&gt;1,
   "Doublon",
   "Correcte"
)</f>
        <v>Correcte</v>
      </c>
    </row>
    <row r="1988" spans="1:18" x14ac:dyDescent="0.25">
      <c r="A1988" s="104" t="s">
        <v>2276</v>
      </c>
      <c r="B1988" s="35" t="s">
        <v>712</v>
      </c>
      <c r="C1988" s="36">
        <v>0</v>
      </c>
      <c r="D1988" s="36">
        <v>5</v>
      </c>
      <c r="E1988" s="35" t="s">
        <v>699</v>
      </c>
      <c r="F1988" s="35" t="s">
        <v>634</v>
      </c>
      <c r="G1988" s="37">
        <v>45943.686608796299</v>
      </c>
      <c r="H1988" s="37" t="str">
        <f>INDEX(_xlfn.TEXTSPLIT(mvtst[[#This Row],[QR Suivis]],"_"),1,1)</f>
        <v>OF249816-2</v>
      </c>
      <c r="I1988" s="35" t="str">
        <f>_xlfn.TEXTBEFORE(mvtst[[#This Row],[Num Suivis]],"-",,,1)</f>
        <v>OF249816</v>
      </c>
      <c r="J1988" s="36">
        <f>SUMIF(mvtst[QR Suivis],mvtst[[#This Row],[QR Suivis]],mvtst[QTE SORTIS])-SUMIF(mvtst[QR Suivis],mvtst[[#This Row],[QR Suivis]],mvtst[QTE RETOUR])</f>
        <v>0</v>
      </c>
      <c r="K1988" s="35" t="str">
        <f t="shared" si="34"/>
        <v>Usine</v>
      </c>
      <c r="L1988" s="35" t="str">
        <f>_xlfn.XLOOKUP(mvtst[[#This Row],[Sous Traitant]],coordonnee_st[Identification],coordonnee_st[SERVICE],"Non Trouvé")</f>
        <v>Frange</v>
      </c>
      <c r="M1988" s="35" t="str">
        <f>INDEX(_xlfn.TEXTSPLIT(mvtst[[#This Row],[QR Suivis]],"_"),1,2)</f>
        <v>CL00884</v>
      </c>
      <c r="N1988" s="35" t="str">
        <f>INDEX(_xlfn.TEXTSPLIT(mvtst[[#This Row],[QR Suivis]],"_"),1,3)</f>
        <v>CM-FT0119</v>
      </c>
      <c r="O1988" s="35" t="str">
        <f>INDEX(_xlfn.TEXTSPLIT(mvtst[[#This Row],[QR Suivis]],"_"),1,4)</f>
        <v>SO1020-Q29-11-14</v>
      </c>
      <c r="P1988" s="35" t="str">
        <f>INDEX(_xlfn.TEXTSPLIT(mvtst[[#This Row],[QR Suivis]],"_"),1,5)</f>
        <v>SOUSSE</v>
      </c>
      <c r="Q1988" s="35" t="str">
        <f>_xlfn.TEXTAFTER(mvtst[[#This Row],[QR Suivis]],"_",5)</f>
        <v>1020</v>
      </c>
      <c r="R1988" s="84" t="str">
        <f>IF(
   COUNTIFS($A$2:A1988,A1988,
             $B$2:B1988,B1988,
             $C$2:C1988,C1988,
             $D$2:D1988,D1988,
             $G$2:G1988,G1988)&gt;1,
   "Doublon",
   "Correcte"
)</f>
        <v>Correcte</v>
      </c>
    </row>
    <row r="1989" spans="1:18" x14ac:dyDescent="0.25">
      <c r="A1989" s="104" t="s">
        <v>2257</v>
      </c>
      <c r="B1989" s="35" t="s">
        <v>712</v>
      </c>
      <c r="C1989" s="36">
        <v>0</v>
      </c>
      <c r="D1989" s="36">
        <v>5</v>
      </c>
      <c r="E1989" s="35" t="s">
        <v>699</v>
      </c>
      <c r="F1989" s="35" t="s">
        <v>634</v>
      </c>
      <c r="G1989" s="37">
        <v>45943.686736111114</v>
      </c>
      <c r="H1989" s="37" t="str">
        <f>INDEX(_xlfn.TEXTSPLIT(mvtst[[#This Row],[QR Suivis]],"_"),1,1)</f>
        <v>OF249816-15</v>
      </c>
      <c r="I1989" s="35" t="str">
        <f>_xlfn.TEXTBEFORE(mvtst[[#This Row],[Num Suivis]],"-",,,1)</f>
        <v>OF249816</v>
      </c>
      <c r="J1989" s="36">
        <f>SUMIF(mvtst[QR Suivis],mvtst[[#This Row],[QR Suivis]],mvtst[QTE SORTIS])-SUMIF(mvtst[QR Suivis],mvtst[[#This Row],[QR Suivis]],mvtst[QTE RETOUR])</f>
        <v>0</v>
      </c>
      <c r="K1989" s="35" t="str">
        <f t="shared" si="34"/>
        <v>Usine</v>
      </c>
      <c r="L1989" s="35" t="str">
        <f>_xlfn.XLOOKUP(mvtst[[#This Row],[Sous Traitant]],coordonnee_st[Identification],coordonnee_st[SERVICE],"Non Trouvé")</f>
        <v>Frange</v>
      </c>
      <c r="M1989" s="35" t="str">
        <f>INDEX(_xlfn.TEXTSPLIT(mvtst[[#This Row],[QR Suivis]],"_"),1,2)</f>
        <v>CL00884</v>
      </c>
      <c r="N1989" s="35" t="str">
        <f>INDEX(_xlfn.TEXTSPLIT(mvtst[[#This Row],[QR Suivis]],"_"),1,3)</f>
        <v>CM-FT0119</v>
      </c>
      <c r="O1989" s="35" t="str">
        <f>INDEX(_xlfn.TEXTSPLIT(mvtst[[#This Row],[QR Suivis]],"_"),1,4)</f>
        <v>SO1020-Q29-11-14</v>
      </c>
      <c r="P1989" s="35" t="str">
        <f>INDEX(_xlfn.TEXTSPLIT(mvtst[[#This Row],[QR Suivis]],"_"),1,5)</f>
        <v>SOUSSE</v>
      </c>
      <c r="Q1989" s="35" t="str">
        <f>_xlfn.TEXTAFTER(mvtst[[#This Row],[QR Suivis]],"_",5)</f>
        <v>1020</v>
      </c>
      <c r="R1989" s="84" t="str">
        <f>IF(
   COUNTIFS($A$2:A1989,A1989,
             $B$2:B1989,B1989,
             $C$2:C1989,C1989,
             $D$2:D1989,D1989,
             $G$2:G1989,G1989)&gt;1,
   "Doublon",
   "Correcte"
)</f>
        <v>Correcte</v>
      </c>
    </row>
    <row r="1990" spans="1:18" x14ac:dyDescent="0.25">
      <c r="A1990" s="104" t="s">
        <v>2244</v>
      </c>
      <c r="B1990" s="35" t="s">
        <v>712</v>
      </c>
      <c r="C1990" s="36">
        <v>0</v>
      </c>
      <c r="D1990" s="36">
        <v>5</v>
      </c>
      <c r="E1990" s="35" t="s">
        <v>699</v>
      </c>
      <c r="F1990" s="35" t="s">
        <v>634</v>
      </c>
      <c r="G1990" s="37">
        <v>45943.686898148146</v>
      </c>
      <c r="H1990" s="37" t="str">
        <f>INDEX(_xlfn.TEXTSPLIT(mvtst[[#This Row],[QR Suivis]],"_"),1,1)</f>
        <v>OF249816-24</v>
      </c>
      <c r="I1990" s="35" t="str">
        <f>_xlfn.TEXTBEFORE(mvtst[[#This Row],[Num Suivis]],"-",,,1)</f>
        <v>OF249816</v>
      </c>
      <c r="J1990" s="36">
        <f>SUMIF(mvtst[QR Suivis],mvtst[[#This Row],[QR Suivis]],mvtst[QTE SORTIS])-SUMIF(mvtst[QR Suivis],mvtst[[#This Row],[QR Suivis]],mvtst[QTE RETOUR])</f>
        <v>0</v>
      </c>
      <c r="K1990" s="35" t="str">
        <f t="shared" si="34"/>
        <v>Usine</v>
      </c>
      <c r="L1990" s="35" t="str">
        <f>_xlfn.XLOOKUP(mvtst[[#This Row],[Sous Traitant]],coordonnee_st[Identification],coordonnee_st[SERVICE],"Non Trouvé")</f>
        <v>Frange</v>
      </c>
      <c r="M1990" s="35" t="str">
        <f>INDEX(_xlfn.TEXTSPLIT(mvtst[[#This Row],[QR Suivis]],"_"),1,2)</f>
        <v>CL00884</v>
      </c>
      <c r="N1990" s="35" t="str">
        <f>INDEX(_xlfn.TEXTSPLIT(mvtst[[#This Row],[QR Suivis]],"_"),1,3)</f>
        <v>CM-FT0119</v>
      </c>
      <c r="O1990" s="35" t="str">
        <f>INDEX(_xlfn.TEXTSPLIT(mvtst[[#This Row],[QR Suivis]],"_"),1,4)</f>
        <v>SO1020-Q29-11-14</v>
      </c>
      <c r="P1990" s="35" t="str">
        <f>INDEX(_xlfn.TEXTSPLIT(mvtst[[#This Row],[QR Suivis]],"_"),1,5)</f>
        <v>SOUSSE</v>
      </c>
      <c r="Q1990" s="35" t="str">
        <f>_xlfn.TEXTAFTER(mvtst[[#This Row],[QR Suivis]],"_",5)</f>
        <v>1020</v>
      </c>
      <c r="R1990" s="84" t="str">
        <f>IF(
   COUNTIFS($A$2:A1990,A1990,
             $B$2:B1990,B1990,
             $C$2:C1990,C1990,
             $D$2:D1990,D1990,
             $G$2:G1990,G1990)&gt;1,
   "Doublon",
   "Correcte"
)</f>
        <v>Correcte</v>
      </c>
    </row>
    <row r="1991" spans="1:18" x14ac:dyDescent="0.25">
      <c r="A1991" s="104" t="s">
        <v>2273</v>
      </c>
      <c r="B1991" s="35" t="s">
        <v>712</v>
      </c>
      <c r="C1991" s="36">
        <v>0</v>
      </c>
      <c r="D1991" s="36">
        <v>5</v>
      </c>
      <c r="E1991" s="35" t="s">
        <v>699</v>
      </c>
      <c r="F1991" s="35" t="s">
        <v>634</v>
      </c>
      <c r="G1991" s="37">
        <v>45943.687094907407</v>
      </c>
      <c r="H1991" s="37" t="str">
        <f>INDEX(_xlfn.TEXTSPLIT(mvtst[[#This Row],[QR Suivis]],"_"),1,1)</f>
        <v>OF249816-5</v>
      </c>
      <c r="I1991" s="35" t="str">
        <f>_xlfn.TEXTBEFORE(mvtst[[#This Row],[Num Suivis]],"-",,,1)</f>
        <v>OF249816</v>
      </c>
      <c r="J1991" s="36">
        <f>SUMIF(mvtst[QR Suivis],mvtst[[#This Row],[QR Suivis]],mvtst[QTE SORTIS])-SUMIF(mvtst[QR Suivis],mvtst[[#This Row],[QR Suivis]],mvtst[QTE RETOUR])</f>
        <v>0</v>
      </c>
      <c r="K1991" s="35" t="str">
        <f t="shared" si="34"/>
        <v>Usine</v>
      </c>
      <c r="L1991" s="35" t="str">
        <f>_xlfn.XLOOKUP(mvtst[[#This Row],[Sous Traitant]],coordonnee_st[Identification],coordonnee_st[SERVICE],"Non Trouvé")</f>
        <v>Frange</v>
      </c>
      <c r="M1991" s="35" t="str">
        <f>INDEX(_xlfn.TEXTSPLIT(mvtst[[#This Row],[QR Suivis]],"_"),1,2)</f>
        <v>CL00884</v>
      </c>
      <c r="N1991" s="35" t="str">
        <f>INDEX(_xlfn.TEXTSPLIT(mvtst[[#This Row],[QR Suivis]],"_"),1,3)</f>
        <v>CM-FT0119</v>
      </c>
      <c r="O1991" s="35" t="str">
        <f>INDEX(_xlfn.TEXTSPLIT(mvtst[[#This Row],[QR Suivis]],"_"),1,4)</f>
        <v>SO1020-Q29-11-14</v>
      </c>
      <c r="P1991" s="35" t="str">
        <f>INDEX(_xlfn.TEXTSPLIT(mvtst[[#This Row],[QR Suivis]],"_"),1,5)</f>
        <v>SOUSSE</v>
      </c>
      <c r="Q1991" s="35" t="str">
        <f>_xlfn.TEXTAFTER(mvtst[[#This Row],[QR Suivis]],"_",5)</f>
        <v>1020</v>
      </c>
      <c r="R1991" s="84" t="str">
        <f>IF(
   COUNTIFS($A$2:A1991,A1991,
             $B$2:B1991,B1991,
             $C$2:C1991,C1991,
             $D$2:D1991,D1991,
             $G$2:G1991,G1991)&gt;1,
   "Doublon",
   "Correcte"
)</f>
        <v>Correcte</v>
      </c>
    </row>
    <row r="1992" spans="1:18" x14ac:dyDescent="0.25">
      <c r="A1992" s="104" t="s">
        <v>2267</v>
      </c>
      <c r="B1992" s="35" t="s">
        <v>712</v>
      </c>
      <c r="C1992" s="36">
        <v>0</v>
      </c>
      <c r="D1992" s="36">
        <v>5</v>
      </c>
      <c r="E1992" s="35" t="s">
        <v>699</v>
      </c>
      <c r="F1992" s="35" t="s">
        <v>634</v>
      </c>
      <c r="G1992" s="37">
        <v>45943.687256944446</v>
      </c>
      <c r="H1992" s="37" t="str">
        <f>INDEX(_xlfn.TEXTSPLIT(mvtst[[#This Row],[QR Suivis]],"_"),1,1)</f>
        <v>OF249816-13</v>
      </c>
      <c r="I1992" s="35" t="str">
        <f>_xlfn.TEXTBEFORE(mvtst[[#This Row],[Num Suivis]],"-",,,1)</f>
        <v>OF249816</v>
      </c>
      <c r="J1992" s="36">
        <f>SUMIF(mvtst[QR Suivis],mvtst[[#This Row],[QR Suivis]],mvtst[QTE SORTIS])-SUMIF(mvtst[QR Suivis],mvtst[[#This Row],[QR Suivis]],mvtst[QTE RETOUR])</f>
        <v>0</v>
      </c>
      <c r="K1992" s="35" t="str">
        <f t="shared" si="34"/>
        <v>Usine</v>
      </c>
      <c r="L1992" s="35" t="str">
        <f>_xlfn.XLOOKUP(mvtst[[#This Row],[Sous Traitant]],coordonnee_st[Identification],coordonnee_st[SERVICE],"Non Trouvé")</f>
        <v>Frange</v>
      </c>
      <c r="M1992" s="35" t="str">
        <f>INDEX(_xlfn.TEXTSPLIT(mvtst[[#This Row],[QR Suivis]],"_"),1,2)</f>
        <v>CL00884</v>
      </c>
      <c r="N1992" s="35" t="str">
        <f>INDEX(_xlfn.TEXTSPLIT(mvtst[[#This Row],[QR Suivis]],"_"),1,3)</f>
        <v>CM-FT0119</v>
      </c>
      <c r="O1992" s="35" t="str">
        <f>INDEX(_xlfn.TEXTSPLIT(mvtst[[#This Row],[QR Suivis]],"_"),1,4)</f>
        <v>SO1020-Q29-11-14</v>
      </c>
      <c r="P1992" s="35" t="str">
        <f>INDEX(_xlfn.TEXTSPLIT(mvtst[[#This Row],[QR Suivis]],"_"),1,5)</f>
        <v>SOUSSE</v>
      </c>
      <c r="Q1992" s="35" t="str">
        <f>_xlfn.TEXTAFTER(mvtst[[#This Row],[QR Suivis]],"_",5)</f>
        <v>1020</v>
      </c>
      <c r="R1992" s="84" t="str">
        <f>IF(
   COUNTIFS($A$2:A1992,A1992,
             $B$2:B1992,B1992,
             $C$2:C1992,C1992,
             $D$2:D1992,D1992,
             $G$2:G1992,G1992)&gt;1,
   "Doublon",
   "Correcte"
)</f>
        <v>Correcte</v>
      </c>
    </row>
    <row r="1993" spans="1:18" x14ac:dyDescent="0.25">
      <c r="A1993" s="104" t="s">
        <v>2256</v>
      </c>
      <c r="B1993" s="35" t="s">
        <v>712</v>
      </c>
      <c r="C1993" s="36">
        <v>0</v>
      </c>
      <c r="D1993" s="36">
        <v>5</v>
      </c>
      <c r="E1993" s="35" t="s">
        <v>699</v>
      </c>
      <c r="F1993" s="35" t="s">
        <v>634</v>
      </c>
      <c r="G1993" s="37">
        <v>45943.687395833331</v>
      </c>
      <c r="H1993" s="37" t="str">
        <f>INDEX(_xlfn.TEXTSPLIT(mvtst[[#This Row],[QR Suivis]],"_"),1,1)</f>
        <v>OF249816-34</v>
      </c>
      <c r="I1993" s="35" t="str">
        <f>_xlfn.TEXTBEFORE(mvtst[[#This Row],[Num Suivis]],"-",,,1)</f>
        <v>OF249816</v>
      </c>
      <c r="J1993" s="36">
        <f>SUMIF(mvtst[QR Suivis],mvtst[[#This Row],[QR Suivis]],mvtst[QTE SORTIS])-SUMIF(mvtst[QR Suivis],mvtst[[#This Row],[QR Suivis]],mvtst[QTE RETOUR])</f>
        <v>0</v>
      </c>
      <c r="K1993" s="35" t="str">
        <f t="shared" si="34"/>
        <v>Usine</v>
      </c>
      <c r="L1993" s="35" t="str">
        <f>_xlfn.XLOOKUP(mvtst[[#This Row],[Sous Traitant]],coordonnee_st[Identification],coordonnee_st[SERVICE],"Non Trouvé")</f>
        <v>Frange</v>
      </c>
      <c r="M1993" s="35" t="str">
        <f>INDEX(_xlfn.TEXTSPLIT(mvtst[[#This Row],[QR Suivis]],"_"),1,2)</f>
        <v>CL00884</v>
      </c>
      <c r="N1993" s="35" t="str">
        <f>INDEX(_xlfn.TEXTSPLIT(mvtst[[#This Row],[QR Suivis]],"_"),1,3)</f>
        <v>CM-FT0119</v>
      </c>
      <c r="O1993" s="35" t="str">
        <f>INDEX(_xlfn.TEXTSPLIT(mvtst[[#This Row],[QR Suivis]],"_"),1,4)</f>
        <v>SO1020-Q29-11-14</v>
      </c>
      <c r="P1993" s="35" t="str">
        <f>INDEX(_xlfn.TEXTSPLIT(mvtst[[#This Row],[QR Suivis]],"_"),1,5)</f>
        <v>SOUSSE</v>
      </c>
      <c r="Q1993" s="35" t="str">
        <f>_xlfn.TEXTAFTER(mvtst[[#This Row],[QR Suivis]],"_",5)</f>
        <v>1020</v>
      </c>
      <c r="R1993" s="84" t="str">
        <f>IF(
   COUNTIFS($A$2:A1993,A1993,
             $B$2:B1993,B1993,
             $C$2:C1993,C1993,
             $D$2:D1993,D1993,
             $G$2:G1993,G1993)&gt;1,
   "Doublon",
   "Correcte"
)</f>
        <v>Correcte</v>
      </c>
    </row>
    <row r="1994" spans="1:18" x14ac:dyDescent="0.25">
      <c r="A1994" s="104" t="s">
        <v>2230</v>
      </c>
      <c r="B1994" s="35" t="s">
        <v>712</v>
      </c>
      <c r="C1994" s="36">
        <v>0</v>
      </c>
      <c r="D1994" s="36">
        <v>5</v>
      </c>
      <c r="E1994" s="35" t="s">
        <v>699</v>
      </c>
      <c r="F1994" s="35" t="s">
        <v>634</v>
      </c>
      <c r="G1994" s="37">
        <v>45943.687557870369</v>
      </c>
      <c r="H1994" s="37" t="str">
        <f>INDEX(_xlfn.TEXTSPLIT(mvtst[[#This Row],[QR Suivis]],"_"),1,1)</f>
        <v>OF249816-42</v>
      </c>
      <c r="I1994" s="35" t="str">
        <f>_xlfn.TEXTBEFORE(mvtst[[#This Row],[Num Suivis]],"-",,,1)</f>
        <v>OF249816</v>
      </c>
      <c r="J1994" s="36">
        <f>SUMIF(mvtst[QR Suivis],mvtst[[#This Row],[QR Suivis]],mvtst[QTE SORTIS])-SUMIF(mvtst[QR Suivis],mvtst[[#This Row],[QR Suivis]],mvtst[QTE RETOUR])</f>
        <v>0</v>
      </c>
      <c r="K1994" s="35" t="str">
        <f t="shared" si="34"/>
        <v>Usine</v>
      </c>
      <c r="L1994" s="35" t="str">
        <f>_xlfn.XLOOKUP(mvtst[[#This Row],[Sous Traitant]],coordonnee_st[Identification],coordonnee_st[SERVICE],"Non Trouvé")</f>
        <v>Frange</v>
      </c>
      <c r="M1994" s="35" t="str">
        <f>INDEX(_xlfn.TEXTSPLIT(mvtst[[#This Row],[QR Suivis]],"_"),1,2)</f>
        <v>CL00884</v>
      </c>
      <c r="N1994" s="35" t="str">
        <f>INDEX(_xlfn.TEXTSPLIT(mvtst[[#This Row],[QR Suivis]],"_"),1,3)</f>
        <v>CM-FT0119</v>
      </c>
      <c r="O1994" s="35" t="str">
        <f>INDEX(_xlfn.TEXTSPLIT(mvtst[[#This Row],[QR Suivis]],"_"),1,4)</f>
        <v>SO1020-Q29-11-14</v>
      </c>
      <c r="P1994" s="35" t="str">
        <f>INDEX(_xlfn.TEXTSPLIT(mvtst[[#This Row],[QR Suivis]],"_"),1,5)</f>
        <v>SOUSSE</v>
      </c>
      <c r="Q1994" s="35" t="str">
        <f>_xlfn.TEXTAFTER(mvtst[[#This Row],[QR Suivis]],"_",5)</f>
        <v>1020</v>
      </c>
      <c r="R1994" s="84" t="str">
        <f>IF(
   COUNTIFS($A$2:A1994,A1994,
             $B$2:B1994,B1994,
             $C$2:C1994,C1994,
             $D$2:D1994,D1994,
             $G$2:G1994,G1994)&gt;1,
   "Doublon",
   "Correcte"
)</f>
        <v>Correcte</v>
      </c>
    </row>
    <row r="1995" spans="1:18" x14ac:dyDescent="0.25">
      <c r="A1995" s="104" t="s">
        <v>2235</v>
      </c>
      <c r="B1995" s="35" t="s">
        <v>712</v>
      </c>
      <c r="C1995" s="36">
        <v>0</v>
      </c>
      <c r="D1995" s="36">
        <v>5</v>
      </c>
      <c r="E1995" s="35" t="s">
        <v>699</v>
      </c>
      <c r="F1995" s="35" t="s">
        <v>634</v>
      </c>
      <c r="G1995" s="37">
        <v>45943.687685185185</v>
      </c>
      <c r="H1995" s="37" t="str">
        <f>INDEX(_xlfn.TEXTSPLIT(mvtst[[#This Row],[QR Suivis]],"_"),1,1)</f>
        <v>OF249816-60</v>
      </c>
      <c r="I1995" s="35" t="str">
        <f>_xlfn.TEXTBEFORE(mvtst[[#This Row],[Num Suivis]],"-",,,1)</f>
        <v>OF249816</v>
      </c>
      <c r="J1995" s="36">
        <f>SUMIF(mvtst[QR Suivis],mvtst[[#This Row],[QR Suivis]],mvtst[QTE SORTIS])-SUMIF(mvtst[QR Suivis],mvtst[[#This Row],[QR Suivis]],mvtst[QTE RETOUR])</f>
        <v>0</v>
      </c>
      <c r="K1995" s="35" t="str">
        <f t="shared" si="34"/>
        <v>Usine</v>
      </c>
      <c r="L1995" s="35" t="str">
        <f>_xlfn.XLOOKUP(mvtst[[#This Row],[Sous Traitant]],coordonnee_st[Identification],coordonnee_st[SERVICE],"Non Trouvé")</f>
        <v>Frange</v>
      </c>
      <c r="M1995" s="35" t="str">
        <f>INDEX(_xlfn.TEXTSPLIT(mvtst[[#This Row],[QR Suivis]],"_"),1,2)</f>
        <v>CL00884</v>
      </c>
      <c r="N1995" s="35" t="str">
        <f>INDEX(_xlfn.TEXTSPLIT(mvtst[[#This Row],[QR Suivis]],"_"),1,3)</f>
        <v>CM-FT0119</v>
      </c>
      <c r="O1995" s="35" t="str">
        <f>INDEX(_xlfn.TEXTSPLIT(mvtst[[#This Row],[QR Suivis]],"_"),1,4)</f>
        <v>SO1020-Q29-11-14</v>
      </c>
      <c r="P1995" s="35" t="str">
        <f>INDEX(_xlfn.TEXTSPLIT(mvtst[[#This Row],[QR Suivis]],"_"),1,5)</f>
        <v>SOUSSE</v>
      </c>
      <c r="Q1995" s="35" t="str">
        <f>_xlfn.TEXTAFTER(mvtst[[#This Row],[QR Suivis]],"_",5)</f>
        <v>1020</v>
      </c>
      <c r="R1995" s="84" t="str">
        <f>IF(
   COUNTIFS($A$2:A1995,A1995,
             $B$2:B1995,B1995,
             $C$2:C1995,C1995,
             $D$2:D1995,D1995,
             $G$2:G1995,G1995)&gt;1,
   "Doublon",
   "Correcte"
)</f>
        <v>Correcte</v>
      </c>
    </row>
    <row r="1996" spans="1:18" x14ac:dyDescent="0.25">
      <c r="A1996" s="104" t="s">
        <v>2239</v>
      </c>
      <c r="B1996" s="35" t="s">
        <v>712</v>
      </c>
      <c r="C1996" s="36">
        <v>0</v>
      </c>
      <c r="D1996" s="36">
        <v>5</v>
      </c>
      <c r="E1996" s="35" t="s">
        <v>699</v>
      </c>
      <c r="F1996" s="35" t="s">
        <v>634</v>
      </c>
      <c r="G1996" s="37">
        <v>45943.687835648147</v>
      </c>
      <c r="H1996" s="37" t="str">
        <f>INDEX(_xlfn.TEXTSPLIT(mvtst[[#This Row],[QR Suivis]],"_"),1,1)</f>
        <v>OF249816-22</v>
      </c>
      <c r="I1996" s="35" t="str">
        <f>_xlfn.TEXTBEFORE(mvtst[[#This Row],[Num Suivis]],"-",,,1)</f>
        <v>OF249816</v>
      </c>
      <c r="J1996" s="36">
        <f>SUMIF(mvtst[QR Suivis],mvtst[[#This Row],[QR Suivis]],mvtst[QTE SORTIS])-SUMIF(mvtst[QR Suivis],mvtst[[#This Row],[QR Suivis]],mvtst[QTE RETOUR])</f>
        <v>0</v>
      </c>
      <c r="K1996" s="35" t="str">
        <f t="shared" si="34"/>
        <v>Usine</v>
      </c>
      <c r="L1996" s="35" t="str">
        <f>_xlfn.XLOOKUP(mvtst[[#This Row],[Sous Traitant]],coordonnee_st[Identification],coordonnee_st[SERVICE],"Non Trouvé")</f>
        <v>Frange</v>
      </c>
      <c r="M1996" s="35" t="str">
        <f>INDEX(_xlfn.TEXTSPLIT(mvtst[[#This Row],[QR Suivis]],"_"),1,2)</f>
        <v>CL00884</v>
      </c>
      <c r="N1996" s="35" t="str">
        <f>INDEX(_xlfn.TEXTSPLIT(mvtst[[#This Row],[QR Suivis]],"_"),1,3)</f>
        <v>CM-FT0119</v>
      </c>
      <c r="O1996" s="35" t="str">
        <f>INDEX(_xlfn.TEXTSPLIT(mvtst[[#This Row],[QR Suivis]],"_"),1,4)</f>
        <v>SO1020-Q29-11-14</v>
      </c>
      <c r="P1996" s="35" t="str">
        <f>INDEX(_xlfn.TEXTSPLIT(mvtst[[#This Row],[QR Suivis]],"_"),1,5)</f>
        <v>SOUSSE</v>
      </c>
      <c r="Q1996" s="35" t="str">
        <f>_xlfn.TEXTAFTER(mvtst[[#This Row],[QR Suivis]],"_",5)</f>
        <v>1020</v>
      </c>
      <c r="R1996" s="84" t="str">
        <f>IF(
   COUNTIFS($A$2:A1996,A1996,
             $B$2:B1996,B1996,
             $C$2:C1996,C1996,
             $D$2:D1996,D1996,
             $G$2:G1996,G1996)&gt;1,
   "Doublon",
   "Correcte"
)</f>
        <v>Correcte</v>
      </c>
    </row>
    <row r="1997" spans="1:18" x14ac:dyDescent="0.25">
      <c r="A1997" s="104" t="s">
        <v>2247</v>
      </c>
      <c r="B1997" s="35" t="s">
        <v>712</v>
      </c>
      <c r="C1997" s="36">
        <v>0</v>
      </c>
      <c r="D1997" s="36">
        <v>5</v>
      </c>
      <c r="E1997" s="35" t="s">
        <v>699</v>
      </c>
      <c r="F1997" s="35" t="s">
        <v>634</v>
      </c>
      <c r="G1997" s="37">
        <v>45943.687974537039</v>
      </c>
      <c r="H1997" s="37" t="str">
        <f>INDEX(_xlfn.TEXTSPLIT(mvtst[[#This Row],[QR Suivis]],"_"),1,1)</f>
        <v>OF249816-26</v>
      </c>
      <c r="I1997" s="35" t="str">
        <f>_xlfn.TEXTBEFORE(mvtst[[#This Row],[Num Suivis]],"-",,,1)</f>
        <v>OF249816</v>
      </c>
      <c r="J1997" s="36">
        <f>SUMIF(mvtst[QR Suivis],mvtst[[#This Row],[QR Suivis]],mvtst[QTE SORTIS])-SUMIF(mvtst[QR Suivis],mvtst[[#This Row],[QR Suivis]],mvtst[QTE RETOUR])</f>
        <v>0</v>
      </c>
      <c r="K1997" s="35" t="str">
        <f t="shared" si="34"/>
        <v>Usine</v>
      </c>
      <c r="L1997" s="35" t="str">
        <f>_xlfn.XLOOKUP(mvtst[[#This Row],[Sous Traitant]],coordonnee_st[Identification],coordonnee_st[SERVICE],"Non Trouvé")</f>
        <v>Frange</v>
      </c>
      <c r="M1997" s="35" t="str">
        <f>INDEX(_xlfn.TEXTSPLIT(mvtst[[#This Row],[QR Suivis]],"_"),1,2)</f>
        <v>CL00884</v>
      </c>
      <c r="N1997" s="35" t="str">
        <f>INDEX(_xlfn.TEXTSPLIT(mvtst[[#This Row],[QR Suivis]],"_"),1,3)</f>
        <v>CM-FT0119</v>
      </c>
      <c r="O1997" s="35" t="str">
        <f>INDEX(_xlfn.TEXTSPLIT(mvtst[[#This Row],[QR Suivis]],"_"),1,4)</f>
        <v>SO1020-Q29-11-14</v>
      </c>
      <c r="P1997" s="35" t="str">
        <f>INDEX(_xlfn.TEXTSPLIT(mvtst[[#This Row],[QR Suivis]],"_"),1,5)</f>
        <v>SOUSSE</v>
      </c>
      <c r="Q1997" s="35" t="str">
        <f>_xlfn.TEXTAFTER(mvtst[[#This Row],[QR Suivis]],"_",5)</f>
        <v>1020</v>
      </c>
      <c r="R1997" s="84" t="str">
        <f>IF(
   COUNTIFS($A$2:A1997,A1997,
             $B$2:B1997,B1997,
             $C$2:C1997,C1997,
             $D$2:D1997,D1997,
             $G$2:G1997,G1997)&gt;1,
   "Doublon",
   "Correcte"
)</f>
        <v>Correcte</v>
      </c>
    </row>
    <row r="1998" spans="1:18" x14ac:dyDescent="0.25">
      <c r="A1998" s="104" t="s">
        <v>2254</v>
      </c>
      <c r="B1998" s="35" t="s">
        <v>712</v>
      </c>
      <c r="C1998" s="36">
        <v>0</v>
      </c>
      <c r="D1998" s="36">
        <v>5</v>
      </c>
      <c r="E1998" s="35" t="s">
        <v>699</v>
      </c>
      <c r="F1998" s="35" t="s">
        <v>634</v>
      </c>
      <c r="G1998" s="37">
        <v>45943.688148148147</v>
      </c>
      <c r="H1998" s="37" t="str">
        <f>INDEX(_xlfn.TEXTSPLIT(mvtst[[#This Row],[QR Suivis]],"_"),1,1)</f>
        <v>OF249816-36</v>
      </c>
      <c r="I1998" s="35" t="str">
        <f>_xlfn.TEXTBEFORE(mvtst[[#This Row],[Num Suivis]],"-",,,1)</f>
        <v>OF249816</v>
      </c>
      <c r="J1998" s="36">
        <f>SUMIF(mvtst[QR Suivis],mvtst[[#This Row],[QR Suivis]],mvtst[QTE SORTIS])-SUMIF(mvtst[QR Suivis],mvtst[[#This Row],[QR Suivis]],mvtst[QTE RETOUR])</f>
        <v>0</v>
      </c>
      <c r="K1998" s="35" t="str">
        <f t="shared" si="34"/>
        <v>Usine</v>
      </c>
      <c r="L1998" s="35" t="str">
        <f>_xlfn.XLOOKUP(mvtst[[#This Row],[Sous Traitant]],coordonnee_st[Identification],coordonnee_st[SERVICE],"Non Trouvé")</f>
        <v>Frange</v>
      </c>
      <c r="M1998" s="35" t="str">
        <f>INDEX(_xlfn.TEXTSPLIT(mvtst[[#This Row],[QR Suivis]],"_"),1,2)</f>
        <v>CL00884</v>
      </c>
      <c r="N1998" s="35" t="str">
        <f>INDEX(_xlfn.TEXTSPLIT(mvtst[[#This Row],[QR Suivis]],"_"),1,3)</f>
        <v>CM-FT0119</v>
      </c>
      <c r="O1998" s="35" t="str">
        <f>INDEX(_xlfn.TEXTSPLIT(mvtst[[#This Row],[QR Suivis]],"_"),1,4)</f>
        <v>SO1020-Q29-11-14</v>
      </c>
      <c r="P1998" s="35" t="str">
        <f>INDEX(_xlfn.TEXTSPLIT(mvtst[[#This Row],[QR Suivis]],"_"),1,5)</f>
        <v>SOUSSE</v>
      </c>
      <c r="Q1998" s="35" t="str">
        <f>_xlfn.TEXTAFTER(mvtst[[#This Row],[QR Suivis]],"_",5)</f>
        <v>1020</v>
      </c>
      <c r="R1998" s="84" t="str">
        <f>IF(
   COUNTIFS($A$2:A1998,A1998,
             $B$2:B1998,B1998,
             $C$2:C1998,C1998,
             $D$2:D1998,D1998,
             $G$2:G1998,G1998)&gt;1,
   "Doublon",
   "Correcte"
)</f>
        <v>Correcte</v>
      </c>
    </row>
    <row r="1999" spans="1:18" x14ac:dyDescent="0.25">
      <c r="A1999" s="104" t="s">
        <v>2243</v>
      </c>
      <c r="B1999" s="35" t="s">
        <v>712</v>
      </c>
      <c r="C1999" s="36">
        <v>0</v>
      </c>
      <c r="D1999" s="36">
        <v>5</v>
      </c>
      <c r="E1999" s="35" t="s">
        <v>699</v>
      </c>
      <c r="F1999" s="35" t="s">
        <v>634</v>
      </c>
      <c r="G1999" s="37">
        <v>45943.688402777778</v>
      </c>
      <c r="H1999" s="37" t="str">
        <f>INDEX(_xlfn.TEXTSPLIT(mvtst[[#This Row],[QR Suivis]],"_"),1,1)</f>
        <v>OF249816-19</v>
      </c>
      <c r="I1999" s="35" t="str">
        <f>_xlfn.TEXTBEFORE(mvtst[[#This Row],[Num Suivis]],"-",,,1)</f>
        <v>OF249816</v>
      </c>
      <c r="J1999" s="36">
        <f>SUMIF(mvtst[QR Suivis],mvtst[[#This Row],[QR Suivis]],mvtst[QTE SORTIS])-SUMIF(mvtst[QR Suivis],mvtst[[#This Row],[QR Suivis]],mvtst[QTE RETOUR])</f>
        <v>0</v>
      </c>
      <c r="K1999" s="35" t="str">
        <f t="shared" si="34"/>
        <v>Usine</v>
      </c>
      <c r="L1999" s="35" t="str">
        <f>_xlfn.XLOOKUP(mvtst[[#This Row],[Sous Traitant]],coordonnee_st[Identification],coordonnee_st[SERVICE],"Non Trouvé")</f>
        <v>Frange</v>
      </c>
      <c r="M1999" s="35" t="str">
        <f>INDEX(_xlfn.TEXTSPLIT(mvtst[[#This Row],[QR Suivis]],"_"),1,2)</f>
        <v>CL00884</v>
      </c>
      <c r="N1999" s="35" t="str">
        <f>INDEX(_xlfn.TEXTSPLIT(mvtst[[#This Row],[QR Suivis]],"_"),1,3)</f>
        <v>CM-FT0119</v>
      </c>
      <c r="O1999" s="35" t="str">
        <f>INDEX(_xlfn.TEXTSPLIT(mvtst[[#This Row],[QR Suivis]],"_"),1,4)</f>
        <v>SO1020-Q29-11-14</v>
      </c>
      <c r="P1999" s="35" t="str">
        <f>INDEX(_xlfn.TEXTSPLIT(mvtst[[#This Row],[QR Suivis]],"_"),1,5)</f>
        <v>SOUSSE</v>
      </c>
      <c r="Q1999" s="35" t="str">
        <f>_xlfn.TEXTAFTER(mvtst[[#This Row],[QR Suivis]],"_",5)</f>
        <v>1020</v>
      </c>
      <c r="R1999" s="84" t="str">
        <f>IF(
   COUNTIFS($A$2:A1999,A1999,
             $B$2:B1999,B1999,
             $C$2:C1999,C1999,
             $D$2:D1999,D1999,
             $G$2:G1999,G1999)&gt;1,
   "Doublon",
   "Correcte"
)</f>
        <v>Correcte</v>
      </c>
    </row>
    <row r="2000" spans="1:18" x14ac:dyDescent="0.25">
      <c r="A2000" s="104" t="s">
        <v>2238</v>
      </c>
      <c r="B2000" s="35" t="s">
        <v>712</v>
      </c>
      <c r="C2000" s="36">
        <v>0</v>
      </c>
      <c r="D2000" s="36">
        <v>5</v>
      </c>
      <c r="E2000" s="35" t="s">
        <v>699</v>
      </c>
      <c r="F2000" s="35" t="s">
        <v>634</v>
      </c>
      <c r="G2000" s="37">
        <v>45943.688599537039</v>
      </c>
      <c r="H2000" s="37" t="str">
        <f>INDEX(_xlfn.TEXTSPLIT(mvtst[[#This Row],[QR Suivis]],"_"),1,1)</f>
        <v>OF249816-18</v>
      </c>
      <c r="I2000" s="35" t="str">
        <f>_xlfn.TEXTBEFORE(mvtst[[#This Row],[Num Suivis]],"-",,,1)</f>
        <v>OF249816</v>
      </c>
      <c r="J2000" s="36">
        <f>SUMIF(mvtst[QR Suivis],mvtst[[#This Row],[QR Suivis]],mvtst[QTE SORTIS])-SUMIF(mvtst[QR Suivis],mvtst[[#This Row],[QR Suivis]],mvtst[QTE RETOUR])</f>
        <v>0</v>
      </c>
      <c r="K2000" s="35" t="str">
        <f t="shared" si="34"/>
        <v>Usine</v>
      </c>
      <c r="L2000" s="35" t="str">
        <f>_xlfn.XLOOKUP(mvtst[[#This Row],[Sous Traitant]],coordonnee_st[Identification],coordonnee_st[SERVICE],"Non Trouvé")</f>
        <v>Frange</v>
      </c>
      <c r="M2000" s="35" t="str">
        <f>INDEX(_xlfn.TEXTSPLIT(mvtst[[#This Row],[QR Suivis]],"_"),1,2)</f>
        <v>CL00884</v>
      </c>
      <c r="N2000" s="35" t="str">
        <f>INDEX(_xlfn.TEXTSPLIT(mvtst[[#This Row],[QR Suivis]],"_"),1,3)</f>
        <v>CM-FT0119</v>
      </c>
      <c r="O2000" s="35" t="str">
        <f>INDEX(_xlfn.TEXTSPLIT(mvtst[[#This Row],[QR Suivis]],"_"),1,4)</f>
        <v>SO1020-Q29-11-14</v>
      </c>
      <c r="P2000" s="35" t="str">
        <f>INDEX(_xlfn.TEXTSPLIT(mvtst[[#This Row],[QR Suivis]],"_"),1,5)</f>
        <v>SOUSSE</v>
      </c>
      <c r="Q2000" s="35" t="str">
        <f>_xlfn.TEXTAFTER(mvtst[[#This Row],[QR Suivis]],"_",5)</f>
        <v>1020</v>
      </c>
      <c r="R2000" s="84" t="str">
        <f>IF(
   COUNTIFS($A$2:A2000,A2000,
             $B$2:B2000,B2000,
             $C$2:C2000,C2000,
             $D$2:D2000,D2000,
             $G$2:G2000,G2000)&gt;1,
   "Doublon",
   "Correcte"
)</f>
        <v>Correcte</v>
      </c>
    </row>
    <row r="2001" spans="1:18" x14ac:dyDescent="0.25">
      <c r="A2001" s="104" t="s">
        <v>2245</v>
      </c>
      <c r="B2001" s="35" t="s">
        <v>712</v>
      </c>
      <c r="C2001" s="36">
        <v>0</v>
      </c>
      <c r="D2001" s="36">
        <v>5</v>
      </c>
      <c r="E2001" s="35" t="s">
        <v>699</v>
      </c>
      <c r="F2001" s="35" t="s">
        <v>634</v>
      </c>
      <c r="G2001" s="37">
        <v>45943.688819444447</v>
      </c>
      <c r="H2001" s="37" t="str">
        <f>INDEX(_xlfn.TEXTSPLIT(mvtst[[#This Row],[QR Suivis]],"_"),1,1)</f>
        <v>OF249816-20</v>
      </c>
      <c r="I2001" s="35" t="str">
        <f>_xlfn.TEXTBEFORE(mvtst[[#This Row],[Num Suivis]],"-",,,1)</f>
        <v>OF249816</v>
      </c>
      <c r="J2001" s="36">
        <f>SUMIF(mvtst[QR Suivis],mvtst[[#This Row],[QR Suivis]],mvtst[QTE SORTIS])-SUMIF(mvtst[QR Suivis],mvtst[[#This Row],[QR Suivis]],mvtst[QTE RETOUR])</f>
        <v>0</v>
      </c>
      <c r="K2001" s="35" t="str">
        <f t="shared" si="34"/>
        <v>Usine</v>
      </c>
      <c r="L2001" s="35" t="str">
        <f>_xlfn.XLOOKUP(mvtst[[#This Row],[Sous Traitant]],coordonnee_st[Identification],coordonnee_st[SERVICE],"Non Trouvé")</f>
        <v>Frange</v>
      </c>
      <c r="M2001" s="35" t="str">
        <f>INDEX(_xlfn.TEXTSPLIT(mvtst[[#This Row],[QR Suivis]],"_"),1,2)</f>
        <v>CL00884</v>
      </c>
      <c r="N2001" s="35" t="str">
        <f>INDEX(_xlfn.TEXTSPLIT(mvtst[[#This Row],[QR Suivis]],"_"),1,3)</f>
        <v>CM-FT0119</v>
      </c>
      <c r="O2001" s="35" t="str">
        <f>INDEX(_xlfn.TEXTSPLIT(mvtst[[#This Row],[QR Suivis]],"_"),1,4)</f>
        <v>SO1020-Q29-11-14</v>
      </c>
      <c r="P2001" s="35" t="str">
        <f>INDEX(_xlfn.TEXTSPLIT(mvtst[[#This Row],[QR Suivis]],"_"),1,5)</f>
        <v>SOUSSE</v>
      </c>
      <c r="Q2001" s="35" t="str">
        <f>_xlfn.TEXTAFTER(mvtst[[#This Row],[QR Suivis]],"_",5)</f>
        <v>1020</v>
      </c>
      <c r="R2001" s="84" t="str">
        <f>IF(
   COUNTIFS($A$2:A2001,A2001,
             $B$2:B2001,B2001,
             $C$2:C2001,C2001,
             $D$2:D2001,D2001,
             $G$2:G2001,G2001)&gt;1,
   "Doublon",
   "Correcte"
)</f>
        <v>Correcte</v>
      </c>
    </row>
    <row r="2002" spans="1:18" x14ac:dyDescent="0.25">
      <c r="A2002" s="104" t="s">
        <v>2232</v>
      </c>
      <c r="B2002" s="35" t="s">
        <v>712</v>
      </c>
      <c r="C2002" s="36">
        <v>0</v>
      </c>
      <c r="D2002" s="36">
        <v>5</v>
      </c>
      <c r="E2002" s="35" t="s">
        <v>699</v>
      </c>
      <c r="F2002" s="35" t="s">
        <v>634</v>
      </c>
      <c r="G2002" s="37">
        <v>45943.688981481479</v>
      </c>
      <c r="H2002" s="37" t="str">
        <f>INDEX(_xlfn.TEXTSPLIT(mvtst[[#This Row],[QR Suivis]],"_"),1,1)</f>
        <v>OF249816-57</v>
      </c>
      <c r="I2002" s="35" t="str">
        <f>_xlfn.TEXTBEFORE(mvtst[[#This Row],[Num Suivis]],"-",,,1)</f>
        <v>OF249816</v>
      </c>
      <c r="J2002" s="36">
        <f>SUMIF(mvtst[QR Suivis],mvtst[[#This Row],[QR Suivis]],mvtst[QTE SORTIS])-SUMIF(mvtst[QR Suivis],mvtst[[#This Row],[QR Suivis]],mvtst[QTE RETOUR])</f>
        <v>0</v>
      </c>
      <c r="K2002" s="35" t="str">
        <f t="shared" si="34"/>
        <v>Usine</v>
      </c>
      <c r="L2002" s="35" t="str">
        <f>_xlfn.XLOOKUP(mvtst[[#This Row],[Sous Traitant]],coordonnee_st[Identification],coordonnee_st[SERVICE],"Non Trouvé")</f>
        <v>Frange</v>
      </c>
      <c r="M2002" s="35" t="str">
        <f>INDEX(_xlfn.TEXTSPLIT(mvtst[[#This Row],[QR Suivis]],"_"),1,2)</f>
        <v>CL00884</v>
      </c>
      <c r="N2002" s="35" t="str">
        <f>INDEX(_xlfn.TEXTSPLIT(mvtst[[#This Row],[QR Suivis]],"_"),1,3)</f>
        <v>CM-FT0119</v>
      </c>
      <c r="O2002" s="35" t="str">
        <f>INDEX(_xlfn.TEXTSPLIT(mvtst[[#This Row],[QR Suivis]],"_"),1,4)</f>
        <v>SO1020-Q29-11-14</v>
      </c>
      <c r="P2002" s="35" t="str">
        <f>INDEX(_xlfn.TEXTSPLIT(mvtst[[#This Row],[QR Suivis]],"_"),1,5)</f>
        <v>SOUSSE</v>
      </c>
      <c r="Q2002" s="35" t="str">
        <f>_xlfn.TEXTAFTER(mvtst[[#This Row],[QR Suivis]],"_",5)</f>
        <v>1020</v>
      </c>
      <c r="R2002" s="84" t="str">
        <f>IF(
   COUNTIFS($A$2:A2002,A2002,
             $B$2:B2002,B2002,
             $C$2:C2002,C2002,
             $D$2:D2002,D2002,
             $G$2:G2002,G2002)&gt;1,
   "Doublon",
   "Correcte"
)</f>
        <v>Correcte</v>
      </c>
    </row>
    <row r="2003" spans="1:18" x14ac:dyDescent="0.25">
      <c r="A2003" s="104" t="s">
        <v>2275</v>
      </c>
      <c r="B2003" s="35" t="s">
        <v>712</v>
      </c>
      <c r="C2003" s="36">
        <v>0</v>
      </c>
      <c r="D2003" s="36">
        <v>5</v>
      </c>
      <c r="E2003" s="35" t="s">
        <v>699</v>
      </c>
      <c r="F2003" s="35" t="s">
        <v>634</v>
      </c>
      <c r="G2003" s="37">
        <v>45943.689351851855</v>
      </c>
      <c r="H2003" s="37" t="str">
        <f>INDEX(_xlfn.TEXTSPLIT(mvtst[[#This Row],[QR Suivis]],"_"),1,1)</f>
        <v>OF249816-4</v>
      </c>
      <c r="I2003" s="35" t="str">
        <f>_xlfn.TEXTBEFORE(mvtst[[#This Row],[Num Suivis]],"-",,,1)</f>
        <v>OF249816</v>
      </c>
      <c r="J2003" s="36">
        <f>SUMIF(mvtst[QR Suivis],mvtst[[#This Row],[QR Suivis]],mvtst[QTE SORTIS])-SUMIF(mvtst[QR Suivis],mvtst[[#This Row],[QR Suivis]],mvtst[QTE RETOUR])</f>
        <v>0</v>
      </c>
      <c r="K2003" s="35" t="str">
        <f t="shared" si="34"/>
        <v>Usine</v>
      </c>
      <c r="L2003" s="35" t="str">
        <f>_xlfn.XLOOKUP(mvtst[[#This Row],[Sous Traitant]],coordonnee_st[Identification],coordonnee_st[SERVICE],"Non Trouvé")</f>
        <v>Frange</v>
      </c>
      <c r="M2003" s="35" t="str">
        <f>INDEX(_xlfn.TEXTSPLIT(mvtst[[#This Row],[QR Suivis]],"_"),1,2)</f>
        <v>CL00884</v>
      </c>
      <c r="N2003" s="35" t="str">
        <f>INDEX(_xlfn.TEXTSPLIT(mvtst[[#This Row],[QR Suivis]],"_"),1,3)</f>
        <v>CM-FT0119</v>
      </c>
      <c r="O2003" s="35" t="str">
        <f>INDEX(_xlfn.TEXTSPLIT(mvtst[[#This Row],[QR Suivis]],"_"),1,4)</f>
        <v>SO1020-Q29-11-14</v>
      </c>
      <c r="P2003" s="35" t="str">
        <f>INDEX(_xlfn.TEXTSPLIT(mvtst[[#This Row],[QR Suivis]],"_"),1,5)</f>
        <v>SOUSSE</v>
      </c>
      <c r="Q2003" s="35" t="str">
        <f>_xlfn.TEXTAFTER(mvtst[[#This Row],[QR Suivis]],"_",5)</f>
        <v>1020</v>
      </c>
      <c r="R2003" s="84" t="str">
        <f>IF(
   COUNTIFS($A$2:A2003,A2003,
             $B$2:B2003,B2003,
             $C$2:C2003,C2003,
             $D$2:D2003,D2003,
             $G$2:G2003,G2003)&gt;1,
   "Doublon",
   "Correcte"
)</f>
        <v>Correcte</v>
      </c>
    </row>
    <row r="2004" spans="1:18" x14ac:dyDescent="0.25">
      <c r="A2004" s="104" t="s">
        <v>2231</v>
      </c>
      <c r="B2004" s="35" t="s">
        <v>712</v>
      </c>
      <c r="C2004" s="36">
        <v>0</v>
      </c>
      <c r="D2004" s="36">
        <v>5</v>
      </c>
      <c r="E2004" s="35" t="s">
        <v>699</v>
      </c>
      <c r="F2004" s="35" t="s">
        <v>634</v>
      </c>
      <c r="G2004" s="37">
        <v>45943.689641203702</v>
      </c>
      <c r="H2004" s="37" t="str">
        <f>INDEX(_xlfn.TEXTSPLIT(mvtst[[#This Row],[QR Suivis]],"_"),1,1)</f>
        <v>OF249816-47</v>
      </c>
      <c r="I2004" s="35" t="str">
        <f>_xlfn.TEXTBEFORE(mvtst[[#This Row],[Num Suivis]],"-",,,1)</f>
        <v>OF249816</v>
      </c>
      <c r="J2004" s="36">
        <f>SUMIF(mvtst[QR Suivis],mvtst[[#This Row],[QR Suivis]],mvtst[QTE SORTIS])-SUMIF(mvtst[QR Suivis],mvtst[[#This Row],[QR Suivis]],mvtst[QTE RETOUR])</f>
        <v>0</v>
      </c>
      <c r="K2004" s="35" t="str">
        <f t="shared" si="34"/>
        <v>Usine</v>
      </c>
      <c r="L2004" s="35" t="str">
        <f>_xlfn.XLOOKUP(mvtst[[#This Row],[Sous Traitant]],coordonnee_st[Identification],coordonnee_st[SERVICE],"Non Trouvé")</f>
        <v>Frange</v>
      </c>
      <c r="M2004" s="35" t="str">
        <f>INDEX(_xlfn.TEXTSPLIT(mvtst[[#This Row],[QR Suivis]],"_"),1,2)</f>
        <v>CL00884</v>
      </c>
      <c r="N2004" s="35" t="str">
        <f>INDEX(_xlfn.TEXTSPLIT(mvtst[[#This Row],[QR Suivis]],"_"),1,3)</f>
        <v>CM-FT0119</v>
      </c>
      <c r="O2004" s="35" t="str">
        <f>INDEX(_xlfn.TEXTSPLIT(mvtst[[#This Row],[QR Suivis]],"_"),1,4)</f>
        <v>SO1020-Q29-11-14</v>
      </c>
      <c r="P2004" s="35" t="str">
        <f>INDEX(_xlfn.TEXTSPLIT(mvtst[[#This Row],[QR Suivis]],"_"),1,5)</f>
        <v>SOUSSE</v>
      </c>
      <c r="Q2004" s="35" t="str">
        <f>_xlfn.TEXTAFTER(mvtst[[#This Row],[QR Suivis]],"_",5)</f>
        <v>1020</v>
      </c>
      <c r="R2004" s="84" t="str">
        <f>IF(
   COUNTIFS($A$2:A2004,A2004,
             $B$2:B2004,B2004,
             $C$2:C2004,C2004,
             $D$2:D2004,D2004,
             $G$2:G2004,G2004)&gt;1,
   "Doublon",
   "Correcte"
)</f>
        <v>Correcte</v>
      </c>
    </row>
    <row r="2005" spans="1:18" x14ac:dyDescent="0.25">
      <c r="A2005" s="104" t="s">
        <v>2260</v>
      </c>
      <c r="B2005" s="35" t="s">
        <v>712</v>
      </c>
      <c r="C2005" s="36">
        <v>0</v>
      </c>
      <c r="D2005" s="36">
        <v>5</v>
      </c>
      <c r="E2005" s="35" t="s">
        <v>699</v>
      </c>
      <c r="F2005" s="35" t="s">
        <v>634</v>
      </c>
      <c r="G2005" s="37">
        <v>45943.689803240741</v>
      </c>
      <c r="H2005" s="37" t="str">
        <f>INDEX(_xlfn.TEXTSPLIT(mvtst[[#This Row],[QR Suivis]],"_"),1,1)</f>
        <v>OF249816-30</v>
      </c>
      <c r="I2005" s="35" t="str">
        <f>_xlfn.TEXTBEFORE(mvtst[[#This Row],[Num Suivis]],"-",,,1)</f>
        <v>OF249816</v>
      </c>
      <c r="J2005" s="36">
        <f>SUMIF(mvtst[QR Suivis],mvtst[[#This Row],[QR Suivis]],mvtst[QTE SORTIS])-SUMIF(mvtst[QR Suivis],mvtst[[#This Row],[QR Suivis]],mvtst[QTE RETOUR])</f>
        <v>0</v>
      </c>
      <c r="K2005" s="35" t="str">
        <f t="shared" si="34"/>
        <v>Usine</v>
      </c>
      <c r="L2005" s="35" t="str">
        <f>_xlfn.XLOOKUP(mvtst[[#This Row],[Sous Traitant]],coordonnee_st[Identification],coordonnee_st[SERVICE],"Non Trouvé")</f>
        <v>Frange</v>
      </c>
      <c r="M2005" s="35" t="str">
        <f>INDEX(_xlfn.TEXTSPLIT(mvtst[[#This Row],[QR Suivis]],"_"),1,2)</f>
        <v>CL00884</v>
      </c>
      <c r="N2005" s="35" t="str">
        <f>INDEX(_xlfn.TEXTSPLIT(mvtst[[#This Row],[QR Suivis]],"_"),1,3)</f>
        <v>CM-FT0119</v>
      </c>
      <c r="O2005" s="35" t="str">
        <f>INDEX(_xlfn.TEXTSPLIT(mvtst[[#This Row],[QR Suivis]],"_"),1,4)</f>
        <v>SO1020-Q29-11-14</v>
      </c>
      <c r="P2005" s="35" t="str">
        <f>INDEX(_xlfn.TEXTSPLIT(mvtst[[#This Row],[QR Suivis]],"_"),1,5)</f>
        <v>SOUSSE</v>
      </c>
      <c r="Q2005" s="35" t="str">
        <f>_xlfn.TEXTAFTER(mvtst[[#This Row],[QR Suivis]],"_",5)</f>
        <v>1020</v>
      </c>
      <c r="R2005" s="84" t="str">
        <f>IF(
   COUNTIFS($A$2:A2005,A2005,
             $B$2:B2005,B2005,
             $C$2:C2005,C2005,
             $D$2:D2005,D2005,
             $G$2:G2005,G2005)&gt;1,
   "Doublon",
   "Correcte"
)</f>
        <v>Correcte</v>
      </c>
    </row>
    <row r="2006" spans="1:18" x14ac:dyDescent="0.25">
      <c r="A2006" s="104" t="s">
        <v>2271</v>
      </c>
      <c r="B2006" s="35" t="s">
        <v>712</v>
      </c>
      <c r="C2006" s="36">
        <v>0</v>
      </c>
      <c r="D2006" s="36">
        <v>5</v>
      </c>
      <c r="E2006" s="35" t="s">
        <v>699</v>
      </c>
      <c r="F2006" s="35" t="s">
        <v>634</v>
      </c>
      <c r="G2006" s="37">
        <v>45943.69</v>
      </c>
      <c r="H2006" s="37" t="str">
        <f>INDEX(_xlfn.TEXTSPLIT(mvtst[[#This Row],[QR Suivis]],"_"),1,1)</f>
        <v>OF249816-11</v>
      </c>
      <c r="I2006" s="35" t="str">
        <f>_xlfn.TEXTBEFORE(mvtst[[#This Row],[Num Suivis]],"-",,,1)</f>
        <v>OF249816</v>
      </c>
      <c r="J2006" s="36">
        <f>SUMIF(mvtst[QR Suivis],mvtst[[#This Row],[QR Suivis]],mvtst[QTE SORTIS])-SUMIF(mvtst[QR Suivis],mvtst[[#This Row],[QR Suivis]],mvtst[QTE RETOUR])</f>
        <v>0</v>
      </c>
      <c r="K2006" s="35" t="str">
        <f t="shared" si="34"/>
        <v>Usine</v>
      </c>
      <c r="L2006" s="35" t="str">
        <f>_xlfn.XLOOKUP(mvtst[[#This Row],[Sous Traitant]],coordonnee_st[Identification],coordonnee_st[SERVICE],"Non Trouvé")</f>
        <v>Frange</v>
      </c>
      <c r="M2006" s="35" t="str">
        <f>INDEX(_xlfn.TEXTSPLIT(mvtst[[#This Row],[QR Suivis]],"_"),1,2)</f>
        <v>CL00884</v>
      </c>
      <c r="N2006" s="35" t="str">
        <f>INDEX(_xlfn.TEXTSPLIT(mvtst[[#This Row],[QR Suivis]],"_"),1,3)</f>
        <v>CM-FT0119</v>
      </c>
      <c r="O2006" s="35" t="str">
        <f>INDEX(_xlfn.TEXTSPLIT(mvtst[[#This Row],[QR Suivis]],"_"),1,4)</f>
        <v>SO1020-Q29-11-14</v>
      </c>
      <c r="P2006" s="35" t="str">
        <f>INDEX(_xlfn.TEXTSPLIT(mvtst[[#This Row],[QR Suivis]],"_"),1,5)</f>
        <v>SOUSSE</v>
      </c>
      <c r="Q2006" s="35" t="str">
        <f>_xlfn.TEXTAFTER(mvtst[[#This Row],[QR Suivis]],"_",5)</f>
        <v>1020</v>
      </c>
      <c r="R2006" s="84" t="str">
        <f>IF(
   COUNTIFS($A$2:A2006,A2006,
             $B$2:B2006,B2006,
             $C$2:C2006,C2006,
             $D$2:D2006,D2006,
             $G$2:G2006,G2006)&gt;1,
   "Doublon",
   "Correcte"
)</f>
        <v>Correcte</v>
      </c>
    </row>
    <row r="2007" spans="1:18" x14ac:dyDescent="0.25">
      <c r="A2007" s="104" t="s">
        <v>2265</v>
      </c>
      <c r="B2007" s="35" t="s">
        <v>712</v>
      </c>
      <c r="C2007" s="36">
        <v>0</v>
      </c>
      <c r="D2007" s="36">
        <v>5</v>
      </c>
      <c r="E2007" s="35" t="s">
        <v>699</v>
      </c>
      <c r="F2007" s="35" t="s">
        <v>634</v>
      </c>
      <c r="G2007" s="37">
        <v>45943.690127314818</v>
      </c>
      <c r="H2007" s="37" t="str">
        <f>INDEX(_xlfn.TEXTSPLIT(mvtst[[#This Row],[QR Suivis]],"_"),1,1)</f>
        <v>OF249816-9</v>
      </c>
      <c r="I2007" s="35" t="str">
        <f>_xlfn.TEXTBEFORE(mvtst[[#This Row],[Num Suivis]],"-",,,1)</f>
        <v>OF249816</v>
      </c>
      <c r="J2007" s="36">
        <f>SUMIF(mvtst[QR Suivis],mvtst[[#This Row],[QR Suivis]],mvtst[QTE SORTIS])-SUMIF(mvtst[QR Suivis],mvtst[[#This Row],[QR Suivis]],mvtst[QTE RETOUR])</f>
        <v>0</v>
      </c>
      <c r="K2007" s="35" t="str">
        <f t="shared" si="34"/>
        <v>Usine</v>
      </c>
      <c r="L2007" s="35" t="str">
        <f>_xlfn.XLOOKUP(mvtst[[#This Row],[Sous Traitant]],coordonnee_st[Identification],coordonnee_st[SERVICE],"Non Trouvé")</f>
        <v>Frange</v>
      </c>
      <c r="M2007" s="35" t="str">
        <f>INDEX(_xlfn.TEXTSPLIT(mvtst[[#This Row],[QR Suivis]],"_"),1,2)</f>
        <v>CL00884</v>
      </c>
      <c r="N2007" s="35" t="str">
        <f>INDEX(_xlfn.TEXTSPLIT(mvtst[[#This Row],[QR Suivis]],"_"),1,3)</f>
        <v>CM-FT0119</v>
      </c>
      <c r="O2007" s="35" t="str">
        <f>INDEX(_xlfn.TEXTSPLIT(mvtst[[#This Row],[QR Suivis]],"_"),1,4)</f>
        <v>SO1020-Q29-11-14</v>
      </c>
      <c r="P2007" s="35" t="str">
        <f>INDEX(_xlfn.TEXTSPLIT(mvtst[[#This Row],[QR Suivis]],"_"),1,5)</f>
        <v>SOUSSE</v>
      </c>
      <c r="Q2007" s="35" t="str">
        <f>_xlfn.TEXTAFTER(mvtst[[#This Row],[QR Suivis]],"_",5)</f>
        <v>1020</v>
      </c>
      <c r="R2007" s="84" t="str">
        <f>IF(
   COUNTIFS($A$2:A2007,A2007,
             $B$2:B2007,B2007,
             $C$2:C2007,C2007,
             $D$2:D2007,D2007,
             $G$2:G2007,G2007)&gt;1,
   "Doublon",
   "Correcte"
)</f>
        <v>Correcte</v>
      </c>
    </row>
    <row r="2008" spans="1:18" x14ac:dyDescent="0.25">
      <c r="A2008" s="104" t="s">
        <v>2156</v>
      </c>
      <c r="B2008" s="35" t="s">
        <v>712</v>
      </c>
      <c r="C2008" s="36">
        <v>0</v>
      </c>
      <c r="D2008" s="36">
        <v>5</v>
      </c>
      <c r="E2008" s="35" t="s">
        <v>699</v>
      </c>
      <c r="F2008" s="35" t="s">
        <v>634</v>
      </c>
      <c r="G2008" s="37">
        <v>45943.691388888888</v>
      </c>
      <c r="H2008" s="37" t="str">
        <f>INDEX(_xlfn.TEXTSPLIT(mvtst[[#This Row],[QR Suivis]],"_"),1,1)</f>
        <v>OF249946-14</v>
      </c>
      <c r="I2008" s="35" t="str">
        <f>_xlfn.TEXTBEFORE(mvtst[[#This Row],[Num Suivis]],"-",,,1)</f>
        <v>OF249946</v>
      </c>
      <c r="J2008" s="36">
        <f>SUMIF(mvtst[QR Suivis],mvtst[[#This Row],[QR Suivis]],mvtst[QTE SORTIS])-SUMIF(mvtst[QR Suivis],mvtst[[#This Row],[QR Suivis]],mvtst[QTE RETOUR])</f>
        <v>0</v>
      </c>
      <c r="K2008" s="35" t="str">
        <f t="shared" si="34"/>
        <v>Usine</v>
      </c>
      <c r="L2008" s="35" t="str">
        <f>_xlfn.XLOOKUP(mvtst[[#This Row],[Sous Traitant]],coordonnee_st[Identification],coordonnee_st[SERVICE],"Non Trouvé")</f>
        <v>Frange</v>
      </c>
      <c r="M2008" s="35" t="str">
        <f>INDEX(_xlfn.TEXTSPLIT(mvtst[[#This Row],[QR Suivis]],"_"),1,2)</f>
        <v>CL00884</v>
      </c>
      <c r="N2008" s="35" t="str">
        <f>INDEX(_xlfn.TEXTSPLIT(mvtst[[#This Row],[QR Suivis]],"_"),1,3)</f>
        <v>CM-FT0120</v>
      </c>
      <c r="O2008" s="35" t="str">
        <f>INDEX(_xlfn.TEXTSPLIT(mvtst[[#This Row],[QR Suivis]],"_"),1,4)</f>
        <v>ST1020-S14-16-17</v>
      </c>
      <c r="P2008" s="35" t="str">
        <f>INDEX(_xlfn.TEXTSPLIT(mvtst[[#This Row],[QR Suivis]],"_"),1,5)</f>
        <v>ST TROPEZ</v>
      </c>
      <c r="Q2008" s="35" t="str">
        <f>_xlfn.TEXTAFTER(mvtst[[#This Row],[QR Suivis]],"_",5)</f>
        <v>1020</v>
      </c>
      <c r="R2008" s="84" t="str">
        <f>IF(
   COUNTIFS($A$2:A2008,A2008,
             $B$2:B2008,B2008,
             $C$2:C2008,C2008,
             $D$2:D2008,D2008,
             $G$2:G2008,G2008)&gt;1,
   "Doublon",
   "Correcte"
)</f>
        <v>Correcte</v>
      </c>
    </row>
    <row r="2009" spans="1:18" x14ac:dyDescent="0.25">
      <c r="A2009" s="104" t="s">
        <v>2143</v>
      </c>
      <c r="B2009" s="35" t="s">
        <v>712</v>
      </c>
      <c r="C2009" s="36">
        <v>0</v>
      </c>
      <c r="D2009" s="36">
        <v>5</v>
      </c>
      <c r="E2009" s="35" t="s">
        <v>699</v>
      </c>
      <c r="F2009" s="35" t="s">
        <v>634</v>
      </c>
      <c r="G2009" s="37">
        <v>45943.691550925927</v>
      </c>
      <c r="H2009" s="37" t="str">
        <f>INDEX(_xlfn.TEXTSPLIT(mvtst[[#This Row],[QR Suivis]],"_"),1,1)</f>
        <v>OF249946-21</v>
      </c>
      <c r="I2009" s="35" t="str">
        <f>_xlfn.TEXTBEFORE(mvtst[[#This Row],[Num Suivis]],"-",,,1)</f>
        <v>OF249946</v>
      </c>
      <c r="J2009" s="36">
        <f>SUMIF(mvtst[QR Suivis],mvtst[[#This Row],[QR Suivis]],mvtst[QTE SORTIS])-SUMIF(mvtst[QR Suivis],mvtst[[#This Row],[QR Suivis]],mvtst[QTE RETOUR])</f>
        <v>0</v>
      </c>
      <c r="K2009" s="35" t="str">
        <f t="shared" si="34"/>
        <v>Usine</v>
      </c>
      <c r="L2009" s="35" t="str">
        <f>_xlfn.XLOOKUP(mvtst[[#This Row],[Sous Traitant]],coordonnee_st[Identification],coordonnee_st[SERVICE],"Non Trouvé")</f>
        <v>Frange</v>
      </c>
      <c r="M2009" s="35" t="str">
        <f>INDEX(_xlfn.TEXTSPLIT(mvtst[[#This Row],[QR Suivis]],"_"),1,2)</f>
        <v>CL00884</v>
      </c>
      <c r="N2009" s="35" t="str">
        <f>INDEX(_xlfn.TEXTSPLIT(mvtst[[#This Row],[QR Suivis]],"_"),1,3)</f>
        <v>CM-FT0120</v>
      </c>
      <c r="O2009" s="35" t="str">
        <f>INDEX(_xlfn.TEXTSPLIT(mvtst[[#This Row],[QR Suivis]],"_"),1,4)</f>
        <v>ST1020-S14-16-17</v>
      </c>
      <c r="P2009" s="35" t="str">
        <f>INDEX(_xlfn.TEXTSPLIT(mvtst[[#This Row],[QR Suivis]],"_"),1,5)</f>
        <v>ST TROPEZ</v>
      </c>
      <c r="Q2009" s="35" t="str">
        <f>_xlfn.TEXTAFTER(mvtst[[#This Row],[QR Suivis]],"_",5)</f>
        <v>1020</v>
      </c>
      <c r="R2009" s="84" t="str">
        <f>IF(
   COUNTIFS($A$2:A2009,A2009,
             $B$2:B2009,B2009,
             $C$2:C2009,C2009,
             $D$2:D2009,D2009,
             $G$2:G2009,G2009)&gt;1,
   "Doublon",
   "Correcte"
)</f>
        <v>Correcte</v>
      </c>
    </row>
    <row r="2010" spans="1:18" x14ac:dyDescent="0.25">
      <c r="A2010" s="104" t="s">
        <v>2272</v>
      </c>
      <c r="B2010" s="35" t="s">
        <v>712</v>
      </c>
      <c r="C2010" s="36">
        <v>0</v>
      </c>
      <c r="D2010" s="36">
        <v>5</v>
      </c>
      <c r="E2010" s="35" t="s">
        <v>699</v>
      </c>
      <c r="F2010" s="35" t="s">
        <v>634</v>
      </c>
      <c r="G2010" s="37">
        <v>45943.691678240742</v>
      </c>
      <c r="H2010" s="37" t="str">
        <f>INDEX(_xlfn.TEXTSPLIT(mvtst[[#This Row],[QR Suivis]],"_"),1,1)</f>
        <v>OF249816-1</v>
      </c>
      <c r="I2010" s="35" t="str">
        <f>_xlfn.TEXTBEFORE(mvtst[[#This Row],[Num Suivis]],"-",,,1)</f>
        <v>OF249816</v>
      </c>
      <c r="J2010" s="36">
        <f>SUMIF(mvtst[QR Suivis],mvtst[[#This Row],[QR Suivis]],mvtst[QTE SORTIS])-SUMIF(mvtst[QR Suivis],mvtst[[#This Row],[QR Suivis]],mvtst[QTE RETOUR])</f>
        <v>0</v>
      </c>
      <c r="K2010" s="35" t="str">
        <f t="shared" si="34"/>
        <v>Usine</v>
      </c>
      <c r="L2010" s="35" t="str">
        <f>_xlfn.XLOOKUP(mvtst[[#This Row],[Sous Traitant]],coordonnee_st[Identification],coordonnee_st[SERVICE],"Non Trouvé")</f>
        <v>Frange</v>
      </c>
      <c r="M2010" s="35" t="str">
        <f>INDEX(_xlfn.TEXTSPLIT(mvtst[[#This Row],[QR Suivis]],"_"),1,2)</f>
        <v>CL00884</v>
      </c>
      <c r="N2010" s="35" t="str">
        <f>INDEX(_xlfn.TEXTSPLIT(mvtst[[#This Row],[QR Suivis]],"_"),1,3)</f>
        <v>CM-FT0119</v>
      </c>
      <c r="O2010" s="35" t="str">
        <f>INDEX(_xlfn.TEXTSPLIT(mvtst[[#This Row],[QR Suivis]],"_"),1,4)</f>
        <v>SO1020-Q29-11-14</v>
      </c>
      <c r="P2010" s="35" t="str">
        <f>INDEX(_xlfn.TEXTSPLIT(mvtst[[#This Row],[QR Suivis]],"_"),1,5)</f>
        <v>SOUSSE</v>
      </c>
      <c r="Q2010" s="35" t="str">
        <f>_xlfn.TEXTAFTER(mvtst[[#This Row],[QR Suivis]],"_",5)</f>
        <v>1020</v>
      </c>
      <c r="R2010" s="84" t="str">
        <f>IF(
   COUNTIFS($A$2:A2010,A2010,
             $B$2:B2010,B2010,
             $C$2:C2010,C2010,
             $D$2:D2010,D2010,
             $G$2:G2010,G2010)&gt;1,
   "Doublon",
   "Correcte"
)</f>
        <v>Correcte</v>
      </c>
    </row>
    <row r="2011" spans="1:18" x14ac:dyDescent="0.25">
      <c r="A2011" s="104" t="s">
        <v>2252</v>
      </c>
      <c r="B2011" s="35" t="s">
        <v>712</v>
      </c>
      <c r="C2011" s="36">
        <v>0</v>
      </c>
      <c r="D2011" s="36">
        <v>5</v>
      </c>
      <c r="E2011" s="35" t="s">
        <v>699</v>
      </c>
      <c r="F2011" s="35" t="s">
        <v>634</v>
      </c>
      <c r="G2011" s="37">
        <v>45943.691840277781</v>
      </c>
      <c r="H2011" s="37" t="str">
        <f>INDEX(_xlfn.TEXTSPLIT(mvtst[[#This Row],[QR Suivis]],"_"),1,1)</f>
        <v>OF249816-31</v>
      </c>
      <c r="I2011" s="35" t="str">
        <f>_xlfn.TEXTBEFORE(mvtst[[#This Row],[Num Suivis]],"-",,,1)</f>
        <v>OF249816</v>
      </c>
      <c r="J2011" s="36">
        <f>SUMIF(mvtst[QR Suivis],mvtst[[#This Row],[QR Suivis]],mvtst[QTE SORTIS])-SUMIF(mvtst[QR Suivis],mvtst[[#This Row],[QR Suivis]],mvtst[QTE RETOUR])</f>
        <v>0</v>
      </c>
      <c r="K2011" s="35" t="str">
        <f t="shared" si="34"/>
        <v>Usine</v>
      </c>
      <c r="L2011" s="35" t="str">
        <f>_xlfn.XLOOKUP(mvtst[[#This Row],[Sous Traitant]],coordonnee_st[Identification],coordonnee_st[SERVICE],"Non Trouvé")</f>
        <v>Frange</v>
      </c>
      <c r="M2011" s="35" t="str">
        <f>INDEX(_xlfn.TEXTSPLIT(mvtst[[#This Row],[QR Suivis]],"_"),1,2)</f>
        <v>CL00884</v>
      </c>
      <c r="N2011" s="35" t="str">
        <f>INDEX(_xlfn.TEXTSPLIT(mvtst[[#This Row],[QR Suivis]],"_"),1,3)</f>
        <v>CM-FT0119</v>
      </c>
      <c r="O2011" s="35" t="str">
        <f>INDEX(_xlfn.TEXTSPLIT(mvtst[[#This Row],[QR Suivis]],"_"),1,4)</f>
        <v>SO1020-Q29-11-14</v>
      </c>
      <c r="P2011" s="35" t="str">
        <f>INDEX(_xlfn.TEXTSPLIT(mvtst[[#This Row],[QR Suivis]],"_"),1,5)</f>
        <v>SOUSSE</v>
      </c>
      <c r="Q2011" s="35" t="str">
        <f>_xlfn.TEXTAFTER(mvtst[[#This Row],[QR Suivis]],"_",5)</f>
        <v>1020</v>
      </c>
      <c r="R2011" s="84" t="str">
        <f>IF(
   COUNTIFS($A$2:A2011,A2011,
             $B$2:B2011,B2011,
             $C$2:C2011,C2011,
             $D$2:D2011,D2011,
             $G$2:G2011,G2011)&gt;1,
   "Doublon",
   "Correcte"
)</f>
        <v>Correcte</v>
      </c>
    </row>
    <row r="2012" spans="1:18" x14ac:dyDescent="0.25">
      <c r="A2012" s="104" t="s">
        <v>2119</v>
      </c>
      <c r="B2012" s="35" t="s">
        <v>712</v>
      </c>
      <c r="C2012" s="36">
        <v>0</v>
      </c>
      <c r="D2012" s="36">
        <v>5</v>
      </c>
      <c r="E2012" s="35" t="s">
        <v>699</v>
      </c>
      <c r="F2012" s="35" t="s">
        <v>634</v>
      </c>
      <c r="G2012" s="37">
        <v>45943.692094907405</v>
      </c>
      <c r="H2012" s="37" t="str">
        <f>INDEX(_xlfn.TEXTSPLIT(mvtst[[#This Row],[QR Suivis]],"_"),1,1)</f>
        <v>OF249848-21</v>
      </c>
      <c r="I2012" s="35" t="str">
        <f>_xlfn.TEXTBEFORE(mvtst[[#This Row],[Num Suivis]],"-",,,1)</f>
        <v>OF249848</v>
      </c>
      <c r="J2012" s="36">
        <f>SUMIF(mvtst[QR Suivis],mvtst[[#This Row],[QR Suivis]],mvtst[QTE SORTIS])-SUMIF(mvtst[QR Suivis],mvtst[[#This Row],[QR Suivis]],mvtst[QTE RETOUR])</f>
        <v>0</v>
      </c>
      <c r="K2012" s="35" t="str">
        <f t="shared" si="34"/>
        <v>Usine</v>
      </c>
      <c r="L2012" s="35" t="str">
        <f>_xlfn.XLOOKUP(mvtst[[#This Row],[Sous Traitant]],coordonnee_st[Identification],coordonnee_st[SERVICE],"Non Trouvé")</f>
        <v>Frange</v>
      </c>
      <c r="M2012" s="35" t="str">
        <f>INDEX(_xlfn.TEXTSPLIT(mvtst[[#This Row],[QR Suivis]],"_"),1,2)</f>
        <v>CL00884</v>
      </c>
      <c r="N2012" s="35" t="str">
        <f>INDEX(_xlfn.TEXTSPLIT(mvtst[[#This Row],[QR Suivis]],"_"),1,3)</f>
        <v>CM-FT0119</v>
      </c>
      <c r="O2012" s="35" t="str">
        <f>INDEX(_xlfn.TEXTSPLIT(mvtst[[#This Row],[QR Suivis]],"_"),1,4)</f>
        <v>ST1020-S14-16-17</v>
      </c>
      <c r="P2012" s="35" t="str">
        <f>INDEX(_xlfn.TEXTSPLIT(mvtst[[#This Row],[QR Suivis]],"_"),1,5)</f>
        <v>ST TROPEZ</v>
      </c>
      <c r="Q2012" s="35" t="str">
        <f>_xlfn.TEXTAFTER(mvtst[[#This Row],[QR Suivis]],"_",5)</f>
        <v>1020</v>
      </c>
      <c r="R2012" s="84" t="str">
        <f>IF(
   COUNTIFS($A$2:A2012,A2012,
             $B$2:B2012,B2012,
             $C$2:C2012,C2012,
             $D$2:D2012,D2012,
             $G$2:G2012,G2012)&gt;1,
   "Doublon",
   "Correcte"
)</f>
        <v>Correcte</v>
      </c>
    </row>
    <row r="2013" spans="1:18" x14ac:dyDescent="0.25">
      <c r="A2013" s="104" t="s">
        <v>2120</v>
      </c>
      <c r="B2013" s="35" t="s">
        <v>712</v>
      </c>
      <c r="C2013" s="36">
        <v>0</v>
      </c>
      <c r="D2013" s="36">
        <v>5</v>
      </c>
      <c r="E2013" s="35" t="s">
        <v>699</v>
      </c>
      <c r="F2013" s="35" t="s">
        <v>634</v>
      </c>
      <c r="G2013" s="37">
        <v>45943.692256944443</v>
      </c>
      <c r="H2013" s="37" t="str">
        <f>INDEX(_xlfn.TEXTSPLIT(mvtst[[#This Row],[QR Suivis]],"_"),1,1)</f>
        <v>OF249848-28</v>
      </c>
      <c r="I2013" s="35" t="str">
        <f>_xlfn.TEXTBEFORE(mvtst[[#This Row],[Num Suivis]],"-",,,1)</f>
        <v>OF249848</v>
      </c>
      <c r="J2013" s="36">
        <f>SUMIF(mvtst[QR Suivis],mvtst[[#This Row],[QR Suivis]],mvtst[QTE SORTIS])-SUMIF(mvtst[QR Suivis],mvtst[[#This Row],[QR Suivis]],mvtst[QTE RETOUR])</f>
        <v>0</v>
      </c>
      <c r="K2013" s="35" t="str">
        <f t="shared" si="34"/>
        <v>Usine</v>
      </c>
      <c r="L2013" s="35" t="str">
        <f>_xlfn.XLOOKUP(mvtst[[#This Row],[Sous Traitant]],coordonnee_st[Identification],coordonnee_st[SERVICE],"Non Trouvé")</f>
        <v>Frange</v>
      </c>
      <c r="M2013" s="35" t="str">
        <f>INDEX(_xlfn.TEXTSPLIT(mvtst[[#This Row],[QR Suivis]],"_"),1,2)</f>
        <v>CL00884</v>
      </c>
      <c r="N2013" s="35" t="str">
        <f>INDEX(_xlfn.TEXTSPLIT(mvtst[[#This Row],[QR Suivis]],"_"),1,3)</f>
        <v>CM-FT0119</v>
      </c>
      <c r="O2013" s="35" t="str">
        <f>INDEX(_xlfn.TEXTSPLIT(mvtst[[#This Row],[QR Suivis]],"_"),1,4)</f>
        <v>ST1020-S14-16-17</v>
      </c>
      <c r="P2013" s="35" t="str">
        <f>INDEX(_xlfn.TEXTSPLIT(mvtst[[#This Row],[QR Suivis]],"_"),1,5)</f>
        <v>ST TROPEZ</v>
      </c>
      <c r="Q2013" s="35" t="str">
        <f>_xlfn.TEXTAFTER(mvtst[[#This Row],[QR Suivis]],"_",5)</f>
        <v>1020</v>
      </c>
      <c r="R2013" s="84" t="str">
        <f>IF(
   COUNTIFS($A$2:A2013,A2013,
             $B$2:B2013,B2013,
             $C$2:C2013,C2013,
             $D$2:D2013,D2013,
             $G$2:G2013,G2013)&gt;1,
   "Doublon",
   "Correcte"
)</f>
        <v>Correcte</v>
      </c>
    </row>
    <row r="2014" spans="1:18" x14ac:dyDescent="0.25">
      <c r="A2014" s="104" t="s">
        <v>2124</v>
      </c>
      <c r="B2014" s="35" t="s">
        <v>712</v>
      </c>
      <c r="C2014" s="36">
        <v>0</v>
      </c>
      <c r="D2014" s="36">
        <v>5</v>
      </c>
      <c r="E2014" s="35" t="s">
        <v>699</v>
      </c>
      <c r="F2014" s="35" t="s">
        <v>634</v>
      </c>
      <c r="G2014" s="37">
        <v>45943.692430555559</v>
      </c>
      <c r="H2014" s="37" t="str">
        <f>INDEX(_xlfn.TEXTSPLIT(mvtst[[#This Row],[QR Suivis]],"_"),1,1)</f>
        <v>OF249848-24</v>
      </c>
      <c r="I2014" s="35" t="str">
        <f>_xlfn.TEXTBEFORE(mvtst[[#This Row],[Num Suivis]],"-",,,1)</f>
        <v>OF249848</v>
      </c>
      <c r="J2014" s="36">
        <f>SUMIF(mvtst[QR Suivis],mvtst[[#This Row],[QR Suivis]],mvtst[QTE SORTIS])-SUMIF(mvtst[QR Suivis],mvtst[[#This Row],[QR Suivis]],mvtst[QTE RETOUR])</f>
        <v>0</v>
      </c>
      <c r="K2014" s="35" t="str">
        <f t="shared" ref="K2014:K2056" si="35">"Usine"</f>
        <v>Usine</v>
      </c>
      <c r="L2014" s="35" t="str">
        <f>_xlfn.XLOOKUP(mvtst[[#This Row],[Sous Traitant]],coordonnee_st[Identification],coordonnee_st[SERVICE],"Non Trouvé")</f>
        <v>Frange</v>
      </c>
      <c r="M2014" s="35" t="str">
        <f>INDEX(_xlfn.TEXTSPLIT(mvtst[[#This Row],[QR Suivis]],"_"),1,2)</f>
        <v>CL00884</v>
      </c>
      <c r="N2014" s="35" t="str">
        <f>INDEX(_xlfn.TEXTSPLIT(mvtst[[#This Row],[QR Suivis]],"_"),1,3)</f>
        <v>CM-FT0119</v>
      </c>
      <c r="O2014" s="35" t="str">
        <f>INDEX(_xlfn.TEXTSPLIT(mvtst[[#This Row],[QR Suivis]],"_"),1,4)</f>
        <v>ST1020-S14-16-17</v>
      </c>
      <c r="P2014" s="35" t="str">
        <f>INDEX(_xlfn.TEXTSPLIT(mvtst[[#This Row],[QR Suivis]],"_"),1,5)</f>
        <v>ST TROPEZ</v>
      </c>
      <c r="Q2014" s="35" t="str">
        <f>_xlfn.TEXTAFTER(mvtst[[#This Row],[QR Suivis]],"_",5)</f>
        <v>1020</v>
      </c>
      <c r="R2014" s="84" t="str">
        <f>IF(
   COUNTIFS($A$2:A2014,A2014,
             $B$2:B2014,B2014,
             $C$2:C2014,C2014,
             $D$2:D2014,D2014,
             $G$2:G2014,G2014)&gt;1,
   "Doublon",
   "Correcte"
)</f>
        <v>Correcte</v>
      </c>
    </row>
    <row r="2015" spans="1:18" x14ac:dyDescent="0.25">
      <c r="A2015" s="104" t="s">
        <v>2082</v>
      </c>
      <c r="B2015" s="35" t="s">
        <v>712</v>
      </c>
      <c r="C2015" s="36">
        <v>0</v>
      </c>
      <c r="D2015" s="36">
        <v>5</v>
      </c>
      <c r="E2015" s="35" t="s">
        <v>699</v>
      </c>
      <c r="F2015" s="35" t="s">
        <v>634</v>
      </c>
      <c r="G2015" s="37">
        <v>45943.692708333336</v>
      </c>
      <c r="H2015" s="37" t="str">
        <f>INDEX(_xlfn.TEXTSPLIT(mvtst[[#This Row],[QR Suivis]],"_"),1,1)</f>
        <v>OF249946-39</v>
      </c>
      <c r="I2015" s="35" t="str">
        <f>_xlfn.TEXTBEFORE(mvtst[[#This Row],[Num Suivis]],"-",,,1)</f>
        <v>OF249946</v>
      </c>
      <c r="J2015" s="36">
        <f>SUMIF(mvtst[QR Suivis],mvtst[[#This Row],[QR Suivis]],mvtst[QTE SORTIS])-SUMIF(mvtst[QR Suivis],mvtst[[#This Row],[QR Suivis]],mvtst[QTE RETOUR])</f>
        <v>0</v>
      </c>
      <c r="K2015" s="35" t="str">
        <f t="shared" si="35"/>
        <v>Usine</v>
      </c>
      <c r="L2015" s="35" t="str">
        <f>_xlfn.XLOOKUP(mvtst[[#This Row],[Sous Traitant]],coordonnee_st[Identification],coordonnee_st[SERVICE],"Non Trouvé")</f>
        <v>Frange</v>
      </c>
      <c r="M2015" s="35" t="str">
        <f>INDEX(_xlfn.TEXTSPLIT(mvtst[[#This Row],[QR Suivis]],"_"),1,2)</f>
        <v>CL00884</v>
      </c>
      <c r="N2015" s="35" t="str">
        <f>INDEX(_xlfn.TEXTSPLIT(mvtst[[#This Row],[QR Suivis]],"_"),1,3)</f>
        <v>CM-FT0120</v>
      </c>
      <c r="O2015" s="35" t="str">
        <f>INDEX(_xlfn.TEXTSPLIT(mvtst[[#This Row],[QR Suivis]],"_"),1,4)</f>
        <v>ST1020-S14-16-17</v>
      </c>
      <c r="P2015" s="35" t="str">
        <f>INDEX(_xlfn.TEXTSPLIT(mvtst[[#This Row],[QR Suivis]],"_"),1,5)</f>
        <v>ST TROPEZ</v>
      </c>
      <c r="Q2015" s="35" t="str">
        <f>_xlfn.TEXTAFTER(mvtst[[#This Row],[QR Suivis]],"_",5)</f>
        <v>1020</v>
      </c>
      <c r="R2015" s="84" t="str">
        <f>IF(
   COUNTIFS($A$2:A2015,A2015,
             $B$2:B2015,B2015,
             $C$2:C2015,C2015,
             $D$2:D2015,D2015,
             $G$2:G2015,G2015)&gt;1,
   "Doublon",
   "Correcte"
)</f>
        <v>Correcte</v>
      </c>
    </row>
    <row r="2016" spans="1:18" x14ac:dyDescent="0.25">
      <c r="A2016" s="104" t="s">
        <v>2246</v>
      </c>
      <c r="B2016" s="35" t="s">
        <v>712</v>
      </c>
      <c r="C2016" s="36">
        <v>0</v>
      </c>
      <c r="D2016" s="36">
        <v>5</v>
      </c>
      <c r="E2016" s="35" t="s">
        <v>699</v>
      </c>
      <c r="F2016" s="35" t="s">
        <v>634</v>
      </c>
      <c r="G2016" s="37">
        <v>45943.692986111113</v>
      </c>
      <c r="H2016" s="37" t="str">
        <f>INDEX(_xlfn.TEXTSPLIT(mvtst[[#This Row],[QR Suivis]],"_"),1,1)</f>
        <v>OF249816-25</v>
      </c>
      <c r="I2016" s="35" t="str">
        <f>_xlfn.TEXTBEFORE(mvtst[[#This Row],[Num Suivis]],"-",,,1)</f>
        <v>OF249816</v>
      </c>
      <c r="J2016" s="36">
        <f>SUMIF(mvtst[QR Suivis],mvtst[[#This Row],[QR Suivis]],mvtst[QTE SORTIS])-SUMIF(mvtst[QR Suivis],mvtst[[#This Row],[QR Suivis]],mvtst[QTE RETOUR])</f>
        <v>0</v>
      </c>
      <c r="K2016" s="35" t="str">
        <f t="shared" si="35"/>
        <v>Usine</v>
      </c>
      <c r="L2016" s="35" t="str">
        <f>_xlfn.XLOOKUP(mvtst[[#This Row],[Sous Traitant]],coordonnee_st[Identification],coordonnee_st[SERVICE],"Non Trouvé")</f>
        <v>Frange</v>
      </c>
      <c r="M2016" s="35" t="str">
        <f>INDEX(_xlfn.TEXTSPLIT(mvtst[[#This Row],[QR Suivis]],"_"),1,2)</f>
        <v>CL00884</v>
      </c>
      <c r="N2016" s="35" t="str">
        <f>INDEX(_xlfn.TEXTSPLIT(mvtst[[#This Row],[QR Suivis]],"_"),1,3)</f>
        <v>CM-FT0119</v>
      </c>
      <c r="O2016" s="35" t="str">
        <f>INDEX(_xlfn.TEXTSPLIT(mvtst[[#This Row],[QR Suivis]],"_"),1,4)</f>
        <v>SO1020-Q29-11-14</v>
      </c>
      <c r="P2016" s="35" t="str">
        <f>INDEX(_xlfn.TEXTSPLIT(mvtst[[#This Row],[QR Suivis]],"_"),1,5)</f>
        <v>SOUSSE</v>
      </c>
      <c r="Q2016" s="35" t="str">
        <f>_xlfn.TEXTAFTER(mvtst[[#This Row],[QR Suivis]],"_",5)</f>
        <v>1020</v>
      </c>
      <c r="R2016" s="84" t="str">
        <f>IF(
   COUNTIFS($A$2:A2016,A2016,
             $B$2:B2016,B2016,
             $C$2:C2016,C2016,
             $D$2:D2016,D2016,
             $G$2:G2016,G2016)&gt;1,
   "Doublon",
   "Correcte"
)</f>
        <v>Correcte</v>
      </c>
    </row>
    <row r="2017" spans="1:18" x14ac:dyDescent="0.25">
      <c r="A2017" s="104" t="s">
        <v>2144</v>
      </c>
      <c r="B2017" s="35" t="s">
        <v>712</v>
      </c>
      <c r="C2017" s="36">
        <v>0</v>
      </c>
      <c r="D2017" s="36">
        <v>5</v>
      </c>
      <c r="E2017" s="35" t="s">
        <v>699</v>
      </c>
      <c r="F2017" s="35" t="s">
        <v>634</v>
      </c>
      <c r="G2017" s="37">
        <v>45943.693148148152</v>
      </c>
      <c r="H2017" s="37" t="str">
        <f>INDEX(_xlfn.TEXTSPLIT(mvtst[[#This Row],[QR Suivis]],"_"),1,1)</f>
        <v>OF249946-27</v>
      </c>
      <c r="I2017" s="35" t="str">
        <f>_xlfn.TEXTBEFORE(mvtst[[#This Row],[Num Suivis]],"-",,,1)</f>
        <v>OF249946</v>
      </c>
      <c r="J2017" s="36">
        <f>SUMIF(mvtst[QR Suivis],mvtst[[#This Row],[QR Suivis]],mvtst[QTE SORTIS])-SUMIF(mvtst[QR Suivis],mvtst[[#This Row],[QR Suivis]],mvtst[QTE RETOUR])</f>
        <v>0</v>
      </c>
      <c r="K2017" s="35" t="str">
        <f t="shared" si="35"/>
        <v>Usine</v>
      </c>
      <c r="L2017" s="35" t="str">
        <f>_xlfn.XLOOKUP(mvtst[[#This Row],[Sous Traitant]],coordonnee_st[Identification],coordonnee_st[SERVICE],"Non Trouvé")</f>
        <v>Frange</v>
      </c>
      <c r="M2017" s="35" t="str">
        <f>INDEX(_xlfn.TEXTSPLIT(mvtst[[#This Row],[QR Suivis]],"_"),1,2)</f>
        <v>CL00884</v>
      </c>
      <c r="N2017" s="35" t="str">
        <f>INDEX(_xlfn.TEXTSPLIT(mvtst[[#This Row],[QR Suivis]],"_"),1,3)</f>
        <v>CM-FT0120</v>
      </c>
      <c r="O2017" s="35" t="str">
        <f>INDEX(_xlfn.TEXTSPLIT(mvtst[[#This Row],[QR Suivis]],"_"),1,4)</f>
        <v>ST1020-S14-16-17</v>
      </c>
      <c r="P2017" s="35" t="str">
        <f>INDEX(_xlfn.TEXTSPLIT(mvtst[[#This Row],[QR Suivis]],"_"),1,5)</f>
        <v>ST TROPEZ</v>
      </c>
      <c r="Q2017" s="35" t="str">
        <f>_xlfn.TEXTAFTER(mvtst[[#This Row],[QR Suivis]],"_",5)</f>
        <v>1020</v>
      </c>
      <c r="R2017" s="84" t="str">
        <f>IF(
   COUNTIFS($A$2:A2017,A2017,
             $B$2:B2017,B2017,
             $C$2:C2017,C2017,
             $D$2:D2017,D2017,
             $G$2:G2017,G2017)&gt;1,
   "Doublon",
   "Correcte"
)</f>
        <v>Correcte</v>
      </c>
    </row>
    <row r="2018" spans="1:18" x14ac:dyDescent="0.25">
      <c r="A2018" s="104" t="s">
        <v>2142</v>
      </c>
      <c r="B2018" s="35" t="s">
        <v>712</v>
      </c>
      <c r="C2018" s="36">
        <v>0</v>
      </c>
      <c r="D2018" s="36">
        <v>5</v>
      </c>
      <c r="E2018" s="35" t="s">
        <v>699</v>
      </c>
      <c r="F2018" s="35" t="s">
        <v>634</v>
      </c>
      <c r="G2018" s="37">
        <v>45943.693287037036</v>
      </c>
      <c r="H2018" s="37" t="str">
        <f>INDEX(_xlfn.TEXTSPLIT(mvtst[[#This Row],[QR Suivis]],"_"),1,1)</f>
        <v>OF249946-7</v>
      </c>
      <c r="I2018" s="35" t="str">
        <f>_xlfn.TEXTBEFORE(mvtst[[#This Row],[Num Suivis]],"-",,,1)</f>
        <v>OF249946</v>
      </c>
      <c r="J2018" s="36">
        <f>SUMIF(mvtst[QR Suivis],mvtst[[#This Row],[QR Suivis]],mvtst[QTE SORTIS])-SUMIF(mvtst[QR Suivis],mvtst[[#This Row],[QR Suivis]],mvtst[QTE RETOUR])</f>
        <v>0</v>
      </c>
      <c r="K2018" s="35" t="str">
        <f t="shared" si="35"/>
        <v>Usine</v>
      </c>
      <c r="L2018" s="35" t="str">
        <f>_xlfn.XLOOKUP(mvtst[[#This Row],[Sous Traitant]],coordonnee_st[Identification],coordonnee_st[SERVICE],"Non Trouvé")</f>
        <v>Frange</v>
      </c>
      <c r="M2018" s="35" t="str">
        <f>INDEX(_xlfn.TEXTSPLIT(mvtst[[#This Row],[QR Suivis]],"_"),1,2)</f>
        <v>CL00884</v>
      </c>
      <c r="N2018" s="35" t="str">
        <f>INDEX(_xlfn.TEXTSPLIT(mvtst[[#This Row],[QR Suivis]],"_"),1,3)</f>
        <v>CM-FT0120</v>
      </c>
      <c r="O2018" s="35" t="str">
        <f>INDEX(_xlfn.TEXTSPLIT(mvtst[[#This Row],[QR Suivis]],"_"),1,4)</f>
        <v>ST1020-S14-16-17</v>
      </c>
      <c r="P2018" s="35" t="str">
        <f>INDEX(_xlfn.TEXTSPLIT(mvtst[[#This Row],[QR Suivis]],"_"),1,5)</f>
        <v>ST TROPEZ</v>
      </c>
      <c r="Q2018" s="35" t="str">
        <f>_xlfn.TEXTAFTER(mvtst[[#This Row],[QR Suivis]],"_",5)</f>
        <v>1020</v>
      </c>
      <c r="R2018" s="84" t="str">
        <f>IF(
   COUNTIFS($A$2:A2018,A2018,
             $B$2:B2018,B2018,
             $C$2:C2018,C2018,
             $D$2:D2018,D2018,
             $G$2:G2018,G2018)&gt;1,
   "Doublon",
   "Correcte"
)</f>
        <v>Correcte</v>
      </c>
    </row>
    <row r="2019" spans="1:18" x14ac:dyDescent="0.25">
      <c r="A2019" s="104" t="s">
        <v>2154</v>
      </c>
      <c r="B2019" s="35" t="s">
        <v>712</v>
      </c>
      <c r="C2019" s="36">
        <v>0</v>
      </c>
      <c r="D2019" s="36">
        <v>5</v>
      </c>
      <c r="E2019" s="35" t="s">
        <v>699</v>
      </c>
      <c r="F2019" s="35" t="s">
        <v>634</v>
      </c>
      <c r="G2019" s="37">
        <v>45943.693402777775</v>
      </c>
      <c r="H2019" s="37" t="str">
        <f>INDEX(_xlfn.TEXTSPLIT(mvtst[[#This Row],[QR Suivis]],"_"),1,1)</f>
        <v>OF249946-26</v>
      </c>
      <c r="I2019" s="35" t="str">
        <f>_xlfn.TEXTBEFORE(mvtst[[#This Row],[Num Suivis]],"-",,,1)</f>
        <v>OF249946</v>
      </c>
      <c r="J2019" s="36">
        <f>SUMIF(mvtst[QR Suivis],mvtst[[#This Row],[QR Suivis]],mvtst[QTE SORTIS])-SUMIF(mvtst[QR Suivis],mvtst[[#This Row],[QR Suivis]],mvtst[QTE RETOUR])</f>
        <v>0</v>
      </c>
      <c r="K2019" s="35" t="str">
        <f t="shared" si="35"/>
        <v>Usine</v>
      </c>
      <c r="L2019" s="35" t="str">
        <f>_xlfn.XLOOKUP(mvtst[[#This Row],[Sous Traitant]],coordonnee_st[Identification],coordonnee_st[SERVICE],"Non Trouvé")</f>
        <v>Frange</v>
      </c>
      <c r="M2019" s="35" t="str">
        <f>INDEX(_xlfn.TEXTSPLIT(mvtst[[#This Row],[QR Suivis]],"_"),1,2)</f>
        <v>CL00884</v>
      </c>
      <c r="N2019" s="35" t="str">
        <f>INDEX(_xlfn.TEXTSPLIT(mvtst[[#This Row],[QR Suivis]],"_"),1,3)</f>
        <v>CM-FT0120</v>
      </c>
      <c r="O2019" s="35" t="str">
        <f>INDEX(_xlfn.TEXTSPLIT(mvtst[[#This Row],[QR Suivis]],"_"),1,4)</f>
        <v>ST1020-S14-16-17</v>
      </c>
      <c r="P2019" s="35" t="str">
        <f>INDEX(_xlfn.TEXTSPLIT(mvtst[[#This Row],[QR Suivis]],"_"),1,5)</f>
        <v>ST TROPEZ</v>
      </c>
      <c r="Q2019" s="35" t="str">
        <f>_xlfn.TEXTAFTER(mvtst[[#This Row],[QR Suivis]],"_",5)</f>
        <v>1020</v>
      </c>
      <c r="R2019" s="84" t="str">
        <f>IF(
   COUNTIFS($A$2:A2019,A2019,
             $B$2:B2019,B2019,
             $C$2:C2019,C2019,
             $D$2:D2019,D2019,
             $G$2:G2019,G2019)&gt;1,
   "Doublon",
   "Correcte"
)</f>
        <v>Correcte</v>
      </c>
    </row>
    <row r="2020" spans="1:18" x14ac:dyDescent="0.25">
      <c r="A2020" s="104" t="s">
        <v>2150</v>
      </c>
      <c r="B2020" s="35" t="s">
        <v>712</v>
      </c>
      <c r="C2020" s="36">
        <v>0</v>
      </c>
      <c r="D2020" s="36">
        <v>5</v>
      </c>
      <c r="E2020" s="35" t="s">
        <v>699</v>
      </c>
      <c r="F2020" s="35" t="s">
        <v>634</v>
      </c>
      <c r="G2020" s="37">
        <v>45943.693611111114</v>
      </c>
      <c r="H2020" s="37" t="str">
        <f>INDEX(_xlfn.TEXTSPLIT(mvtst[[#This Row],[QR Suivis]],"_"),1,1)</f>
        <v>OF249946-15</v>
      </c>
      <c r="I2020" s="35" t="str">
        <f>_xlfn.TEXTBEFORE(mvtst[[#This Row],[Num Suivis]],"-",,,1)</f>
        <v>OF249946</v>
      </c>
      <c r="J2020" s="36">
        <f>SUMIF(mvtst[QR Suivis],mvtst[[#This Row],[QR Suivis]],mvtst[QTE SORTIS])-SUMIF(mvtst[QR Suivis],mvtst[[#This Row],[QR Suivis]],mvtst[QTE RETOUR])</f>
        <v>0</v>
      </c>
      <c r="K2020" s="35" t="str">
        <f t="shared" si="35"/>
        <v>Usine</v>
      </c>
      <c r="L2020" s="35" t="str">
        <f>_xlfn.XLOOKUP(mvtst[[#This Row],[Sous Traitant]],coordonnee_st[Identification],coordonnee_st[SERVICE],"Non Trouvé")</f>
        <v>Frange</v>
      </c>
      <c r="M2020" s="35" t="str">
        <f>INDEX(_xlfn.TEXTSPLIT(mvtst[[#This Row],[QR Suivis]],"_"),1,2)</f>
        <v>CL00884</v>
      </c>
      <c r="N2020" s="35" t="str">
        <f>INDEX(_xlfn.TEXTSPLIT(mvtst[[#This Row],[QR Suivis]],"_"),1,3)</f>
        <v>CM-FT0120</v>
      </c>
      <c r="O2020" s="35" t="str">
        <f>INDEX(_xlfn.TEXTSPLIT(mvtst[[#This Row],[QR Suivis]],"_"),1,4)</f>
        <v>ST1020-S14-16-17</v>
      </c>
      <c r="P2020" s="35" t="str">
        <f>INDEX(_xlfn.TEXTSPLIT(mvtst[[#This Row],[QR Suivis]],"_"),1,5)</f>
        <v>ST TROPEZ</v>
      </c>
      <c r="Q2020" s="35" t="str">
        <f>_xlfn.TEXTAFTER(mvtst[[#This Row],[QR Suivis]],"_",5)</f>
        <v>1020</v>
      </c>
      <c r="R2020" s="84" t="str">
        <f>IF(
   COUNTIFS($A$2:A2020,A2020,
             $B$2:B2020,B2020,
             $C$2:C2020,C2020,
             $D$2:D2020,D2020,
             $G$2:G2020,G2020)&gt;1,
   "Doublon",
   "Correcte"
)</f>
        <v>Correcte</v>
      </c>
    </row>
    <row r="2021" spans="1:18" x14ac:dyDescent="0.25">
      <c r="A2021" s="104" t="s">
        <v>2138</v>
      </c>
      <c r="B2021" s="35" t="s">
        <v>712</v>
      </c>
      <c r="C2021" s="36">
        <v>0</v>
      </c>
      <c r="D2021" s="36">
        <v>5</v>
      </c>
      <c r="E2021" s="35" t="s">
        <v>699</v>
      </c>
      <c r="F2021" s="35" t="s">
        <v>634</v>
      </c>
      <c r="G2021" s="37">
        <v>45943.693819444445</v>
      </c>
      <c r="H2021" s="37" t="str">
        <f>INDEX(_xlfn.TEXTSPLIT(mvtst[[#This Row],[QR Suivis]],"_"),1,1)</f>
        <v>OF249946-16</v>
      </c>
      <c r="I2021" s="35" t="str">
        <f>_xlfn.TEXTBEFORE(mvtst[[#This Row],[Num Suivis]],"-",,,1)</f>
        <v>OF249946</v>
      </c>
      <c r="J2021" s="36">
        <f>SUMIF(mvtst[QR Suivis],mvtst[[#This Row],[QR Suivis]],mvtst[QTE SORTIS])-SUMIF(mvtst[QR Suivis],mvtst[[#This Row],[QR Suivis]],mvtst[QTE RETOUR])</f>
        <v>0</v>
      </c>
      <c r="K2021" s="35" t="str">
        <f t="shared" si="35"/>
        <v>Usine</v>
      </c>
      <c r="L2021" s="35" t="str">
        <f>_xlfn.XLOOKUP(mvtst[[#This Row],[Sous Traitant]],coordonnee_st[Identification],coordonnee_st[SERVICE],"Non Trouvé")</f>
        <v>Frange</v>
      </c>
      <c r="M2021" s="35" t="str">
        <f>INDEX(_xlfn.TEXTSPLIT(mvtst[[#This Row],[QR Suivis]],"_"),1,2)</f>
        <v>CL00884</v>
      </c>
      <c r="N2021" s="35" t="str">
        <f>INDEX(_xlfn.TEXTSPLIT(mvtst[[#This Row],[QR Suivis]],"_"),1,3)</f>
        <v>CM-FT0120</v>
      </c>
      <c r="O2021" s="35" t="str">
        <f>INDEX(_xlfn.TEXTSPLIT(mvtst[[#This Row],[QR Suivis]],"_"),1,4)</f>
        <v>ST1020-S14-16-17</v>
      </c>
      <c r="P2021" s="35" t="str">
        <f>INDEX(_xlfn.TEXTSPLIT(mvtst[[#This Row],[QR Suivis]],"_"),1,5)</f>
        <v>ST TROPEZ</v>
      </c>
      <c r="Q2021" s="35" t="str">
        <f>_xlfn.TEXTAFTER(mvtst[[#This Row],[QR Suivis]],"_",5)</f>
        <v>1020</v>
      </c>
      <c r="R2021" s="84" t="str">
        <f>IF(
   COUNTIFS($A$2:A2021,A2021,
             $B$2:B2021,B2021,
             $C$2:C2021,C2021,
             $D$2:D2021,D2021,
             $G$2:G2021,G2021)&gt;1,
   "Doublon",
   "Correcte"
)</f>
        <v>Correcte</v>
      </c>
    </row>
    <row r="2022" spans="1:18" x14ac:dyDescent="0.25">
      <c r="A2022" s="104" t="s">
        <v>2146</v>
      </c>
      <c r="B2022" s="35" t="s">
        <v>712</v>
      </c>
      <c r="C2022" s="36">
        <v>0</v>
      </c>
      <c r="D2022" s="36">
        <v>5</v>
      </c>
      <c r="E2022" s="35" t="s">
        <v>699</v>
      </c>
      <c r="F2022" s="35" t="s">
        <v>634</v>
      </c>
      <c r="G2022" s="37">
        <v>45943.69394675926</v>
      </c>
      <c r="H2022" s="37" t="str">
        <f>INDEX(_xlfn.TEXTSPLIT(mvtst[[#This Row],[QR Suivis]],"_"),1,1)</f>
        <v>OF249946-3</v>
      </c>
      <c r="I2022" s="35" t="str">
        <f>_xlfn.TEXTBEFORE(mvtst[[#This Row],[Num Suivis]],"-",,,1)</f>
        <v>OF249946</v>
      </c>
      <c r="J2022" s="36">
        <f>SUMIF(mvtst[QR Suivis],mvtst[[#This Row],[QR Suivis]],mvtst[QTE SORTIS])-SUMIF(mvtst[QR Suivis],mvtst[[#This Row],[QR Suivis]],mvtst[QTE RETOUR])</f>
        <v>0</v>
      </c>
      <c r="K2022" s="35" t="str">
        <f t="shared" si="35"/>
        <v>Usine</v>
      </c>
      <c r="L2022" s="35" t="str">
        <f>_xlfn.XLOOKUP(mvtst[[#This Row],[Sous Traitant]],coordonnee_st[Identification],coordonnee_st[SERVICE],"Non Trouvé")</f>
        <v>Frange</v>
      </c>
      <c r="M2022" s="35" t="str">
        <f>INDEX(_xlfn.TEXTSPLIT(mvtst[[#This Row],[QR Suivis]],"_"),1,2)</f>
        <v>CL00884</v>
      </c>
      <c r="N2022" s="35" t="str">
        <f>INDEX(_xlfn.TEXTSPLIT(mvtst[[#This Row],[QR Suivis]],"_"),1,3)</f>
        <v>CM-FT0120</v>
      </c>
      <c r="O2022" s="35" t="str">
        <f>INDEX(_xlfn.TEXTSPLIT(mvtst[[#This Row],[QR Suivis]],"_"),1,4)</f>
        <v>ST1020-S14-16-17</v>
      </c>
      <c r="P2022" s="35" t="str">
        <f>INDEX(_xlfn.TEXTSPLIT(mvtst[[#This Row],[QR Suivis]],"_"),1,5)</f>
        <v>ST TROPEZ</v>
      </c>
      <c r="Q2022" s="35" t="str">
        <f>_xlfn.TEXTAFTER(mvtst[[#This Row],[QR Suivis]],"_",5)</f>
        <v>1020</v>
      </c>
      <c r="R2022" s="84" t="str">
        <f>IF(
   COUNTIFS($A$2:A2022,A2022,
             $B$2:B2022,B2022,
             $C$2:C2022,C2022,
             $D$2:D2022,D2022,
             $G$2:G2022,G2022)&gt;1,
   "Doublon",
   "Correcte"
)</f>
        <v>Correcte</v>
      </c>
    </row>
    <row r="2023" spans="1:18" x14ac:dyDescent="0.25">
      <c r="A2023" s="104" t="s">
        <v>2059</v>
      </c>
      <c r="B2023" s="35" t="s">
        <v>712</v>
      </c>
      <c r="C2023" s="36">
        <v>0</v>
      </c>
      <c r="D2023" s="36">
        <v>5</v>
      </c>
      <c r="E2023" s="35" t="s">
        <v>699</v>
      </c>
      <c r="F2023" s="35" t="s">
        <v>634</v>
      </c>
      <c r="G2023" s="37">
        <v>45943.694155092591</v>
      </c>
      <c r="H2023" s="37" t="str">
        <f>INDEX(_xlfn.TEXTSPLIT(mvtst[[#This Row],[QR Suivis]],"_"),1,1)</f>
        <v>OF249946-63</v>
      </c>
      <c r="I2023" s="35" t="str">
        <f>_xlfn.TEXTBEFORE(mvtst[[#This Row],[Num Suivis]],"-",,,1)</f>
        <v>OF249946</v>
      </c>
      <c r="J2023" s="36">
        <f>SUMIF(mvtst[QR Suivis],mvtst[[#This Row],[QR Suivis]],mvtst[QTE SORTIS])-SUMIF(mvtst[QR Suivis],mvtst[[#This Row],[QR Suivis]],mvtst[QTE RETOUR])</f>
        <v>0</v>
      </c>
      <c r="K2023" s="35" t="str">
        <f t="shared" si="35"/>
        <v>Usine</v>
      </c>
      <c r="L2023" s="35" t="str">
        <f>_xlfn.XLOOKUP(mvtst[[#This Row],[Sous Traitant]],coordonnee_st[Identification],coordonnee_st[SERVICE],"Non Trouvé")</f>
        <v>Frange</v>
      </c>
      <c r="M2023" s="35" t="str">
        <f>INDEX(_xlfn.TEXTSPLIT(mvtst[[#This Row],[QR Suivis]],"_"),1,2)</f>
        <v>CL00884</v>
      </c>
      <c r="N2023" s="35" t="str">
        <f>INDEX(_xlfn.TEXTSPLIT(mvtst[[#This Row],[QR Suivis]],"_"),1,3)</f>
        <v>CM-FT0120</v>
      </c>
      <c r="O2023" s="35" t="str">
        <f>INDEX(_xlfn.TEXTSPLIT(mvtst[[#This Row],[QR Suivis]],"_"),1,4)</f>
        <v>ST1020-S14-16-17</v>
      </c>
      <c r="P2023" s="35" t="str">
        <f>INDEX(_xlfn.TEXTSPLIT(mvtst[[#This Row],[QR Suivis]],"_"),1,5)</f>
        <v>ST TROPEZ</v>
      </c>
      <c r="Q2023" s="35" t="str">
        <f>_xlfn.TEXTAFTER(mvtst[[#This Row],[QR Suivis]],"_",5)</f>
        <v>1020</v>
      </c>
      <c r="R2023" s="84" t="str">
        <f>IF(
   COUNTIFS($A$2:A2023,A2023,
             $B$2:B2023,B2023,
             $C$2:C2023,C2023,
             $D$2:D2023,D2023,
             $G$2:G2023,G2023)&gt;1,
   "Doublon",
   "Correcte"
)</f>
        <v>Correcte</v>
      </c>
    </row>
    <row r="2024" spans="1:18" x14ac:dyDescent="0.25">
      <c r="A2024" s="104" t="s">
        <v>2259</v>
      </c>
      <c r="B2024" s="35" t="s">
        <v>712</v>
      </c>
      <c r="C2024" s="36">
        <v>0</v>
      </c>
      <c r="D2024" s="36">
        <v>5</v>
      </c>
      <c r="E2024" s="35" t="s">
        <v>699</v>
      </c>
      <c r="F2024" s="35" t="s">
        <v>634</v>
      </c>
      <c r="G2024" s="37">
        <v>45943.694340277776</v>
      </c>
      <c r="H2024" s="37" t="str">
        <f>INDEX(_xlfn.TEXTSPLIT(mvtst[[#This Row],[QR Suivis]],"_"),1,1)</f>
        <v>OF249816-39</v>
      </c>
      <c r="I2024" s="35" t="str">
        <f>_xlfn.TEXTBEFORE(mvtst[[#This Row],[Num Suivis]],"-",,,1)</f>
        <v>OF249816</v>
      </c>
      <c r="J2024" s="36">
        <f>SUMIF(mvtst[QR Suivis],mvtst[[#This Row],[QR Suivis]],mvtst[QTE SORTIS])-SUMIF(mvtst[QR Suivis],mvtst[[#This Row],[QR Suivis]],mvtst[QTE RETOUR])</f>
        <v>0</v>
      </c>
      <c r="K2024" s="35" t="str">
        <f t="shared" si="35"/>
        <v>Usine</v>
      </c>
      <c r="L2024" s="35" t="str">
        <f>_xlfn.XLOOKUP(mvtst[[#This Row],[Sous Traitant]],coordonnee_st[Identification],coordonnee_st[SERVICE],"Non Trouvé")</f>
        <v>Frange</v>
      </c>
      <c r="M2024" s="35" t="str">
        <f>INDEX(_xlfn.TEXTSPLIT(mvtst[[#This Row],[QR Suivis]],"_"),1,2)</f>
        <v>CL00884</v>
      </c>
      <c r="N2024" s="35" t="str">
        <f>INDEX(_xlfn.TEXTSPLIT(mvtst[[#This Row],[QR Suivis]],"_"),1,3)</f>
        <v>CM-FT0119</v>
      </c>
      <c r="O2024" s="35" t="str">
        <f>INDEX(_xlfn.TEXTSPLIT(mvtst[[#This Row],[QR Suivis]],"_"),1,4)</f>
        <v>SO1020-Q29-11-14</v>
      </c>
      <c r="P2024" s="35" t="str">
        <f>INDEX(_xlfn.TEXTSPLIT(mvtst[[#This Row],[QR Suivis]],"_"),1,5)</f>
        <v>SOUSSE</v>
      </c>
      <c r="Q2024" s="35" t="str">
        <f>_xlfn.TEXTAFTER(mvtst[[#This Row],[QR Suivis]],"_",5)</f>
        <v>1020</v>
      </c>
      <c r="R2024" s="84" t="str">
        <f>IF(
   COUNTIFS($A$2:A2024,A2024,
             $B$2:B2024,B2024,
             $C$2:C2024,C2024,
             $D$2:D2024,D2024,
             $G$2:G2024,G2024)&gt;1,
   "Doublon",
   "Correcte"
)</f>
        <v>Correcte</v>
      </c>
    </row>
    <row r="2025" spans="1:18" x14ac:dyDescent="0.25">
      <c r="A2025" s="104" t="s">
        <v>2261</v>
      </c>
      <c r="B2025" s="35" t="s">
        <v>712</v>
      </c>
      <c r="C2025" s="36">
        <v>0</v>
      </c>
      <c r="D2025" s="36">
        <v>5</v>
      </c>
      <c r="E2025" s="35" t="s">
        <v>699</v>
      </c>
      <c r="F2025" s="35" t="s">
        <v>634</v>
      </c>
      <c r="G2025" s="37">
        <v>45943.694513888891</v>
      </c>
      <c r="H2025" s="37" t="str">
        <f>INDEX(_xlfn.TEXTSPLIT(mvtst[[#This Row],[QR Suivis]],"_"),1,1)</f>
        <v>OF249816-33</v>
      </c>
      <c r="I2025" s="35" t="str">
        <f>_xlfn.TEXTBEFORE(mvtst[[#This Row],[Num Suivis]],"-",,,1)</f>
        <v>OF249816</v>
      </c>
      <c r="J2025" s="36">
        <f>SUMIF(mvtst[QR Suivis],mvtst[[#This Row],[QR Suivis]],mvtst[QTE SORTIS])-SUMIF(mvtst[QR Suivis],mvtst[[#This Row],[QR Suivis]],mvtst[QTE RETOUR])</f>
        <v>0</v>
      </c>
      <c r="K2025" s="35" t="str">
        <f t="shared" si="35"/>
        <v>Usine</v>
      </c>
      <c r="L2025" s="35" t="str">
        <f>_xlfn.XLOOKUP(mvtst[[#This Row],[Sous Traitant]],coordonnee_st[Identification],coordonnee_st[SERVICE],"Non Trouvé")</f>
        <v>Frange</v>
      </c>
      <c r="M2025" s="35" t="str">
        <f>INDEX(_xlfn.TEXTSPLIT(mvtst[[#This Row],[QR Suivis]],"_"),1,2)</f>
        <v>CL00884</v>
      </c>
      <c r="N2025" s="35" t="str">
        <f>INDEX(_xlfn.TEXTSPLIT(mvtst[[#This Row],[QR Suivis]],"_"),1,3)</f>
        <v>CM-FT0119</v>
      </c>
      <c r="O2025" s="35" t="str">
        <f>INDEX(_xlfn.TEXTSPLIT(mvtst[[#This Row],[QR Suivis]],"_"),1,4)</f>
        <v>SO1020-Q29-11-14</v>
      </c>
      <c r="P2025" s="35" t="str">
        <f>INDEX(_xlfn.TEXTSPLIT(mvtst[[#This Row],[QR Suivis]],"_"),1,5)</f>
        <v>SOUSSE</v>
      </c>
      <c r="Q2025" s="35" t="str">
        <f>_xlfn.TEXTAFTER(mvtst[[#This Row],[QR Suivis]],"_",5)</f>
        <v>1020</v>
      </c>
      <c r="R2025" s="84" t="str">
        <f>IF(
   COUNTIFS($A$2:A2025,A2025,
             $B$2:B2025,B2025,
             $C$2:C2025,C2025,
             $D$2:D2025,D2025,
             $G$2:G2025,G2025)&gt;1,
   "Doublon",
   "Correcte"
)</f>
        <v>Correcte</v>
      </c>
    </row>
    <row r="2026" spans="1:18" x14ac:dyDescent="0.25">
      <c r="A2026" s="104" t="s">
        <v>2117</v>
      </c>
      <c r="B2026" s="35" t="s">
        <v>712</v>
      </c>
      <c r="C2026" s="36">
        <v>0</v>
      </c>
      <c r="D2026" s="36">
        <v>5</v>
      </c>
      <c r="E2026" s="35" t="s">
        <v>699</v>
      </c>
      <c r="F2026" s="35" t="s">
        <v>634</v>
      </c>
      <c r="G2026" s="37">
        <v>45943.694687499999</v>
      </c>
      <c r="H2026" s="37" t="str">
        <f>INDEX(_xlfn.TEXTSPLIT(mvtst[[#This Row],[QR Suivis]],"_"),1,1)</f>
        <v>OF249848-40</v>
      </c>
      <c r="I2026" s="35" t="str">
        <f>_xlfn.TEXTBEFORE(mvtst[[#This Row],[Num Suivis]],"-",,,1)</f>
        <v>OF249848</v>
      </c>
      <c r="J2026" s="36">
        <f>SUMIF(mvtst[QR Suivis],mvtst[[#This Row],[QR Suivis]],mvtst[QTE SORTIS])-SUMIF(mvtst[QR Suivis],mvtst[[#This Row],[QR Suivis]],mvtst[QTE RETOUR])</f>
        <v>0</v>
      </c>
      <c r="K2026" s="35" t="str">
        <f t="shared" si="35"/>
        <v>Usine</v>
      </c>
      <c r="L2026" s="35" t="str">
        <f>_xlfn.XLOOKUP(mvtst[[#This Row],[Sous Traitant]],coordonnee_st[Identification],coordonnee_st[SERVICE],"Non Trouvé")</f>
        <v>Frange</v>
      </c>
      <c r="M2026" s="35" t="str">
        <f>INDEX(_xlfn.TEXTSPLIT(mvtst[[#This Row],[QR Suivis]],"_"),1,2)</f>
        <v>CL00884</v>
      </c>
      <c r="N2026" s="35" t="str">
        <f>INDEX(_xlfn.TEXTSPLIT(mvtst[[#This Row],[QR Suivis]],"_"),1,3)</f>
        <v>CM-FT0119</v>
      </c>
      <c r="O2026" s="35" t="str">
        <f>INDEX(_xlfn.TEXTSPLIT(mvtst[[#This Row],[QR Suivis]],"_"),1,4)</f>
        <v>ST1020-S14-16-17</v>
      </c>
      <c r="P2026" s="35" t="str">
        <f>INDEX(_xlfn.TEXTSPLIT(mvtst[[#This Row],[QR Suivis]],"_"),1,5)</f>
        <v>ST TROPEZ</v>
      </c>
      <c r="Q2026" s="35" t="str">
        <f>_xlfn.TEXTAFTER(mvtst[[#This Row],[QR Suivis]],"_",5)</f>
        <v>1020</v>
      </c>
      <c r="R2026" s="84" t="str">
        <f>IF(
   COUNTIFS($A$2:A2026,A2026,
             $B$2:B2026,B2026,
             $C$2:C2026,C2026,
             $D$2:D2026,D2026,
             $G$2:G2026,G2026)&gt;1,
   "Doublon",
   "Correcte"
)</f>
        <v>Correcte</v>
      </c>
    </row>
    <row r="2027" spans="1:18" x14ac:dyDescent="0.25">
      <c r="A2027" s="104" t="s">
        <v>2262</v>
      </c>
      <c r="B2027" s="35" t="s">
        <v>712</v>
      </c>
      <c r="C2027" s="36">
        <v>0</v>
      </c>
      <c r="D2027" s="36">
        <v>5</v>
      </c>
      <c r="E2027" s="35" t="s">
        <v>699</v>
      </c>
      <c r="F2027" s="35" t="s">
        <v>634</v>
      </c>
      <c r="G2027" s="37">
        <v>45943.694861111115</v>
      </c>
      <c r="H2027" s="37" t="str">
        <f>INDEX(_xlfn.TEXTSPLIT(mvtst[[#This Row],[QR Suivis]],"_"),1,1)</f>
        <v>OF249816-32</v>
      </c>
      <c r="I2027" s="35" t="str">
        <f>_xlfn.TEXTBEFORE(mvtst[[#This Row],[Num Suivis]],"-",,,1)</f>
        <v>OF249816</v>
      </c>
      <c r="J2027" s="36">
        <f>SUMIF(mvtst[QR Suivis],mvtst[[#This Row],[QR Suivis]],mvtst[QTE SORTIS])-SUMIF(mvtst[QR Suivis],mvtst[[#This Row],[QR Suivis]],mvtst[QTE RETOUR])</f>
        <v>0</v>
      </c>
      <c r="K2027" s="35" t="str">
        <f t="shared" si="35"/>
        <v>Usine</v>
      </c>
      <c r="L2027" s="35" t="str">
        <f>_xlfn.XLOOKUP(mvtst[[#This Row],[Sous Traitant]],coordonnee_st[Identification],coordonnee_st[SERVICE],"Non Trouvé")</f>
        <v>Frange</v>
      </c>
      <c r="M2027" s="35" t="str">
        <f>INDEX(_xlfn.TEXTSPLIT(mvtst[[#This Row],[QR Suivis]],"_"),1,2)</f>
        <v>CL00884</v>
      </c>
      <c r="N2027" s="35" t="str">
        <f>INDEX(_xlfn.TEXTSPLIT(mvtst[[#This Row],[QR Suivis]],"_"),1,3)</f>
        <v>CM-FT0119</v>
      </c>
      <c r="O2027" s="35" t="str">
        <f>INDEX(_xlfn.TEXTSPLIT(mvtst[[#This Row],[QR Suivis]],"_"),1,4)</f>
        <v>SO1020-Q29-11-14</v>
      </c>
      <c r="P2027" s="35" t="str">
        <f>INDEX(_xlfn.TEXTSPLIT(mvtst[[#This Row],[QR Suivis]],"_"),1,5)</f>
        <v>SOUSSE</v>
      </c>
      <c r="Q2027" s="35" t="str">
        <f>_xlfn.TEXTAFTER(mvtst[[#This Row],[QR Suivis]],"_",5)</f>
        <v>1020</v>
      </c>
      <c r="R2027" s="84" t="str">
        <f>IF(
   COUNTIFS($A$2:A2027,A2027,
             $B$2:B2027,B2027,
             $C$2:C2027,C2027,
             $D$2:D2027,D2027,
             $G$2:G2027,G2027)&gt;1,
   "Doublon",
   "Correcte"
)</f>
        <v>Correcte</v>
      </c>
    </row>
    <row r="2028" spans="1:18" x14ac:dyDescent="0.25">
      <c r="A2028" s="104" t="s">
        <v>2137</v>
      </c>
      <c r="B2028" s="35" t="s">
        <v>712</v>
      </c>
      <c r="C2028" s="36">
        <v>0</v>
      </c>
      <c r="D2028" s="36">
        <v>5</v>
      </c>
      <c r="E2028" s="35" t="s">
        <v>699</v>
      </c>
      <c r="F2028" s="35" t="s">
        <v>634</v>
      </c>
      <c r="G2028" s="37">
        <v>45943.695034722223</v>
      </c>
      <c r="H2028" s="37" t="str">
        <f>INDEX(_xlfn.TEXTSPLIT(mvtst[[#This Row],[QR Suivis]],"_"),1,1)</f>
        <v>OF249946-4</v>
      </c>
      <c r="I2028" s="35" t="str">
        <f>_xlfn.TEXTBEFORE(mvtst[[#This Row],[Num Suivis]],"-",,,1)</f>
        <v>OF249946</v>
      </c>
      <c r="J2028" s="36">
        <f>SUMIF(mvtst[QR Suivis],mvtst[[#This Row],[QR Suivis]],mvtst[QTE SORTIS])-SUMIF(mvtst[QR Suivis],mvtst[[#This Row],[QR Suivis]],mvtst[QTE RETOUR])</f>
        <v>0</v>
      </c>
      <c r="K2028" s="35" t="str">
        <f t="shared" si="35"/>
        <v>Usine</v>
      </c>
      <c r="L2028" s="35" t="str">
        <f>_xlfn.XLOOKUP(mvtst[[#This Row],[Sous Traitant]],coordonnee_st[Identification],coordonnee_st[SERVICE],"Non Trouvé")</f>
        <v>Frange</v>
      </c>
      <c r="M2028" s="35" t="str">
        <f>INDEX(_xlfn.TEXTSPLIT(mvtst[[#This Row],[QR Suivis]],"_"),1,2)</f>
        <v>CL00884</v>
      </c>
      <c r="N2028" s="35" t="str">
        <f>INDEX(_xlfn.TEXTSPLIT(mvtst[[#This Row],[QR Suivis]],"_"),1,3)</f>
        <v>CM-FT0120</v>
      </c>
      <c r="O2028" s="35" t="str">
        <f>INDEX(_xlfn.TEXTSPLIT(mvtst[[#This Row],[QR Suivis]],"_"),1,4)</f>
        <v>ST1020-S14-16-17</v>
      </c>
      <c r="P2028" s="35" t="str">
        <f>INDEX(_xlfn.TEXTSPLIT(mvtst[[#This Row],[QR Suivis]],"_"),1,5)</f>
        <v>ST TROPEZ</v>
      </c>
      <c r="Q2028" s="35" t="str">
        <f>_xlfn.TEXTAFTER(mvtst[[#This Row],[QR Suivis]],"_",5)</f>
        <v>1020</v>
      </c>
      <c r="R2028" s="84" t="str">
        <f>IF(
   COUNTIFS($A$2:A2028,A2028,
             $B$2:B2028,B2028,
             $C$2:C2028,C2028,
             $D$2:D2028,D2028,
             $G$2:G2028,G2028)&gt;1,
   "Doublon",
   "Correcte"
)</f>
        <v>Correcte</v>
      </c>
    </row>
    <row r="2029" spans="1:18" x14ac:dyDescent="0.25">
      <c r="A2029" s="104" t="s">
        <v>2109</v>
      </c>
      <c r="B2029" s="35" t="s">
        <v>712</v>
      </c>
      <c r="C2029" s="36">
        <v>0</v>
      </c>
      <c r="D2029" s="36">
        <v>5</v>
      </c>
      <c r="E2029" s="35" t="s">
        <v>699</v>
      </c>
      <c r="F2029" s="35" t="s">
        <v>634</v>
      </c>
      <c r="G2029" s="37">
        <v>45943.695185185185</v>
      </c>
      <c r="H2029" s="37" t="str">
        <f>INDEX(_xlfn.TEXTSPLIT(mvtst[[#This Row],[QR Suivis]],"_"),1,1)</f>
        <v>OF249848-38</v>
      </c>
      <c r="I2029" s="35" t="str">
        <f>_xlfn.TEXTBEFORE(mvtst[[#This Row],[Num Suivis]],"-",,,1)</f>
        <v>OF249848</v>
      </c>
      <c r="J2029" s="36">
        <f>SUMIF(mvtst[QR Suivis],mvtst[[#This Row],[QR Suivis]],mvtst[QTE SORTIS])-SUMIF(mvtst[QR Suivis],mvtst[[#This Row],[QR Suivis]],mvtst[QTE RETOUR])</f>
        <v>0</v>
      </c>
      <c r="K2029" s="35" t="str">
        <f t="shared" si="35"/>
        <v>Usine</v>
      </c>
      <c r="L2029" s="35" t="str">
        <f>_xlfn.XLOOKUP(mvtst[[#This Row],[Sous Traitant]],coordonnee_st[Identification],coordonnee_st[SERVICE],"Non Trouvé")</f>
        <v>Frange</v>
      </c>
      <c r="M2029" s="35" t="str">
        <f>INDEX(_xlfn.TEXTSPLIT(mvtst[[#This Row],[QR Suivis]],"_"),1,2)</f>
        <v>CL00884</v>
      </c>
      <c r="N2029" s="35" t="str">
        <f>INDEX(_xlfn.TEXTSPLIT(mvtst[[#This Row],[QR Suivis]],"_"),1,3)</f>
        <v>CM-FT0119</v>
      </c>
      <c r="O2029" s="35" t="str">
        <f>INDEX(_xlfn.TEXTSPLIT(mvtst[[#This Row],[QR Suivis]],"_"),1,4)</f>
        <v>ST1020-S14-16-17</v>
      </c>
      <c r="P2029" s="35" t="str">
        <f>INDEX(_xlfn.TEXTSPLIT(mvtst[[#This Row],[QR Suivis]],"_"),1,5)</f>
        <v>ST TROPEZ</v>
      </c>
      <c r="Q2029" s="35" t="str">
        <f>_xlfn.TEXTAFTER(mvtst[[#This Row],[QR Suivis]],"_",5)</f>
        <v>1020</v>
      </c>
      <c r="R2029" s="84" t="str">
        <f>IF(
   COUNTIFS($A$2:A2029,A2029,
             $B$2:B2029,B2029,
             $C$2:C2029,C2029,
             $D$2:D2029,D2029,
             $G$2:G2029,G2029)&gt;1,
   "Doublon",
   "Correcte"
)</f>
        <v>Correcte</v>
      </c>
    </row>
    <row r="2030" spans="1:18" x14ac:dyDescent="0.25">
      <c r="A2030" s="104" t="s">
        <v>2125</v>
      </c>
      <c r="B2030" s="35" t="s">
        <v>712</v>
      </c>
      <c r="C2030" s="36">
        <v>0</v>
      </c>
      <c r="D2030" s="36">
        <v>5</v>
      </c>
      <c r="E2030" s="35" t="s">
        <v>699</v>
      </c>
      <c r="F2030" s="35" t="s">
        <v>634</v>
      </c>
      <c r="G2030" s="37">
        <v>45943.695335648146</v>
      </c>
      <c r="H2030" s="37" t="str">
        <f>INDEX(_xlfn.TEXTSPLIT(mvtst[[#This Row],[QR Suivis]],"_"),1,1)</f>
        <v>OF249848-20</v>
      </c>
      <c r="I2030" s="35" t="str">
        <f>_xlfn.TEXTBEFORE(mvtst[[#This Row],[Num Suivis]],"-",,,1)</f>
        <v>OF249848</v>
      </c>
      <c r="J2030" s="36">
        <f>SUMIF(mvtst[QR Suivis],mvtst[[#This Row],[QR Suivis]],mvtst[QTE SORTIS])-SUMIF(mvtst[QR Suivis],mvtst[[#This Row],[QR Suivis]],mvtst[QTE RETOUR])</f>
        <v>0</v>
      </c>
      <c r="K2030" s="35" t="str">
        <f t="shared" si="35"/>
        <v>Usine</v>
      </c>
      <c r="L2030" s="35" t="str">
        <f>_xlfn.XLOOKUP(mvtst[[#This Row],[Sous Traitant]],coordonnee_st[Identification],coordonnee_st[SERVICE],"Non Trouvé")</f>
        <v>Frange</v>
      </c>
      <c r="M2030" s="35" t="str">
        <f>INDEX(_xlfn.TEXTSPLIT(mvtst[[#This Row],[QR Suivis]],"_"),1,2)</f>
        <v>CL00884</v>
      </c>
      <c r="N2030" s="35" t="str">
        <f>INDEX(_xlfn.TEXTSPLIT(mvtst[[#This Row],[QR Suivis]],"_"),1,3)</f>
        <v>CM-FT0119</v>
      </c>
      <c r="O2030" s="35" t="str">
        <f>INDEX(_xlfn.TEXTSPLIT(mvtst[[#This Row],[QR Suivis]],"_"),1,4)</f>
        <v>ST1020-S14-16-17</v>
      </c>
      <c r="P2030" s="35" t="str">
        <f>INDEX(_xlfn.TEXTSPLIT(mvtst[[#This Row],[QR Suivis]],"_"),1,5)</f>
        <v>ST TROPEZ</v>
      </c>
      <c r="Q2030" s="35" t="str">
        <f>_xlfn.TEXTAFTER(mvtst[[#This Row],[QR Suivis]],"_",5)</f>
        <v>1020</v>
      </c>
      <c r="R2030" s="84" t="str">
        <f>IF(
   COUNTIFS($A$2:A2030,A2030,
             $B$2:B2030,B2030,
             $C$2:C2030,C2030,
             $D$2:D2030,D2030,
             $G$2:G2030,G2030)&gt;1,
   "Doublon",
   "Correcte"
)</f>
        <v>Correcte</v>
      </c>
    </row>
    <row r="2031" spans="1:18" x14ac:dyDescent="0.25">
      <c r="A2031" s="104" t="s">
        <v>2153</v>
      </c>
      <c r="B2031" s="35" t="s">
        <v>712</v>
      </c>
      <c r="C2031" s="36">
        <v>0</v>
      </c>
      <c r="D2031" s="36">
        <v>5</v>
      </c>
      <c r="E2031" s="35" t="s">
        <v>699</v>
      </c>
      <c r="F2031" s="35" t="s">
        <v>634</v>
      </c>
      <c r="G2031" s="37">
        <v>45943.695497685185</v>
      </c>
      <c r="H2031" s="37" t="str">
        <f>INDEX(_xlfn.TEXTSPLIT(mvtst[[#This Row],[QR Suivis]],"_"),1,1)</f>
        <v>OF249946-30</v>
      </c>
      <c r="I2031" s="35" t="str">
        <f>_xlfn.TEXTBEFORE(mvtst[[#This Row],[Num Suivis]],"-",,,1)</f>
        <v>OF249946</v>
      </c>
      <c r="J2031" s="36">
        <f>SUMIF(mvtst[QR Suivis],mvtst[[#This Row],[QR Suivis]],mvtst[QTE SORTIS])-SUMIF(mvtst[QR Suivis],mvtst[[#This Row],[QR Suivis]],mvtst[QTE RETOUR])</f>
        <v>0</v>
      </c>
      <c r="K2031" s="35" t="str">
        <f t="shared" si="35"/>
        <v>Usine</v>
      </c>
      <c r="L2031" s="35" t="str">
        <f>_xlfn.XLOOKUP(mvtst[[#This Row],[Sous Traitant]],coordonnee_st[Identification],coordonnee_st[SERVICE],"Non Trouvé")</f>
        <v>Frange</v>
      </c>
      <c r="M2031" s="35" t="str">
        <f>INDEX(_xlfn.TEXTSPLIT(mvtst[[#This Row],[QR Suivis]],"_"),1,2)</f>
        <v>CL00884</v>
      </c>
      <c r="N2031" s="35" t="str">
        <f>INDEX(_xlfn.TEXTSPLIT(mvtst[[#This Row],[QR Suivis]],"_"),1,3)</f>
        <v>CM-FT0120</v>
      </c>
      <c r="O2031" s="35" t="str">
        <f>INDEX(_xlfn.TEXTSPLIT(mvtst[[#This Row],[QR Suivis]],"_"),1,4)</f>
        <v>ST1020-S14-16-17</v>
      </c>
      <c r="P2031" s="35" t="str">
        <f>INDEX(_xlfn.TEXTSPLIT(mvtst[[#This Row],[QR Suivis]],"_"),1,5)</f>
        <v>ST TROPEZ</v>
      </c>
      <c r="Q2031" s="35" t="str">
        <f>_xlfn.TEXTAFTER(mvtst[[#This Row],[QR Suivis]],"_",5)</f>
        <v>1020</v>
      </c>
      <c r="R2031" s="84" t="str">
        <f>IF(
   COUNTIFS($A$2:A2031,A2031,
             $B$2:B2031,B2031,
             $C$2:C2031,C2031,
             $D$2:D2031,D2031,
             $G$2:G2031,G2031)&gt;1,
   "Doublon",
   "Correcte"
)</f>
        <v>Correcte</v>
      </c>
    </row>
    <row r="2032" spans="1:18" x14ac:dyDescent="0.25">
      <c r="A2032" s="104" t="s">
        <v>2049</v>
      </c>
      <c r="B2032" s="35" t="s">
        <v>712</v>
      </c>
      <c r="C2032" s="36">
        <v>0</v>
      </c>
      <c r="D2032" s="36">
        <v>5</v>
      </c>
      <c r="E2032" s="35" t="s">
        <v>699</v>
      </c>
      <c r="F2032" s="35" t="s">
        <v>634</v>
      </c>
      <c r="G2032" s="37">
        <v>45943.695659722223</v>
      </c>
      <c r="H2032" s="37" t="str">
        <f>INDEX(_xlfn.TEXTSPLIT(mvtst[[#This Row],[QR Suivis]],"_"),1,1)</f>
        <v>OF249848-4</v>
      </c>
      <c r="I2032" s="35" t="str">
        <f>_xlfn.TEXTBEFORE(mvtst[[#This Row],[Num Suivis]],"-",,,1)</f>
        <v>OF249848</v>
      </c>
      <c r="J2032" s="36">
        <f>SUMIF(mvtst[QR Suivis],mvtst[[#This Row],[QR Suivis]],mvtst[QTE SORTIS])-SUMIF(mvtst[QR Suivis],mvtst[[#This Row],[QR Suivis]],mvtst[QTE RETOUR])</f>
        <v>0</v>
      </c>
      <c r="K2032" s="35" t="str">
        <f t="shared" si="35"/>
        <v>Usine</v>
      </c>
      <c r="L2032" s="35" t="str">
        <f>_xlfn.XLOOKUP(mvtst[[#This Row],[Sous Traitant]],coordonnee_st[Identification],coordonnee_st[SERVICE],"Non Trouvé")</f>
        <v>Frange</v>
      </c>
      <c r="M2032" s="35" t="str">
        <f>INDEX(_xlfn.TEXTSPLIT(mvtst[[#This Row],[QR Suivis]],"_"),1,2)</f>
        <v>CL00884</v>
      </c>
      <c r="N2032" s="35" t="str">
        <f>INDEX(_xlfn.TEXTSPLIT(mvtst[[#This Row],[QR Suivis]],"_"),1,3)</f>
        <v>CM-FT0119</v>
      </c>
      <c r="O2032" s="35" t="str">
        <f>INDEX(_xlfn.TEXTSPLIT(mvtst[[#This Row],[QR Suivis]],"_"),1,4)</f>
        <v>ST1020-S14-16-17</v>
      </c>
      <c r="P2032" s="35" t="str">
        <f>INDEX(_xlfn.TEXTSPLIT(mvtst[[#This Row],[QR Suivis]],"_"),1,5)</f>
        <v>ST TROPEZ</v>
      </c>
      <c r="Q2032" s="35" t="str">
        <f>_xlfn.TEXTAFTER(mvtst[[#This Row],[QR Suivis]],"_",5)</f>
        <v>1020</v>
      </c>
      <c r="R2032" s="84" t="str">
        <f>IF(
   COUNTIFS($A$2:A2032,A2032,
             $B$2:B2032,B2032,
             $C$2:C2032,C2032,
             $D$2:D2032,D2032,
             $G$2:G2032,G2032)&gt;1,
   "Doublon",
   "Correcte"
)</f>
        <v>Correcte</v>
      </c>
    </row>
    <row r="2033" spans="1:18" x14ac:dyDescent="0.25">
      <c r="A2033" s="104" t="s">
        <v>2149</v>
      </c>
      <c r="B2033" s="35" t="s">
        <v>712</v>
      </c>
      <c r="C2033" s="36">
        <v>0</v>
      </c>
      <c r="D2033" s="36">
        <v>5</v>
      </c>
      <c r="E2033" s="35" t="s">
        <v>699</v>
      </c>
      <c r="F2033" s="35" t="s">
        <v>634</v>
      </c>
      <c r="G2033" s="37">
        <v>45943.695798611108</v>
      </c>
      <c r="H2033" s="37" t="str">
        <f>INDEX(_xlfn.TEXTSPLIT(mvtst[[#This Row],[QR Suivis]],"_"),1,1)</f>
        <v>OF249946-13</v>
      </c>
      <c r="I2033" s="35" t="str">
        <f>_xlfn.TEXTBEFORE(mvtst[[#This Row],[Num Suivis]],"-",,,1)</f>
        <v>OF249946</v>
      </c>
      <c r="J2033" s="36">
        <f>SUMIF(mvtst[QR Suivis],mvtst[[#This Row],[QR Suivis]],mvtst[QTE SORTIS])-SUMIF(mvtst[QR Suivis],mvtst[[#This Row],[QR Suivis]],mvtst[QTE RETOUR])</f>
        <v>0</v>
      </c>
      <c r="K2033" s="35" t="str">
        <f t="shared" si="35"/>
        <v>Usine</v>
      </c>
      <c r="L2033" s="35" t="str">
        <f>_xlfn.XLOOKUP(mvtst[[#This Row],[Sous Traitant]],coordonnee_st[Identification],coordonnee_st[SERVICE],"Non Trouvé")</f>
        <v>Frange</v>
      </c>
      <c r="M2033" s="35" t="str">
        <f>INDEX(_xlfn.TEXTSPLIT(mvtst[[#This Row],[QR Suivis]],"_"),1,2)</f>
        <v>CL00884</v>
      </c>
      <c r="N2033" s="35" t="str">
        <f>INDEX(_xlfn.TEXTSPLIT(mvtst[[#This Row],[QR Suivis]],"_"),1,3)</f>
        <v>CM-FT0120</v>
      </c>
      <c r="O2033" s="35" t="str">
        <f>INDEX(_xlfn.TEXTSPLIT(mvtst[[#This Row],[QR Suivis]],"_"),1,4)</f>
        <v>ST1020-S14-16-17</v>
      </c>
      <c r="P2033" s="35" t="str">
        <f>INDEX(_xlfn.TEXTSPLIT(mvtst[[#This Row],[QR Suivis]],"_"),1,5)</f>
        <v>ST TROPEZ</v>
      </c>
      <c r="Q2033" s="35" t="str">
        <f>_xlfn.TEXTAFTER(mvtst[[#This Row],[QR Suivis]],"_",5)</f>
        <v>1020</v>
      </c>
      <c r="R2033" s="84" t="str">
        <f>IF(
   COUNTIFS($A$2:A2033,A2033,
             $B$2:B2033,B2033,
             $C$2:C2033,C2033,
             $D$2:D2033,D2033,
             $G$2:G2033,G2033)&gt;1,
   "Doublon",
   "Correcte"
)</f>
        <v>Correcte</v>
      </c>
    </row>
    <row r="2034" spans="1:18" x14ac:dyDescent="0.25">
      <c r="A2034" s="104" t="s">
        <v>2186</v>
      </c>
      <c r="B2034" s="35" t="s">
        <v>712</v>
      </c>
      <c r="C2034" s="36">
        <v>0</v>
      </c>
      <c r="D2034" s="36">
        <v>5</v>
      </c>
      <c r="E2034" s="35" t="s">
        <v>699</v>
      </c>
      <c r="F2034" s="35" t="s">
        <v>634</v>
      </c>
      <c r="G2034" s="37">
        <v>45943.696388888886</v>
      </c>
      <c r="H2034" s="37" t="str">
        <f>INDEX(_xlfn.TEXTSPLIT(mvtst[[#This Row],[QR Suivis]],"_"),1,1)</f>
        <v>OF249859-8</v>
      </c>
      <c r="I2034" s="35" t="str">
        <f>_xlfn.TEXTBEFORE(mvtst[[#This Row],[Num Suivis]],"-",,,1)</f>
        <v>OF249859</v>
      </c>
      <c r="J2034" s="36">
        <f>SUMIF(mvtst[QR Suivis],mvtst[[#This Row],[QR Suivis]],mvtst[QTE SORTIS])-SUMIF(mvtst[QR Suivis],mvtst[[#This Row],[QR Suivis]],mvtst[QTE RETOUR])</f>
        <v>0</v>
      </c>
      <c r="K2034" s="35" t="str">
        <f t="shared" si="35"/>
        <v>Usine</v>
      </c>
      <c r="L2034" s="35" t="str">
        <f>_xlfn.XLOOKUP(mvtst[[#This Row],[Sous Traitant]],coordonnee_st[Identification],coordonnee_st[SERVICE],"Non Trouvé")</f>
        <v>Frange</v>
      </c>
      <c r="M2034" s="35" t="str">
        <f>INDEX(_xlfn.TEXTSPLIT(mvtst[[#This Row],[QR Suivis]],"_"),1,2)</f>
        <v>CL00884</v>
      </c>
      <c r="N2034" s="35" t="str">
        <f>INDEX(_xlfn.TEXTSPLIT(mvtst[[#This Row],[QR Suivis]],"_"),1,3)</f>
        <v>CM-FT0119</v>
      </c>
      <c r="O2034" s="35" t="str">
        <f>INDEX(_xlfn.TEXTSPLIT(mvtst[[#This Row],[QR Suivis]],"_"),1,4)</f>
        <v>AR2020-B29-01</v>
      </c>
      <c r="P2034" s="35" t="str">
        <f>INDEX(_xlfn.TEXTSPLIT(mvtst[[#This Row],[QR Suivis]],"_"),1,5)</f>
        <v>ARTHUR</v>
      </c>
      <c r="Q2034" s="35" t="str">
        <f>_xlfn.TEXTAFTER(mvtst[[#This Row],[QR Suivis]],"_",5)</f>
        <v>2020</v>
      </c>
      <c r="R2034" s="84" t="str">
        <f>IF(
   COUNTIFS($A$2:A2034,A2034,
             $B$2:B2034,B2034,
             $C$2:C2034,C2034,
             $D$2:D2034,D2034,
             $G$2:G2034,G2034)&gt;1,
   "Doublon",
   "Correcte"
)</f>
        <v>Correcte</v>
      </c>
    </row>
    <row r="2035" spans="1:18" x14ac:dyDescent="0.25">
      <c r="A2035" s="104" t="s">
        <v>2181</v>
      </c>
      <c r="B2035" s="35" t="s">
        <v>712</v>
      </c>
      <c r="C2035" s="36">
        <v>0</v>
      </c>
      <c r="D2035" s="36">
        <v>5</v>
      </c>
      <c r="E2035" s="35" t="s">
        <v>699</v>
      </c>
      <c r="F2035" s="35" t="s">
        <v>634</v>
      </c>
      <c r="G2035" s="37">
        <v>45943.696527777778</v>
      </c>
      <c r="H2035" s="37" t="str">
        <f>INDEX(_xlfn.TEXTSPLIT(mvtst[[#This Row],[QR Suivis]],"_"),1,1)</f>
        <v>OF249859-1</v>
      </c>
      <c r="I2035" s="35" t="str">
        <f>_xlfn.TEXTBEFORE(mvtst[[#This Row],[Num Suivis]],"-",,,1)</f>
        <v>OF249859</v>
      </c>
      <c r="J2035" s="36">
        <f>SUMIF(mvtst[QR Suivis],mvtst[[#This Row],[QR Suivis]],mvtst[QTE SORTIS])-SUMIF(mvtst[QR Suivis],mvtst[[#This Row],[QR Suivis]],mvtst[QTE RETOUR])</f>
        <v>0</v>
      </c>
      <c r="K2035" s="35" t="str">
        <f t="shared" si="35"/>
        <v>Usine</v>
      </c>
      <c r="L2035" s="35" t="str">
        <f>_xlfn.XLOOKUP(mvtst[[#This Row],[Sous Traitant]],coordonnee_st[Identification],coordonnee_st[SERVICE],"Non Trouvé")</f>
        <v>Frange</v>
      </c>
      <c r="M2035" s="35" t="str">
        <f>INDEX(_xlfn.TEXTSPLIT(mvtst[[#This Row],[QR Suivis]],"_"),1,2)</f>
        <v>CL00884</v>
      </c>
      <c r="N2035" s="35" t="str">
        <f>INDEX(_xlfn.TEXTSPLIT(mvtst[[#This Row],[QR Suivis]],"_"),1,3)</f>
        <v>CM-FT0119</v>
      </c>
      <c r="O2035" s="35" t="str">
        <f>INDEX(_xlfn.TEXTSPLIT(mvtst[[#This Row],[QR Suivis]],"_"),1,4)</f>
        <v>AR2020-B29-01</v>
      </c>
      <c r="P2035" s="35" t="str">
        <f>INDEX(_xlfn.TEXTSPLIT(mvtst[[#This Row],[QR Suivis]],"_"),1,5)</f>
        <v>ARTHUR</v>
      </c>
      <c r="Q2035" s="35" t="str">
        <f>_xlfn.TEXTAFTER(mvtst[[#This Row],[QR Suivis]],"_",5)</f>
        <v>2020</v>
      </c>
      <c r="R2035" s="84" t="str">
        <f>IF(
   COUNTIFS($A$2:A2035,A2035,
             $B$2:B2035,B2035,
             $C$2:C2035,C2035,
             $D$2:D2035,D2035,
             $G$2:G2035,G2035)&gt;1,
   "Doublon",
   "Correcte"
)</f>
        <v>Correcte</v>
      </c>
    </row>
    <row r="2036" spans="1:18" x14ac:dyDescent="0.25">
      <c r="A2036" s="104" t="s">
        <v>2185</v>
      </c>
      <c r="B2036" s="35" t="s">
        <v>712</v>
      </c>
      <c r="C2036" s="36">
        <v>0</v>
      </c>
      <c r="D2036" s="36">
        <v>5</v>
      </c>
      <c r="E2036" s="35" t="s">
        <v>699</v>
      </c>
      <c r="F2036" s="35" t="s">
        <v>634</v>
      </c>
      <c r="G2036" s="37">
        <v>45943.696655092594</v>
      </c>
      <c r="H2036" s="37" t="str">
        <f>INDEX(_xlfn.TEXTSPLIT(mvtst[[#This Row],[QR Suivis]],"_"),1,1)</f>
        <v>OF249859-3</v>
      </c>
      <c r="I2036" s="35" t="str">
        <f>_xlfn.TEXTBEFORE(mvtst[[#This Row],[Num Suivis]],"-",,,1)</f>
        <v>OF249859</v>
      </c>
      <c r="J2036" s="36">
        <f>SUMIF(mvtst[QR Suivis],mvtst[[#This Row],[QR Suivis]],mvtst[QTE SORTIS])-SUMIF(mvtst[QR Suivis],mvtst[[#This Row],[QR Suivis]],mvtst[QTE RETOUR])</f>
        <v>0</v>
      </c>
      <c r="K2036" s="35" t="str">
        <f t="shared" si="35"/>
        <v>Usine</v>
      </c>
      <c r="L2036" s="35" t="str">
        <f>_xlfn.XLOOKUP(mvtst[[#This Row],[Sous Traitant]],coordonnee_st[Identification],coordonnee_st[SERVICE],"Non Trouvé")</f>
        <v>Frange</v>
      </c>
      <c r="M2036" s="35" t="str">
        <f>INDEX(_xlfn.TEXTSPLIT(mvtst[[#This Row],[QR Suivis]],"_"),1,2)</f>
        <v>CL00884</v>
      </c>
      <c r="N2036" s="35" t="str">
        <f>INDEX(_xlfn.TEXTSPLIT(mvtst[[#This Row],[QR Suivis]],"_"),1,3)</f>
        <v>CM-FT0119</v>
      </c>
      <c r="O2036" s="35" t="str">
        <f>INDEX(_xlfn.TEXTSPLIT(mvtst[[#This Row],[QR Suivis]],"_"),1,4)</f>
        <v>AR2020-B29-01</v>
      </c>
      <c r="P2036" s="35" t="str">
        <f>INDEX(_xlfn.TEXTSPLIT(mvtst[[#This Row],[QR Suivis]],"_"),1,5)</f>
        <v>ARTHUR</v>
      </c>
      <c r="Q2036" s="35" t="str">
        <f>_xlfn.TEXTAFTER(mvtst[[#This Row],[QR Suivis]],"_",5)</f>
        <v>2020</v>
      </c>
      <c r="R2036" s="84" t="str">
        <f>IF(
   COUNTIFS($A$2:A2036,A2036,
             $B$2:B2036,B2036,
             $C$2:C2036,C2036,
             $D$2:D2036,D2036,
             $G$2:G2036,G2036)&gt;1,
   "Doublon",
   "Correcte"
)</f>
        <v>Correcte</v>
      </c>
    </row>
    <row r="2037" spans="1:18" x14ac:dyDescent="0.25">
      <c r="A2037" s="104" t="s">
        <v>2187</v>
      </c>
      <c r="B2037" s="35" t="s">
        <v>712</v>
      </c>
      <c r="C2037" s="36">
        <v>0</v>
      </c>
      <c r="D2037" s="36">
        <v>5</v>
      </c>
      <c r="E2037" s="35" t="s">
        <v>699</v>
      </c>
      <c r="F2037" s="35" t="s">
        <v>634</v>
      </c>
      <c r="G2037" s="37">
        <v>45943.696851851855</v>
      </c>
      <c r="H2037" s="37" t="str">
        <f>INDEX(_xlfn.TEXTSPLIT(mvtst[[#This Row],[QR Suivis]],"_"),1,1)</f>
        <v>OF249859-7</v>
      </c>
      <c r="I2037" s="35" t="str">
        <f>_xlfn.TEXTBEFORE(mvtst[[#This Row],[Num Suivis]],"-",,,1)</f>
        <v>OF249859</v>
      </c>
      <c r="J2037" s="36">
        <f>SUMIF(mvtst[QR Suivis],mvtst[[#This Row],[QR Suivis]],mvtst[QTE SORTIS])-SUMIF(mvtst[QR Suivis],mvtst[[#This Row],[QR Suivis]],mvtst[QTE RETOUR])</f>
        <v>0</v>
      </c>
      <c r="K2037" s="35" t="str">
        <f t="shared" si="35"/>
        <v>Usine</v>
      </c>
      <c r="L2037" s="35" t="str">
        <f>_xlfn.XLOOKUP(mvtst[[#This Row],[Sous Traitant]],coordonnee_st[Identification],coordonnee_st[SERVICE],"Non Trouvé")</f>
        <v>Frange</v>
      </c>
      <c r="M2037" s="35" t="str">
        <f>INDEX(_xlfn.TEXTSPLIT(mvtst[[#This Row],[QR Suivis]],"_"),1,2)</f>
        <v>CL00884</v>
      </c>
      <c r="N2037" s="35" t="str">
        <f>INDEX(_xlfn.TEXTSPLIT(mvtst[[#This Row],[QR Suivis]],"_"),1,3)</f>
        <v>CM-FT0119</v>
      </c>
      <c r="O2037" s="35" t="str">
        <f>INDEX(_xlfn.TEXTSPLIT(mvtst[[#This Row],[QR Suivis]],"_"),1,4)</f>
        <v>AR2020-B29-01</v>
      </c>
      <c r="P2037" s="35" t="str">
        <f>INDEX(_xlfn.TEXTSPLIT(mvtst[[#This Row],[QR Suivis]],"_"),1,5)</f>
        <v>ARTHUR</v>
      </c>
      <c r="Q2037" s="35" t="str">
        <f>_xlfn.TEXTAFTER(mvtst[[#This Row],[QR Suivis]],"_",5)</f>
        <v>2020</v>
      </c>
      <c r="R2037" s="84" t="str">
        <f>IF(
   COUNTIFS($A$2:A2037,A2037,
             $B$2:B2037,B2037,
             $C$2:C2037,C2037,
             $D$2:D2037,D2037,
             $G$2:G2037,G2037)&gt;1,
   "Doublon",
   "Correcte"
)</f>
        <v>Correcte</v>
      </c>
    </row>
    <row r="2038" spans="1:18" x14ac:dyDescent="0.25">
      <c r="A2038" s="104" t="s">
        <v>2182</v>
      </c>
      <c r="B2038" s="35" t="s">
        <v>712</v>
      </c>
      <c r="C2038" s="36">
        <v>0</v>
      </c>
      <c r="D2038" s="36">
        <v>5</v>
      </c>
      <c r="E2038" s="35" t="s">
        <v>699</v>
      </c>
      <c r="F2038" s="35" t="s">
        <v>634</v>
      </c>
      <c r="G2038" s="37">
        <v>45943.69703703704</v>
      </c>
      <c r="H2038" s="37" t="str">
        <f>INDEX(_xlfn.TEXTSPLIT(mvtst[[#This Row],[QR Suivis]],"_"),1,1)</f>
        <v>OF249859-9</v>
      </c>
      <c r="I2038" s="35" t="str">
        <f>_xlfn.TEXTBEFORE(mvtst[[#This Row],[Num Suivis]],"-",,,1)</f>
        <v>OF249859</v>
      </c>
      <c r="J2038" s="36">
        <f>SUMIF(mvtst[QR Suivis],mvtst[[#This Row],[QR Suivis]],mvtst[QTE SORTIS])-SUMIF(mvtst[QR Suivis],mvtst[[#This Row],[QR Suivis]],mvtst[QTE RETOUR])</f>
        <v>0</v>
      </c>
      <c r="K2038" s="35" t="str">
        <f t="shared" si="35"/>
        <v>Usine</v>
      </c>
      <c r="L2038" s="35" t="str">
        <f>_xlfn.XLOOKUP(mvtst[[#This Row],[Sous Traitant]],coordonnee_st[Identification],coordonnee_st[SERVICE],"Non Trouvé")</f>
        <v>Frange</v>
      </c>
      <c r="M2038" s="35" t="str">
        <f>INDEX(_xlfn.TEXTSPLIT(mvtst[[#This Row],[QR Suivis]],"_"),1,2)</f>
        <v>CL00884</v>
      </c>
      <c r="N2038" s="35" t="str">
        <f>INDEX(_xlfn.TEXTSPLIT(mvtst[[#This Row],[QR Suivis]],"_"),1,3)</f>
        <v>CM-FT0119</v>
      </c>
      <c r="O2038" s="35" t="str">
        <f>INDEX(_xlfn.TEXTSPLIT(mvtst[[#This Row],[QR Suivis]],"_"),1,4)</f>
        <v>AR2020-B29-01</v>
      </c>
      <c r="P2038" s="35" t="str">
        <f>INDEX(_xlfn.TEXTSPLIT(mvtst[[#This Row],[QR Suivis]],"_"),1,5)</f>
        <v>ARTHUR</v>
      </c>
      <c r="Q2038" s="35" t="str">
        <f>_xlfn.TEXTAFTER(mvtst[[#This Row],[QR Suivis]],"_",5)</f>
        <v>2020</v>
      </c>
      <c r="R2038" s="84" t="str">
        <f>IF(
   COUNTIFS($A$2:A2038,A2038,
             $B$2:B2038,B2038,
             $C$2:C2038,C2038,
             $D$2:D2038,D2038,
             $G$2:G2038,G2038)&gt;1,
   "Doublon",
   "Correcte"
)</f>
        <v>Correcte</v>
      </c>
    </row>
    <row r="2039" spans="1:18" x14ac:dyDescent="0.25">
      <c r="A2039" s="104" t="s">
        <v>2180</v>
      </c>
      <c r="B2039" s="35" t="s">
        <v>712</v>
      </c>
      <c r="C2039" s="36">
        <v>0</v>
      </c>
      <c r="D2039" s="36">
        <v>5</v>
      </c>
      <c r="E2039" s="35" t="s">
        <v>699</v>
      </c>
      <c r="F2039" s="35" t="s">
        <v>634</v>
      </c>
      <c r="G2039" s="37">
        <v>45943.697152777779</v>
      </c>
      <c r="H2039" s="37" t="str">
        <f>INDEX(_xlfn.TEXTSPLIT(mvtst[[#This Row],[QR Suivis]],"_"),1,1)</f>
        <v>OF249859-10</v>
      </c>
      <c r="I2039" s="35" t="str">
        <f>_xlfn.TEXTBEFORE(mvtst[[#This Row],[Num Suivis]],"-",,,1)</f>
        <v>OF249859</v>
      </c>
      <c r="J2039" s="36">
        <f>SUMIF(mvtst[QR Suivis],mvtst[[#This Row],[QR Suivis]],mvtst[QTE SORTIS])-SUMIF(mvtst[QR Suivis],mvtst[[#This Row],[QR Suivis]],mvtst[QTE RETOUR])</f>
        <v>0</v>
      </c>
      <c r="K2039" s="35" t="str">
        <f t="shared" si="35"/>
        <v>Usine</v>
      </c>
      <c r="L2039" s="35" t="str">
        <f>_xlfn.XLOOKUP(mvtst[[#This Row],[Sous Traitant]],coordonnee_st[Identification],coordonnee_st[SERVICE],"Non Trouvé")</f>
        <v>Frange</v>
      </c>
      <c r="M2039" s="35" t="str">
        <f>INDEX(_xlfn.TEXTSPLIT(mvtst[[#This Row],[QR Suivis]],"_"),1,2)</f>
        <v>CL00884</v>
      </c>
      <c r="N2039" s="35" t="str">
        <f>INDEX(_xlfn.TEXTSPLIT(mvtst[[#This Row],[QR Suivis]],"_"),1,3)</f>
        <v>CM-FT0119</v>
      </c>
      <c r="O2039" s="35" t="str">
        <f>INDEX(_xlfn.TEXTSPLIT(mvtst[[#This Row],[QR Suivis]],"_"),1,4)</f>
        <v>AR2020-B29-01</v>
      </c>
      <c r="P2039" s="35" t="str">
        <f>INDEX(_xlfn.TEXTSPLIT(mvtst[[#This Row],[QR Suivis]],"_"),1,5)</f>
        <v>ARTHUR</v>
      </c>
      <c r="Q2039" s="35" t="str">
        <f>_xlfn.TEXTAFTER(mvtst[[#This Row],[QR Suivis]],"_",5)</f>
        <v>2020</v>
      </c>
      <c r="R2039" s="84" t="str">
        <f>IF(
   COUNTIFS($A$2:A2039,A2039,
             $B$2:B2039,B2039,
             $C$2:C2039,C2039,
             $D$2:D2039,D2039,
             $G$2:G2039,G2039)&gt;1,
   "Doublon",
   "Correcte"
)</f>
        <v>Correcte</v>
      </c>
    </row>
    <row r="2040" spans="1:18" x14ac:dyDescent="0.25">
      <c r="A2040" s="104" t="s">
        <v>2179</v>
      </c>
      <c r="B2040" s="35" t="s">
        <v>712</v>
      </c>
      <c r="C2040" s="36">
        <v>0</v>
      </c>
      <c r="D2040" s="36">
        <v>5</v>
      </c>
      <c r="E2040" s="35" t="s">
        <v>699</v>
      </c>
      <c r="F2040" s="35" t="s">
        <v>634</v>
      </c>
      <c r="G2040" s="37">
        <v>45943.697280092594</v>
      </c>
      <c r="H2040" s="37" t="str">
        <f>INDEX(_xlfn.TEXTSPLIT(mvtst[[#This Row],[QR Suivis]],"_"),1,1)</f>
        <v>OF249859-4</v>
      </c>
      <c r="I2040" s="35" t="str">
        <f>_xlfn.TEXTBEFORE(mvtst[[#This Row],[Num Suivis]],"-",,,1)</f>
        <v>OF249859</v>
      </c>
      <c r="J2040" s="36">
        <f>SUMIF(mvtst[QR Suivis],mvtst[[#This Row],[QR Suivis]],mvtst[QTE SORTIS])-SUMIF(mvtst[QR Suivis],mvtst[[#This Row],[QR Suivis]],mvtst[QTE RETOUR])</f>
        <v>0</v>
      </c>
      <c r="K2040" s="35" t="str">
        <f t="shared" si="35"/>
        <v>Usine</v>
      </c>
      <c r="L2040" s="35" t="str">
        <f>_xlfn.XLOOKUP(mvtst[[#This Row],[Sous Traitant]],coordonnee_st[Identification],coordonnee_st[SERVICE],"Non Trouvé")</f>
        <v>Frange</v>
      </c>
      <c r="M2040" s="35" t="str">
        <f>INDEX(_xlfn.TEXTSPLIT(mvtst[[#This Row],[QR Suivis]],"_"),1,2)</f>
        <v>CL00884</v>
      </c>
      <c r="N2040" s="35" t="str">
        <f>INDEX(_xlfn.TEXTSPLIT(mvtst[[#This Row],[QR Suivis]],"_"),1,3)</f>
        <v>CM-FT0119</v>
      </c>
      <c r="O2040" s="35" t="str">
        <f>INDEX(_xlfn.TEXTSPLIT(mvtst[[#This Row],[QR Suivis]],"_"),1,4)</f>
        <v>AR2020-B29-01</v>
      </c>
      <c r="P2040" s="35" t="str">
        <f>INDEX(_xlfn.TEXTSPLIT(mvtst[[#This Row],[QR Suivis]],"_"),1,5)</f>
        <v>ARTHUR</v>
      </c>
      <c r="Q2040" s="35" t="str">
        <f>_xlfn.TEXTAFTER(mvtst[[#This Row],[QR Suivis]],"_",5)</f>
        <v>2020</v>
      </c>
      <c r="R2040" s="84" t="str">
        <f>IF(
   COUNTIFS($A$2:A2040,A2040,
             $B$2:B2040,B2040,
             $C$2:C2040,C2040,
             $D$2:D2040,D2040,
             $G$2:G2040,G2040)&gt;1,
   "Doublon",
   "Correcte"
)</f>
        <v>Correcte</v>
      </c>
    </row>
    <row r="2041" spans="1:18" x14ac:dyDescent="0.25">
      <c r="A2041" s="104" t="s">
        <v>2161</v>
      </c>
      <c r="B2041" s="35" t="s">
        <v>712</v>
      </c>
      <c r="C2041" s="36">
        <v>0</v>
      </c>
      <c r="D2041" s="36">
        <v>5</v>
      </c>
      <c r="E2041" s="35" t="s">
        <v>699</v>
      </c>
      <c r="F2041" s="35" t="s">
        <v>634</v>
      </c>
      <c r="G2041" s="37">
        <v>45943.697766203702</v>
      </c>
      <c r="H2041" s="37" t="str">
        <f>INDEX(_xlfn.TEXTSPLIT(mvtst[[#This Row],[QR Suivis]],"_"),1,1)</f>
        <v>OF249859-13</v>
      </c>
      <c r="I2041" s="35" t="str">
        <f>_xlfn.TEXTBEFORE(mvtst[[#This Row],[Num Suivis]],"-",,,1)</f>
        <v>OF249859</v>
      </c>
      <c r="J2041" s="36">
        <f>SUMIF(mvtst[QR Suivis],mvtst[[#This Row],[QR Suivis]],mvtst[QTE SORTIS])-SUMIF(mvtst[QR Suivis],mvtst[[#This Row],[QR Suivis]],mvtst[QTE RETOUR])</f>
        <v>0</v>
      </c>
      <c r="K2041" s="35" t="str">
        <f t="shared" si="35"/>
        <v>Usine</v>
      </c>
      <c r="L2041" s="35" t="str">
        <f>_xlfn.XLOOKUP(mvtst[[#This Row],[Sous Traitant]],coordonnee_st[Identification],coordonnee_st[SERVICE],"Non Trouvé")</f>
        <v>Frange</v>
      </c>
      <c r="M2041" s="35" t="str">
        <f>INDEX(_xlfn.TEXTSPLIT(mvtst[[#This Row],[QR Suivis]],"_"),1,2)</f>
        <v>CL00884</v>
      </c>
      <c r="N2041" s="35" t="str">
        <f>INDEX(_xlfn.TEXTSPLIT(mvtst[[#This Row],[QR Suivis]],"_"),1,3)</f>
        <v>CM-FT0119</v>
      </c>
      <c r="O2041" s="35" t="str">
        <f>INDEX(_xlfn.TEXTSPLIT(mvtst[[#This Row],[QR Suivis]],"_"),1,4)</f>
        <v>AR2020-B29-01</v>
      </c>
      <c r="P2041" s="35" t="str">
        <f>INDEX(_xlfn.TEXTSPLIT(mvtst[[#This Row],[QR Suivis]],"_"),1,5)</f>
        <v>ARTHUR</v>
      </c>
      <c r="Q2041" s="35" t="str">
        <f>_xlfn.TEXTAFTER(mvtst[[#This Row],[QR Suivis]],"_",5)</f>
        <v>2020</v>
      </c>
      <c r="R2041" s="84" t="str">
        <f>IF(
   COUNTIFS($A$2:A2041,A2041,
             $B$2:B2041,B2041,
             $C$2:C2041,C2041,
             $D$2:D2041,D2041,
             $G$2:G2041,G2041)&gt;1,
   "Doublon",
   "Correcte"
)</f>
        <v>Correcte</v>
      </c>
    </row>
    <row r="2042" spans="1:18" x14ac:dyDescent="0.25">
      <c r="A2042" s="104" t="s">
        <v>2163</v>
      </c>
      <c r="B2042" s="35" t="s">
        <v>712</v>
      </c>
      <c r="C2042" s="36">
        <v>0</v>
      </c>
      <c r="D2042" s="36">
        <v>5</v>
      </c>
      <c r="E2042" s="35" t="s">
        <v>699</v>
      </c>
      <c r="F2042" s="35" t="s">
        <v>634</v>
      </c>
      <c r="G2042" s="37">
        <v>45943.697905092595</v>
      </c>
      <c r="H2042" s="37" t="str">
        <f>INDEX(_xlfn.TEXTSPLIT(mvtst[[#This Row],[QR Suivis]],"_"),1,1)</f>
        <v>OF249859-14</v>
      </c>
      <c r="I2042" s="35" t="str">
        <f>_xlfn.TEXTBEFORE(mvtst[[#This Row],[Num Suivis]],"-",,,1)</f>
        <v>OF249859</v>
      </c>
      <c r="J2042" s="36">
        <f>SUMIF(mvtst[QR Suivis],mvtst[[#This Row],[QR Suivis]],mvtst[QTE SORTIS])-SUMIF(mvtst[QR Suivis],mvtst[[#This Row],[QR Suivis]],mvtst[QTE RETOUR])</f>
        <v>0</v>
      </c>
      <c r="K2042" s="35" t="str">
        <f t="shared" si="35"/>
        <v>Usine</v>
      </c>
      <c r="L2042" s="35" t="str">
        <f>_xlfn.XLOOKUP(mvtst[[#This Row],[Sous Traitant]],coordonnee_st[Identification],coordonnee_st[SERVICE],"Non Trouvé")</f>
        <v>Frange</v>
      </c>
      <c r="M2042" s="35" t="str">
        <f>INDEX(_xlfn.TEXTSPLIT(mvtst[[#This Row],[QR Suivis]],"_"),1,2)</f>
        <v>CL00884</v>
      </c>
      <c r="N2042" s="35" t="str">
        <f>INDEX(_xlfn.TEXTSPLIT(mvtst[[#This Row],[QR Suivis]],"_"),1,3)</f>
        <v>CM-FT0119</v>
      </c>
      <c r="O2042" s="35" t="str">
        <f>INDEX(_xlfn.TEXTSPLIT(mvtst[[#This Row],[QR Suivis]],"_"),1,4)</f>
        <v>AR2020-B29-01</v>
      </c>
      <c r="P2042" s="35" t="str">
        <f>INDEX(_xlfn.TEXTSPLIT(mvtst[[#This Row],[QR Suivis]],"_"),1,5)</f>
        <v>ARTHUR</v>
      </c>
      <c r="Q2042" s="35" t="str">
        <f>_xlfn.TEXTAFTER(mvtst[[#This Row],[QR Suivis]],"_",5)</f>
        <v>2020</v>
      </c>
      <c r="R2042" s="84" t="str">
        <f>IF(
   COUNTIFS($A$2:A2042,A2042,
             $B$2:B2042,B2042,
             $C$2:C2042,C2042,
             $D$2:D2042,D2042,
             $G$2:G2042,G2042)&gt;1,
   "Doublon",
   "Correcte"
)</f>
        <v>Correcte</v>
      </c>
    </row>
    <row r="2043" spans="1:18" x14ac:dyDescent="0.25">
      <c r="A2043" s="104" t="s">
        <v>2177</v>
      </c>
      <c r="B2043" s="35" t="s">
        <v>712</v>
      </c>
      <c r="C2043" s="36">
        <v>0</v>
      </c>
      <c r="D2043" s="36">
        <v>5</v>
      </c>
      <c r="E2043" s="35" t="s">
        <v>699</v>
      </c>
      <c r="F2043" s="35" t="s">
        <v>634</v>
      </c>
      <c r="G2043" s="37">
        <v>45943.698078703703</v>
      </c>
      <c r="H2043" s="37" t="str">
        <f>INDEX(_xlfn.TEXTSPLIT(mvtst[[#This Row],[QR Suivis]],"_"),1,1)</f>
        <v>OF249858-10</v>
      </c>
      <c r="I2043" s="35" t="str">
        <f>_xlfn.TEXTBEFORE(mvtst[[#This Row],[Num Suivis]],"-",,,1)</f>
        <v>OF249858</v>
      </c>
      <c r="J2043" s="36">
        <f>SUMIF(mvtst[QR Suivis],mvtst[[#This Row],[QR Suivis]],mvtst[QTE SORTIS])-SUMIF(mvtst[QR Suivis],mvtst[[#This Row],[QR Suivis]],mvtst[QTE RETOUR])</f>
        <v>0</v>
      </c>
      <c r="K2043" s="35" t="str">
        <f t="shared" si="35"/>
        <v>Usine</v>
      </c>
      <c r="L2043" s="35" t="str">
        <f>_xlfn.XLOOKUP(mvtst[[#This Row],[Sous Traitant]],coordonnee_st[Identification],coordonnee_st[SERVICE],"Non Trouvé")</f>
        <v>Frange</v>
      </c>
      <c r="M2043" s="35" t="str">
        <f>INDEX(_xlfn.TEXTSPLIT(mvtst[[#This Row],[QR Suivis]],"_"),1,2)</f>
        <v>CL00884</v>
      </c>
      <c r="N2043" s="35" t="str">
        <f>INDEX(_xlfn.TEXTSPLIT(mvtst[[#This Row],[QR Suivis]],"_"),1,3)</f>
        <v>CM-FT0119</v>
      </c>
      <c r="O2043" s="35" t="str">
        <f>INDEX(_xlfn.TEXTSPLIT(mvtst[[#This Row],[QR Suivis]],"_"),1,4)</f>
        <v>AR2020-B23-01</v>
      </c>
      <c r="P2043" s="35" t="str">
        <f>INDEX(_xlfn.TEXTSPLIT(mvtst[[#This Row],[QR Suivis]],"_"),1,5)</f>
        <v>ARTHUR</v>
      </c>
      <c r="Q2043" s="35" t="str">
        <f>_xlfn.TEXTAFTER(mvtst[[#This Row],[QR Suivis]],"_",5)</f>
        <v>2020</v>
      </c>
      <c r="R2043" s="84" t="str">
        <f>IF(
   COUNTIFS($A$2:A2043,A2043,
             $B$2:B2043,B2043,
             $C$2:C2043,C2043,
             $D$2:D2043,D2043,
             $G$2:G2043,G2043)&gt;1,
   "Doublon",
   "Correcte"
)</f>
        <v>Correcte</v>
      </c>
    </row>
    <row r="2044" spans="1:18" x14ac:dyDescent="0.25">
      <c r="A2044" s="104" t="s">
        <v>2164</v>
      </c>
      <c r="B2044" s="35" t="s">
        <v>712</v>
      </c>
      <c r="C2044" s="36">
        <v>0</v>
      </c>
      <c r="D2044" s="36">
        <v>5</v>
      </c>
      <c r="E2044" s="35" t="s">
        <v>699</v>
      </c>
      <c r="F2044" s="35" t="s">
        <v>634</v>
      </c>
      <c r="G2044" s="37">
        <v>45943.69835648148</v>
      </c>
      <c r="H2044" s="37" t="str">
        <f>INDEX(_xlfn.TEXTSPLIT(mvtst[[#This Row],[QR Suivis]],"_"),1,1)</f>
        <v>OF249859-12</v>
      </c>
      <c r="I2044" s="35" t="str">
        <f>_xlfn.TEXTBEFORE(mvtst[[#This Row],[Num Suivis]],"-",,,1)</f>
        <v>OF249859</v>
      </c>
      <c r="J2044" s="36">
        <f>SUMIF(mvtst[QR Suivis],mvtst[[#This Row],[QR Suivis]],mvtst[QTE SORTIS])-SUMIF(mvtst[QR Suivis],mvtst[[#This Row],[QR Suivis]],mvtst[QTE RETOUR])</f>
        <v>0</v>
      </c>
      <c r="K2044" s="35" t="str">
        <f t="shared" si="35"/>
        <v>Usine</v>
      </c>
      <c r="L2044" s="35" t="str">
        <f>_xlfn.XLOOKUP(mvtst[[#This Row],[Sous Traitant]],coordonnee_st[Identification],coordonnee_st[SERVICE],"Non Trouvé")</f>
        <v>Frange</v>
      </c>
      <c r="M2044" s="35" t="str">
        <f>INDEX(_xlfn.TEXTSPLIT(mvtst[[#This Row],[QR Suivis]],"_"),1,2)</f>
        <v>CL00884</v>
      </c>
      <c r="N2044" s="35" t="str">
        <f>INDEX(_xlfn.TEXTSPLIT(mvtst[[#This Row],[QR Suivis]],"_"),1,3)</f>
        <v>CM-FT0119</v>
      </c>
      <c r="O2044" s="35" t="str">
        <f>INDEX(_xlfn.TEXTSPLIT(mvtst[[#This Row],[QR Suivis]],"_"),1,4)</f>
        <v>AR2020-B29-01</v>
      </c>
      <c r="P2044" s="35" t="str">
        <f>INDEX(_xlfn.TEXTSPLIT(mvtst[[#This Row],[QR Suivis]],"_"),1,5)</f>
        <v>ARTHUR</v>
      </c>
      <c r="Q2044" s="35" t="str">
        <f>_xlfn.TEXTAFTER(mvtst[[#This Row],[QR Suivis]],"_",5)</f>
        <v>2020</v>
      </c>
      <c r="R2044" s="84" t="str">
        <f>IF(
   COUNTIFS($A$2:A2044,A2044,
             $B$2:B2044,B2044,
             $C$2:C2044,C2044,
             $D$2:D2044,D2044,
             $G$2:G2044,G2044)&gt;1,
   "Doublon",
   "Correcte"
)</f>
        <v>Correcte</v>
      </c>
    </row>
    <row r="2045" spans="1:18" x14ac:dyDescent="0.25">
      <c r="A2045" s="104" t="s">
        <v>2174</v>
      </c>
      <c r="B2045" s="35" t="s">
        <v>712</v>
      </c>
      <c r="C2045" s="36">
        <v>0</v>
      </c>
      <c r="D2045" s="36">
        <v>5</v>
      </c>
      <c r="E2045" s="35" t="s">
        <v>699</v>
      </c>
      <c r="F2045" s="35" t="s">
        <v>634</v>
      </c>
      <c r="G2045" s="37">
        <v>45943.698483796295</v>
      </c>
      <c r="H2045" s="37" t="str">
        <f>INDEX(_xlfn.TEXTSPLIT(mvtst[[#This Row],[QR Suivis]],"_"),1,1)</f>
        <v>OF249859-6</v>
      </c>
      <c r="I2045" s="35" t="str">
        <f>_xlfn.TEXTBEFORE(mvtst[[#This Row],[Num Suivis]],"-",,,1)</f>
        <v>OF249859</v>
      </c>
      <c r="J2045" s="36">
        <f>SUMIF(mvtst[QR Suivis],mvtst[[#This Row],[QR Suivis]],mvtst[QTE SORTIS])-SUMIF(mvtst[QR Suivis],mvtst[[#This Row],[QR Suivis]],mvtst[QTE RETOUR])</f>
        <v>0</v>
      </c>
      <c r="K2045" s="35" t="str">
        <f t="shared" si="35"/>
        <v>Usine</v>
      </c>
      <c r="L2045" s="35" t="str">
        <f>_xlfn.XLOOKUP(mvtst[[#This Row],[Sous Traitant]],coordonnee_st[Identification],coordonnee_st[SERVICE],"Non Trouvé")</f>
        <v>Frange</v>
      </c>
      <c r="M2045" s="35" t="str">
        <f>INDEX(_xlfn.TEXTSPLIT(mvtst[[#This Row],[QR Suivis]],"_"),1,2)</f>
        <v>CL00884</v>
      </c>
      <c r="N2045" s="35" t="str">
        <f>INDEX(_xlfn.TEXTSPLIT(mvtst[[#This Row],[QR Suivis]],"_"),1,3)</f>
        <v>CM-FT0119</v>
      </c>
      <c r="O2045" s="35" t="str">
        <f>INDEX(_xlfn.TEXTSPLIT(mvtst[[#This Row],[QR Suivis]],"_"),1,4)</f>
        <v>AR2020-B29-01</v>
      </c>
      <c r="P2045" s="35" t="str">
        <f>INDEX(_xlfn.TEXTSPLIT(mvtst[[#This Row],[QR Suivis]],"_"),1,5)</f>
        <v>ARTHUR</v>
      </c>
      <c r="Q2045" s="35" t="str">
        <f>_xlfn.TEXTAFTER(mvtst[[#This Row],[QR Suivis]],"_",5)</f>
        <v>2020</v>
      </c>
      <c r="R2045" s="84" t="str">
        <f>IF(
   COUNTIFS($A$2:A2045,A2045,
             $B$2:B2045,B2045,
             $C$2:C2045,C2045,
             $D$2:D2045,D2045,
             $G$2:G2045,G2045)&gt;1,
   "Doublon",
   "Correcte"
)</f>
        <v>Correcte</v>
      </c>
    </row>
    <row r="2046" spans="1:18" x14ac:dyDescent="0.25">
      <c r="A2046" s="104" t="s">
        <v>2188</v>
      </c>
      <c r="B2046" s="35" t="s">
        <v>712</v>
      </c>
      <c r="C2046" s="36">
        <v>0</v>
      </c>
      <c r="D2046" s="36">
        <v>5</v>
      </c>
      <c r="E2046" s="35" t="s">
        <v>699</v>
      </c>
      <c r="F2046" s="35" t="s">
        <v>634</v>
      </c>
      <c r="G2046" s="37">
        <v>45943.698680555557</v>
      </c>
      <c r="H2046" s="37" t="str">
        <f>INDEX(_xlfn.TEXTSPLIT(mvtst[[#This Row],[QR Suivis]],"_"),1,1)</f>
        <v>OF249859-5</v>
      </c>
      <c r="I2046" s="35" t="str">
        <f>_xlfn.TEXTBEFORE(mvtst[[#This Row],[Num Suivis]],"-",,,1)</f>
        <v>OF249859</v>
      </c>
      <c r="J2046" s="36">
        <f>SUMIF(mvtst[QR Suivis],mvtst[[#This Row],[QR Suivis]],mvtst[QTE SORTIS])-SUMIF(mvtst[QR Suivis],mvtst[[#This Row],[QR Suivis]],mvtst[QTE RETOUR])</f>
        <v>0</v>
      </c>
      <c r="K2046" s="35" t="str">
        <f t="shared" si="35"/>
        <v>Usine</v>
      </c>
      <c r="L2046" s="35" t="str">
        <f>_xlfn.XLOOKUP(mvtst[[#This Row],[Sous Traitant]],coordonnee_st[Identification],coordonnee_st[SERVICE],"Non Trouvé")</f>
        <v>Frange</v>
      </c>
      <c r="M2046" s="35" t="str">
        <f>INDEX(_xlfn.TEXTSPLIT(mvtst[[#This Row],[QR Suivis]],"_"),1,2)</f>
        <v>CL00884</v>
      </c>
      <c r="N2046" s="35" t="str">
        <f>INDEX(_xlfn.TEXTSPLIT(mvtst[[#This Row],[QR Suivis]],"_"),1,3)</f>
        <v>CM-FT0119</v>
      </c>
      <c r="O2046" s="35" t="str">
        <f>INDEX(_xlfn.TEXTSPLIT(mvtst[[#This Row],[QR Suivis]],"_"),1,4)</f>
        <v>AR2020-B29-01</v>
      </c>
      <c r="P2046" s="35" t="str">
        <f>INDEX(_xlfn.TEXTSPLIT(mvtst[[#This Row],[QR Suivis]],"_"),1,5)</f>
        <v>ARTHUR</v>
      </c>
      <c r="Q2046" s="35" t="str">
        <f>_xlfn.TEXTAFTER(mvtst[[#This Row],[QR Suivis]],"_",5)</f>
        <v>2020</v>
      </c>
      <c r="R2046" s="84" t="str">
        <f>IF(
   COUNTIFS($A$2:A2046,A2046,
             $B$2:B2046,B2046,
             $C$2:C2046,C2046,
             $D$2:D2046,D2046,
             $G$2:G2046,G2046)&gt;1,
   "Doublon",
   "Correcte"
)</f>
        <v>Correcte</v>
      </c>
    </row>
    <row r="2047" spans="1:18" x14ac:dyDescent="0.25">
      <c r="A2047" s="104" t="s">
        <v>2168</v>
      </c>
      <c r="B2047" s="35" t="s">
        <v>712</v>
      </c>
      <c r="C2047" s="36">
        <v>0</v>
      </c>
      <c r="D2047" s="36">
        <v>5</v>
      </c>
      <c r="E2047" s="35" t="s">
        <v>699</v>
      </c>
      <c r="F2047" s="35" t="s">
        <v>634</v>
      </c>
      <c r="G2047" s="37">
        <v>45943.698807870373</v>
      </c>
      <c r="H2047" s="37" t="str">
        <f>INDEX(_xlfn.TEXTSPLIT(mvtst[[#This Row],[QR Suivis]],"_"),1,1)</f>
        <v>OF249858-4</v>
      </c>
      <c r="I2047" s="35" t="str">
        <f>_xlfn.TEXTBEFORE(mvtst[[#This Row],[Num Suivis]],"-",,,1)</f>
        <v>OF249858</v>
      </c>
      <c r="J2047" s="36">
        <f>SUMIF(mvtst[QR Suivis],mvtst[[#This Row],[QR Suivis]],mvtst[QTE SORTIS])-SUMIF(mvtst[QR Suivis],mvtst[[#This Row],[QR Suivis]],mvtst[QTE RETOUR])</f>
        <v>0</v>
      </c>
      <c r="K2047" s="35" t="str">
        <f t="shared" si="35"/>
        <v>Usine</v>
      </c>
      <c r="L2047" s="35" t="str">
        <f>_xlfn.XLOOKUP(mvtst[[#This Row],[Sous Traitant]],coordonnee_st[Identification],coordonnee_st[SERVICE],"Non Trouvé")</f>
        <v>Frange</v>
      </c>
      <c r="M2047" s="35" t="str">
        <f>INDEX(_xlfn.TEXTSPLIT(mvtst[[#This Row],[QR Suivis]],"_"),1,2)</f>
        <v>CL00884</v>
      </c>
      <c r="N2047" s="35" t="str">
        <f>INDEX(_xlfn.TEXTSPLIT(mvtst[[#This Row],[QR Suivis]],"_"),1,3)</f>
        <v>CM-FT0119</v>
      </c>
      <c r="O2047" s="35" t="str">
        <f>INDEX(_xlfn.TEXTSPLIT(mvtst[[#This Row],[QR Suivis]],"_"),1,4)</f>
        <v>AR2020-B23-01</v>
      </c>
      <c r="P2047" s="35" t="str">
        <f>INDEX(_xlfn.TEXTSPLIT(mvtst[[#This Row],[QR Suivis]],"_"),1,5)</f>
        <v>ARTHUR</v>
      </c>
      <c r="Q2047" s="35" t="str">
        <f>_xlfn.TEXTAFTER(mvtst[[#This Row],[QR Suivis]],"_",5)</f>
        <v>2020</v>
      </c>
      <c r="R2047" s="84" t="str">
        <f>IF(
   COUNTIFS($A$2:A2047,A2047,
             $B$2:B2047,B2047,
             $C$2:C2047,C2047,
             $D$2:D2047,D2047,
             $G$2:G2047,G2047)&gt;1,
   "Doublon",
   "Correcte"
)</f>
        <v>Correcte</v>
      </c>
    </row>
    <row r="2048" spans="1:18" x14ac:dyDescent="0.25">
      <c r="A2048" s="104" t="s">
        <v>2184</v>
      </c>
      <c r="B2048" s="35" t="s">
        <v>712</v>
      </c>
      <c r="C2048" s="36">
        <v>0</v>
      </c>
      <c r="D2048" s="36">
        <v>5</v>
      </c>
      <c r="E2048" s="35" t="s">
        <v>699</v>
      </c>
      <c r="F2048" s="35" t="s">
        <v>634</v>
      </c>
      <c r="G2048" s="37">
        <v>45943.698981481481</v>
      </c>
      <c r="H2048" s="37" t="str">
        <f>INDEX(_xlfn.TEXTSPLIT(mvtst[[#This Row],[QR Suivis]],"_"),1,1)</f>
        <v>OF249859-2</v>
      </c>
      <c r="I2048" s="35" t="str">
        <f>_xlfn.TEXTBEFORE(mvtst[[#This Row],[Num Suivis]],"-",,,1)</f>
        <v>OF249859</v>
      </c>
      <c r="J2048" s="36">
        <f>SUMIF(mvtst[QR Suivis],mvtst[[#This Row],[QR Suivis]],mvtst[QTE SORTIS])-SUMIF(mvtst[QR Suivis],mvtst[[#This Row],[QR Suivis]],mvtst[QTE RETOUR])</f>
        <v>0</v>
      </c>
      <c r="K2048" s="35" t="str">
        <f t="shared" si="35"/>
        <v>Usine</v>
      </c>
      <c r="L2048" s="35" t="str">
        <f>_xlfn.XLOOKUP(mvtst[[#This Row],[Sous Traitant]],coordonnee_st[Identification],coordonnee_st[SERVICE],"Non Trouvé")</f>
        <v>Frange</v>
      </c>
      <c r="M2048" s="35" t="str">
        <f>INDEX(_xlfn.TEXTSPLIT(mvtst[[#This Row],[QR Suivis]],"_"),1,2)</f>
        <v>CL00884</v>
      </c>
      <c r="N2048" s="35" t="str">
        <f>INDEX(_xlfn.TEXTSPLIT(mvtst[[#This Row],[QR Suivis]],"_"),1,3)</f>
        <v>CM-FT0119</v>
      </c>
      <c r="O2048" s="35" t="str">
        <f>INDEX(_xlfn.TEXTSPLIT(mvtst[[#This Row],[QR Suivis]],"_"),1,4)</f>
        <v>AR2020-B29-01</v>
      </c>
      <c r="P2048" s="35" t="str">
        <f>INDEX(_xlfn.TEXTSPLIT(mvtst[[#This Row],[QR Suivis]],"_"),1,5)</f>
        <v>ARTHUR</v>
      </c>
      <c r="Q2048" s="35" t="str">
        <f>_xlfn.TEXTAFTER(mvtst[[#This Row],[QR Suivis]],"_",5)</f>
        <v>2020</v>
      </c>
      <c r="R2048" s="84" t="str">
        <f>IF(
   COUNTIFS($A$2:A2048,A2048,
             $B$2:B2048,B2048,
             $C$2:C2048,C2048,
             $D$2:D2048,D2048,
             $G$2:G2048,G2048)&gt;1,
   "Doublon",
   "Correcte"
)</f>
        <v>Correcte</v>
      </c>
    </row>
    <row r="2049" spans="1:18" x14ac:dyDescent="0.25">
      <c r="A2049" s="104" t="s">
        <v>2165</v>
      </c>
      <c r="B2049" s="35" t="s">
        <v>712</v>
      </c>
      <c r="C2049" s="36">
        <v>0</v>
      </c>
      <c r="D2049" s="36">
        <v>5</v>
      </c>
      <c r="E2049" s="35" t="s">
        <v>699</v>
      </c>
      <c r="F2049" s="35" t="s">
        <v>634</v>
      </c>
      <c r="G2049" s="37">
        <v>45943.699282407404</v>
      </c>
      <c r="H2049" s="37" t="str">
        <f>INDEX(_xlfn.TEXTSPLIT(mvtst[[#This Row],[QR Suivis]],"_"),1,1)</f>
        <v>OF249859-11</v>
      </c>
      <c r="I2049" s="35" t="str">
        <f>_xlfn.TEXTBEFORE(mvtst[[#This Row],[Num Suivis]],"-",,,1)</f>
        <v>OF249859</v>
      </c>
      <c r="J2049" s="36">
        <f>SUMIF(mvtst[QR Suivis],mvtst[[#This Row],[QR Suivis]],mvtst[QTE SORTIS])-SUMIF(mvtst[QR Suivis],mvtst[[#This Row],[QR Suivis]],mvtst[QTE RETOUR])</f>
        <v>0</v>
      </c>
      <c r="K2049" s="35" t="str">
        <f t="shared" si="35"/>
        <v>Usine</v>
      </c>
      <c r="L2049" s="35" t="str">
        <f>_xlfn.XLOOKUP(mvtst[[#This Row],[Sous Traitant]],coordonnee_st[Identification],coordonnee_st[SERVICE],"Non Trouvé")</f>
        <v>Frange</v>
      </c>
      <c r="M2049" s="35" t="str">
        <f>INDEX(_xlfn.TEXTSPLIT(mvtst[[#This Row],[QR Suivis]],"_"),1,2)</f>
        <v>CL00884</v>
      </c>
      <c r="N2049" s="35" t="str">
        <f>INDEX(_xlfn.TEXTSPLIT(mvtst[[#This Row],[QR Suivis]],"_"),1,3)</f>
        <v>CM-FT0119</v>
      </c>
      <c r="O2049" s="35" t="str">
        <f>INDEX(_xlfn.TEXTSPLIT(mvtst[[#This Row],[QR Suivis]],"_"),1,4)</f>
        <v>AR2020-B29-01</v>
      </c>
      <c r="P2049" s="35" t="str">
        <f>INDEX(_xlfn.TEXTSPLIT(mvtst[[#This Row],[QR Suivis]],"_"),1,5)</f>
        <v>ARTHUR</v>
      </c>
      <c r="Q2049" s="35" t="str">
        <f>_xlfn.TEXTAFTER(mvtst[[#This Row],[QR Suivis]],"_",5)</f>
        <v>2020</v>
      </c>
      <c r="R2049" s="84" t="str">
        <f>IF(
   COUNTIFS($A$2:A2049,A2049,
             $B$2:B2049,B2049,
             $C$2:C2049,C2049,
             $D$2:D2049,D2049,
             $G$2:G2049,G2049)&gt;1,
   "Doublon",
   "Correcte"
)</f>
        <v>Correcte</v>
      </c>
    </row>
    <row r="2050" spans="1:18" x14ac:dyDescent="0.25">
      <c r="A2050" s="104" t="s">
        <v>2158</v>
      </c>
      <c r="B2050" s="35" t="s">
        <v>712</v>
      </c>
      <c r="C2050" s="36">
        <v>0</v>
      </c>
      <c r="D2050" s="36">
        <v>5</v>
      </c>
      <c r="E2050" s="35" t="s">
        <v>699</v>
      </c>
      <c r="F2050" s="35" t="s">
        <v>634</v>
      </c>
      <c r="G2050" s="37">
        <v>45943.699456018519</v>
      </c>
      <c r="H2050" s="37" t="str">
        <f>INDEX(_xlfn.TEXTSPLIT(mvtst[[#This Row],[QR Suivis]],"_"),1,1)</f>
        <v>OF249859-16</v>
      </c>
      <c r="I2050" s="35" t="str">
        <f>_xlfn.TEXTBEFORE(mvtst[[#This Row],[Num Suivis]],"-",,,1)</f>
        <v>OF249859</v>
      </c>
      <c r="J2050" s="36">
        <f>SUMIF(mvtst[QR Suivis],mvtst[[#This Row],[QR Suivis]],mvtst[QTE SORTIS])-SUMIF(mvtst[QR Suivis],mvtst[[#This Row],[QR Suivis]],mvtst[QTE RETOUR])</f>
        <v>0</v>
      </c>
      <c r="K2050" s="35" t="str">
        <f t="shared" si="35"/>
        <v>Usine</v>
      </c>
      <c r="L2050" s="35" t="str">
        <f>_xlfn.XLOOKUP(mvtst[[#This Row],[Sous Traitant]],coordonnee_st[Identification],coordonnee_st[SERVICE],"Non Trouvé")</f>
        <v>Frange</v>
      </c>
      <c r="M2050" s="35" t="str">
        <f>INDEX(_xlfn.TEXTSPLIT(mvtst[[#This Row],[QR Suivis]],"_"),1,2)</f>
        <v>CL00884</v>
      </c>
      <c r="N2050" s="35" t="str">
        <f>INDEX(_xlfn.TEXTSPLIT(mvtst[[#This Row],[QR Suivis]],"_"),1,3)</f>
        <v>CM-FT0119</v>
      </c>
      <c r="O2050" s="35" t="str">
        <f>INDEX(_xlfn.TEXTSPLIT(mvtst[[#This Row],[QR Suivis]],"_"),1,4)</f>
        <v>AR2020-B29-01</v>
      </c>
      <c r="P2050" s="35" t="str">
        <f>INDEX(_xlfn.TEXTSPLIT(mvtst[[#This Row],[QR Suivis]],"_"),1,5)</f>
        <v>ARTHUR</v>
      </c>
      <c r="Q2050" s="35" t="str">
        <f>_xlfn.TEXTAFTER(mvtst[[#This Row],[QR Suivis]],"_",5)</f>
        <v>2020</v>
      </c>
      <c r="R2050" s="84" t="str">
        <f>IF(
   COUNTIFS($A$2:A2050,A2050,
             $B$2:B2050,B2050,
             $C$2:C2050,C2050,
             $D$2:D2050,D2050,
             $G$2:G2050,G2050)&gt;1,
   "Doublon",
   "Correcte"
)</f>
        <v>Correcte</v>
      </c>
    </row>
    <row r="2051" spans="1:18" x14ac:dyDescent="0.25">
      <c r="A2051" s="104" t="s">
        <v>2159</v>
      </c>
      <c r="B2051" s="35" t="s">
        <v>712</v>
      </c>
      <c r="C2051" s="36">
        <v>0</v>
      </c>
      <c r="D2051" s="36">
        <v>5</v>
      </c>
      <c r="E2051" s="35" t="s">
        <v>699</v>
      </c>
      <c r="F2051" s="35" t="s">
        <v>634</v>
      </c>
      <c r="G2051" s="37">
        <v>45943.699652777781</v>
      </c>
      <c r="H2051" s="37" t="str">
        <f>INDEX(_xlfn.TEXTSPLIT(mvtst[[#This Row],[QR Suivis]],"_"),1,1)</f>
        <v>OF249858-14</v>
      </c>
      <c r="I2051" s="35" t="str">
        <f>_xlfn.TEXTBEFORE(mvtst[[#This Row],[Num Suivis]],"-",,,1)</f>
        <v>OF249858</v>
      </c>
      <c r="J2051" s="36">
        <f>SUMIF(mvtst[QR Suivis],mvtst[[#This Row],[QR Suivis]],mvtst[QTE SORTIS])-SUMIF(mvtst[QR Suivis],mvtst[[#This Row],[QR Suivis]],mvtst[QTE RETOUR])</f>
        <v>0</v>
      </c>
      <c r="K2051" s="35" t="str">
        <f t="shared" si="35"/>
        <v>Usine</v>
      </c>
      <c r="L2051" s="35" t="str">
        <f>_xlfn.XLOOKUP(mvtst[[#This Row],[Sous Traitant]],coordonnee_st[Identification],coordonnee_st[SERVICE],"Non Trouvé")</f>
        <v>Frange</v>
      </c>
      <c r="M2051" s="35" t="str">
        <f>INDEX(_xlfn.TEXTSPLIT(mvtst[[#This Row],[QR Suivis]],"_"),1,2)</f>
        <v>CL00884</v>
      </c>
      <c r="N2051" s="35" t="str">
        <f>INDEX(_xlfn.TEXTSPLIT(mvtst[[#This Row],[QR Suivis]],"_"),1,3)</f>
        <v>CM-FT0119</v>
      </c>
      <c r="O2051" s="35" t="str">
        <f>INDEX(_xlfn.TEXTSPLIT(mvtst[[#This Row],[QR Suivis]],"_"),1,4)</f>
        <v>AR2020-B23-01</v>
      </c>
      <c r="P2051" s="35" t="str">
        <f>INDEX(_xlfn.TEXTSPLIT(mvtst[[#This Row],[QR Suivis]],"_"),1,5)</f>
        <v>ARTHUR</v>
      </c>
      <c r="Q2051" s="35" t="str">
        <f>_xlfn.TEXTAFTER(mvtst[[#This Row],[QR Suivis]],"_",5)</f>
        <v>2020</v>
      </c>
      <c r="R2051" s="84" t="str">
        <f>IF(
   COUNTIFS($A$2:A2051,A2051,
             $B$2:B2051,B2051,
             $C$2:C2051,C2051,
             $D$2:D2051,D2051,
             $G$2:G2051,G2051)&gt;1,
   "Doublon",
   "Correcte"
)</f>
        <v>Correcte</v>
      </c>
    </row>
    <row r="2052" spans="1:18" x14ac:dyDescent="0.25">
      <c r="A2052" s="104" t="s">
        <v>2166</v>
      </c>
      <c r="B2052" s="35" t="s">
        <v>712</v>
      </c>
      <c r="C2052" s="36">
        <v>0</v>
      </c>
      <c r="D2052" s="36">
        <v>5</v>
      </c>
      <c r="E2052" s="35" t="s">
        <v>699</v>
      </c>
      <c r="F2052" s="35" t="s">
        <v>634</v>
      </c>
      <c r="G2052" s="37">
        <v>45943.699849537035</v>
      </c>
      <c r="H2052" s="37" t="str">
        <f>INDEX(_xlfn.TEXTSPLIT(mvtst[[#This Row],[QR Suivis]],"_"),1,1)</f>
        <v>OF249859-15</v>
      </c>
      <c r="I2052" s="35" t="str">
        <f>_xlfn.TEXTBEFORE(mvtst[[#This Row],[Num Suivis]],"-",,,1)</f>
        <v>OF249859</v>
      </c>
      <c r="J2052" s="36">
        <f>SUMIF(mvtst[QR Suivis],mvtst[[#This Row],[QR Suivis]],mvtst[QTE SORTIS])-SUMIF(mvtst[QR Suivis],mvtst[[#This Row],[QR Suivis]],mvtst[QTE RETOUR])</f>
        <v>0</v>
      </c>
      <c r="K2052" s="35" t="str">
        <f t="shared" si="35"/>
        <v>Usine</v>
      </c>
      <c r="L2052" s="35" t="str">
        <f>_xlfn.XLOOKUP(mvtst[[#This Row],[Sous Traitant]],coordonnee_st[Identification],coordonnee_st[SERVICE],"Non Trouvé")</f>
        <v>Frange</v>
      </c>
      <c r="M2052" s="35" t="str">
        <f>INDEX(_xlfn.TEXTSPLIT(mvtst[[#This Row],[QR Suivis]],"_"),1,2)</f>
        <v>CL00884</v>
      </c>
      <c r="N2052" s="35" t="str">
        <f>INDEX(_xlfn.TEXTSPLIT(mvtst[[#This Row],[QR Suivis]],"_"),1,3)</f>
        <v>CM-FT0119</v>
      </c>
      <c r="O2052" s="35" t="str">
        <f>INDEX(_xlfn.TEXTSPLIT(mvtst[[#This Row],[QR Suivis]],"_"),1,4)</f>
        <v>AR2020-B29-01</v>
      </c>
      <c r="P2052" s="35" t="str">
        <f>INDEX(_xlfn.TEXTSPLIT(mvtst[[#This Row],[QR Suivis]],"_"),1,5)</f>
        <v>ARTHUR</v>
      </c>
      <c r="Q2052" s="35" t="str">
        <f>_xlfn.TEXTAFTER(mvtst[[#This Row],[QR Suivis]],"_",5)</f>
        <v>2020</v>
      </c>
      <c r="R2052" s="84" t="str">
        <f>IF(
   COUNTIFS($A$2:A2052,A2052,
             $B$2:B2052,B2052,
             $C$2:C2052,C2052,
             $D$2:D2052,D2052,
             $G$2:G2052,G2052)&gt;1,
   "Doublon",
   "Correcte"
)</f>
        <v>Correcte</v>
      </c>
    </row>
    <row r="2053" spans="1:18" x14ac:dyDescent="0.25">
      <c r="A2053" s="104" t="s">
        <v>2167</v>
      </c>
      <c r="B2053" s="35" t="s">
        <v>712</v>
      </c>
      <c r="C2053" s="36">
        <v>0</v>
      </c>
      <c r="D2053" s="36">
        <v>5</v>
      </c>
      <c r="E2053" s="35" t="s">
        <v>699</v>
      </c>
      <c r="F2053" s="35" t="s">
        <v>634</v>
      </c>
      <c r="G2053" s="37">
        <v>45943.699988425928</v>
      </c>
      <c r="H2053" s="37" t="str">
        <f>INDEX(_xlfn.TEXTSPLIT(mvtst[[#This Row],[QR Suivis]],"_"),1,1)</f>
        <v>OF249858-1</v>
      </c>
      <c r="I2053" s="35" t="str">
        <f>_xlfn.TEXTBEFORE(mvtst[[#This Row],[Num Suivis]],"-",,,1)</f>
        <v>OF249858</v>
      </c>
      <c r="J2053" s="36">
        <f>SUMIF(mvtst[QR Suivis],mvtst[[#This Row],[QR Suivis]],mvtst[QTE SORTIS])-SUMIF(mvtst[QR Suivis],mvtst[[#This Row],[QR Suivis]],mvtst[QTE RETOUR])</f>
        <v>0</v>
      </c>
      <c r="K2053" s="35" t="str">
        <f t="shared" si="35"/>
        <v>Usine</v>
      </c>
      <c r="L2053" s="35" t="str">
        <f>_xlfn.XLOOKUP(mvtst[[#This Row],[Sous Traitant]],coordonnee_st[Identification],coordonnee_st[SERVICE],"Non Trouvé")</f>
        <v>Frange</v>
      </c>
      <c r="M2053" s="35" t="str">
        <f>INDEX(_xlfn.TEXTSPLIT(mvtst[[#This Row],[QR Suivis]],"_"),1,2)</f>
        <v>CL00884</v>
      </c>
      <c r="N2053" s="35" t="str">
        <f>INDEX(_xlfn.TEXTSPLIT(mvtst[[#This Row],[QR Suivis]],"_"),1,3)</f>
        <v>CM-FT0119</v>
      </c>
      <c r="O2053" s="35" t="str">
        <f>INDEX(_xlfn.TEXTSPLIT(mvtst[[#This Row],[QR Suivis]],"_"),1,4)</f>
        <v>AR2020-B23-01</v>
      </c>
      <c r="P2053" s="35" t="str">
        <f>INDEX(_xlfn.TEXTSPLIT(mvtst[[#This Row],[QR Suivis]],"_"),1,5)</f>
        <v>ARTHUR</v>
      </c>
      <c r="Q2053" s="35" t="str">
        <f>_xlfn.TEXTAFTER(mvtst[[#This Row],[QR Suivis]],"_",5)</f>
        <v>2020</v>
      </c>
      <c r="R2053" s="84" t="str">
        <f>IF(
   COUNTIFS($A$2:A2053,A2053,
             $B$2:B2053,B2053,
             $C$2:C2053,C2053,
             $D$2:D2053,D2053,
             $G$2:G2053,G2053)&gt;1,
   "Doublon",
   "Correcte"
)</f>
        <v>Correcte</v>
      </c>
    </row>
    <row r="2054" spans="1:18" x14ac:dyDescent="0.25">
      <c r="A2054" s="104" t="s">
        <v>2172</v>
      </c>
      <c r="B2054" s="35" t="s">
        <v>712</v>
      </c>
      <c r="C2054" s="36">
        <v>0</v>
      </c>
      <c r="D2054" s="36">
        <v>5</v>
      </c>
      <c r="E2054" s="35" t="s">
        <v>699</v>
      </c>
      <c r="F2054" s="35" t="s">
        <v>634</v>
      </c>
      <c r="G2054" s="37">
        <v>45943.700150462966</v>
      </c>
      <c r="H2054" s="37" t="str">
        <f>INDEX(_xlfn.TEXTSPLIT(mvtst[[#This Row],[QR Suivis]],"_"),1,1)</f>
        <v>OF249858-7</v>
      </c>
      <c r="I2054" s="35" t="str">
        <f>_xlfn.TEXTBEFORE(mvtst[[#This Row],[Num Suivis]],"-",,,1)</f>
        <v>OF249858</v>
      </c>
      <c r="J2054" s="36">
        <f>SUMIF(mvtst[QR Suivis],mvtst[[#This Row],[QR Suivis]],mvtst[QTE SORTIS])-SUMIF(mvtst[QR Suivis],mvtst[[#This Row],[QR Suivis]],mvtst[QTE RETOUR])</f>
        <v>0</v>
      </c>
      <c r="K2054" s="35" t="str">
        <f t="shared" si="35"/>
        <v>Usine</v>
      </c>
      <c r="L2054" s="35" t="str">
        <f>_xlfn.XLOOKUP(mvtst[[#This Row],[Sous Traitant]],coordonnee_st[Identification],coordonnee_st[SERVICE],"Non Trouvé")</f>
        <v>Frange</v>
      </c>
      <c r="M2054" s="35" t="str">
        <f>INDEX(_xlfn.TEXTSPLIT(mvtst[[#This Row],[QR Suivis]],"_"),1,2)</f>
        <v>CL00884</v>
      </c>
      <c r="N2054" s="35" t="str">
        <f>INDEX(_xlfn.TEXTSPLIT(mvtst[[#This Row],[QR Suivis]],"_"),1,3)</f>
        <v>CM-FT0119</v>
      </c>
      <c r="O2054" s="35" t="str">
        <f>INDEX(_xlfn.TEXTSPLIT(mvtst[[#This Row],[QR Suivis]],"_"),1,4)</f>
        <v>AR2020-B23-01</v>
      </c>
      <c r="P2054" s="35" t="str">
        <f>INDEX(_xlfn.TEXTSPLIT(mvtst[[#This Row],[QR Suivis]],"_"),1,5)</f>
        <v>ARTHUR</v>
      </c>
      <c r="Q2054" s="35" t="str">
        <f>_xlfn.TEXTAFTER(mvtst[[#This Row],[QR Suivis]],"_",5)</f>
        <v>2020</v>
      </c>
      <c r="R2054" s="84" t="str">
        <f>IF(
   COUNTIFS($A$2:A2054,A2054,
             $B$2:B2054,B2054,
             $C$2:C2054,C2054,
             $D$2:D2054,D2054,
             $G$2:G2054,G2054)&gt;1,
   "Doublon",
   "Correcte"
)</f>
        <v>Correcte</v>
      </c>
    </row>
    <row r="2055" spans="1:18" x14ac:dyDescent="0.25">
      <c r="A2055" s="104" t="s">
        <v>2066</v>
      </c>
      <c r="B2055" s="35" t="s">
        <v>712</v>
      </c>
      <c r="C2055" s="36">
        <v>0</v>
      </c>
      <c r="D2055" s="36">
        <v>5</v>
      </c>
      <c r="E2055" s="35" t="s">
        <v>699</v>
      </c>
      <c r="F2055" s="35" t="s">
        <v>634</v>
      </c>
      <c r="G2055" s="37">
        <v>45943.700277777774</v>
      </c>
      <c r="H2055" s="37" t="str">
        <f>INDEX(_xlfn.TEXTSPLIT(mvtst[[#This Row],[QR Suivis]],"_"),1,1)</f>
        <v>CA250034-6</v>
      </c>
      <c r="I2055" s="35" t="str">
        <f>_xlfn.TEXTBEFORE(mvtst[[#This Row],[Num Suivis]],"-",,,1)</f>
        <v>CA250034</v>
      </c>
      <c r="J2055" s="36">
        <f>SUMIF(mvtst[QR Suivis],mvtst[[#This Row],[QR Suivis]],mvtst[QTE SORTIS])-SUMIF(mvtst[QR Suivis],mvtst[[#This Row],[QR Suivis]],mvtst[QTE RETOUR])</f>
        <v>0</v>
      </c>
      <c r="K2055" s="35" t="str">
        <f t="shared" si="35"/>
        <v>Usine</v>
      </c>
      <c r="L2055" s="35" t="str">
        <f>_xlfn.XLOOKUP(mvtst[[#This Row],[Sous Traitant]],coordonnee_st[Identification],coordonnee_st[SERVICE],"Non Trouvé")</f>
        <v>Frange</v>
      </c>
      <c r="M2055" s="35" t="str">
        <f>INDEX(_xlfn.TEXTSPLIT(mvtst[[#This Row],[QR Suivis]],"_"),1,2)</f>
        <v>All by Fouta</v>
      </c>
      <c r="N2055" s="35" t="str">
        <f>INDEX(_xlfn.TEXTSPLIT(mvtst[[#This Row],[QR Suivis]],"_"),1,3)</f>
        <v>Stock</v>
      </c>
      <c r="O2055" s="35" t="str">
        <f>INDEX(_xlfn.TEXTSPLIT(mvtst[[#This Row],[QR Suivis]],"_"),1,4)</f>
        <v>UNS2020-24</v>
      </c>
      <c r="P2055" s="35" t="str">
        <f>INDEX(_xlfn.TEXTSPLIT(mvtst[[#This Row],[QR Suivis]],"_"),1,5)</f>
        <v>UNI SURPIQUE</v>
      </c>
      <c r="Q2055" s="35" t="str">
        <f>_xlfn.TEXTAFTER(mvtst[[#This Row],[QR Suivis]],"_",5)</f>
        <v>2020</v>
      </c>
      <c r="R2055" s="84" t="str">
        <f>IF(
   COUNTIFS($A$2:A2055,A2055,
             $B$2:B2055,B2055,
             $C$2:C2055,C2055,
             $D$2:D2055,D2055,
             $G$2:G2055,G2055)&gt;1,
   "Doublon",
   "Correcte"
)</f>
        <v>Correcte</v>
      </c>
    </row>
    <row r="2056" spans="1:18" x14ac:dyDescent="0.25">
      <c r="A2056" s="104" t="s">
        <v>2064</v>
      </c>
      <c r="B2056" s="35" t="s">
        <v>712</v>
      </c>
      <c r="C2056" s="36">
        <v>0</v>
      </c>
      <c r="D2056" s="36">
        <v>5</v>
      </c>
      <c r="E2056" s="35" t="s">
        <v>699</v>
      </c>
      <c r="F2056" s="35" t="s">
        <v>634</v>
      </c>
      <c r="G2056" s="37">
        <v>45943.700428240743</v>
      </c>
      <c r="H2056" s="37" t="str">
        <f>INDEX(_xlfn.TEXTSPLIT(mvtst[[#This Row],[QR Suivis]],"_"),1,1)</f>
        <v>CA250034-2</v>
      </c>
      <c r="I2056" s="35" t="str">
        <f>_xlfn.TEXTBEFORE(mvtst[[#This Row],[Num Suivis]],"-",,,1)</f>
        <v>CA250034</v>
      </c>
      <c r="J2056" s="36">
        <f>SUMIF(mvtst[QR Suivis],mvtst[[#This Row],[QR Suivis]],mvtst[QTE SORTIS])-SUMIF(mvtst[QR Suivis],mvtst[[#This Row],[QR Suivis]],mvtst[QTE RETOUR])</f>
        <v>0</v>
      </c>
      <c r="K2056" s="35" t="str">
        <f t="shared" si="35"/>
        <v>Usine</v>
      </c>
      <c r="L2056" s="35" t="str">
        <f>_xlfn.XLOOKUP(mvtst[[#This Row],[Sous Traitant]],coordonnee_st[Identification],coordonnee_st[SERVICE],"Non Trouvé")</f>
        <v>Frange</v>
      </c>
      <c r="M2056" s="35" t="str">
        <f>INDEX(_xlfn.TEXTSPLIT(mvtst[[#This Row],[QR Suivis]],"_"),1,2)</f>
        <v>All by Fouta</v>
      </c>
      <c r="N2056" s="35" t="str">
        <f>INDEX(_xlfn.TEXTSPLIT(mvtst[[#This Row],[QR Suivis]],"_"),1,3)</f>
        <v>Stock</v>
      </c>
      <c r="O2056" s="35" t="str">
        <f>INDEX(_xlfn.TEXTSPLIT(mvtst[[#This Row],[QR Suivis]],"_"),1,4)</f>
        <v>UNS2020-24</v>
      </c>
      <c r="P2056" s="35" t="str">
        <f>INDEX(_xlfn.TEXTSPLIT(mvtst[[#This Row],[QR Suivis]],"_"),1,5)</f>
        <v>UNI SURPIQUE</v>
      </c>
      <c r="Q2056" s="35" t="str">
        <f>_xlfn.TEXTAFTER(mvtst[[#This Row],[QR Suivis]],"_",5)</f>
        <v>2020</v>
      </c>
      <c r="R2056" s="84" t="str">
        <f>IF(
   COUNTIFS($A$2:A2056,A2056,
             $B$2:B2056,B2056,
             $C$2:C2056,C2056,
             $D$2:D2056,D2056,
             $G$2:G2056,G2056)&gt;1,
   "Doublon",
   "Correcte"
)</f>
        <v>Correcte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66B20-ECC1-4D22-A600-38D4DBA410AB}">
  <dimension ref="A1:R11"/>
  <sheetViews>
    <sheetView workbookViewId="0">
      <selection activeCell="A7" sqref="A7"/>
    </sheetView>
  </sheetViews>
  <sheetFormatPr baseColWidth="10" defaultColWidth="11.42578125" defaultRowHeight="15" x14ac:dyDescent="0.25"/>
  <cols>
    <col min="1" max="1" width="13.28515625" bestFit="1" customWidth="1"/>
    <col min="2" max="2" width="12.7109375" bestFit="1" customWidth="1"/>
    <col min="3" max="3" width="14.140625" bestFit="1" customWidth="1"/>
    <col min="4" max="4" width="10.42578125" bestFit="1" customWidth="1"/>
    <col min="5" max="5" width="26.85546875" customWidth="1"/>
    <col min="6" max="6" width="16" customWidth="1"/>
    <col min="7" max="7" width="13.5703125" bestFit="1" customWidth="1"/>
    <col min="8" max="8" width="10.42578125" style="18" bestFit="1" customWidth="1"/>
    <col min="9" max="9" width="12.85546875" style="18" customWidth="1"/>
    <col min="10" max="10" width="14.85546875" customWidth="1"/>
    <col min="11" max="11" width="18.5703125" bestFit="1" customWidth="1"/>
    <col min="12" max="12" width="13.5703125" bestFit="1" customWidth="1"/>
    <col min="13" max="13" width="16.140625" bestFit="1" customWidth="1"/>
    <col min="14" max="14" width="15.42578125" customWidth="1"/>
    <col min="15" max="15" width="14.140625" bestFit="1" customWidth="1"/>
    <col min="16" max="17" width="13.7109375" bestFit="1" customWidth="1"/>
  </cols>
  <sheetData>
    <row r="1" spans="1:18" s="1" customFormat="1" ht="27" x14ac:dyDescent="0.25">
      <c r="A1" s="45" t="s">
        <v>2391</v>
      </c>
      <c r="B1" s="43" t="s">
        <v>1091</v>
      </c>
      <c r="C1" s="43" t="s">
        <v>693</v>
      </c>
      <c r="D1" s="43" t="s">
        <v>694</v>
      </c>
      <c r="E1" s="43" t="s">
        <v>696</v>
      </c>
      <c r="F1" s="43" t="s">
        <v>1092</v>
      </c>
      <c r="G1" s="43" t="s">
        <v>1093</v>
      </c>
      <c r="H1" s="44" t="s">
        <v>587</v>
      </c>
      <c r="I1" s="44" t="s">
        <v>2684</v>
      </c>
      <c r="J1" s="43" t="s">
        <v>0</v>
      </c>
      <c r="K1" s="43" t="s">
        <v>2</v>
      </c>
      <c r="L1" s="43" t="s">
        <v>1</v>
      </c>
      <c r="M1" s="43" t="s">
        <v>3</v>
      </c>
      <c r="N1" s="43" t="s">
        <v>4</v>
      </c>
      <c r="O1" s="43" t="s">
        <v>5</v>
      </c>
      <c r="P1" s="45" t="s">
        <v>705</v>
      </c>
      <c r="Q1" s="45" t="s">
        <v>652</v>
      </c>
      <c r="R1" s="45" t="s">
        <v>1227</v>
      </c>
    </row>
    <row r="2" spans="1:18" x14ac:dyDescent="0.25">
      <c r="A2" s="96" t="s">
        <v>2392</v>
      </c>
      <c r="B2" s="17">
        <v>1</v>
      </c>
      <c r="C2" s="17">
        <v>0</v>
      </c>
      <c r="D2" s="17">
        <v>0</v>
      </c>
      <c r="E2" s="16"/>
      <c r="F2" s="16" t="s">
        <v>1094</v>
      </c>
      <c r="G2" s="23" t="s">
        <v>664</v>
      </c>
      <c r="H2" s="24">
        <v>45922</v>
      </c>
      <c r="I2" s="24" t="str">
        <f>INDEX(_xlfn.TEXTSPLIT(qualite[[#This Row],[QR Suivis]],"_"),1,1)</f>
        <v>CA250070</v>
      </c>
      <c r="J2" s="16" t="str">
        <f>_xlfn.TEXTBEFORE(qualite[[#This Row],[Num Suivis]],"-",,,1)</f>
        <v>CA250070</v>
      </c>
      <c r="K2" s="38" t="str">
        <f>INDEX(_xlfn.TEXTSPLIT(mvtst[[#This Row],[QR Suivis]],"_"),1,2)</f>
        <v>All by Fouta</v>
      </c>
      <c r="L2" s="38" t="str">
        <f>INDEX(_xlfn.TEXTSPLIT(mvtst[[#This Row],[QR Suivis]],"_"),1,3)</f>
        <v>Stock</v>
      </c>
      <c r="M2" s="38" t="str">
        <f>INDEX(_xlfn.TEXTSPLIT(mvtst[[#This Row],[QR Suivis]],"_"),1,4)</f>
        <v>UNS1020-09</v>
      </c>
      <c r="N2" s="38" t="str">
        <f>INDEX(_xlfn.TEXTSPLIT(mvtst[[#This Row],[QR Suivis]],"_"),1,5)</f>
        <v>UNI SURPIQUE</v>
      </c>
      <c r="O2" s="16" t="str">
        <f>_xlfn.TEXTAFTER(qualite[[#This Row],[QR Suivis]],"_",5)</f>
        <v>2030</v>
      </c>
      <c r="P2" s="82" t="str">
        <f>_xlfn.XLOOKUP(qualite[[#This Row],[Num Suivis]],mvtst[Num Suivis],mvtst[Sous Traitant],0)</f>
        <v>AliSassi</v>
      </c>
      <c r="Q2" s="82" t="str">
        <f>_xlfn.XLOOKUP(qualite[[#This Row],[Num Suivis]],mvtst[Num Suivis],mvtst[Type D''opération],0)</f>
        <v>Frange</v>
      </c>
      <c r="R2" s="85" t="str">
        <f>IF(
   COUNTIFS($A$2:A2,A2,
             $B$2:B2,B2,
             $C$2:C2,C2,
             $D$2:D2,D2,
             $H$2:H2,H2)&gt;1,
   "Doublon",
   "Correcte"
)</f>
        <v>Correcte</v>
      </c>
    </row>
    <row r="3" spans="1:18" x14ac:dyDescent="0.25">
      <c r="A3" s="96" t="s">
        <v>2393</v>
      </c>
      <c r="B3" s="25">
        <v>1</v>
      </c>
      <c r="C3" s="17">
        <v>0</v>
      </c>
      <c r="D3" s="17">
        <v>0</v>
      </c>
      <c r="E3" s="16"/>
      <c r="F3" s="16" t="s">
        <v>1094</v>
      </c>
      <c r="G3" s="23" t="s">
        <v>664</v>
      </c>
      <c r="H3" s="24">
        <v>45922</v>
      </c>
      <c r="I3" s="24" t="str">
        <f>INDEX(_xlfn.TEXTSPLIT(qualite[[#This Row],[QR Suivis]],"_"),1,1)</f>
        <v>OF242496</v>
      </c>
      <c r="J3" s="16" t="str">
        <f>_xlfn.TEXTBEFORE(qualite[[#This Row],[Num Suivis]],"-",,,1)</f>
        <v>OF242496</v>
      </c>
      <c r="K3" s="16" t="str">
        <f>INDEX(_xlfn.TEXTSPLIT(mvtst[[#This Row],[QR Suivis]],"_"),1,2)</f>
        <v>All by Fouta</v>
      </c>
      <c r="L3" s="16" t="str">
        <f>INDEX(_xlfn.TEXTSPLIT(mvtst[[#This Row],[QR Suivis]],"_"),1,3)</f>
        <v>Stock</v>
      </c>
      <c r="M3" s="16" t="str">
        <f>INDEX(_xlfn.TEXTSPLIT(mvtst[[#This Row],[QR Suivis]],"_"),1,4)</f>
        <v>UNS1020-09</v>
      </c>
      <c r="N3" s="16" t="str">
        <f>INDEX(_xlfn.TEXTSPLIT(mvtst[[#This Row],[QR Suivis]],"_"),1,5)</f>
        <v>UNI SURPIQUE</v>
      </c>
      <c r="O3" s="16" t="str">
        <f>_xlfn.TEXTAFTER(qualite[[#This Row],[QR Suivis]],"_",5)</f>
        <v>2426</v>
      </c>
      <c r="P3" s="16" t="str">
        <f>_xlfn.XLOOKUP(qualite[[#This Row],[Num Suivis]],mvtst[Num Suivis],mvtst[Sous Traitant],0)</f>
        <v>AliSassi</v>
      </c>
      <c r="Q3" s="16" t="str">
        <f>_xlfn.XLOOKUP(qualite[[#This Row],[Num Suivis]],mvtst[Num Suivis],mvtst[Type D''opération],0)</f>
        <v>Frange</v>
      </c>
      <c r="R3" s="85" t="str">
        <f>IF(
   COUNTIFS($A$2:A3,A3,
             $B$2:B3,B3,
             $C$2:C3,C3,
             $D$2:D3,D3,
             $H$2:H3,H3)&gt;1,
   "Doublon",
   "Correcte"
)</f>
        <v>Correcte</v>
      </c>
    </row>
    <row r="4" spans="1:18" x14ac:dyDescent="0.25">
      <c r="A4" s="96" t="s">
        <v>2394</v>
      </c>
      <c r="B4" s="25">
        <v>1</v>
      </c>
      <c r="C4" s="17">
        <v>0</v>
      </c>
      <c r="D4" s="17">
        <v>0</v>
      </c>
      <c r="E4" s="16"/>
      <c r="F4" s="16" t="s">
        <v>1094</v>
      </c>
      <c r="G4" s="23" t="s">
        <v>664</v>
      </c>
      <c r="H4" s="24">
        <v>45922</v>
      </c>
      <c r="I4" s="24" t="str">
        <f>INDEX(_xlfn.TEXTSPLIT(qualite[[#This Row],[QR Suivis]],"_"),1,1)</f>
        <v>CA250397</v>
      </c>
      <c r="J4" s="16" t="str">
        <f>_xlfn.TEXTBEFORE(qualite[[#This Row],[Num Suivis]],"-",,,1)</f>
        <v>CA250397</v>
      </c>
      <c r="K4" s="16" t="str">
        <f>INDEX(_xlfn.TEXTSPLIT(mvtst[[#This Row],[QR Suivis]],"_"),1,2)</f>
        <v>All by Fouta</v>
      </c>
      <c r="L4" s="16" t="str">
        <f>INDEX(_xlfn.TEXTSPLIT(mvtst[[#This Row],[QR Suivis]],"_"),1,3)</f>
        <v>Stock</v>
      </c>
      <c r="M4" s="16" t="str">
        <f>INDEX(_xlfn.TEXTSPLIT(mvtst[[#This Row],[QR Suivis]],"_"),1,4)</f>
        <v>UNS1020-17</v>
      </c>
      <c r="N4" s="16" t="str">
        <f>INDEX(_xlfn.TEXTSPLIT(mvtst[[#This Row],[QR Suivis]],"_"),1,5)</f>
        <v>UNI SURPIQUE</v>
      </c>
      <c r="O4" s="16" t="str">
        <f>_xlfn.TEXTAFTER(qualite[[#This Row],[QR Suivis]],"_",5)</f>
        <v>1020</v>
      </c>
      <c r="P4" s="16" t="str">
        <f>_xlfn.XLOOKUP(qualite[[#This Row],[Num Suivis]],mvtst[Num Suivis],mvtst[Sous Traitant],0)</f>
        <v>AliSassi</v>
      </c>
      <c r="Q4" s="16" t="str">
        <f>_xlfn.XLOOKUP(qualite[[#This Row],[Num Suivis]],mvtst[Num Suivis],mvtst[Type D''opération],0)</f>
        <v>Frange</v>
      </c>
      <c r="R4" s="85" t="str">
        <f>IF(
   COUNTIFS($A$2:A4,A4,
             $B$2:B4,B4,
             $C$2:C4,C4,
             $D$2:D4,D4,
             $H$2:H4,H4)&gt;1,
   "Doublon",
   "Correcte"
)</f>
        <v>Correcte</v>
      </c>
    </row>
    <row r="5" spans="1:18" x14ac:dyDescent="0.25">
      <c r="A5" s="96" t="s">
        <v>2395</v>
      </c>
      <c r="B5" s="25">
        <v>1</v>
      </c>
      <c r="C5" s="17">
        <v>0</v>
      </c>
      <c r="D5" s="17">
        <v>0</v>
      </c>
      <c r="E5" s="16"/>
      <c r="F5" s="16" t="s">
        <v>1094</v>
      </c>
      <c r="G5" s="23" t="s">
        <v>664</v>
      </c>
      <c r="H5" s="24">
        <v>45923</v>
      </c>
      <c r="I5" s="24" t="str">
        <f>INDEX(_xlfn.TEXTSPLIT(qualite[[#This Row],[QR Suivis]],"_"),1,1)</f>
        <v>CA250075</v>
      </c>
      <c r="J5" s="16" t="str">
        <f>_xlfn.TEXTBEFORE(qualite[[#This Row],[Num Suivis]],"-",,,1)</f>
        <v>CA250075</v>
      </c>
      <c r="K5" s="16" t="str">
        <f>INDEX(_xlfn.TEXTSPLIT(mvtst[[#This Row],[QR Suivis]],"_"),1,2)</f>
        <v>All by Fouta</v>
      </c>
      <c r="L5" s="16" t="str">
        <f>INDEX(_xlfn.TEXTSPLIT(mvtst[[#This Row],[QR Suivis]],"_"),1,3)</f>
        <v>Stock</v>
      </c>
      <c r="M5" s="16" t="str">
        <f>INDEX(_xlfn.TEXTSPLIT(mvtst[[#This Row],[QR Suivis]],"_"),1,4)</f>
        <v>UNS1020-12</v>
      </c>
      <c r="N5" s="16" t="str">
        <f>INDEX(_xlfn.TEXTSPLIT(mvtst[[#This Row],[QR Suivis]],"_"),1,5)</f>
        <v>UNI SURPIQUE</v>
      </c>
      <c r="O5" s="16" t="str">
        <f>_xlfn.TEXTAFTER(qualite[[#This Row],[QR Suivis]],"_",5)</f>
        <v>2030</v>
      </c>
      <c r="P5" s="16" t="str">
        <f>_xlfn.XLOOKUP(qualite[[#This Row],[Num Suivis]],mvtst[Num Suivis],mvtst[Sous Traitant],0)</f>
        <v>AliSassi</v>
      </c>
      <c r="Q5" s="16" t="str">
        <f>_xlfn.XLOOKUP(qualite[[#This Row],[Num Suivis]],mvtst[Num Suivis],mvtst[Type D''opération],0)</f>
        <v>Frange</v>
      </c>
      <c r="R5" s="85" t="str">
        <f>IF(
   COUNTIFS($A$2:A5,A5,
             $B$2:B5,B5,
             $C$2:C5,C5,
             $D$2:D5,D5,
             $H$2:H5,H5)&gt;1,
   "Doublon",
   "Correcte"
)</f>
        <v>Correcte</v>
      </c>
    </row>
    <row r="6" spans="1:18" x14ac:dyDescent="0.25">
      <c r="A6" s="105" t="s">
        <v>2396</v>
      </c>
      <c r="B6" s="42">
        <v>0</v>
      </c>
      <c r="C6" s="20">
        <v>0</v>
      </c>
      <c r="D6" s="20">
        <v>1</v>
      </c>
      <c r="E6" s="19" t="e" vm="41">
        <v>#VALUE!</v>
      </c>
      <c r="F6" s="21" t="s">
        <v>1095</v>
      </c>
      <c r="G6" s="21" t="s">
        <v>665</v>
      </c>
      <c r="H6" s="22">
        <v>45934.460717592592</v>
      </c>
      <c r="I6" s="22" t="str">
        <f>INDEX(_xlfn.TEXTSPLIT(qualite[[#This Row],[QR Suivis]],"_"),1,1)</f>
        <v>CA250073-1</v>
      </c>
      <c r="J6" s="108" t="str">
        <f>_xlfn.TEXTBEFORE(qualite[[#This Row],[Num Suivis]],"-",,,1)</f>
        <v>CA250073</v>
      </c>
      <c r="K6" s="16" t="str">
        <f>INDEX(_xlfn.TEXTSPLIT(mvtst[[#This Row],[QR Suivis]],"_"),1,2)</f>
        <v>All by Fouta</v>
      </c>
      <c r="L6" s="16" t="str">
        <f>INDEX(_xlfn.TEXTSPLIT(mvtst[[#This Row],[QR Suivis]],"_"),1,3)</f>
        <v>Stock</v>
      </c>
      <c r="M6" s="16" t="str">
        <f>INDEX(_xlfn.TEXTSPLIT(mvtst[[#This Row],[QR Suivis]],"_"),1,4)</f>
        <v>UNS1020-19</v>
      </c>
      <c r="N6" s="16" t="str">
        <f>INDEX(_xlfn.TEXTSPLIT(mvtst[[#This Row],[QR Suivis]],"_"),1,5)</f>
        <v>UNI SURPIQUE</v>
      </c>
      <c r="O6" s="16" t="str">
        <f>_xlfn.TEXTAFTER(qualite[[#This Row],[QR Suivis]],"_",5)</f>
        <v>2030</v>
      </c>
      <c r="P6" s="16" t="str">
        <f>_xlfn.XLOOKUP(qualite[[#This Row],[Num Suivis]],mvtst[Num Suivis],mvtst[Sous Traitant],0)</f>
        <v>AliSassi</v>
      </c>
      <c r="Q6" s="16" t="str">
        <f>_xlfn.XLOOKUP(qualite[[#This Row],[Num Suivis]],mvtst[Num Suivis],mvtst[Type D''opération],0)</f>
        <v>Frange</v>
      </c>
      <c r="R6" s="85" t="str">
        <f>IF(
   COUNTIFS($A$2:A6,A6,
             $B$2:B6,B6,
             $C$2:C6,C6,
             $D$2:D6,D6,
             $H$2:H6,H6)&gt;1,
   "Doublon",
   "Correcte"
)</f>
        <v>Correcte</v>
      </c>
    </row>
    <row r="7" spans="1:18" x14ac:dyDescent="0.25">
      <c r="A7" s="96" t="s">
        <v>2397</v>
      </c>
      <c r="B7" s="25">
        <v>1</v>
      </c>
      <c r="C7" s="17">
        <v>1</v>
      </c>
      <c r="D7" s="17">
        <v>0</v>
      </c>
      <c r="E7" s="16" t="e" vm="42">
        <v>#VALUE!</v>
      </c>
      <c r="F7" s="23" t="s">
        <v>1096</v>
      </c>
      <c r="G7" s="23" t="s">
        <v>665</v>
      </c>
      <c r="H7" s="24">
        <v>45934.517141203702</v>
      </c>
      <c r="I7" s="24" t="str">
        <f>INDEX(_xlfn.TEXTSPLIT(qualite[[#This Row],[QR Suivis]],"_"),1,1)</f>
        <v>CA250026</v>
      </c>
      <c r="J7" s="16" t="str">
        <f>_xlfn.TEXTBEFORE(qualite[[#This Row],[Num Suivis]],"-",,,1)</f>
        <v>CA250026</v>
      </c>
      <c r="K7" s="16" t="str">
        <f>INDEX(_xlfn.TEXTSPLIT(mvtst[[#This Row],[QR Suivis]],"_"),1,2)</f>
        <v>All by Fouta</v>
      </c>
      <c r="L7" s="16" t="str">
        <f>INDEX(_xlfn.TEXTSPLIT(mvtst[[#This Row],[QR Suivis]],"_"),1,3)</f>
        <v>Stock</v>
      </c>
      <c r="M7" s="16" t="str">
        <f>INDEX(_xlfn.TEXTSPLIT(mvtst[[#This Row],[QR Suivis]],"_"),1,4)</f>
        <v>UNS2030-09</v>
      </c>
      <c r="N7" s="16" t="str">
        <f>INDEX(_xlfn.TEXTSPLIT(mvtst[[#This Row],[QR Suivis]],"_"),1,5)</f>
        <v>UNI SURPIQUE</v>
      </c>
      <c r="O7" s="16" t="str">
        <f>_xlfn.TEXTAFTER(qualite[[#This Row],[QR Suivis]],"_",5)</f>
        <v>2020</v>
      </c>
      <c r="P7" s="16" t="str">
        <f>_xlfn.XLOOKUP(qualite[[#This Row],[Num Suivis]],mvtst[Num Suivis],mvtst[Sous Traitant],0)</f>
        <v>AliSassi</v>
      </c>
      <c r="Q7" s="16" t="str">
        <f>_xlfn.XLOOKUP(qualite[[#This Row],[Num Suivis]],mvtst[Num Suivis],mvtst[Type D''opération],0)</f>
        <v>Frange</v>
      </c>
      <c r="R7" s="85" t="str">
        <f>IF(
   COUNTIFS($A$2:A7,A7,
             $B$2:B7,B7,
             $C$2:C7,C7,
             $D$2:D7,D7,
             $H$2:H7,H7)&gt;1,
   "Doublon",
   "Correcte"
)</f>
        <v>Correcte</v>
      </c>
    </row>
    <row r="8" spans="1:18" x14ac:dyDescent="0.25">
      <c r="A8" s="96" t="s">
        <v>2398</v>
      </c>
      <c r="B8" s="25">
        <v>1</v>
      </c>
      <c r="C8" s="17">
        <v>1</v>
      </c>
      <c r="D8" s="17">
        <v>0</v>
      </c>
      <c r="E8" s="16" t="e" vm="43">
        <v>#VALUE!</v>
      </c>
      <c r="F8" s="16" t="s">
        <v>1096</v>
      </c>
      <c r="G8" s="23" t="s">
        <v>665</v>
      </c>
      <c r="H8" s="24">
        <v>45936.477500000001</v>
      </c>
      <c r="I8" s="24" t="str">
        <f>INDEX(_xlfn.TEXTSPLIT(qualite[[#This Row],[QR Suivis]],"_"),1,1)</f>
        <v>CA250049-5</v>
      </c>
      <c r="J8" s="16" t="str">
        <f>_xlfn.TEXTBEFORE(qualite[[#This Row],[Num Suivis]],"-",,,1)</f>
        <v>CA250049</v>
      </c>
      <c r="K8" s="16" t="str">
        <f>INDEX(_xlfn.TEXTSPLIT(mvtst[[#This Row],[QR Suivis]],"_"),1,2)</f>
        <v>All by Fouta</v>
      </c>
      <c r="L8" s="16" t="str">
        <f>INDEX(_xlfn.TEXTSPLIT(mvtst[[#This Row],[QR Suivis]],"_"),1,3)</f>
        <v>Stock</v>
      </c>
      <c r="M8" s="16" t="str">
        <f>INDEX(_xlfn.TEXTSPLIT(mvtst[[#This Row],[QR Suivis]],"_"),1,4)</f>
        <v>UNS2030-04</v>
      </c>
      <c r="N8" s="16" t="str">
        <f>INDEX(_xlfn.TEXTSPLIT(mvtst[[#This Row],[QR Suivis]],"_"),1,5)</f>
        <v>UNI SURPIQUE</v>
      </c>
      <c r="O8" s="16" t="str">
        <f>_xlfn.TEXTAFTER(qualite[[#This Row],[QR Suivis]],"_",5)</f>
        <v>1626</v>
      </c>
      <c r="P8" s="64" t="str">
        <f>_xlfn.XLOOKUP(qualite[[#This Row],[Num Suivis]],mvtst[Num Suivis],mvtst[Sous Traitant],0)</f>
        <v>AliSassi</v>
      </c>
      <c r="Q8" s="64" t="str">
        <f>_xlfn.XLOOKUP(qualite[[#This Row],[Num Suivis]],mvtst[Num Suivis],mvtst[Type D''opération],0)</f>
        <v>Frange</v>
      </c>
      <c r="R8" s="85" t="str">
        <f>IF(
   COUNTIFS($A$2:A8,A8,
             $B$2:B8,B8,
             $C$2:C8,C8,
             $D$2:D8,D8,
             $H$2:H8,H8)&gt;1,
   "Doublon",
   "Correcte"
)</f>
        <v>Correcte</v>
      </c>
    </row>
    <row r="9" spans="1:18" x14ac:dyDescent="0.25">
      <c r="A9" s="97" t="s">
        <v>2399</v>
      </c>
      <c r="B9" s="65">
        <v>1</v>
      </c>
      <c r="C9" s="65">
        <v>1</v>
      </c>
      <c r="D9" s="65">
        <v>0</v>
      </c>
      <c r="E9" s="64" t="e" vm="44">
        <v>#VALUE!</v>
      </c>
      <c r="F9" s="64" t="s">
        <v>1095</v>
      </c>
      <c r="G9" s="66" t="s">
        <v>665</v>
      </c>
      <c r="H9" s="67">
        <v>45943.612129629626</v>
      </c>
      <c r="I9" s="67" t="str">
        <f>INDEX(_xlfn.TEXTSPLIT(qualite[[#This Row],[QR Suivis]],"_"),1,1)</f>
        <v>OF249946-49</v>
      </c>
      <c r="J9" s="64" t="str">
        <f>_xlfn.TEXTBEFORE(qualite[[#This Row],[Num Suivis]],"-",,,1)</f>
        <v>OF249946</v>
      </c>
      <c r="K9" s="64" t="str">
        <f>INDEX(_xlfn.TEXTSPLIT(mvtst[[#This Row],[QR Suivis]],"_"),1,2)</f>
        <v>All by Fouta</v>
      </c>
      <c r="L9" s="64" t="str">
        <f>INDEX(_xlfn.TEXTSPLIT(mvtst[[#This Row],[QR Suivis]],"_"),1,3)</f>
        <v>Stock</v>
      </c>
      <c r="M9" s="64" t="str">
        <f>INDEX(_xlfn.TEXTSPLIT(mvtst[[#This Row],[QR Suivis]],"_"),1,4)</f>
        <v>UNS2030-12</v>
      </c>
      <c r="N9" s="64" t="str">
        <f>INDEX(_xlfn.TEXTSPLIT(mvtst[[#This Row],[QR Suivis]],"_"),1,5)</f>
        <v>UNI SURPIQUE</v>
      </c>
      <c r="O9" s="64" t="str">
        <f>_xlfn.TEXTAFTER(qualite[[#This Row],[QR Suivis]],"_",5)</f>
        <v>1020</v>
      </c>
      <c r="P9" s="64" t="str">
        <f>_xlfn.XLOOKUP(qualite[[#This Row],[Num Suivis]],mvtst[Num Suivis],mvtst[Sous Traitant],0)</f>
        <v>AliSassi</v>
      </c>
      <c r="Q9" s="64" t="str">
        <f>_xlfn.XLOOKUP(qualite[[#This Row],[Num Suivis]],mvtst[Num Suivis],mvtst[Type D''opération],0)</f>
        <v>Frange</v>
      </c>
      <c r="R9" s="85" t="str">
        <f>IF(
   COUNTIFS($A$2:A9,A9,
             $B$2:B9,B9,
             $C$2:C9,C9,
             $D$2:D9,D9,
             $H$2:H9,H9)&gt;1,
   "Doublon",
   "Correcte"
)</f>
        <v>Correcte</v>
      </c>
    </row>
    <row r="10" spans="1:18" x14ac:dyDescent="0.25">
      <c r="A10" s="97" t="s">
        <v>2399</v>
      </c>
      <c r="B10" s="65">
        <v>1</v>
      </c>
      <c r="C10" s="65">
        <v>0</v>
      </c>
      <c r="D10" s="65">
        <v>0</v>
      </c>
      <c r="E10" s="64" t="e" vm="44">
        <v>#VALUE!</v>
      </c>
      <c r="F10" s="64" t="s">
        <v>1095</v>
      </c>
      <c r="G10" s="66" t="s">
        <v>665</v>
      </c>
      <c r="H10" s="67">
        <v>45943.612129629626</v>
      </c>
      <c r="I10" s="67" t="str">
        <f>INDEX(_xlfn.TEXTSPLIT(qualite[[#This Row],[QR Suivis]],"_"),1,1)</f>
        <v>OF249946-49</v>
      </c>
      <c r="J10" s="64" t="str">
        <f>_xlfn.TEXTBEFORE(qualite[[#This Row],[Num Suivis]],"-",,,1)</f>
        <v>OF249946</v>
      </c>
      <c r="K10" s="64" t="str">
        <f>INDEX(_xlfn.TEXTSPLIT(mvtst[[#This Row],[QR Suivis]],"_"),1,2)</f>
        <v>All by Fouta</v>
      </c>
      <c r="L10" s="64" t="str">
        <f>INDEX(_xlfn.TEXTSPLIT(mvtst[[#This Row],[QR Suivis]],"_"),1,3)</f>
        <v>Stock</v>
      </c>
      <c r="M10" s="64" t="str">
        <f>INDEX(_xlfn.TEXTSPLIT(mvtst[[#This Row],[QR Suivis]],"_"),1,4)</f>
        <v>UNS2030-26</v>
      </c>
      <c r="N10" s="64" t="str">
        <f>INDEX(_xlfn.TEXTSPLIT(mvtst[[#This Row],[QR Suivis]],"_"),1,5)</f>
        <v>UNI SURPIQUE</v>
      </c>
      <c r="O10" s="64" t="str">
        <f>_xlfn.TEXTAFTER(qualite[[#This Row],[QR Suivis]],"_",5)</f>
        <v>1020</v>
      </c>
      <c r="P10" s="64" t="str">
        <f>_xlfn.XLOOKUP(qualite[[#This Row],[Num Suivis]],mvtst[Num Suivis],mvtst[Sous Traitant],0)</f>
        <v>AliSassi</v>
      </c>
      <c r="Q10" s="64" t="str">
        <f>_xlfn.XLOOKUP(qualite[[#This Row],[Num Suivis]],mvtst[Num Suivis],mvtst[Type D''opération],0)</f>
        <v>Frange</v>
      </c>
      <c r="R10" s="85" t="str">
        <f>IF(
   COUNTIFS($A$2:A10,A10,
             $B$2:B10,B10,
             $C$2:C10,C10,
             $D$2:D10,D10,
             $H$2:H10,H10)&gt;1,
   "Doublon",
   "Correcte"
)</f>
        <v>Correcte</v>
      </c>
    </row>
    <row r="11" spans="1:18" x14ac:dyDescent="0.25">
      <c r="A11" s="97" t="s">
        <v>2394</v>
      </c>
      <c r="B11" s="65">
        <v>1</v>
      </c>
      <c r="C11" s="65">
        <v>1</v>
      </c>
      <c r="D11" s="65">
        <v>0</v>
      </c>
      <c r="E11" s="64" t="e" vm="45">
        <v>#VALUE!</v>
      </c>
      <c r="F11" s="64" t="s">
        <v>1094</v>
      </c>
      <c r="G11" s="66" t="s">
        <v>665</v>
      </c>
      <c r="H11" s="67">
        <v>45926.516087962962</v>
      </c>
      <c r="I11" s="67" t="str">
        <f>INDEX(_xlfn.TEXTSPLIT(qualite[[#This Row],[QR Suivis]],"_"),1,1)</f>
        <v>CA250397</v>
      </c>
      <c r="J11" s="64" t="str">
        <f>_xlfn.TEXTBEFORE(qualite[[#This Row],[Num Suivis]],"-",,,1)</f>
        <v>CA250397</v>
      </c>
      <c r="K11" s="64" t="str">
        <f>INDEX(_xlfn.TEXTSPLIT(mvtst[[#This Row],[QR Suivis]],"_"),1,2)</f>
        <v>All by Fouta</v>
      </c>
      <c r="L11" s="64" t="str">
        <f>INDEX(_xlfn.TEXTSPLIT(mvtst[[#This Row],[QR Suivis]],"_"),1,3)</f>
        <v>Stock</v>
      </c>
      <c r="M11" s="64" t="str">
        <f>INDEX(_xlfn.TEXTSPLIT(mvtst[[#This Row],[QR Suivis]],"_"),1,4)</f>
        <v>BE1020-Q26-13-01</v>
      </c>
      <c r="N11" s="64" t="str">
        <f>INDEX(_xlfn.TEXTSPLIT(mvtst[[#This Row],[QR Suivis]],"_"),1,5)</f>
        <v>BERBER</v>
      </c>
      <c r="O11" s="64" t="str">
        <f>_xlfn.TEXTAFTER(qualite[[#This Row],[QR Suivis]],"_",5)</f>
        <v>1020</v>
      </c>
      <c r="P11" s="64" t="str">
        <f>_xlfn.XLOOKUP(qualite[[#This Row],[Num Suivis]],mvtst[Num Suivis],mvtst[Sous Traitant],0)</f>
        <v>AliSassi</v>
      </c>
      <c r="Q11" s="64" t="str">
        <f>_xlfn.XLOOKUP(qualite[[#This Row],[Num Suivis]],mvtst[Num Suivis],mvtst[Type D''opération],0)</f>
        <v>Frange</v>
      </c>
      <c r="R11" s="85" t="str">
        <f>IF(
   COUNTIFS($A$2:A11,A11,
             $B$2:B11,B11,
             $C$2:C11,C11,
             $D$2:D11,D11,
             $H$2:H11,H11)&gt;1,
   "Doublon",
   "Correcte"
)</f>
        <v>Correcte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8A86A-448B-4D91-8402-A651DE06933F}">
  <dimension ref="A1:R131"/>
  <sheetViews>
    <sheetView workbookViewId="0">
      <selection activeCell="B12" sqref="B12"/>
    </sheetView>
  </sheetViews>
  <sheetFormatPr baseColWidth="10" defaultColWidth="11.42578125" defaultRowHeight="15" customHeight="1" x14ac:dyDescent="0.25"/>
  <cols>
    <col min="1" max="1" width="18.5703125" customWidth="1"/>
    <col min="2" max="2" width="14.5703125" customWidth="1"/>
    <col min="3" max="3" width="12.5703125" customWidth="1"/>
    <col min="4" max="4" width="10.85546875" customWidth="1"/>
    <col min="5" max="5" width="19.140625" customWidth="1"/>
    <col min="6" max="6" width="12.7109375" customWidth="1"/>
    <col min="7" max="7" width="13.85546875" customWidth="1"/>
    <col min="8" max="8" width="11.7109375" customWidth="1"/>
    <col min="9" max="9" width="19.28515625" customWidth="1"/>
    <col min="10" max="10" width="13.5703125" customWidth="1"/>
    <col min="11" max="12" width="15.7109375" customWidth="1"/>
    <col min="13" max="13" width="11.28515625" customWidth="1"/>
    <col min="15" max="15" width="21.5703125" customWidth="1"/>
    <col min="16" max="16" width="17.85546875" customWidth="1"/>
    <col min="17" max="17" width="13.28515625" customWidth="1"/>
  </cols>
  <sheetData>
    <row r="1" spans="1:18" s="121" customFormat="1" ht="39.75" customHeight="1" thickBot="1" x14ac:dyDescent="0.3">
      <c r="A1" s="116" t="s">
        <v>1097</v>
      </c>
      <c r="B1" s="116" t="s">
        <v>1298</v>
      </c>
      <c r="C1" s="116" t="s">
        <v>2391</v>
      </c>
      <c r="D1" s="117" t="s">
        <v>1098</v>
      </c>
      <c r="E1" s="117" t="s">
        <v>2</v>
      </c>
      <c r="F1" s="117" t="s">
        <v>1</v>
      </c>
      <c r="G1" s="117" t="s">
        <v>2684</v>
      </c>
      <c r="H1" s="117" t="s">
        <v>696</v>
      </c>
      <c r="I1" s="117" t="s">
        <v>585</v>
      </c>
      <c r="J1" s="117" t="s">
        <v>658</v>
      </c>
      <c r="K1" s="118" t="s">
        <v>659</v>
      </c>
      <c r="L1" s="118" t="s">
        <v>0</v>
      </c>
      <c r="M1" s="117" t="s">
        <v>1099</v>
      </c>
      <c r="N1" s="117" t="s">
        <v>1100</v>
      </c>
      <c r="O1" s="117" t="s">
        <v>3</v>
      </c>
      <c r="P1" s="117" t="s">
        <v>4</v>
      </c>
      <c r="Q1" s="119" t="s">
        <v>5</v>
      </c>
      <c r="R1" s="120" t="s">
        <v>1227</v>
      </c>
    </row>
    <row r="2" spans="1:18" ht="15" customHeight="1" thickTop="1" x14ac:dyDescent="0.25">
      <c r="A2" s="11" t="s">
        <v>1101</v>
      </c>
      <c r="B2" s="96" t="s">
        <v>2574</v>
      </c>
      <c r="C2" s="96" t="s">
        <v>2582</v>
      </c>
      <c r="D2" s="12">
        <v>5</v>
      </c>
      <c r="E2" s="11" t="s">
        <v>17</v>
      </c>
      <c r="F2" s="11" t="s">
        <v>16</v>
      </c>
      <c r="G2" s="11" t="s">
        <v>71</v>
      </c>
      <c r="H2" s="11"/>
      <c r="I2" s="11"/>
      <c r="J2" s="11" t="s">
        <v>664</v>
      </c>
      <c r="K2" s="13">
        <v>45927</v>
      </c>
      <c r="L2" s="26" t="str">
        <f>_xlfn.TEXTBEFORE(liste_colisage[[#This Row],[Num Suivis]],"-",,,1)</f>
        <v>CA250062</v>
      </c>
      <c r="M2" s="26" t="str">
        <f>_xlfn.XLOOKUP(liste_colisage[[#This Row],[Num de Colis]],liste_palette[Num De colis],liste_palette[Num de Palette],"Magasin")</f>
        <v>PAL915</v>
      </c>
      <c r="N2" s="26" t="str">
        <f>_xlfn.XLOOKUP(liste_colisage[[#This Row],[Num de Colis]],liste_palette[Num De colis],liste_palette[Facture Export],"Magasin")</f>
        <v>PA-F25023</v>
      </c>
      <c r="O2" s="26" t="e">
        <f>_xlfn.XLOOKUP(liste_colisage[[#This Row],[Num OF]],#REF!,#REF!,"Non Trouvé")</f>
        <v>#REF!</v>
      </c>
      <c r="P2" s="26" t="e">
        <f>_xlfn.XLOOKUP(liste_colisage[[#This Row],[Num OF]],#REF!,#REF!,"Non Trouvé")</f>
        <v>#REF!</v>
      </c>
      <c r="Q2" s="27" t="e">
        <f>_xlfn.XLOOKUP(liste_colisage[[#This Row],[Num OF]],#REF!,#REF!,"Non Trouvé")</f>
        <v>#REF!</v>
      </c>
      <c r="R2" s="90" t="str">
        <f>IF(
   COUNTIFS($A$2:A2,A2,
             $E$2:E2,E2,
             $F$2:F2,F2,
             $G$2:G2,G2,
             $D$2:D2,D2,
             $K$2:K2,K2
             )&gt;1,
   "Doublon",
   "Correcte"
)</f>
        <v>Correcte</v>
      </c>
    </row>
    <row r="3" spans="1:18" ht="15" customHeight="1" x14ac:dyDescent="0.25">
      <c r="A3" s="11" t="s">
        <v>1101</v>
      </c>
      <c r="B3" s="96" t="s">
        <v>2574</v>
      </c>
      <c r="C3" s="96" t="s">
        <v>2583</v>
      </c>
      <c r="D3" s="12">
        <v>5</v>
      </c>
      <c r="E3" s="11" t="s">
        <v>17</v>
      </c>
      <c r="F3" s="11" t="s">
        <v>16</v>
      </c>
      <c r="G3" s="11" t="s">
        <v>73</v>
      </c>
      <c r="H3" s="11"/>
      <c r="I3" s="11"/>
      <c r="J3" s="11" t="s">
        <v>664</v>
      </c>
      <c r="K3" s="13">
        <v>45927</v>
      </c>
      <c r="L3" s="26" t="str">
        <f>_xlfn.TEXTBEFORE(liste_colisage[[#This Row],[Num Suivis]],"-",,,1)</f>
        <v>CA250064</v>
      </c>
      <c r="M3" s="26" t="str">
        <f>_xlfn.XLOOKUP(liste_colisage[[#This Row],[Num de Colis]],liste_palette[Num De colis],liste_palette[Num de Palette],"Magasin")</f>
        <v>PAL915</v>
      </c>
      <c r="N3" s="26" t="str">
        <f>_xlfn.XLOOKUP(liste_colisage[[#This Row],[Num de Colis]],liste_palette[Num De colis],liste_palette[Facture Export],"Magasin")</f>
        <v>PA-F25023</v>
      </c>
      <c r="O3" s="26" t="e">
        <f>_xlfn.XLOOKUP(liste_colisage[[#This Row],[Num OF]],#REF!,#REF!,"Non Trouvé")</f>
        <v>#REF!</v>
      </c>
      <c r="P3" s="26" t="e">
        <f>_xlfn.XLOOKUP(liste_colisage[[#This Row],[Num OF]],#REF!,#REF!,"Non Trouvé")</f>
        <v>#REF!</v>
      </c>
      <c r="Q3" s="26" t="e">
        <f>_xlfn.XLOOKUP(liste_colisage[[#This Row],[Num OF]],#REF!,#REF!,"Non Trouvé")</f>
        <v>#REF!</v>
      </c>
      <c r="R3" s="91" t="str">
        <f>IF(
   COUNTIFS($A$2:A3,A3,
             $E$2:E3,E3,
             $F$2:F3,F3,
             $G$2:G3,G3,
             $D$2:D3,D3,
             $K$2:K3,K3
             )&gt;1,
   "Doublon",
   "Correcte"
)</f>
        <v>Correcte</v>
      </c>
    </row>
    <row r="4" spans="1:18" ht="15" customHeight="1" x14ac:dyDescent="0.25">
      <c r="A4" s="11" t="s">
        <v>1101</v>
      </c>
      <c r="B4" s="96" t="s">
        <v>2574</v>
      </c>
      <c r="C4" s="96" t="s">
        <v>2584</v>
      </c>
      <c r="D4" s="12">
        <v>5</v>
      </c>
      <c r="E4" s="11" t="s">
        <v>17</v>
      </c>
      <c r="F4" s="11" t="s">
        <v>16</v>
      </c>
      <c r="G4" s="11" t="s">
        <v>75</v>
      </c>
      <c r="H4" s="11"/>
      <c r="I4" s="11"/>
      <c r="J4" s="11" t="s">
        <v>664</v>
      </c>
      <c r="K4" s="13">
        <v>45927</v>
      </c>
      <c r="L4" s="26" t="str">
        <f>_xlfn.TEXTBEFORE(liste_colisage[[#This Row],[Num Suivis]],"-",,,1)</f>
        <v>CA250066</v>
      </c>
      <c r="M4" s="26" t="str">
        <f>_xlfn.XLOOKUP(liste_colisage[[#This Row],[Num de Colis]],liste_palette[Num De colis],liste_palette[Num de Palette],"Magasin")</f>
        <v>PAL915</v>
      </c>
      <c r="N4" s="26" t="str">
        <f>_xlfn.XLOOKUP(liste_colisage[[#This Row],[Num de Colis]],liste_palette[Num De colis],liste_palette[Facture Export],"Magasin")</f>
        <v>PA-F25023</v>
      </c>
      <c r="O4" s="26" t="e">
        <f>_xlfn.XLOOKUP(liste_colisage[[#This Row],[Num OF]],#REF!,#REF!,"Non Trouvé")</f>
        <v>#REF!</v>
      </c>
      <c r="P4" s="26" t="e">
        <f>_xlfn.XLOOKUP(liste_colisage[[#This Row],[Num OF]],#REF!,#REF!,"Non Trouvé")</f>
        <v>#REF!</v>
      </c>
      <c r="Q4" s="26" t="e">
        <f>_xlfn.XLOOKUP(liste_colisage[[#This Row],[Num OF]],#REF!,#REF!,"Non Trouvé")</f>
        <v>#REF!</v>
      </c>
      <c r="R4" s="91" t="str">
        <f>IF(
   COUNTIFS($A$2:A4,A4,
             $E$2:E4,E4,
             $F$2:F4,F4,
             $G$2:G4,G4,
             $D$2:D4,D4,
             $K$2:K4,K4
             )&gt;1,
   "Doublon",
   "Correcte"
)</f>
        <v>Correcte</v>
      </c>
    </row>
    <row r="5" spans="1:18" ht="15" customHeight="1" x14ac:dyDescent="0.25">
      <c r="A5" s="11" t="s">
        <v>1101</v>
      </c>
      <c r="B5" s="96" t="s">
        <v>2574</v>
      </c>
      <c r="C5" s="96" t="s">
        <v>2585</v>
      </c>
      <c r="D5" s="12">
        <v>5</v>
      </c>
      <c r="E5" s="11" t="s">
        <v>17</v>
      </c>
      <c r="F5" s="11" t="s">
        <v>16</v>
      </c>
      <c r="G5" s="11" t="s">
        <v>82</v>
      </c>
      <c r="H5" s="11"/>
      <c r="I5" s="11"/>
      <c r="J5" s="11" t="s">
        <v>664</v>
      </c>
      <c r="K5" s="13">
        <v>45927</v>
      </c>
      <c r="L5" s="26" t="str">
        <f>_xlfn.TEXTBEFORE(liste_colisage[[#This Row],[Num Suivis]],"-",,,1)</f>
        <v>CA250075</v>
      </c>
      <c r="M5" s="26" t="str">
        <f>_xlfn.XLOOKUP(liste_colisage[[#This Row],[Num de Colis]],liste_palette[Num De colis],liste_palette[Num de Palette],"Magasin")</f>
        <v>PAL915</v>
      </c>
      <c r="N5" s="26" t="str">
        <f>_xlfn.XLOOKUP(liste_colisage[[#This Row],[Num de Colis]],liste_palette[Num De colis],liste_palette[Facture Export],"Magasin")</f>
        <v>PA-F25023</v>
      </c>
      <c r="O5" s="26" t="e">
        <f>_xlfn.XLOOKUP(liste_colisage[[#This Row],[Num OF]],#REF!,#REF!,"Non Trouvé")</f>
        <v>#REF!</v>
      </c>
      <c r="P5" s="26" t="e">
        <f>_xlfn.XLOOKUP(liste_colisage[[#This Row],[Num OF]],#REF!,#REF!,"Non Trouvé")</f>
        <v>#REF!</v>
      </c>
      <c r="Q5" s="26" t="e">
        <f>_xlfn.XLOOKUP(liste_colisage[[#This Row],[Num OF]],#REF!,#REF!,"Non Trouvé")</f>
        <v>#REF!</v>
      </c>
      <c r="R5" s="91" t="str">
        <f>IF(
   COUNTIFS($A$2:A5,A5,
             $E$2:E5,E5,
             $F$2:F5,F5,
             $G$2:G5,G5,
             $D$2:D5,D5,
             $K$2:K5,K5
             )&gt;1,
   "Doublon",
   "Correcte"
)</f>
        <v>Correcte</v>
      </c>
    </row>
    <row r="6" spans="1:18" ht="15" customHeight="1" x14ac:dyDescent="0.25">
      <c r="A6" s="11" t="s">
        <v>1102</v>
      </c>
      <c r="B6" s="96" t="s">
        <v>2574</v>
      </c>
      <c r="C6" s="96" t="s">
        <v>2586</v>
      </c>
      <c r="D6" s="12">
        <v>5</v>
      </c>
      <c r="E6" s="11" t="s">
        <v>17</v>
      </c>
      <c r="F6" s="11" t="s">
        <v>16</v>
      </c>
      <c r="G6" s="11" t="s">
        <v>57</v>
      </c>
      <c r="H6" s="11"/>
      <c r="I6" s="11"/>
      <c r="J6" s="11" t="s">
        <v>664</v>
      </c>
      <c r="K6" s="13">
        <v>45927</v>
      </c>
      <c r="L6" s="26" t="str">
        <f>_xlfn.TEXTBEFORE(liste_colisage[[#This Row],[Num Suivis]],"-",,,1)</f>
        <v>CA250041</v>
      </c>
      <c r="M6" s="26" t="str">
        <f>_xlfn.XLOOKUP(liste_colisage[[#This Row],[Num de Colis]],liste_palette[Num De colis],liste_palette[Num de Palette],"Magasin")</f>
        <v>PAL915</v>
      </c>
      <c r="N6" s="26" t="str">
        <f>_xlfn.XLOOKUP(liste_colisage[[#This Row],[Num de Colis]],liste_palette[Num De colis],liste_palette[Facture Export],"Magasin")</f>
        <v>PA-F25023</v>
      </c>
      <c r="O6" s="26" t="e">
        <f>_xlfn.XLOOKUP(liste_colisage[[#This Row],[Num OF]],#REF!,#REF!,"Non Trouvé")</f>
        <v>#REF!</v>
      </c>
      <c r="P6" s="26" t="e">
        <f>_xlfn.XLOOKUP(liste_colisage[[#This Row],[Num OF]],#REF!,#REF!,"Non Trouvé")</f>
        <v>#REF!</v>
      </c>
      <c r="Q6" s="26" t="e">
        <f>_xlfn.XLOOKUP(liste_colisage[[#This Row],[Num OF]],#REF!,#REF!,"Non Trouvé")</f>
        <v>#REF!</v>
      </c>
      <c r="R6" s="91" t="str">
        <f>IF(
   COUNTIFS($A$2:A6,A6,
             $E$2:E6,E6,
             $F$2:F6,F6,
             $G$2:G6,G6,
             $D$2:D6,D6,
             $K$2:K6,K6
             )&gt;1,
   "Doublon",
   "Correcte"
)</f>
        <v>Correcte</v>
      </c>
    </row>
    <row r="7" spans="1:18" ht="15" customHeight="1" x14ac:dyDescent="0.25">
      <c r="A7" s="11" t="s">
        <v>1102</v>
      </c>
      <c r="B7" s="96" t="s">
        <v>2574</v>
      </c>
      <c r="C7" s="96" t="s">
        <v>2587</v>
      </c>
      <c r="D7" s="12">
        <v>5</v>
      </c>
      <c r="E7" s="11" t="s">
        <v>17</v>
      </c>
      <c r="F7" s="11" t="s">
        <v>16</v>
      </c>
      <c r="G7" s="11" t="s">
        <v>165</v>
      </c>
      <c r="H7" s="11"/>
      <c r="I7" s="11"/>
      <c r="J7" s="11" t="s">
        <v>664</v>
      </c>
      <c r="K7" s="13">
        <v>45927</v>
      </c>
      <c r="L7" s="26" t="str">
        <f>_xlfn.TEXTBEFORE(liste_colisage[[#This Row],[Num Suivis]],"-",,,1)</f>
        <v>OF242179</v>
      </c>
      <c r="M7" s="26" t="str">
        <f>_xlfn.XLOOKUP(liste_colisage[[#This Row],[Num de Colis]],liste_palette[Num De colis],liste_palette[Num de Palette],"Magasin")</f>
        <v>PAL915</v>
      </c>
      <c r="N7" s="26" t="str">
        <f>_xlfn.XLOOKUP(liste_colisage[[#This Row],[Num de Colis]],liste_palette[Num De colis],liste_palette[Facture Export],"Magasin")</f>
        <v>PA-F25023</v>
      </c>
      <c r="O7" s="26" t="e">
        <f>_xlfn.XLOOKUP(liste_colisage[[#This Row],[Num OF]],#REF!,#REF!,"Non Trouvé")</f>
        <v>#REF!</v>
      </c>
      <c r="P7" s="26" t="e">
        <f>_xlfn.XLOOKUP(liste_colisage[[#This Row],[Num OF]],#REF!,#REF!,"Non Trouvé")</f>
        <v>#REF!</v>
      </c>
      <c r="Q7" s="26" t="e">
        <f>_xlfn.XLOOKUP(liste_colisage[[#This Row],[Num OF]],#REF!,#REF!,"Non Trouvé")</f>
        <v>#REF!</v>
      </c>
      <c r="R7" s="91" t="str">
        <f>IF(
   COUNTIFS($A$2:A7,A7,
             $E$2:E7,E7,
             $F$2:F7,F7,
             $G$2:G7,G7,
             $D$2:D7,D7,
             $K$2:K7,K7
             )&gt;1,
   "Doublon",
   "Correcte"
)</f>
        <v>Correcte</v>
      </c>
    </row>
    <row r="8" spans="1:18" ht="15" customHeight="1" x14ac:dyDescent="0.25">
      <c r="A8" s="11" t="s">
        <v>1102</v>
      </c>
      <c r="B8" s="96" t="s">
        <v>2574</v>
      </c>
      <c r="C8" s="96" t="s">
        <v>2588</v>
      </c>
      <c r="D8" s="12">
        <v>5</v>
      </c>
      <c r="E8" s="11" t="s">
        <v>17</v>
      </c>
      <c r="F8" s="11" t="s">
        <v>16</v>
      </c>
      <c r="G8" s="11" t="s">
        <v>166</v>
      </c>
      <c r="H8" s="11"/>
      <c r="I8" s="11"/>
      <c r="J8" s="11" t="s">
        <v>664</v>
      </c>
      <c r="K8" s="13">
        <v>45927</v>
      </c>
      <c r="L8" s="26" t="str">
        <f>_xlfn.TEXTBEFORE(liste_colisage[[#This Row],[Num Suivis]],"-",,,1)</f>
        <v>OF242180</v>
      </c>
      <c r="M8" s="26" t="str">
        <f>_xlfn.XLOOKUP(liste_colisage[[#This Row],[Num de Colis]],liste_palette[Num De colis],liste_palette[Num de Palette],"Magasin")</f>
        <v>PAL915</v>
      </c>
      <c r="N8" s="26" t="str">
        <f>_xlfn.XLOOKUP(liste_colisage[[#This Row],[Num de Colis]],liste_palette[Num De colis],liste_palette[Facture Export],"Magasin")</f>
        <v>PA-F25023</v>
      </c>
      <c r="O8" s="26" t="e">
        <f>_xlfn.XLOOKUP(liste_colisage[[#This Row],[Num OF]],#REF!,#REF!,"Non Trouvé")</f>
        <v>#REF!</v>
      </c>
      <c r="P8" s="26" t="e">
        <f>_xlfn.XLOOKUP(liste_colisage[[#This Row],[Num OF]],#REF!,#REF!,"Non Trouvé")</f>
        <v>#REF!</v>
      </c>
      <c r="Q8" s="26" t="e">
        <f>_xlfn.XLOOKUP(liste_colisage[[#This Row],[Num OF]],#REF!,#REF!,"Non Trouvé")</f>
        <v>#REF!</v>
      </c>
      <c r="R8" s="91" t="str">
        <f>IF(
   COUNTIFS($A$2:A8,A8,
             $E$2:E8,E8,
             $F$2:F8,F8,
             $G$2:G8,G8,
             $D$2:D8,D8,
             $K$2:K8,K8
             )&gt;1,
   "Doublon",
   "Correcte"
)</f>
        <v>Correcte</v>
      </c>
    </row>
    <row r="9" spans="1:18" ht="15" customHeight="1" x14ac:dyDescent="0.25">
      <c r="A9" s="11" t="s">
        <v>1102</v>
      </c>
      <c r="B9" s="96" t="s">
        <v>2574</v>
      </c>
      <c r="C9" s="96" t="s">
        <v>2589</v>
      </c>
      <c r="D9" s="12">
        <v>5</v>
      </c>
      <c r="E9" s="11" t="s">
        <v>17</v>
      </c>
      <c r="F9" s="11" t="s">
        <v>16</v>
      </c>
      <c r="G9" s="11" t="s">
        <v>168</v>
      </c>
      <c r="H9" s="11"/>
      <c r="I9" s="11"/>
      <c r="J9" s="11" t="s">
        <v>664</v>
      </c>
      <c r="K9" s="13">
        <v>45927</v>
      </c>
      <c r="L9" s="26" t="str">
        <f>_xlfn.TEXTBEFORE(liste_colisage[[#This Row],[Num Suivis]],"-",,,1)</f>
        <v>OF242182</v>
      </c>
      <c r="M9" s="26" t="str">
        <f>_xlfn.XLOOKUP(liste_colisage[[#This Row],[Num de Colis]],liste_palette[Num De colis],liste_palette[Num de Palette],"Magasin")</f>
        <v>PAL915</v>
      </c>
      <c r="N9" s="26" t="str">
        <f>_xlfn.XLOOKUP(liste_colisage[[#This Row],[Num de Colis]],liste_palette[Num De colis],liste_palette[Facture Export],"Magasin")</f>
        <v>PA-F25023</v>
      </c>
      <c r="O9" s="26" t="e">
        <f>_xlfn.XLOOKUP(liste_colisage[[#This Row],[Num OF]],#REF!,#REF!,"Non Trouvé")</f>
        <v>#REF!</v>
      </c>
      <c r="P9" s="26" t="e">
        <f>_xlfn.XLOOKUP(liste_colisage[[#This Row],[Num OF]],#REF!,#REF!,"Non Trouvé")</f>
        <v>#REF!</v>
      </c>
      <c r="Q9" s="26" t="e">
        <f>_xlfn.XLOOKUP(liste_colisage[[#This Row],[Num OF]],#REF!,#REF!,"Non Trouvé")</f>
        <v>#REF!</v>
      </c>
      <c r="R9" s="91" t="str">
        <f>IF(
   COUNTIFS($A$2:A9,A9,
             $E$2:E9,E9,
             $F$2:F9,F9,
             $G$2:G9,G9,
             $D$2:D9,D9,
             $K$2:K9,K9
             )&gt;1,
   "Doublon",
   "Correcte"
)</f>
        <v>Correcte</v>
      </c>
    </row>
    <row r="10" spans="1:18" ht="15" customHeight="1" x14ac:dyDescent="0.25">
      <c r="A10" s="11" t="s">
        <v>1102</v>
      </c>
      <c r="B10" s="96" t="s">
        <v>2574</v>
      </c>
      <c r="C10" s="96" t="s">
        <v>2590</v>
      </c>
      <c r="D10" s="12">
        <v>5</v>
      </c>
      <c r="E10" s="11" t="s">
        <v>17</v>
      </c>
      <c r="F10" s="11" t="s">
        <v>16</v>
      </c>
      <c r="G10" s="11" t="s">
        <v>170</v>
      </c>
      <c r="H10" s="11"/>
      <c r="I10" s="11"/>
      <c r="J10" s="11" t="s">
        <v>664</v>
      </c>
      <c r="K10" s="13">
        <v>45927</v>
      </c>
      <c r="L10" s="26" t="str">
        <f>_xlfn.TEXTBEFORE(liste_colisage[[#This Row],[Num Suivis]],"-",,,1)</f>
        <v>OF242184</v>
      </c>
      <c r="M10" s="26" t="str">
        <f>_xlfn.XLOOKUP(liste_colisage[[#This Row],[Num de Colis]],liste_palette[Num De colis],liste_palette[Num de Palette],"Magasin")</f>
        <v>PAL915</v>
      </c>
      <c r="N10" s="26" t="str">
        <f>_xlfn.XLOOKUP(liste_colisage[[#This Row],[Num de Colis]],liste_palette[Num De colis],liste_palette[Facture Export],"Magasin")</f>
        <v>PA-F25023</v>
      </c>
      <c r="O10" s="26" t="e">
        <f>_xlfn.XLOOKUP(liste_colisage[[#This Row],[Num OF]],#REF!,#REF!,"Non Trouvé")</f>
        <v>#REF!</v>
      </c>
      <c r="P10" s="26" t="e">
        <f>_xlfn.XLOOKUP(liste_colisage[[#This Row],[Num OF]],#REF!,#REF!,"Non Trouvé")</f>
        <v>#REF!</v>
      </c>
      <c r="Q10" s="26" t="e">
        <f>_xlfn.XLOOKUP(liste_colisage[[#This Row],[Num OF]],#REF!,#REF!,"Non Trouvé")</f>
        <v>#REF!</v>
      </c>
      <c r="R10" s="91" t="str">
        <f>IF(
   COUNTIFS($A$2:A10,A10,
             $E$2:E10,E10,
             $F$2:F10,F10,
             $G$2:G10,G10,
             $D$2:D10,D10,
             $K$2:K10,K10
             )&gt;1,
   "Doublon",
   "Correcte"
)</f>
        <v>Correcte</v>
      </c>
    </row>
    <row r="11" spans="1:18" ht="15" customHeight="1" x14ac:dyDescent="0.25">
      <c r="A11" s="11" t="s">
        <v>1102</v>
      </c>
      <c r="B11" s="96" t="s">
        <v>2574</v>
      </c>
      <c r="C11" s="96" t="s">
        <v>2591</v>
      </c>
      <c r="D11" s="12">
        <v>5</v>
      </c>
      <c r="E11" s="11" t="s">
        <v>17</v>
      </c>
      <c r="F11" s="11" t="s">
        <v>16</v>
      </c>
      <c r="G11" s="11" t="s">
        <v>171</v>
      </c>
      <c r="H11" s="11"/>
      <c r="I11" s="11"/>
      <c r="J11" s="11" t="s">
        <v>664</v>
      </c>
      <c r="K11" s="13">
        <v>45927</v>
      </c>
      <c r="L11" s="26" t="str">
        <f>_xlfn.TEXTBEFORE(liste_colisage[[#This Row],[Num Suivis]],"-",,,1)</f>
        <v>OF242185</v>
      </c>
      <c r="M11" s="26" t="str">
        <f>_xlfn.XLOOKUP(liste_colisage[[#This Row],[Num de Colis]],liste_palette[Num De colis],liste_palette[Num de Palette],"Magasin")</f>
        <v>PAL915</v>
      </c>
      <c r="N11" s="26" t="str">
        <f>_xlfn.XLOOKUP(liste_colisage[[#This Row],[Num de Colis]],liste_palette[Num De colis],liste_palette[Facture Export],"Magasin")</f>
        <v>PA-F25023</v>
      </c>
      <c r="O11" s="26" t="e">
        <f>_xlfn.XLOOKUP(liste_colisage[[#This Row],[Num OF]],#REF!,#REF!,"Non Trouvé")</f>
        <v>#REF!</v>
      </c>
      <c r="P11" s="26" t="e">
        <f>_xlfn.XLOOKUP(liste_colisage[[#This Row],[Num OF]],#REF!,#REF!,"Non Trouvé")</f>
        <v>#REF!</v>
      </c>
      <c r="Q11" s="26" t="e">
        <f>_xlfn.XLOOKUP(liste_colisage[[#This Row],[Num OF]],#REF!,#REF!,"Non Trouvé")</f>
        <v>#REF!</v>
      </c>
      <c r="R11" s="91" t="str">
        <f>IF(
   COUNTIFS($A$2:A11,A11,
             $E$2:E11,E11,
             $F$2:F11,F11,
             $G$2:G11,G11,
             $D$2:D11,D11,
             $K$2:K11,K11
             )&gt;1,
   "Doublon",
   "Correcte"
)</f>
        <v>Correcte</v>
      </c>
    </row>
    <row r="12" spans="1:18" ht="15" customHeight="1" x14ac:dyDescent="0.25">
      <c r="A12" s="11" t="s">
        <v>1103</v>
      </c>
      <c r="B12" s="96" t="s">
        <v>2574</v>
      </c>
      <c r="C12" s="96" t="s">
        <v>2592</v>
      </c>
      <c r="D12" s="12">
        <v>2</v>
      </c>
      <c r="E12" s="11" t="s">
        <v>17</v>
      </c>
      <c r="F12" s="11" t="s">
        <v>16</v>
      </c>
      <c r="G12" s="11" t="s">
        <v>497</v>
      </c>
      <c r="H12" s="11"/>
      <c r="I12" s="11"/>
      <c r="J12" s="11" t="s">
        <v>664</v>
      </c>
      <c r="K12" s="13">
        <v>45927</v>
      </c>
      <c r="L12" s="26" t="str">
        <f>_xlfn.TEXTBEFORE(liste_colisage[[#This Row],[Num Suivis]],"-",,,1)</f>
        <v>OF246046</v>
      </c>
      <c r="M12" s="26" t="str">
        <f>_xlfn.XLOOKUP(liste_colisage[[#This Row],[Num de Colis]],liste_palette[Num De colis],liste_palette[Num de Palette],"Magasin")</f>
        <v>PAL915</v>
      </c>
      <c r="N12" s="26" t="str">
        <f>_xlfn.XLOOKUP(liste_colisage[[#This Row],[Num de Colis]],liste_palette[Num De colis],liste_palette[Facture Export],"Magasin")</f>
        <v>PA-F25023</v>
      </c>
      <c r="O12" s="26" t="e">
        <f>_xlfn.XLOOKUP(liste_colisage[[#This Row],[Num OF]],#REF!,#REF!,"Non Trouvé")</f>
        <v>#REF!</v>
      </c>
      <c r="P12" s="26" t="e">
        <f>_xlfn.XLOOKUP(liste_colisage[[#This Row],[Num OF]],#REF!,#REF!,"Non Trouvé")</f>
        <v>#REF!</v>
      </c>
      <c r="Q12" s="26" t="e">
        <f>_xlfn.XLOOKUP(liste_colisage[[#This Row],[Num OF]],#REF!,#REF!,"Non Trouvé")</f>
        <v>#REF!</v>
      </c>
      <c r="R12" s="91" t="str">
        <f>IF(
   COUNTIFS($A$2:A12,A12,
             $E$2:E12,E12,
             $F$2:F12,F12,
             $G$2:G12,G12,
             $D$2:D12,D12,
             $K$2:K12,K12
             )&gt;1,
   "Doublon",
   "Correcte"
)</f>
        <v>Correcte</v>
      </c>
    </row>
    <row r="13" spans="1:18" ht="15" customHeight="1" x14ac:dyDescent="0.25">
      <c r="A13" s="11" t="s">
        <v>1103</v>
      </c>
      <c r="B13" s="96" t="s">
        <v>2574</v>
      </c>
      <c r="C13" s="96" t="s">
        <v>2593</v>
      </c>
      <c r="D13" s="12">
        <v>5</v>
      </c>
      <c r="E13" s="11" t="s">
        <v>17</v>
      </c>
      <c r="F13" s="11" t="s">
        <v>16</v>
      </c>
      <c r="G13" s="11" t="s">
        <v>505</v>
      </c>
      <c r="H13" s="11"/>
      <c r="I13" s="11"/>
      <c r="J13" s="11" t="s">
        <v>664</v>
      </c>
      <c r="K13" s="13">
        <v>45927</v>
      </c>
      <c r="L13" s="26" t="str">
        <f>_xlfn.TEXTBEFORE(liste_colisage[[#This Row],[Num Suivis]],"-",,,1)</f>
        <v>OF246349</v>
      </c>
      <c r="M13" s="26" t="str">
        <f>_xlfn.XLOOKUP(liste_colisage[[#This Row],[Num de Colis]],liste_palette[Num De colis],liste_palette[Num de Palette],"Magasin")</f>
        <v>PAL915</v>
      </c>
      <c r="N13" s="26" t="str">
        <f>_xlfn.XLOOKUP(liste_colisage[[#This Row],[Num de Colis]],liste_palette[Num De colis],liste_palette[Facture Export],"Magasin")</f>
        <v>PA-F25023</v>
      </c>
      <c r="O13" s="26" t="e">
        <f>_xlfn.XLOOKUP(liste_colisage[[#This Row],[Num OF]],#REF!,#REF!,"Non Trouvé")</f>
        <v>#REF!</v>
      </c>
      <c r="P13" s="26" t="e">
        <f>_xlfn.XLOOKUP(liste_colisage[[#This Row],[Num OF]],#REF!,#REF!,"Non Trouvé")</f>
        <v>#REF!</v>
      </c>
      <c r="Q13" s="26" t="e">
        <f>_xlfn.XLOOKUP(liste_colisage[[#This Row],[Num OF]],#REF!,#REF!,"Non Trouvé")</f>
        <v>#REF!</v>
      </c>
      <c r="R13" s="91" t="str">
        <f>IF(
   COUNTIFS($A$2:A13,A13,
             $E$2:E13,E13,
             $F$2:F13,F13,
             $G$2:G13,G13,
             $D$2:D13,D13,
             $K$2:K13,K13
             )&gt;1,
   "Doublon",
   "Correcte"
)</f>
        <v>Correcte</v>
      </c>
    </row>
    <row r="14" spans="1:18" ht="15" customHeight="1" x14ac:dyDescent="0.25">
      <c r="A14" s="11" t="s">
        <v>1103</v>
      </c>
      <c r="B14" s="96" t="s">
        <v>2574</v>
      </c>
      <c r="C14" s="96" t="s">
        <v>2594</v>
      </c>
      <c r="D14" s="12">
        <v>1</v>
      </c>
      <c r="E14" s="11" t="s">
        <v>17</v>
      </c>
      <c r="F14" s="11" t="s">
        <v>16</v>
      </c>
      <c r="G14" s="11" t="s">
        <v>501</v>
      </c>
      <c r="H14" s="11"/>
      <c r="I14" s="11"/>
      <c r="J14" s="11" t="s">
        <v>664</v>
      </c>
      <c r="K14" s="13">
        <v>45927</v>
      </c>
      <c r="L14" s="26" t="str">
        <f>_xlfn.TEXTBEFORE(liste_colisage[[#This Row],[Num Suivis]],"-",,,1)</f>
        <v>OF246338</v>
      </c>
      <c r="M14" s="26" t="str">
        <f>_xlfn.XLOOKUP(liste_colisage[[#This Row],[Num de Colis]],liste_palette[Num De colis],liste_palette[Num de Palette],"Magasin")</f>
        <v>PAL915</v>
      </c>
      <c r="N14" s="26" t="str">
        <f>_xlfn.XLOOKUP(liste_colisage[[#This Row],[Num de Colis]],liste_palette[Num De colis],liste_palette[Facture Export],"Magasin")</f>
        <v>PA-F25023</v>
      </c>
      <c r="O14" s="26" t="e">
        <f>_xlfn.XLOOKUP(liste_colisage[[#This Row],[Num OF]],#REF!,#REF!,"Non Trouvé")</f>
        <v>#REF!</v>
      </c>
      <c r="P14" s="26" t="e">
        <f>_xlfn.XLOOKUP(liste_colisage[[#This Row],[Num OF]],#REF!,#REF!,"Non Trouvé")</f>
        <v>#REF!</v>
      </c>
      <c r="Q14" s="26" t="e">
        <f>_xlfn.XLOOKUP(liste_colisage[[#This Row],[Num OF]],#REF!,#REF!,"Non Trouvé")</f>
        <v>#REF!</v>
      </c>
      <c r="R14" s="91" t="str">
        <f>IF(
   COUNTIFS($A$2:A14,A14,
             $E$2:E14,E14,
             $F$2:F14,F14,
             $G$2:G14,G14,
             $D$2:D14,D14,
             $K$2:K14,K14
             )&gt;1,
   "Doublon",
   "Correcte"
)</f>
        <v>Correcte</v>
      </c>
    </row>
    <row r="15" spans="1:18" ht="15" customHeight="1" x14ac:dyDescent="0.25">
      <c r="A15" s="11" t="s">
        <v>1103</v>
      </c>
      <c r="B15" s="96" t="s">
        <v>2574</v>
      </c>
      <c r="C15" s="96" t="s">
        <v>2595</v>
      </c>
      <c r="D15" s="12">
        <v>5</v>
      </c>
      <c r="E15" s="11" t="s">
        <v>17</v>
      </c>
      <c r="F15" s="11" t="s">
        <v>16</v>
      </c>
      <c r="G15" s="11" t="s">
        <v>58</v>
      </c>
      <c r="H15" s="11"/>
      <c r="I15" s="11"/>
      <c r="J15" s="11" t="s">
        <v>664</v>
      </c>
      <c r="K15" s="13">
        <v>45927</v>
      </c>
      <c r="L15" s="26" t="str">
        <f>_xlfn.TEXTBEFORE(liste_colisage[[#This Row],[Num Suivis]],"-",,,1)</f>
        <v>CA250042</v>
      </c>
      <c r="M15" s="26" t="str">
        <f>_xlfn.XLOOKUP(liste_colisage[[#This Row],[Num de Colis]],liste_palette[Num De colis],liste_palette[Num de Palette],"Magasin")</f>
        <v>PAL915</v>
      </c>
      <c r="N15" s="26" t="str">
        <f>_xlfn.XLOOKUP(liste_colisage[[#This Row],[Num de Colis]],liste_palette[Num De colis],liste_palette[Facture Export],"Magasin")</f>
        <v>PA-F25023</v>
      </c>
      <c r="O15" s="26" t="e">
        <f>_xlfn.XLOOKUP(liste_colisage[[#This Row],[Num OF]],#REF!,#REF!,"Non Trouvé")</f>
        <v>#REF!</v>
      </c>
      <c r="P15" s="26" t="e">
        <f>_xlfn.XLOOKUP(liste_colisage[[#This Row],[Num OF]],#REF!,#REF!,"Non Trouvé")</f>
        <v>#REF!</v>
      </c>
      <c r="Q15" s="26" t="e">
        <f>_xlfn.XLOOKUP(liste_colisage[[#This Row],[Num OF]],#REF!,#REF!,"Non Trouvé")</f>
        <v>#REF!</v>
      </c>
      <c r="R15" s="91" t="str">
        <f>IF(
   COUNTIFS($A$2:A15,A15,
             $E$2:E15,E15,
             $F$2:F15,F15,
             $G$2:G15,G15,
             $D$2:D15,D15,
             $K$2:K15,K15
             )&gt;1,
   "Doublon",
   "Correcte"
)</f>
        <v>Correcte</v>
      </c>
    </row>
    <row r="16" spans="1:18" ht="15" customHeight="1" x14ac:dyDescent="0.25">
      <c r="A16" s="11" t="s">
        <v>1103</v>
      </c>
      <c r="B16" s="96" t="s">
        <v>2574</v>
      </c>
      <c r="C16" s="96" t="s">
        <v>2596</v>
      </c>
      <c r="D16" s="12">
        <v>5</v>
      </c>
      <c r="E16" s="11" t="s">
        <v>17</v>
      </c>
      <c r="F16" s="11" t="s">
        <v>16</v>
      </c>
      <c r="G16" s="11" t="s">
        <v>164</v>
      </c>
      <c r="H16" s="11"/>
      <c r="I16" s="11"/>
      <c r="J16" s="11" t="s">
        <v>664</v>
      </c>
      <c r="K16" s="13">
        <v>45927</v>
      </c>
      <c r="L16" s="26" t="str">
        <f>_xlfn.TEXTBEFORE(liste_colisage[[#This Row],[Num Suivis]],"-",,,1)</f>
        <v>OF242178</v>
      </c>
      <c r="M16" s="26" t="str">
        <f>_xlfn.XLOOKUP(liste_colisage[[#This Row],[Num de Colis]],liste_palette[Num De colis],liste_palette[Num de Palette],"Magasin")</f>
        <v>PAL915</v>
      </c>
      <c r="N16" s="26" t="str">
        <f>_xlfn.XLOOKUP(liste_colisage[[#This Row],[Num de Colis]],liste_palette[Num De colis],liste_palette[Facture Export],"Magasin")</f>
        <v>PA-F25023</v>
      </c>
      <c r="O16" s="26" t="e">
        <f>_xlfn.XLOOKUP(liste_colisage[[#This Row],[Num OF]],#REF!,#REF!,"Non Trouvé")</f>
        <v>#REF!</v>
      </c>
      <c r="P16" s="26" t="e">
        <f>_xlfn.XLOOKUP(liste_colisage[[#This Row],[Num OF]],#REF!,#REF!,"Non Trouvé")</f>
        <v>#REF!</v>
      </c>
      <c r="Q16" s="26" t="e">
        <f>_xlfn.XLOOKUP(liste_colisage[[#This Row],[Num OF]],#REF!,#REF!,"Non Trouvé")</f>
        <v>#REF!</v>
      </c>
      <c r="R16" s="91" t="str">
        <f>IF(
   COUNTIFS($A$2:A16,A16,
             $E$2:E16,E16,
             $F$2:F16,F16,
             $G$2:G16,G16,
             $D$2:D16,D16,
             $K$2:K16,K16
             )&gt;1,
   "Doublon",
   "Correcte"
)</f>
        <v>Correcte</v>
      </c>
    </row>
    <row r="17" spans="1:18" ht="15" customHeight="1" x14ac:dyDescent="0.25">
      <c r="A17" s="11" t="s">
        <v>1103</v>
      </c>
      <c r="B17" s="96" t="s">
        <v>2574</v>
      </c>
      <c r="C17" s="96" t="s">
        <v>2597</v>
      </c>
      <c r="D17" s="12">
        <v>5</v>
      </c>
      <c r="E17" s="11" t="s">
        <v>17</v>
      </c>
      <c r="F17" s="11" t="s">
        <v>16</v>
      </c>
      <c r="G17" s="11" t="s">
        <v>169</v>
      </c>
      <c r="H17" s="11"/>
      <c r="I17" s="11"/>
      <c r="J17" s="11" t="s">
        <v>664</v>
      </c>
      <c r="K17" s="13">
        <v>45927</v>
      </c>
      <c r="L17" s="26" t="str">
        <f>_xlfn.TEXTBEFORE(liste_colisage[[#This Row],[Num Suivis]],"-",,,1)</f>
        <v>OF242183</v>
      </c>
      <c r="M17" s="26" t="str">
        <f>_xlfn.XLOOKUP(liste_colisage[[#This Row],[Num de Colis]],liste_palette[Num De colis],liste_palette[Num de Palette],"Magasin")</f>
        <v>PAL915</v>
      </c>
      <c r="N17" s="26" t="str">
        <f>_xlfn.XLOOKUP(liste_colisage[[#This Row],[Num de Colis]],liste_palette[Num De colis],liste_palette[Facture Export],"Magasin")</f>
        <v>PA-F25023</v>
      </c>
      <c r="O17" s="26" t="e">
        <f>_xlfn.XLOOKUP(liste_colisage[[#This Row],[Num OF]],#REF!,#REF!,"Non Trouvé")</f>
        <v>#REF!</v>
      </c>
      <c r="P17" s="26" t="e">
        <f>_xlfn.XLOOKUP(liste_colisage[[#This Row],[Num OF]],#REF!,#REF!,"Non Trouvé")</f>
        <v>#REF!</v>
      </c>
      <c r="Q17" s="26" t="e">
        <f>_xlfn.XLOOKUP(liste_colisage[[#This Row],[Num OF]],#REF!,#REF!,"Non Trouvé")</f>
        <v>#REF!</v>
      </c>
      <c r="R17" s="91" t="str">
        <f>IF(
   COUNTIFS($A$2:A17,A17,
             $E$2:E17,E17,
             $F$2:F17,F17,
             $G$2:G17,G17,
             $D$2:D17,D17,
             $K$2:K17,K17
             )&gt;1,
   "Doublon",
   "Correcte"
)</f>
        <v>Correcte</v>
      </c>
    </row>
    <row r="18" spans="1:18" ht="15" customHeight="1" x14ac:dyDescent="0.25">
      <c r="A18" s="11" t="s">
        <v>1103</v>
      </c>
      <c r="B18" s="96" t="s">
        <v>2574</v>
      </c>
      <c r="C18" s="96" t="s">
        <v>2598</v>
      </c>
      <c r="D18" s="12">
        <v>5</v>
      </c>
      <c r="E18" s="11" t="s">
        <v>17</v>
      </c>
      <c r="F18" s="11" t="s">
        <v>16</v>
      </c>
      <c r="G18" s="11" t="s">
        <v>117</v>
      </c>
      <c r="H18" s="11"/>
      <c r="I18" s="11"/>
      <c r="J18" s="11" t="s">
        <v>664</v>
      </c>
      <c r="K18" s="13">
        <v>45927</v>
      </c>
      <c r="L18" s="26" t="str">
        <f>_xlfn.TEXTBEFORE(liste_colisage[[#This Row],[Num Suivis]],"-",,,1)</f>
        <v>OF230511</v>
      </c>
      <c r="M18" s="26" t="str">
        <f>_xlfn.XLOOKUP(liste_colisage[[#This Row],[Num de Colis]],liste_palette[Num De colis],liste_palette[Num de Palette],"Magasin")</f>
        <v>PAL915</v>
      </c>
      <c r="N18" s="26" t="str">
        <f>_xlfn.XLOOKUP(liste_colisage[[#This Row],[Num de Colis]],liste_palette[Num De colis],liste_palette[Facture Export],"Magasin")</f>
        <v>PA-F25023</v>
      </c>
      <c r="O18" s="26" t="e">
        <f>_xlfn.XLOOKUP(liste_colisage[[#This Row],[Num OF]],#REF!,#REF!,"Non Trouvé")</f>
        <v>#REF!</v>
      </c>
      <c r="P18" s="26" t="e">
        <f>_xlfn.XLOOKUP(liste_colisage[[#This Row],[Num OF]],#REF!,#REF!,"Non Trouvé")</f>
        <v>#REF!</v>
      </c>
      <c r="Q18" s="26" t="e">
        <f>_xlfn.XLOOKUP(liste_colisage[[#This Row],[Num OF]],#REF!,#REF!,"Non Trouvé")</f>
        <v>#REF!</v>
      </c>
      <c r="R18" s="91" t="str">
        <f>IF(
   COUNTIFS($A$2:A18,A18,
             $E$2:E18,E18,
             $F$2:F18,F18,
             $G$2:G18,G18,
             $D$2:D18,D18,
             $K$2:K18,K18
             )&gt;1,
   "Doublon",
   "Correcte"
)</f>
        <v>Correcte</v>
      </c>
    </row>
    <row r="19" spans="1:18" ht="15" customHeight="1" x14ac:dyDescent="0.25">
      <c r="A19" s="11" t="s">
        <v>1104</v>
      </c>
      <c r="B19" s="96" t="s">
        <v>2574</v>
      </c>
      <c r="C19" s="96" t="s">
        <v>2599</v>
      </c>
      <c r="D19" s="12">
        <v>5</v>
      </c>
      <c r="E19" s="11" t="s">
        <v>17</v>
      </c>
      <c r="F19" s="11" t="s">
        <v>16</v>
      </c>
      <c r="G19" s="11" t="s">
        <v>265</v>
      </c>
      <c r="H19" s="11"/>
      <c r="I19" s="11"/>
      <c r="J19" s="11" t="s">
        <v>664</v>
      </c>
      <c r="K19" s="13">
        <v>45927</v>
      </c>
      <c r="L19" s="26" t="str">
        <f>_xlfn.TEXTBEFORE(liste_colisage[[#This Row],[Num Suivis]],"-",,,1)</f>
        <v>OF246001</v>
      </c>
      <c r="M19" s="26" t="str">
        <f>_xlfn.XLOOKUP(liste_colisage[[#This Row],[Num de Colis]],liste_palette[Num De colis],liste_palette[Num de Palette],"Magasin")</f>
        <v>PAL916</v>
      </c>
      <c r="N19" s="26" t="str">
        <f>_xlfn.XLOOKUP(liste_colisage[[#This Row],[Num de Colis]],liste_palette[Num De colis],liste_palette[Facture Export],"Magasin")</f>
        <v>PA-F25023</v>
      </c>
      <c r="O19" s="26" t="e">
        <f>_xlfn.XLOOKUP(liste_colisage[[#This Row],[Num OF]],#REF!,#REF!,"Non Trouvé")</f>
        <v>#REF!</v>
      </c>
      <c r="P19" s="26" t="e">
        <f>_xlfn.XLOOKUP(liste_colisage[[#This Row],[Num OF]],#REF!,#REF!,"Non Trouvé")</f>
        <v>#REF!</v>
      </c>
      <c r="Q19" s="26" t="e">
        <f>_xlfn.XLOOKUP(liste_colisage[[#This Row],[Num OF]],#REF!,#REF!,"Non Trouvé")</f>
        <v>#REF!</v>
      </c>
      <c r="R19" s="91" t="str">
        <f>IF(
   COUNTIFS($A$2:A19,A19,
             $E$2:E19,E19,
             $F$2:F19,F19,
             $G$2:G19,G19,
             $D$2:D19,D19,
             $K$2:K19,K19
             )&gt;1,
   "Doublon",
   "Correcte"
)</f>
        <v>Correcte</v>
      </c>
    </row>
    <row r="20" spans="1:18" ht="15" customHeight="1" x14ac:dyDescent="0.25">
      <c r="A20" s="11" t="s">
        <v>1104</v>
      </c>
      <c r="B20" s="96" t="s">
        <v>2574</v>
      </c>
      <c r="C20" s="96" t="s">
        <v>2600</v>
      </c>
      <c r="D20" s="12">
        <v>5</v>
      </c>
      <c r="E20" s="11" t="s">
        <v>17</v>
      </c>
      <c r="F20" s="11" t="s">
        <v>16</v>
      </c>
      <c r="G20" s="11" t="s">
        <v>267</v>
      </c>
      <c r="H20" s="11"/>
      <c r="I20" s="11"/>
      <c r="J20" s="11" t="s">
        <v>664</v>
      </c>
      <c r="K20" s="13">
        <v>45927</v>
      </c>
      <c r="L20" s="26" t="str">
        <f>_xlfn.TEXTBEFORE(liste_colisage[[#This Row],[Num Suivis]],"-",,,1)</f>
        <v>OF246003</v>
      </c>
      <c r="M20" s="26" t="str">
        <f>_xlfn.XLOOKUP(liste_colisage[[#This Row],[Num de Colis]],liste_palette[Num De colis],liste_palette[Num de Palette],"Magasin")</f>
        <v>PAL916</v>
      </c>
      <c r="N20" s="26" t="str">
        <f>_xlfn.XLOOKUP(liste_colisage[[#This Row],[Num de Colis]],liste_palette[Num De colis],liste_palette[Facture Export],"Magasin")</f>
        <v>PA-F25023</v>
      </c>
      <c r="O20" s="26" t="e">
        <f>_xlfn.XLOOKUP(liste_colisage[[#This Row],[Num OF]],#REF!,#REF!,"Non Trouvé")</f>
        <v>#REF!</v>
      </c>
      <c r="P20" s="26" t="e">
        <f>_xlfn.XLOOKUP(liste_colisage[[#This Row],[Num OF]],#REF!,#REF!,"Non Trouvé")</f>
        <v>#REF!</v>
      </c>
      <c r="Q20" s="26" t="e">
        <f>_xlfn.XLOOKUP(liste_colisage[[#This Row],[Num OF]],#REF!,#REF!,"Non Trouvé")</f>
        <v>#REF!</v>
      </c>
      <c r="R20" s="91" t="str">
        <f>IF(
   COUNTIFS($A$2:A20,A20,
             $E$2:E20,E20,
             $F$2:F20,F20,
             $G$2:G20,G20,
             $D$2:D20,D20,
             $K$2:K20,K20
             )&gt;1,
   "Doublon",
   "Correcte"
)</f>
        <v>Correcte</v>
      </c>
    </row>
    <row r="21" spans="1:18" ht="15" customHeight="1" x14ac:dyDescent="0.25">
      <c r="A21" s="11" t="s">
        <v>1104</v>
      </c>
      <c r="B21" s="96" t="s">
        <v>2574</v>
      </c>
      <c r="C21" s="96" t="s">
        <v>2601</v>
      </c>
      <c r="D21" s="12">
        <v>5</v>
      </c>
      <c r="E21" s="11" t="s">
        <v>17</v>
      </c>
      <c r="F21" s="11" t="s">
        <v>16</v>
      </c>
      <c r="G21" s="11" t="s">
        <v>508</v>
      </c>
      <c r="H21" s="11"/>
      <c r="I21" s="11"/>
      <c r="J21" s="11" t="s">
        <v>664</v>
      </c>
      <c r="K21" s="13">
        <v>45927</v>
      </c>
      <c r="L21" s="26" t="str">
        <f>_xlfn.TEXTBEFORE(liste_colisage[[#This Row],[Num Suivis]],"-",,,1)</f>
        <v>OF246393</v>
      </c>
      <c r="M21" s="26" t="str">
        <f>_xlfn.XLOOKUP(liste_colisage[[#This Row],[Num de Colis]],liste_palette[Num De colis],liste_palette[Num de Palette],"Magasin")</f>
        <v>PAL916</v>
      </c>
      <c r="N21" s="26" t="str">
        <f>_xlfn.XLOOKUP(liste_colisage[[#This Row],[Num de Colis]],liste_palette[Num De colis],liste_palette[Facture Export],"Magasin")</f>
        <v>PA-F25023</v>
      </c>
      <c r="O21" s="26" t="e">
        <f>_xlfn.XLOOKUP(liste_colisage[[#This Row],[Num OF]],#REF!,#REF!,"Non Trouvé")</f>
        <v>#REF!</v>
      </c>
      <c r="P21" s="26" t="e">
        <f>_xlfn.XLOOKUP(liste_colisage[[#This Row],[Num OF]],#REF!,#REF!,"Non Trouvé")</f>
        <v>#REF!</v>
      </c>
      <c r="Q21" s="26" t="e">
        <f>_xlfn.XLOOKUP(liste_colisage[[#This Row],[Num OF]],#REF!,#REF!,"Non Trouvé")</f>
        <v>#REF!</v>
      </c>
      <c r="R21" s="91" t="str">
        <f>IF(
   COUNTIFS($A$2:A21,A21,
             $E$2:E21,E21,
             $F$2:F21,F21,
             $G$2:G21,G21,
             $D$2:D21,D21,
             $K$2:K21,K21
             )&gt;1,
   "Doublon",
   "Correcte"
)</f>
        <v>Correcte</v>
      </c>
    </row>
    <row r="22" spans="1:18" ht="15" customHeight="1" x14ac:dyDescent="0.25">
      <c r="A22" s="11" t="s">
        <v>1104</v>
      </c>
      <c r="B22" s="96" t="s">
        <v>2574</v>
      </c>
      <c r="C22" s="96" t="s">
        <v>2602</v>
      </c>
      <c r="D22" s="12">
        <v>5</v>
      </c>
      <c r="E22" s="11" t="s">
        <v>17</v>
      </c>
      <c r="F22" s="11" t="s">
        <v>16</v>
      </c>
      <c r="G22" s="11" t="s">
        <v>254</v>
      </c>
      <c r="H22" s="11"/>
      <c r="I22" s="11"/>
      <c r="J22" s="11" t="s">
        <v>664</v>
      </c>
      <c r="K22" s="13">
        <v>45927</v>
      </c>
      <c r="L22" s="26" t="str">
        <f>_xlfn.TEXTBEFORE(liste_colisage[[#This Row],[Num Suivis]],"-",,,1)</f>
        <v>OF245987</v>
      </c>
      <c r="M22" s="26" t="str">
        <f>_xlfn.XLOOKUP(liste_colisage[[#This Row],[Num de Colis]],liste_palette[Num De colis],liste_palette[Num de Palette],"Magasin")</f>
        <v>PAL916</v>
      </c>
      <c r="N22" s="26" t="str">
        <f>_xlfn.XLOOKUP(liste_colisage[[#This Row],[Num de Colis]],liste_palette[Num De colis],liste_palette[Facture Export],"Magasin")</f>
        <v>PA-F25023</v>
      </c>
      <c r="O22" s="26" t="e">
        <f>_xlfn.XLOOKUP(liste_colisage[[#This Row],[Num OF]],#REF!,#REF!,"Non Trouvé")</f>
        <v>#REF!</v>
      </c>
      <c r="P22" s="26" t="e">
        <f>_xlfn.XLOOKUP(liste_colisage[[#This Row],[Num OF]],#REF!,#REF!,"Non Trouvé")</f>
        <v>#REF!</v>
      </c>
      <c r="Q22" s="26" t="e">
        <f>_xlfn.XLOOKUP(liste_colisage[[#This Row],[Num OF]],#REF!,#REF!,"Non Trouvé")</f>
        <v>#REF!</v>
      </c>
      <c r="R22" s="91" t="str">
        <f>IF(
   COUNTIFS($A$2:A22,A22,
             $E$2:E22,E22,
             $F$2:F22,F22,
             $G$2:G22,G22,
             $D$2:D22,D22,
             $K$2:K22,K22
             )&gt;1,
   "Doublon",
   "Correcte"
)</f>
        <v>Correcte</v>
      </c>
    </row>
    <row r="23" spans="1:18" ht="15" customHeight="1" x14ac:dyDescent="0.25">
      <c r="A23" s="11" t="s">
        <v>1104</v>
      </c>
      <c r="B23" s="96" t="s">
        <v>2574</v>
      </c>
      <c r="C23" s="96" t="s">
        <v>2603</v>
      </c>
      <c r="D23" s="12">
        <v>5</v>
      </c>
      <c r="E23" s="11" t="s">
        <v>17</v>
      </c>
      <c r="F23" s="11" t="s">
        <v>16</v>
      </c>
      <c r="G23" s="11" t="s">
        <v>255</v>
      </c>
      <c r="H23" s="11"/>
      <c r="I23" s="11"/>
      <c r="J23" s="11" t="s">
        <v>664</v>
      </c>
      <c r="K23" s="13">
        <v>45927</v>
      </c>
      <c r="L23" s="26" t="str">
        <f>_xlfn.TEXTBEFORE(liste_colisage[[#This Row],[Num Suivis]],"-",,,1)</f>
        <v>OF245988</v>
      </c>
      <c r="M23" s="26" t="str">
        <f>_xlfn.XLOOKUP(liste_colisage[[#This Row],[Num de Colis]],liste_palette[Num De colis],liste_palette[Num de Palette],"Magasin")</f>
        <v>PAL916</v>
      </c>
      <c r="N23" s="26" t="str">
        <f>_xlfn.XLOOKUP(liste_colisage[[#This Row],[Num de Colis]],liste_palette[Num De colis],liste_palette[Facture Export],"Magasin")</f>
        <v>PA-F25023</v>
      </c>
      <c r="O23" s="26" t="e">
        <f>_xlfn.XLOOKUP(liste_colisage[[#This Row],[Num OF]],#REF!,#REF!,"Non Trouvé")</f>
        <v>#REF!</v>
      </c>
      <c r="P23" s="26" t="e">
        <f>_xlfn.XLOOKUP(liste_colisage[[#This Row],[Num OF]],#REF!,#REF!,"Non Trouvé")</f>
        <v>#REF!</v>
      </c>
      <c r="Q23" s="26" t="e">
        <f>_xlfn.XLOOKUP(liste_colisage[[#This Row],[Num OF]],#REF!,#REF!,"Non Trouvé")</f>
        <v>#REF!</v>
      </c>
      <c r="R23" s="91" t="str">
        <f>IF(
   COUNTIFS($A$2:A23,A23,
             $E$2:E23,E23,
             $F$2:F23,F23,
             $G$2:G23,G23,
             $D$2:D23,D23,
             $K$2:K23,K23
             )&gt;1,
   "Doublon",
   "Correcte"
)</f>
        <v>Correcte</v>
      </c>
    </row>
    <row r="24" spans="1:18" ht="15" customHeight="1" x14ac:dyDescent="0.25">
      <c r="A24" s="11" t="s">
        <v>1104</v>
      </c>
      <c r="B24" s="96" t="s">
        <v>2574</v>
      </c>
      <c r="C24" s="96" t="s">
        <v>2603</v>
      </c>
      <c r="D24" s="12">
        <v>5</v>
      </c>
      <c r="E24" s="11" t="s">
        <v>17</v>
      </c>
      <c r="F24" s="11" t="s">
        <v>16</v>
      </c>
      <c r="G24" s="11" t="s">
        <v>255</v>
      </c>
      <c r="H24" s="11"/>
      <c r="I24" s="11"/>
      <c r="J24" s="11" t="s">
        <v>664</v>
      </c>
      <c r="K24" s="13">
        <v>45927.5</v>
      </c>
      <c r="L24" s="26" t="str">
        <f>_xlfn.TEXTBEFORE(liste_colisage[[#This Row],[Num Suivis]],"-",,,1)</f>
        <v>OF245988</v>
      </c>
      <c r="M24" s="26" t="str">
        <f>_xlfn.XLOOKUP(liste_colisage[[#This Row],[Num de Colis]],liste_palette[Num De colis],liste_palette[Num de Palette],"Magasin")</f>
        <v>PAL916</v>
      </c>
      <c r="N24" s="26" t="str">
        <f>_xlfn.XLOOKUP(liste_colisage[[#This Row],[Num de Colis]],liste_palette[Num De colis],liste_palette[Facture Export],"Magasin")</f>
        <v>PA-F25023</v>
      </c>
      <c r="O24" s="26" t="e">
        <f>_xlfn.XLOOKUP(liste_colisage[[#This Row],[Num OF]],#REF!,#REF!,"Non Trouvé")</f>
        <v>#REF!</v>
      </c>
      <c r="P24" s="26" t="e">
        <f>_xlfn.XLOOKUP(liste_colisage[[#This Row],[Num OF]],#REF!,#REF!,"Non Trouvé")</f>
        <v>#REF!</v>
      </c>
      <c r="Q24" s="26" t="e">
        <f>_xlfn.XLOOKUP(liste_colisage[[#This Row],[Num OF]],#REF!,#REF!,"Non Trouvé")</f>
        <v>#REF!</v>
      </c>
      <c r="R24" s="91" t="str">
        <f>IF(
   COUNTIFS($A$2:A24,A24,
             $E$2:E24,E24,
             $F$2:F24,F24,
             $G$2:G24,G24,
             $D$2:D24,D24,
             $K$2:K24,K24
             )&gt;1,
   "Doublon",
   "Correcte"
)</f>
        <v>Correcte</v>
      </c>
    </row>
    <row r="25" spans="1:18" ht="15" customHeight="1" x14ac:dyDescent="0.25">
      <c r="A25" s="11" t="s">
        <v>1104</v>
      </c>
      <c r="B25" s="96" t="s">
        <v>2574</v>
      </c>
      <c r="C25" s="96" t="s">
        <v>2604</v>
      </c>
      <c r="D25" s="12">
        <v>5</v>
      </c>
      <c r="E25" s="11" t="s">
        <v>17</v>
      </c>
      <c r="F25" s="11" t="s">
        <v>16</v>
      </c>
      <c r="G25" s="11" t="s">
        <v>256</v>
      </c>
      <c r="H25" s="11"/>
      <c r="I25" s="11"/>
      <c r="J25" s="11" t="s">
        <v>664</v>
      </c>
      <c r="K25" s="13">
        <v>45927</v>
      </c>
      <c r="L25" s="26" t="str">
        <f>_xlfn.TEXTBEFORE(liste_colisage[[#This Row],[Num Suivis]],"-",,,1)</f>
        <v>OF245989</v>
      </c>
      <c r="M25" s="26" t="str">
        <f>_xlfn.XLOOKUP(liste_colisage[[#This Row],[Num de Colis]],liste_palette[Num De colis],liste_palette[Num de Palette],"Magasin")</f>
        <v>PAL916</v>
      </c>
      <c r="N25" s="26" t="str">
        <f>_xlfn.XLOOKUP(liste_colisage[[#This Row],[Num de Colis]],liste_palette[Num De colis],liste_palette[Facture Export],"Magasin")</f>
        <v>PA-F25023</v>
      </c>
      <c r="O25" s="26" t="e">
        <f>_xlfn.XLOOKUP(liste_colisage[[#This Row],[Num OF]],#REF!,#REF!,"Non Trouvé")</f>
        <v>#REF!</v>
      </c>
      <c r="P25" s="26" t="e">
        <f>_xlfn.XLOOKUP(liste_colisage[[#This Row],[Num OF]],#REF!,#REF!,"Non Trouvé")</f>
        <v>#REF!</v>
      </c>
      <c r="Q25" s="26" t="e">
        <f>_xlfn.XLOOKUP(liste_colisage[[#This Row],[Num OF]],#REF!,#REF!,"Non Trouvé")</f>
        <v>#REF!</v>
      </c>
      <c r="R25" s="91" t="str">
        <f>IF(
   COUNTIFS($A$2:A25,A25,
             $E$2:E25,E25,
             $F$2:F25,F25,
             $G$2:G25,G25,
             $D$2:D25,D25,
             $K$2:K25,K25
             )&gt;1,
   "Doublon",
   "Correcte"
)</f>
        <v>Correcte</v>
      </c>
    </row>
    <row r="26" spans="1:18" ht="15" customHeight="1" x14ac:dyDescent="0.25">
      <c r="A26" s="11" t="s">
        <v>1104</v>
      </c>
      <c r="B26" s="96" t="s">
        <v>2574</v>
      </c>
      <c r="C26" s="96" t="s">
        <v>2605</v>
      </c>
      <c r="D26" s="12">
        <v>3</v>
      </c>
      <c r="E26" s="11" t="s">
        <v>17</v>
      </c>
      <c r="F26" s="11" t="s">
        <v>16</v>
      </c>
      <c r="G26" s="11" t="s">
        <v>257</v>
      </c>
      <c r="H26" s="11"/>
      <c r="I26" s="11"/>
      <c r="J26" s="11" t="s">
        <v>664</v>
      </c>
      <c r="K26" s="13">
        <v>45927</v>
      </c>
      <c r="L26" s="26" t="str">
        <f>_xlfn.TEXTBEFORE(liste_colisage[[#This Row],[Num Suivis]],"-",,,1)</f>
        <v>OF245990</v>
      </c>
      <c r="M26" s="26" t="str">
        <f>_xlfn.XLOOKUP(liste_colisage[[#This Row],[Num de Colis]],liste_palette[Num De colis],liste_palette[Num de Palette],"Magasin")</f>
        <v>PAL916</v>
      </c>
      <c r="N26" s="26" t="str">
        <f>_xlfn.XLOOKUP(liste_colisage[[#This Row],[Num de Colis]],liste_palette[Num De colis],liste_palette[Facture Export],"Magasin")</f>
        <v>PA-F25023</v>
      </c>
      <c r="O26" s="26" t="e">
        <f>_xlfn.XLOOKUP(liste_colisage[[#This Row],[Num OF]],#REF!,#REF!,"Non Trouvé")</f>
        <v>#REF!</v>
      </c>
      <c r="P26" s="26" t="e">
        <f>_xlfn.XLOOKUP(liste_colisage[[#This Row],[Num OF]],#REF!,#REF!,"Non Trouvé")</f>
        <v>#REF!</v>
      </c>
      <c r="Q26" s="26" t="e">
        <f>_xlfn.XLOOKUP(liste_colisage[[#This Row],[Num OF]],#REF!,#REF!,"Non Trouvé")</f>
        <v>#REF!</v>
      </c>
      <c r="R26" s="91" t="str">
        <f>IF(
   COUNTIFS($A$2:A26,A26,
             $E$2:E26,E26,
             $F$2:F26,F26,
             $G$2:G26,G26,
             $D$2:D26,D26,
             $K$2:K26,K26
             )&gt;1,
   "Doublon",
   "Correcte"
)</f>
        <v>Correcte</v>
      </c>
    </row>
    <row r="27" spans="1:18" ht="15" customHeight="1" x14ac:dyDescent="0.25">
      <c r="A27" s="11" t="s">
        <v>1104</v>
      </c>
      <c r="B27" s="96" t="s">
        <v>2574</v>
      </c>
      <c r="C27" s="96" t="s">
        <v>2606</v>
      </c>
      <c r="D27" s="12">
        <v>1</v>
      </c>
      <c r="E27" s="11" t="s">
        <v>17</v>
      </c>
      <c r="F27" s="11" t="s">
        <v>16</v>
      </c>
      <c r="G27" s="11" t="s">
        <v>511</v>
      </c>
      <c r="H27" s="11"/>
      <c r="I27" s="11"/>
      <c r="J27" s="11" t="s">
        <v>664</v>
      </c>
      <c r="K27" s="13">
        <v>45927</v>
      </c>
      <c r="L27" s="26" t="str">
        <f>_xlfn.TEXTBEFORE(liste_colisage[[#This Row],[Num Suivis]],"-",,,1)</f>
        <v>OF246424</v>
      </c>
      <c r="M27" s="26" t="str">
        <f>_xlfn.XLOOKUP(liste_colisage[[#This Row],[Num de Colis]],liste_palette[Num De colis],liste_palette[Num de Palette],"Magasin")</f>
        <v>PAL916</v>
      </c>
      <c r="N27" s="26" t="str">
        <f>_xlfn.XLOOKUP(liste_colisage[[#This Row],[Num de Colis]],liste_palette[Num De colis],liste_palette[Facture Export],"Magasin")</f>
        <v>PA-F25023</v>
      </c>
      <c r="O27" s="26" t="e">
        <f>_xlfn.XLOOKUP(liste_colisage[[#This Row],[Num OF]],#REF!,#REF!,"Non Trouvé")</f>
        <v>#REF!</v>
      </c>
      <c r="P27" s="26" t="e">
        <f>_xlfn.XLOOKUP(liste_colisage[[#This Row],[Num OF]],#REF!,#REF!,"Non Trouvé")</f>
        <v>#REF!</v>
      </c>
      <c r="Q27" s="26" t="e">
        <f>_xlfn.XLOOKUP(liste_colisage[[#This Row],[Num OF]],#REF!,#REF!,"Non Trouvé")</f>
        <v>#REF!</v>
      </c>
      <c r="R27" s="91" t="str">
        <f>IF(
   COUNTIFS($A$2:A27,A27,
             $E$2:E27,E27,
             $F$2:F27,F27,
             $G$2:G27,G27,
             $D$2:D27,D27,
             $K$2:K27,K27
             )&gt;1,
   "Doublon",
   "Correcte"
)</f>
        <v>Correcte</v>
      </c>
    </row>
    <row r="28" spans="1:18" ht="15" customHeight="1" x14ac:dyDescent="0.25">
      <c r="A28" s="11" t="s">
        <v>1104</v>
      </c>
      <c r="B28" s="96" t="s">
        <v>2574</v>
      </c>
      <c r="C28" s="96" t="s">
        <v>2607</v>
      </c>
      <c r="D28" s="12">
        <v>5</v>
      </c>
      <c r="E28" s="11" t="s">
        <v>17</v>
      </c>
      <c r="F28" s="11" t="s">
        <v>16</v>
      </c>
      <c r="G28" s="11" t="s">
        <v>260</v>
      </c>
      <c r="H28" s="11"/>
      <c r="I28" s="11"/>
      <c r="J28" s="11" t="s">
        <v>664</v>
      </c>
      <c r="K28" s="13">
        <v>45927</v>
      </c>
      <c r="L28" s="26" t="str">
        <f>_xlfn.TEXTBEFORE(liste_colisage[[#This Row],[Num Suivis]],"-",,,1)</f>
        <v>OF245994</v>
      </c>
      <c r="M28" s="26" t="str">
        <f>_xlfn.XLOOKUP(liste_colisage[[#This Row],[Num de Colis]],liste_palette[Num De colis],liste_palette[Num de Palette],"Magasin")</f>
        <v>PAL916</v>
      </c>
      <c r="N28" s="26" t="str">
        <f>_xlfn.XLOOKUP(liste_colisage[[#This Row],[Num de Colis]],liste_palette[Num De colis],liste_palette[Facture Export],"Magasin")</f>
        <v>PA-F25023</v>
      </c>
      <c r="O28" s="26" t="e">
        <f>_xlfn.XLOOKUP(liste_colisage[[#This Row],[Num OF]],#REF!,#REF!,"Non Trouvé")</f>
        <v>#REF!</v>
      </c>
      <c r="P28" s="26" t="e">
        <f>_xlfn.XLOOKUP(liste_colisage[[#This Row],[Num OF]],#REF!,#REF!,"Non Trouvé")</f>
        <v>#REF!</v>
      </c>
      <c r="Q28" s="26" t="e">
        <f>_xlfn.XLOOKUP(liste_colisage[[#This Row],[Num OF]],#REF!,#REF!,"Non Trouvé")</f>
        <v>#REF!</v>
      </c>
      <c r="R28" s="91" t="str">
        <f>IF(
   COUNTIFS($A$2:A28,A28,
             $E$2:E28,E28,
             $F$2:F28,F28,
             $G$2:G28,G28,
             $D$2:D28,D28,
             $K$2:K28,K28
             )&gt;1,
   "Doublon",
   "Correcte"
)</f>
        <v>Correcte</v>
      </c>
    </row>
    <row r="29" spans="1:18" ht="15" customHeight="1" x14ac:dyDescent="0.25">
      <c r="A29" s="11" t="s">
        <v>1104</v>
      </c>
      <c r="B29" s="96" t="s">
        <v>2574</v>
      </c>
      <c r="C29" s="96" t="s">
        <v>2608</v>
      </c>
      <c r="D29" s="12">
        <v>2</v>
      </c>
      <c r="E29" s="11" t="s">
        <v>17</v>
      </c>
      <c r="F29" s="11" t="s">
        <v>16</v>
      </c>
      <c r="G29" s="11" t="s">
        <v>528</v>
      </c>
      <c r="H29" s="11"/>
      <c r="I29" s="11"/>
      <c r="J29" s="11" t="s">
        <v>664</v>
      </c>
      <c r="K29" s="13">
        <v>45927</v>
      </c>
      <c r="L29" s="26" t="str">
        <f>_xlfn.TEXTBEFORE(liste_colisage[[#This Row],[Num Suivis]],"-",,,1)</f>
        <v>OF246517</v>
      </c>
      <c r="M29" s="26" t="str">
        <f>_xlfn.XLOOKUP(liste_colisage[[#This Row],[Num de Colis]],liste_palette[Num De colis],liste_palette[Num de Palette],"Magasin")</f>
        <v>PAL916</v>
      </c>
      <c r="N29" s="26" t="str">
        <f>_xlfn.XLOOKUP(liste_colisage[[#This Row],[Num de Colis]],liste_palette[Num De colis],liste_palette[Facture Export],"Magasin")</f>
        <v>PA-F25023</v>
      </c>
      <c r="O29" s="26" t="e">
        <f>_xlfn.XLOOKUP(liste_colisage[[#This Row],[Num OF]],#REF!,#REF!,"Non Trouvé")</f>
        <v>#REF!</v>
      </c>
      <c r="P29" s="26" t="e">
        <f>_xlfn.XLOOKUP(liste_colisage[[#This Row],[Num OF]],#REF!,#REF!,"Non Trouvé")</f>
        <v>#REF!</v>
      </c>
      <c r="Q29" s="26" t="e">
        <f>_xlfn.XLOOKUP(liste_colisage[[#This Row],[Num OF]],#REF!,#REF!,"Non Trouvé")</f>
        <v>#REF!</v>
      </c>
      <c r="R29" s="91" t="str">
        <f>IF(
   COUNTIFS($A$2:A29,A29,
             $E$2:E29,E29,
             $F$2:F29,F29,
             $G$2:G29,G29,
             $D$2:D29,D29,
             $K$2:K29,K29
             )&gt;1,
   "Doublon",
   "Correcte"
)</f>
        <v>Correcte</v>
      </c>
    </row>
    <row r="30" spans="1:18" ht="15" customHeight="1" x14ac:dyDescent="0.25">
      <c r="A30" s="11" t="s">
        <v>1104</v>
      </c>
      <c r="B30" s="96" t="s">
        <v>2574</v>
      </c>
      <c r="C30" s="96" t="s">
        <v>2609</v>
      </c>
      <c r="D30" s="12">
        <v>2</v>
      </c>
      <c r="E30" s="11" t="s">
        <v>17</v>
      </c>
      <c r="F30" s="11" t="s">
        <v>16</v>
      </c>
      <c r="G30" s="11" t="s">
        <v>233</v>
      </c>
      <c r="H30" s="11"/>
      <c r="I30" s="11"/>
      <c r="J30" s="11" t="s">
        <v>664</v>
      </c>
      <c r="K30" s="13">
        <v>45927</v>
      </c>
      <c r="L30" s="26" t="str">
        <f>_xlfn.TEXTBEFORE(liste_colisage[[#This Row],[Num Suivis]],"-",,,1)</f>
        <v>OF245965</v>
      </c>
      <c r="M30" s="26" t="str">
        <f>_xlfn.XLOOKUP(liste_colisage[[#This Row],[Num de Colis]],liste_palette[Num De colis],liste_palette[Num de Palette],"Magasin")</f>
        <v>PAL916</v>
      </c>
      <c r="N30" s="26" t="str">
        <f>_xlfn.XLOOKUP(liste_colisage[[#This Row],[Num de Colis]],liste_palette[Num De colis],liste_palette[Facture Export],"Magasin")</f>
        <v>PA-F25023</v>
      </c>
      <c r="O30" s="26" t="e">
        <f>_xlfn.XLOOKUP(liste_colisage[[#This Row],[Num OF]],#REF!,#REF!,"Non Trouvé")</f>
        <v>#REF!</v>
      </c>
      <c r="P30" s="26" t="e">
        <f>_xlfn.XLOOKUP(liste_colisage[[#This Row],[Num OF]],#REF!,#REF!,"Non Trouvé")</f>
        <v>#REF!</v>
      </c>
      <c r="Q30" s="26" t="e">
        <f>_xlfn.XLOOKUP(liste_colisage[[#This Row],[Num OF]],#REF!,#REF!,"Non Trouvé")</f>
        <v>#REF!</v>
      </c>
      <c r="R30" s="91" t="str">
        <f>IF(
   COUNTIFS($A$2:A30,A30,
             $E$2:E30,E30,
             $F$2:F30,F30,
             $G$2:G30,G30,
             $D$2:D30,D30,
             $K$2:K30,K30
             )&gt;1,
   "Doublon",
   "Correcte"
)</f>
        <v>Correcte</v>
      </c>
    </row>
    <row r="31" spans="1:18" ht="15" customHeight="1" x14ac:dyDescent="0.25">
      <c r="A31" s="11" t="s">
        <v>1104</v>
      </c>
      <c r="B31" s="96" t="s">
        <v>2574</v>
      </c>
      <c r="C31" s="96" t="s">
        <v>2610</v>
      </c>
      <c r="D31" s="12">
        <v>5</v>
      </c>
      <c r="E31" s="11" t="s">
        <v>17</v>
      </c>
      <c r="F31" s="11" t="s">
        <v>16</v>
      </c>
      <c r="G31" s="11" t="s">
        <v>240</v>
      </c>
      <c r="H31" s="11"/>
      <c r="I31" s="11"/>
      <c r="J31" s="11" t="s">
        <v>664</v>
      </c>
      <c r="K31" s="13">
        <v>45927</v>
      </c>
      <c r="L31" s="26" t="str">
        <f>_xlfn.TEXTBEFORE(liste_colisage[[#This Row],[Num Suivis]],"-",,,1)</f>
        <v>OF245972</v>
      </c>
      <c r="M31" s="26" t="str">
        <f>_xlfn.XLOOKUP(liste_colisage[[#This Row],[Num de Colis]],liste_palette[Num De colis],liste_palette[Num de Palette],"Magasin")</f>
        <v>PAL916</v>
      </c>
      <c r="N31" s="26" t="str">
        <f>_xlfn.XLOOKUP(liste_colisage[[#This Row],[Num de Colis]],liste_palette[Num De colis],liste_palette[Facture Export],"Magasin")</f>
        <v>PA-F25023</v>
      </c>
      <c r="O31" s="26" t="e">
        <f>_xlfn.XLOOKUP(liste_colisage[[#This Row],[Num OF]],#REF!,#REF!,"Non Trouvé")</f>
        <v>#REF!</v>
      </c>
      <c r="P31" s="26" t="e">
        <f>_xlfn.XLOOKUP(liste_colisage[[#This Row],[Num OF]],#REF!,#REF!,"Non Trouvé")</f>
        <v>#REF!</v>
      </c>
      <c r="Q31" s="26" t="e">
        <f>_xlfn.XLOOKUP(liste_colisage[[#This Row],[Num OF]],#REF!,#REF!,"Non Trouvé")</f>
        <v>#REF!</v>
      </c>
      <c r="R31" s="91" t="str">
        <f>IF(
   COUNTIFS($A$2:A31,A31,
             $E$2:E31,E31,
             $F$2:F31,F31,
             $G$2:G31,G31,
             $D$2:D31,D31,
             $K$2:K31,K31
             )&gt;1,
   "Doublon",
   "Correcte"
)</f>
        <v>Correcte</v>
      </c>
    </row>
    <row r="32" spans="1:18" ht="15" customHeight="1" x14ac:dyDescent="0.25">
      <c r="A32" s="11" t="s">
        <v>1104</v>
      </c>
      <c r="B32" s="96" t="s">
        <v>2574</v>
      </c>
      <c r="C32" s="96" t="s">
        <v>2611</v>
      </c>
      <c r="D32" s="12">
        <v>5</v>
      </c>
      <c r="E32" s="11" t="s">
        <v>17</v>
      </c>
      <c r="F32" s="11" t="s">
        <v>16</v>
      </c>
      <c r="G32" s="11" t="s">
        <v>130</v>
      </c>
      <c r="H32" s="11"/>
      <c r="I32" s="11"/>
      <c r="J32" s="11" t="s">
        <v>664</v>
      </c>
      <c r="K32" s="13">
        <v>45927</v>
      </c>
      <c r="L32" s="26" t="str">
        <f>_xlfn.TEXTBEFORE(liste_colisage[[#This Row],[Num Suivis]],"-",,,1)</f>
        <v>OF241207</v>
      </c>
      <c r="M32" s="26" t="str">
        <f>_xlfn.XLOOKUP(liste_colisage[[#This Row],[Num de Colis]],liste_palette[Num De colis],liste_palette[Num de Palette],"Magasin")</f>
        <v>PAL916</v>
      </c>
      <c r="N32" s="26" t="str">
        <f>_xlfn.XLOOKUP(liste_colisage[[#This Row],[Num de Colis]],liste_palette[Num De colis],liste_palette[Facture Export],"Magasin")</f>
        <v>PA-F25023</v>
      </c>
      <c r="O32" s="26" t="e">
        <f>_xlfn.XLOOKUP(liste_colisage[[#This Row],[Num OF]],#REF!,#REF!,"Non Trouvé")</f>
        <v>#REF!</v>
      </c>
      <c r="P32" s="26" t="e">
        <f>_xlfn.XLOOKUP(liste_colisage[[#This Row],[Num OF]],#REF!,#REF!,"Non Trouvé")</f>
        <v>#REF!</v>
      </c>
      <c r="Q32" s="26" t="e">
        <f>_xlfn.XLOOKUP(liste_colisage[[#This Row],[Num OF]],#REF!,#REF!,"Non Trouvé")</f>
        <v>#REF!</v>
      </c>
      <c r="R32" s="91" t="str">
        <f>IF(
   COUNTIFS($A$2:A32,A32,
             $E$2:E32,E32,
             $F$2:F32,F32,
             $G$2:G32,G32,
             $D$2:D32,D32,
             $K$2:K32,K32
             )&gt;1,
   "Doublon",
   "Correcte"
)</f>
        <v>Correcte</v>
      </c>
    </row>
    <row r="33" spans="1:18" ht="15" customHeight="1" x14ac:dyDescent="0.25">
      <c r="A33" s="11" t="s">
        <v>1105</v>
      </c>
      <c r="B33" s="96" t="s">
        <v>2574</v>
      </c>
      <c r="C33" s="96" t="s">
        <v>2612</v>
      </c>
      <c r="D33" s="12">
        <v>5</v>
      </c>
      <c r="E33" s="11" t="s">
        <v>17</v>
      </c>
      <c r="F33" s="11" t="s">
        <v>16</v>
      </c>
      <c r="G33" s="11" t="s">
        <v>72</v>
      </c>
      <c r="H33" s="11"/>
      <c r="I33" s="11"/>
      <c r="J33" s="11" t="s">
        <v>664</v>
      </c>
      <c r="K33" s="13">
        <v>45927</v>
      </c>
      <c r="L33" s="26" t="str">
        <f>_xlfn.TEXTBEFORE(liste_colisage[[#This Row],[Num Suivis]],"-",,,1)</f>
        <v>CA250063</v>
      </c>
      <c r="M33" s="26" t="str">
        <f>_xlfn.XLOOKUP(liste_colisage[[#This Row],[Num de Colis]],liste_palette[Num De colis],liste_palette[Num de Palette],"Magasin")</f>
        <v>PAL915</v>
      </c>
      <c r="N33" s="26" t="str">
        <f>_xlfn.XLOOKUP(liste_colisage[[#This Row],[Num de Colis]],liste_palette[Num De colis],liste_palette[Facture Export],"Magasin")</f>
        <v>PA-F25023</v>
      </c>
      <c r="O33" s="26" t="e">
        <f>_xlfn.XLOOKUP(liste_colisage[[#This Row],[Num OF]],#REF!,#REF!,"Non Trouvé")</f>
        <v>#REF!</v>
      </c>
      <c r="P33" s="26" t="e">
        <f>_xlfn.XLOOKUP(liste_colisage[[#This Row],[Num OF]],#REF!,#REF!,"Non Trouvé")</f>
        <v>#REF!</v>
      </c>
      <c r="Q33" s="26" t="e">
        <f>_xlfn.XLOOKUP(liste_colisage[[#This Row],[Num OF]],#REF!,#REF!,"Non Trouvé")</f>
        <v>#REF!</v>
      </c>
      <c r="R33" s="91" t="str">
        <f>IF(
   COUNTIFS($A$2:A33,A33,
             $E$2:E33,E33,
             $F$2:F33,F33,
             $G$2:G33,G33,
             $D$2:D33,D33,
             $K$2:K33,K33
             )&gt;1,
   "Doublon",
   "Correcte"
)</f>
        <v>Correcte</v>
      </c>
    </row>
    <row r="34" spans="1:18" ht="15" customHeight="1" x14ac:dyDescent="0.25">
      <c r="A34" s="11" t="s">
        <v>1105</v>
      </c>
      <c r="B34" s="96" t="s">
        <v>2574</v>
      </c>
      <c r="C34" s="96" t="s">
        <v>2613</v>
      </c>
      <c r="D34" s="12">
        <v>5</v>
      </c>
      <c r="E34" s="11" t="s">
        <v>17</v>
      </c>
      <c r="F34" s="11" t="s">
        <v>16</v>
      </c>
      <c r="G34" s="11" t="s">
        <v>246</v>
      </c>
      <c r="H34" s="11"/>
      <c r="I34" s="11"/>
      <c r="J34" s="11" t="s">
        <v>664</v>
      </c>
      <c r="K34" s="13">
        <v>45927</v>
      </c>
      <c r="L34" s="26" t="str">
        <f>_xlfn.TEXTBEFORE(liste_colisage[[#This Row],[Num Suivis]],"-",,,1)</f>
        <v>OF245979</v>
      </c>
      <c r="M34" s="26" t="str">
        <f>_xlfn.XLOOKUP(liste_colisage[[#This Row],[Num de Colis]],liste_palette[Num De colis],liste_palette[Num de Palette],"Magasin")</f>
        <v>PAL915</v>
      </c>
      <c r="N34" s="26" t="str">
        <f>_xlfn.XLOOKUP(liste_colisage[[#This Row],[Num de Colis]],liste_palette[Num De colis],liste_palette[Facture Export],"Magasin")</f>
        <v>PA-F25023</v>
      </c>
      <c r="O34" s="26" t="e">
        <f>_xlfn.XLOOKUP(liste_colisage[[#This Row],[Num OF]],#REF!,#REF!,"Non Trouvé")</f>
        <v>#REF!</v>
      </c>
      <c r="P34" s="26" t="e">
        <f>_xlfn.XLOOKUP(liste_colisage[[#This Row],[Num OF]],#REF!,#REF!,"Non Trouvé")</f>
        <v>#REF!</v>
      </c>
      <c r="Q34" s="26" t="e">
        <f>_xlfn.XLOOKUP(liste_colisage[[#This Row],[Num OF]],#REF!,#REF!,"Non Trouvé")</f>
        <v>#REF!</v>
      </c>
      <c r="R34" s="91" t="str">
        <f>IF(
   COUNTIFS($A$2:A34,A34,
             $E$2:E34,E34,
             $F$2:F34,F34,
             $G$2:G34,G34,
             $D$2:D34,D34,
             $K$2:K34,K34
             )&gt;1,
   "Doublon",
   "Correcte"
)</f>
        <v>Correcte</v>
      </c>
    </row>
    <row r="35" spans="1:18" ht="15" customHeight="1" x14ac:dyDescent="0.25">
      <c r="A35" s="11" t="s">
        <v>1105</v>
      </c>
      <c r="B35" s="96" t="s">
        <v>2574</v>
      </c>
      <c r="C35" s="96" t="s">
        <v>2614</v>
      </c>
      <c r="D35" s="12">
        <v>5</v>
      </c>
      <c r="E35" s="11" t="s">
        <v>17</v>
      </c>
      <c r="F35" s="11" t="s">
        <v>16</v>
      </c>
      <c r="G35" s="11" t="s">
        <v>331</v>
      </c>
      <c r="H35" s="11"/>
      <c r="I35" s="11"/>
      <c r="J35" s="11" t="s">
        <v>664</v>
      </c>
      <c r="K35" s="13">
        <v>45927</v>
      </c>
      <c r="L35" s="26" t="str">
        <f>_xlfn.TEXTBEFORE(liste_colisage[[#This Row],[Num Suivis]],"-",,,1)</f>
        <v>OF242252</v>
      </c>
      <c r="M35" s="26" t="str">
        <f>_xlfn.XLOOKUP(liste_colisage[[#This Row],[Num de Colis]],liste_palette[Num De colis],liste_palette[Num de Palette],"Magasin")</f>
        <v>PAL915</v>
      </c>
      <c r="N35" s="26" t="str">
        <f>_xlfn.XLOOKUP(liste_colisage[[#This Row],[Num de Colis]],liste_palette[Num De colis],liste_palette[Facture Export],"Magasin")</f>
        <v>PA-F25023</v>
      </c>
      <c r="O35" s="26" t="e">
        <f>_xlfn.XLOOKUP(liste_colisage[[#This Row],[Num OF]],#REF!,#REF!,"Non Trouvé")</f>
        <v>#REF!</v>
      </c>
      <c r="P35" s="26" t="e">
        <f>_xlfn.XLOOKUP(liste_colisage[[#This Row],[Num OF]],#REF!,#REF!,"Non Trouvé")</f>
        <v>#REF!</v>
      </c>
      <c r="Q35" s="26" t="e">
        <f>_xlfn.XLOOKUP(liste_colisage[[#This Row],[Num OF]],#REF!,#REF!,"Non Trouvé")</f>
        <v>#REF!</v>
      </c>
      <c r="R35" s="91" t="str">
        <f>IF(
   COUNTIFS($A$2:A35,A35,
             $E$2:E35,E35,
             $F$2:F35,F35,
             $G$2:G35,G35,
             $D$2:D35,D35,
             $K$2:K35,K35
             )&gt;1,
   "Doublon",
   "Correcte"
)</f>
        <v>Correcte</v>
      </c>
    </row>
    <row r="36" spans="1:18" ht="15" customHeight="1" x14ac:dyDescent="0.25">
      <c r="A36" s="11" t="s">
        <v>1105</v>
      </c>
      <c r="B36" s="96" t="s">
        <v>2574</v>
      </c>
      <c r="C36" s="96" t="s">
        <v>2615</v>
      </c>
      <c r="D36" s="12">
        <v>5</v>
      </c>
      <c r="E36" s="11" t="s">
        <v>17</v>
      </c>
      <c r="F36" s="11" t="s">
        <v>16</v>
      </c>
      <c r="G36" s="11" t="s">
        <v>29</v>
      </c>
      <c r="H36" s="11"/>
      <c r="I36" s="11"/>
      <c r="J36" s="11" t="s">
        <v>664</v>
      </c>
      <c r="K36" s="13">
        <v>45927</v>
      </c>
      <c r="L36" s="26" t="str">
        <f>_xlfn.TEXTBEFORE(liste_colisage[[#This Row],[Num Suivis]],"-",,,1)</f>
        <v>CA250001</v>
      </c>
      <c r="M36" s="26" t="str">
        <f>_xlfn.XLOOKUP(liste_colisage[[#This Row],[Num de Colis]],liste_palette[Num De colis],liste_palette[Num de Palette],"Magasin")</f>
        <v>PAL915</v>
      </c>
      <c r="N36" s="26" t="str">
        <f>_xlfn.XLOOKUP(liste_colisage[[#This Row],[Num de Colis]],liste_palette[Num De colis],liste_palette[Facture Export],"Magasin")</f>
        <v>PA-F25023</v>
      </c>
      <c r="O36" s="26" t="e">
        <f>_xlfn.XLOOKUP(liste_colisage[[#This Row],[Num OF]],#REF!,#REF!,"Non Trouvé")</f>
        <v>#REF!</v>
      </c>
      <c r="P36" s="26" t="e">
        <f>_xlfn.XLOOKUP(liste_colisage[[#This Row],[Num OF]],#REF!,#REF!,"Non Trouvé")</f>
        <v>#REF!</v>
      </c>
      <c r="Q36" s="26" t="e">
        <f>_xlfn.XLOOKUP(liste_colisage[[#This Row],[Num OF]],#REF!,#REF!,"Non Trouvé")</f>
        <v>#REF!</v>
      </c>
      <c r="R36" s="91" t="str">
        <f>IF(
   COUNTIFS($A$2:A36,A36,
             $E$2:E36,E36,
             $F$2:F36,F36,
             $G$2:G36,G36,
             $D$2:D36,D36,
             $K$2:K36,K36
             )&gt;1,
   "Doublon",
   "Correcte"
)</f>
        <v>Correcte</v>
      </c>
    </row>
    <row r="37" spans="1:18" ht="15" customHeight="1" x14ac:dyDescent="0.25">
      <c r="A37" s="11" t="s">
        <v>1105</v>
      </c>
      <c r="B37" s="96" t="s">
        <v>2574</v>
      </c>
      <c r="C37" s="96" t="s">
        <v>2616</v>
      </c>
      <c r="D37" s="12">
        <v>5</v>
      </c>
      <c r="E37" s="11" t="s">
        <v>17</v>
      </c>
      <c r="F37" s="11" t="s">
        <v>16</v>
      </c>
      <c r="G37" s="11" t="s">
        <v>30</v>
      </c>
      <c r="H37" s="11"/>
      <c r="I37" s="11"/>
      <c r="J37" s="11" t="s">
        <v>664</v>
      </c>
      <c r="K37" s="13">
        <v>45927</v>
      </c>
      <c r="L37" s="26" t="str">
        <f>_xlfn.TEXTBEFORE(liste_colisage[[#This Row],[Num Suivis]],"-",,,1)</f>
        <v>CA250002</v>
      </c>
      <c r="M37" s="26" t="str">
        <f>_xlfn.XLOOKUP(liste_colisage[[#This Row],[Num de Colis]],liste_palette[Num De colis],liste_palette[Num de Palette],"Magasin")</f>
        <v>PAL915</v>
      </c>
      <c r="N37" s="26" t="str">
        <f>_xlfn.XLOOKUP(liste_colisage[[#This Row],[Num de Colis]],liste_palette[Num De colis],liste_palette[Facture Export],"Magasin")</f>
        <v>PA-F25023</v>
      </c>
      <c r="O37" s="26" t="e">
        <f>_xlfn.XLOOKUP(liste_colisage[[#This Row],[Num OF]],#REF!,#REF!,"Non Trouvé")</f>
        <v>#REF!</v>
      </c>
      <c r="P37" s="26" t="e">
        <f>_xlfn.XLOOKUP(liste_colisage[[#This Row],[Num OF]],#REF!,#REF!,"Non Trouvé")</f>
        <v>#REF!</v>
      </c>
      <c r="Q37" s="26" t="e">
        <f>_xlfn.XLOOKUP(liste_colisage[[#This Row],[Num OF]],#REF!,#REF!,"Non Trouvé")</f>
        <v>#REF!</v>
      </c>
      <c r="R37" s="91" t="str">
        <f>IF(
   COUNTIFS($A$2:A37,A37,
             $E$2:E37,E37,
             $F$2:F37,F37,
             $G$2:G37,G37,
             $D$2:D37,D37,
             $K$2:K37,K37
             )&gt;1,
   "Doublon",
   "Correcte"
)</f>
        <v>Correcte</v>
      </c>
    </row>
    <row r="38" spans="1:18" ht="15" customHeight="1" x14ac:dyDescent="0.25">
      <c r="A38" s="11" t="s">
        <v>1105</v>
      </c>
      <c r="B38" s="96" t="s">
        <v>2574</v>
      </c>
      <c r="C38" s="96" t="s">
        <v>2617</v>
      </c>
      <c r="D38" s="12">
        <v>5</v>
      </c>
      <c r="E38" s="11" t="s">
        <v>17</v>
      </c>
      <c r="F38" s="11" t="s">
        <v>16</v>
      </c>
      <c r="G38" s="11" t="s">
        <v>31</v>
      </c>
      <c r="H38" s="11"/>
      <c r="I38" s="11"/>
      <c r="J38" s="11" t="s">
        <v>664</v>
      </c>
      <c r="K38" s="13">
        <v>45927</v>
      </c>
      <c r="L38" s="26" t="str">
        <f>_xlfn.TEXTBEFORE(liste_colisage[[#This Row],[Num Suivis]],"-",,,1)</f>
        <v>CA250004</v>
      </c>
      <c r="M38" s="26" t="str">
        <f>_xlfn.XLOOKUP(liste_colisage[[#This Row],[Num de Colis]],liste_palette[Num De colis],liste_palette[Num de Palette],"Magasin")</f>
        <v>PAL915</v>
      </c>
      <c r="N38" s="26" t="str">
        <f>_xlfn.XLOOKUP(liste_colisage[[#This Row],[Num de Colis]],liste_palette[Num De colis],liste_palette[Facture Export],"Magasin")</f>
        <v>PA-F25023</v>
      </c>
      <c r="O38" s="26" t="e">
        <f>_xlfn.XLOOKUP(liste_colisage[[#This Row],[Num OF]],#REF!,#REF!,"Non Trouvé")</f>
        <v>#REF!</v>
      </c>
      <c r="P38" s="26" t="e">
        <f>_xlfn.XLOOKUP(liste_colisage[[#This Row],[Num OF]],#REF!,#REF!,"Non Trouvé")</f>
        <v>#REF!</v>
      </c>
      <c r="Q38" s="26" t="e">
        <f>_xlfn.XLOOKUP(liste_colisage[[#This Row],[Num OF]],#REF!,#REF!,"Non Trouvé")</f>
        <v>#REF!</v>
      </c>
      <c r="R38" s="91" t="str">
        <f>IF(
   COUNTIFS($A$2:A38,A38,
             $E$2:E38,E38,
             $F$2:F38,F38,
             $G$2:G38,G38,
             $D$2:D38,D38,
             $K$2:K38,K38
             )&gt;1,
   "Doublon",
   "Correcte"
)</f>
        <v>Correcte</v>
      </c>
    </row>
    <row r="39" spans="1:18" ht="15" customHeight="1" x14ac:dyDescent="0.25">
      <c r="A39" s="11" t="s">
        <v>1105</v>
      </c>
      <c r="B39" s="96" t="s">
        <v>2574</v>
      </c>
      <c r="C39" s="96" t="s">
        <v>2618</v>
      </c>
      <c r="D39" s="12">
        <v>5</v>
      </c>
      <c r="E39" s="11" t="s">
        <v>17</v>
      </c>
      <c r="F39" s="11" t="s">
        <v>16</v>
      </c>
      <c r="G39" s="11" t="s">
        <v>32</v>
      </c>
      <c r="H39" s="11"/>
      <c r="I39" s="11"/>
      <c r="J39" s="11" t="s">
        <v>664</v>
      </c>
      <c r="K39" s="13">
        <v>45927</v>
      </c>
      <c r="L39" s="26" t="str">
        <f>_xlfn.TEXTBEFORE(liste_colisage[[#This Row],[Num Suivis]],"-",,,1)</f>
        <v>CA250006</v>
      </c>
      <c r="M39" s="26" t="str">
        <f>_xlfn.XLOOKUP(liste_colisage[[#This Row],[Num de Colis]],liste_palette[Num De colis],liste_palette[Num de Palette],"Magasin")</f>
        <v>PAL915</v>
      </c>
      <c r="N39" s="26" t="str">
        <f>_xlfn.XLOOKUP(liste_colisage[[#This Row],[Num de Colis]],liste_palette[Num De colis],liste_palette[Facture Export],"Magasin")</f>
        <v>PA-F25023</v>
      </c>
      <c r="O39" s="26" t="e">
        <f>_xlfn.XLOOKUP(liste_colisage[[#This Row],[Num OF]],#REF!,#REF!,"Non Trouvé")</f>
        <v>#REF!</v>
      </c>
      <c r="P39" s="26" t="e">
        <f>_xlfn.XLOOKUP(liste_colisage[[#This Row],[Num OF]],#REF!,#REF!,"Non Trouvé")</f>
        <v>#REF!</v>
      </c>
      <c r="Q39" s="26" t="e">
        <f>_xlfn.XLOOKUP(liste_colisage[[#This Row],[Num OF]],#REF!,#REF!,"Non Trouvé")</f>
        <v>#REF!</v>
      </c>
      <c r="R39" s="91" t="str">
        <f>IF(
   COUNTIFS($A$2:A39,A39,
             $E$2:E39,E39,
             $F$2:F39,F39,
             $G$2:G39,G39,
             $D$2:D39,D39,
             $K$2:K39,K39
             )&gt;1,
   "Doublon",
   "Correcte"
)</f>
        <v>Correcte</v>
      </c>
    </row>
    <row r="40" spans="1:18" ht="15" customHeight="1" x14ac:dyDescent="0.25">
      <c r="A40" s="11" t="s">
        <v>1105</v>
      </c>
      <c r="B40" s="96" t="s">
        <v>2574</v>
      </c>
      <c r="C40" s="96" t="s">
        <v>2619</v>
      </c>
      <c r="D40" s="12">
        <v>5</v>
      </c>
      <c r="E40" s="11" t="s">
        <v>17</v>
      </c>
      <c r="F40" s="11" t="s">
        <v>16</v>
      </c>
      <c r="G40" s="11" t="s">
        <v>34</v>
      </c>
      <c r="H40" s="11"/>
      <c r="I40" s="11"/>
      <c r="J40" s="11" t="s">
        <v>664</v>
      </c>
      <c r="K40" s="13">
        <v>45927</v>
      </c>
      <c r="L40" s="26" t="str">
        <f>_xlfn.TEXTBEFORE(liste_colisage[[#This Row],[Num Suivis]],"-",,,1)</f>
        <v>CA250009</v>
      </c>
      <c r="M40" s="26" t="str">
        <f>_xlfn.XLOOKUP(liste_colisage[[#This Row],[Num de Colis]],liste_palette[Num De colis],liste_palette[Num de Palette],"Magasin")</f>
        <v>PAL915</v>
      </c>
      <c r="N40" s="26" t="str">
        <f>_xlfn.XLOOKUP(liste_colisage[[#This Row],[Num de Colis]],liste_palette[Num De colis],liste_palette[Facture Export],"Magasin")</f>
        <v>PA-F25023</v>
      </c>
      <c r="O40" s="26" t="e">
        <f>_xlfn.XLOOKUP(liste_colisage[[#This Row],[Num OF]],#REF!,#REF!,"Non Trouvé")</f>
        <v>#REF!</v>
      </c>
      <c r="P40" s="26" t="e">
        <f>_xlfn.XLOOKUP(liste_colisage[[#This Row],[Num OF]],#REF!,#REF!,"Non Trouvé")</f>
        <v>#REF!</v>
      </c>
      <c r="Q40" s="26" t="e">
        <f>_xlfn.XLOOKUP(liste_colisage[[#This Row],[Num OF]],#REF!,#REF!,"Non Trouvé")</f>
        <v>#REF!</v>
      </c>
      <c r="R40" s="91" t="str">
        <f>IF(
   COUNTIFS($A$2:A40,A40,
             $E$2:E40,E40,
             $F$2:F40,F40,
             $G$2:G40,G40,
             $D$2:D40,D40,
             $K$2:K40,K40
             )&gt;1,
   "Doublon",
   "Correcte"
)</f>
        <v>Correcte</v>
      </c>
    </row>
    <row r="41" spans="1:18" ht="15" customHeight="1" x14ac:dyDescent="0.25">
      <c r="A41" s="11" t="s">
        <v>1105</v>
      </c>
      <c r="B41" s="96" t="s">
        <v>2574</v>
      </c>
      <c r="C41" s="96" t="s">
        <v>2620</v>
      </c>
      <c r="D41" s="12">
        <v>5</v>
      </c>
      <c r="E41" s="11" t="s">
        <v>17</v>
      </c>
      <c r="F41" s="11" t="s">
        <v>16</v>
      </c>
      <c r="G41" s="11" t="s">
        <v>35</v>
      </c>
      <c r="H41" s="11"/>
      <c r="I41" s="11"/>
      <c r="J41" s="11" t="s">
        <v>664</v>
      </c>
      <c r="K41" s="13">
        <v>45927</v>
      </c>
      <c r="L41" s="26" t="str">
        <f>_xlfn.TEXTBEFORE(liste_colisage[[#This Row],[Num Suivis]],"-",,,1)</f>
        <v>CA250011</v>
      </c>
      <c r="M41" s="26" t="str">
        <f>_xlfn.XLOOKUP(liste_colisage[[#This Row],[Num de Colis]],liste_palette[Num De colis],liste_palette[Num de Palette],"Magasin")</f>
        <v>PAL915</v>
      </c>
      <c r="N41" s="26" t="str">
        <f>_xlfn.XLOOKUP(liste_colisage[[#This Row],[Num de Colis]],liste_palette[Num De colis],liste_palette[Facture Export],"Magasin")</f>
        <v>PA-F25023</v>
      </c>
      <c r="O41" s="26" t="e">
        <f>_xlfn.XLOOKUP(liste_colisage[[#This Row],[Num OF]],#REF!,#REF!,"Non Trouvé")</f>
        <v>#REF!</v>
      </c>
      <c r="P41" s="26" t="e">
        <f>_xlfn.XLOOKUP(liste_colisage[[#This Row],[Num OF]],#REF!,#REF!,"Non Trouvé")</f>
        <v>#REF!</v>
      </c>
      <c r="Q41" s="26" t="e">
        <f>_xlfn.XLOOKUP(liste_colisage[[#This Row],[Num OF]],#REF!,#REF!,"Non Trouvé")</f>
        <v>#REF!</v>
      </c>
      <c r="R41" s="91" t="str">
        <f>IF(
   COUNTIFS($A$2:A41,A41,
             $E$2:E41,E41,
             $F$2:F41,F41,
             $G$2:G41,G41,
             $D$2:D41,D41,
             $K$2:K41,K41
             )&gt;1,
   "Doublon",
   "Correcte"
)</f>
        <v>Correcte</v>
      </c>
    </row>
    <row r="42" spans="1:18" ht="15" customHeight="1" x14ac:dyDescent="0.25">
      <c r="A42" s="11" t="s">
        <v>1106</v>
      </c>
      <c r="B42" s="96" t="s">
        <v>2574</v>
      </c>
      <c r="C42" s="96" t="s">
        <v>2621</v>
      </c>
      <c r="D42" s="12">
        <v>3</v>
      </c>
      <c r="E42" s="11" t="s">
        <v>17</v>
      </c>
      <c r="F42" s="11" t="s">
        <v>16</v>
      </c>
      <c r="G42" s="11" t="s">
        <v>222</v>
      </c>
      <c r="H42" s="11"/>
      <c r="I42" s="11"/>
      <c r="J42" s="11" t="s">
        <v>664</v>
      </c>
      <c r="K42" s="13">
        <v>45927</v>
      </c>
      <c r="L42" s="26" t="str">
        <f>_xlfn.TEXTBEFORE(liste_colisage[[#This Row],[Num Suivis]],"-",,,1)</f>
        <v>OF245601</v>
      </c>
      <c r="M42" s="26" t="str">
        <f>_xlfn.XLOOKUP(liste_colisage[[#This Row],[Num de Colis]],liste_palette[Num De colis],liste_palette[Num de Palette],"Magasin")</f>
        <v>PAL916</v>
      </c>
      <c r="N42" s="26" t="str">
        <f>_xlfn.XLOOKUP(liste_colisage[[#This Row],[Num de Colis]],liste_palette[Num De colis],liste_palette[Facture Export],"Magasin")</f>
        <v>PA-F25023</v>
      </c>
      <c r="O42" s="26" t="e">
        <f>_xlfn.XLOOKUP(liste_colisage[[#This Row],[Num OF]],#REF!,#REF!,"Non Trouvé")</f>
        <v>#REF!</v>
      </c>
      <c r="P42" s="26" t="e">
        <f>_xlfn.XLOOKUP(liste_colisage[[#This Row],[Num OF]],#REF!,#REF!,"Non Trouvé")</f>
        <v>#REF!</v>
      </c>
      <c r="Q42" s="26" t="e">
        <f>_xlfn.XLOOKUP(liste_colisage[[#This Row],[Num OF]],#REF!,#REF!,"Non Trouvé")</f>
        <v>#REF!</v>
      </c>
      <c r="R42" s="91" t="str">
        <f>IF(
   COUNTIFS($A$2:A42,A42,
             $E$2:E42,E42,
             $F$2:F42,F42,
             $G$2:G42,G42,
             $D$2:D42,D42,
             $K$2:K42,K42
             )&gt;1,
   "Doublon",
   "Correcte"
)</f>
        <v>Correcte</v>
      </c>
    </row>
    <row r="43" spans="1:18" ht="15" customHeight="1" x14ac:dyDescent="0.25">
      <c r="A43" s="11" t="s">
        <v>1106</v>
      </c>
      <c r="B43" s="96" t="s">
        <v>2574</v>
      </c>
      <c r="C43" s="96" t="s">
        <v>2622</v>
      </c>
      <c r="D43" s="12">
        <v>2</v>
      </c>
      <c r="E43" s="11" t="s">
        <v>17</v>
      </c>
      <c r="F43" s="11" t="s">
        <v>16</v>
      </c>
      <c r="G43" s="11" t="s">
        <v>220</v>
      </c>
      <c r="H43" s="11"/>
      <c r="I43" s="11"/>
      <c r="J43" s="11" t="s">
        <v>664</v>
      </c>
      <c r="K43" s="13">
        <v>45927</v>
      </c>
      <c r="L43" s="26" t="str">
        <f>_xlfn.TEXTBEFORE(liste_colisage[[#This Row],[Num Suivis]],"-",,,1)</f>
        <v>OF245599</v>
      </c>
      <c r="M43" s="26" t="str">
        <f>_xlfn.XLOOKUP(liste_colisage[[#This Row],[Num de Colis]],liste_palette[Num De colis],liste_palette[Num de Palette],"Magasin")</f>
        <v>PAL916</v>
      </c>
      <c r="N43" s="26" t="str">
        <f>_xlfn.XLOOKUP(liste_colisage[[#This Row],[Num de Colis]],liste_palette[Num De colis],liste_palette[Facture Export],"Magasin")</f>
        <v>PA-F25023</v>
      </c>
      <c r="O43" s="26" t="e">
        <f>_xlfn.XLOOKUP(liste_colisage[[#This Row],[Num OF]],#REF!,#REF!,"Non Trouvé")</f>
        <v>#REF!</v>
      </c>
      <c r="P43" s="26" t="e">
        <f>_xlfn.XLOOKUP(liste_colisage[[#This Row],[Num OF]],#REF!,#REF!,"Non Trouvé")</f>
        <v>#REF!</v>
      </c>
      <c r="Q43" s="26" t="e">
        <f>_xlfn.XLOOKUP(liste_colisage[[#This Row],[Num OF]],#REF!,#REF!,"Non Trouvé")</f>
        <v>#REF!</v>
      </c>
      <c r="R43" s="91" t="str">
        <f>IF(
   COUNTIFS($A$2:A43,A43,
             $E$2:E43,E43,
             $F$2:F43,F43,
             $G$2:G43,G43,
             $D$2:D43,D43,
             $K$2:K43,K43
             )&gt;1,
   "Doublon",
   "Correcte"
)</f>
        <v>Correcte</v>
      </c>
    </row>
    <row r="44" spans="1:18" ht="15" customHeight="1" x14ac:dyDescent="0.25">
      <c r="A44" s="11" t="s">
        <v>1106</v>
      </c>
      <c r="B44" s="96" t="s">
        <v>2574</v>
      </c>
      <c r="C44" s="96" t="s">
        <v>2623</v>
      </c>
      <c r="D44" s="12">
        <v>2</v>
      </c>
      <c r="E44" s="11" t="s">
        <v>17</v>
      </c>
      <c r="F44" s="11" t="s">
        <v>16</v>
      </c>
      <c r="G44" s="11" t="s">
        <v>217</v>
      </c>
      <c r="H44" s="11"/>
      <c r="I44" s="11"/>
      <c r="J44" s="11" t="s">
        <v>664</v>
      </c>
      <c r="K44" s="13">
        <v>45927</v>
      </c>
      <c r="L44" s="26" t="str">
        <f>_xlfn.TEXTBEFORE(liste_colisage[[#This Row],[Num Suivis]],"-",,,1)</f>
        <v>OF245233</v>
      </c>
      <c r="M44" s="26" t="str">
        <f>_xlfn.XLOOKUP(liste_colisage[[#This Row],[Num de Colis]],liste_palette[Num De colis],liste_palette[Num de Palette],"Magasin")</f>
        <v>PAL916</v>
      </c>
      <c r="N44" s="26" t="str">
        <f>_xlfn.XLOOKUP(liste_colisage[[#This Row],[Num de Colis]],liste_palette[Num De colis],liste_palette[Facture Export],"Magasin")</f>
        <v>PA-F25023</v>
      </c>
      <c r="O44" s="26" t="e">
        <f>_xlfn.XLOOKUP(liste_colisage[[#This Row],[Num OF]],#REF!,#REF!,"Non Trouvé")</f>
        <v>#REF!</v>
      </c>
      <c r="P44" s="26" t="e">
        <f>_xlfn.XLOOKUP(liste_colisage[[#This Row],[Num OF]],#REF!,#REF!,"Non Trouvé")</f>
        <v>#REF!</v>
      </c>
      <c r="Q44" s="26" t="e">
        <f>_xlfn.XLOOKUP(liste_colisage[[#This Row],[Num OF]],#REF!,#REF!,"Non Trouvé")</f>
        <v>#REF!</v>
      </c>
      <c r="R44" s="91" t="str">
        <f>IF(
   COUNTIFS($A$2:A44,A44,
             $E$2:E44,E44,
             $F$2:F44,F44,
             $G$2:G44,G44,
             $D$2:D44,D44,
             $K$2:K44,K44
             )&gt;1,
   "Doublon",
   "Correcte"
)</f>
        <v>Correcte</v>
      </c>
    </row>
    <row r="45" spans="1:18" ht="15" customHeight="1" x14ac:dyDescent="0.25">
      <c r="A45" s="11" t="s">
        <v>1107</v>
      </c>
      <c r="B45" s="96" t="s">
        <v>2574</v>
      </c>
      <c r="C45" s="96" t="s">
        <v>2624</v>
      </c>
      <c r="D45" s="12">
        <v>3</v>
      </c>
      <c r="E45" s="11" t="s">
        <v>17</v>
      </c>
      <c r="F45" s="11" t="s">
        <v>16</v>
      </c>
      <c r="G45" s="11" t="s">
        <v>18</v>
      </c>
      <c r="H45" s="11"/>
      <c r="I45" s="11"/>
      <c r="J45" s="11" t="s">
        <v>664</v>
      </c>
      <c r="K45" s="13">
        <v>45927</v>
      </c>
      <c r="L45" s="26" t="str">
        <f>_xlfn.TEXTBEFORE(liste_colisage[[#This Row],[Num Suivis]],"-",,,1)</f>
        <v>OF250131</v>
      </c>
      <c r="M45" s="26" t="str">
        <f>_xlfn.XLOOKUP(liste_colisage[[#This Row],[Num de Colis]],liste_palette[Num De colis],liste_palette[Num de Palette],"Magasin")</f>
        <v>PAL916</v>
      </c>
      <c r="N45" s="26" t="str">
        <f>_xlfn.XLOOKUP(liste_colisage[[#This Row],[Num de Colis]],liste_palette[Num De colis],liste_palette[Facture Export],"Magasin")</f>
        <v>PA-F25023</v>
      </c>
      <c r="O45" s="26" t="e">
        <f>_xlfn.XLOOKUP(liste_colisage[[#This Row],[Num OF]],#REF!,#REF!,"Non Trouvé")</f>
        <v>#REF!</v>
      </c>
      <c r="P45" s="26" t="e">
        <f>_xlfn.XLOOKUP(liste_colisage[[#This Row],[Num OF]],#REF!,#REF!,"Non Trouvé")</f>
        <v>#REF!</v>
      </c>
      <c r="Q45" s="26" t="e">
        <f>_xlfn.XLOOKUP(liste_colisage[[#This Row],[Num OF]],#REF!,#REF!,"Non Trouvé")</f>
        <v>#REF!</v>
      </c>
      <c r="R45" s="91" t="str">
        <f>IF(
   COUNTIFS($A$2:A45,A45,
             $E$2:E45,E45,
             $F$2:F45,F45,
             $G$2:G45,G45,
             $D$2:D45,D45,
             $K$2:K45,K45
             )&gt;1,
   "Doublon",
   "Correcte"
)</f>
        <v>Correcte</v>
      </c>
    </row>
    <row r="46" spans="1:18" ht="15" customHeight="1" x14ac:dyDescent="0.25">
      <c r="A46" s="11" t="s">
        <v>1107</v>
      </c>
      <c r="B46" s="96" t="s">
        <v>2574</v>
      </c>
      <c r="C46" s="96" t="s">
        <v>2625</v>
      </c>
      <c r="D46" s="12">
        <v>5</v>
      </c>
      <c r="E46" s="11" t="s">
        <v>17</v>
      </c>
      <c r="F46" s="11" t="s">
        <v>16</v>
      </c>
      <c r="G46" s="11" t="s">
        <v>19</v>
      </c>
      <c r="H46" s="11"/>
      <c r="I46" s="11"/>
      <c r="J46" s="11" t="s">
        <v>664</v>
      </c>
      <c r="K46" s="13">
        <v>45927</v>
      </c>
      <c r="L46" s="26" t="str">
        <f>_xlfn.TEXTBEFORE(liste_colisage[[#This Row],[Num Suivis]],"-",,,1)</f>
        <v>OF250132</v>
      </c>
      <c r="M46" s="26" t="str">
        <f>_xlfn.XLOOKUP(liste_colisage[[#This Row],[Num de Colis]],liste_palette[Num De colis],liste_palette[Num de Palette],"Magasin")</f>
        <v>PAL916</v>
      </c>
      <c r="N46" s="26" t="str">
        <f>_xlfn.XLOOKUP(liste_colisage[[#This Row],[Num de Colis]],liste_palette[Num De colis],liste_palette[Facture Export],"Magasin")</f>
        <v>PA-F25023</v>
      </c>
      <c r="O46" s="26" t="e">
        <f>_xlfn.XLOOKUP(liste_colisage[[#This Row],[Num OF]],#REF!,#REF!,"Non Trouvé")</f>
        <v>#REF!</v>
      </c>
      <c r="P46" s="26" t="e">
        <f>_xlfn.XLOOKUP(liste_colisage[[#This Row],[Num OF]],#REF!,#REF!,"Non Trouvé")</f>
        <v>#REF!</v>
      </c>
      <c r="Q46" s="26" t="e">
        <f>_xlfn.XLOOKUP(liste_colisage[[#This Row],[Num OF]],#REF!,#REF!,"Non Trouvé")</f>
        <v>#REF!</v>
      </c>
      <c r="R46" s="91" t="str">
        <f>IF(
   COUNTIFS($A$2:A46,A46,
             $E$2:E46,E46,
             $F$2:F46,F46,
             $G$2:G46,G46,
             $D$2:D46,D46,
             $K$2:K46,K46
             )&gt;1,
   "Doublon",
   "Correcte"
)</f>
        <v>Correcte</v>
      </c>
    </row>
    <row r="47" spans="1:18" ht="15" customHeight="1" x14ac:dyDescent="0.25">
      <c r="A47" s="11" t="s">
        <v>1108</v>
      </c>
      <c r="B47" s="96" t="s">
        <v>2574</v>
      </c>
      <c r="C47" s="96" t="s">
        <v>2626</v>
      </c>
      <c r="D47" s="12">
        <v>5</v>
      </c>
      <c r="E47" s="11" t="s">
        <v>17</v>
      </c>
      <c r="F47" s="11" t="s">
        <v>16</v>
      </c>
      <c r="G47" s="11" t="s">
        <v>20</v>
      </c>
      <c r="H47" s="11"/>
      <c r="I47" s="11"/>
      <c r="J47" s="11" t="s">
        <v>664</v>
      </c>
      <c r="K47" s="13">
        <v>45927</v>
      </c>
      <c r="L47" s="26" t="str">
        <f>_xlfn.TEXTBEFORE(liste_colisage[[#This Row],[Num Suivis]],"-",,,1)</f>
        <v>OF250134</v>
      </c>
      <c r="M47" s="26" t="str">
        <f>_xlfn.XLOOKUP(liste_colisage[[#This Row],[Num de Colis]],liste_palette[Num De colis],liste_palette[Num de Palette],"Magasin")</f>
        <v>PAL916</v>
      </c>
      <c r="N47" s="26" t="str">
        <f>_xlfn.XLOOKUP(liste_colisage[[#This Row],[Num de Colis]],liste_palette[Num De colis],liste_palette[Facture Export],"Magasin")</f>
        <v>PA-F25023</v>
      </c>
      <c r="O47" s="26" t="e">
        <f>_xlfn.XLOOKUP(liste_colisage[[#This Row],[Num OF]],#REF!,#REF!,"Non Trouvé")</f>
        <v>#REF!</v>
      </c>
      <c r="P47" s="26" t="e">
        <f>_xlfn.XLOOKUP(liste_colisage[[#This Row],[Num OF]],#REF!,#REF!,"Non Trouvé")</f>
        <v>#REF!</v>
      </c>
      <c r="Q47" s="26" t="e">
        <f>_xlfn.XLOOKUP(liste_colisage[[#This Row],[Num OF]],#REF!,#REF!,"Non Trouvé")</f>
        <v>#REF!</v>
      </c>
      <c r="R47" s="91" t="str">
        <f>IF(
   COUNTIFS($A$2:A47,A47,
             $E$2:E47,E47,
             $F$2:F47,F47,
             $G$2:G47,G47,
             $D$2:D47,D47,
             $K$2:K47,K47
             )&gt;1,
   "Doublon",
   "Correcte"
)</f>
        <v>Correcte</v>
      </c>
    </row>
    <row r="48" spans="1:18" ht="15" customHeight="1" x14ac:dyDescent="0.25">
      <c r="A48" s="11" t="s">
        <v>1108</v>
      </c>
      <c r="B48" s="96" t="s">
        <v>2574</v>
      </c>
      <c r="C48" s="96" t="s">
        <v>2627</v>
      </c>
      <c r="D48" s="12">
        <v>5</v>
      </c>
      <c r="E48" s="11" t="s">
        <v>17</v>
      </c>
      <c r="F48" s="11" t="s">
        <v>16</v>
      </c>
      <c r="G48" s="11" t="s">
        <v>441</v>
      </c>
      <c r="H48" s="11"/>
      <c r="I48" s="11"/>
      <c r="J48" s="11" t="s">
        <v>664</v>
      </c>
      <c r="K48" s="13">
        <v>45927</v>
      </c>
      <c r="L48" s="26" t="str">
        <f>_xlfn.TEXTBEFORE(liste_colisage[[#This Row],[Num Suivis]],"-",,,1)</f>
        <v>OF244347</v>
      </c>
      <c r="M48" s="26" t="str">
        <f>_xlfn.XLOOKUP(liste_colisage[[#This Row],[Num de Colis]],liste_palette[Num De colis],liste_palette[Num de Palette],"Magasin")</f>
        <v>PAL916</v>
      </c>
      <c r="N48" s="26" t="str">
        <f>_xlfn.XLOOKUP(liste_colisage[[#This Row],[Num de Colis]],liste_palette[Num De colis],liste_palette[Facture Export],"Magasin")</f>
        <v>PA-F25023</v>
      </c>
      <c r="O48" s="26" t="e">
        <f>_xlfn.XLOOKUP(liste_colisage[[#This Row],[Num OF]],#REF!,#REF!,"Non Trouvé")</f>
        <v>#REF!</v>
      </c>
      <c r="P48" s="26" t="e">
        <f>_xlfn.XLOOKUP(liste_colisage[[#This Row],[Num OF]],#REF!,#REF!,"Non Trouvé")</f>
        <v>#REF!</v>
      </c>
      <c r="Q48" s="26" t="e">
        <f>_xlfn.XLOOKUP(liste_colisage[[#This Row],[Num OF]],#REF!,#REF!,"Non Trouvé")</f>
        <v>#REF!</v>
      </c>
      <c r="R48" s="91" t="str">
        <f>IF(
   COUNTIFS($A$2:A48,A48,
             $E$2:E48,E48,
             $F$2:F48,F48,
             $G$2:G48,G48,
             $D$2:D48,D48,
             $K$2:K48,K48
             )&gt;1,
   "Doublon",
   "Correcte"
)</f>
        <v>Correcte</v>
      </c>
    </row>
    <row r="49" spans="1:18" ht="15" customHeight="1" x14ac:dyDescent="0.25">
      <c r="A49" s="11" t="s">
        <v>1109</v>
      </c>
      <c r="B49" s="96" t="s">
        <v>2574</v>
      </c>
      <c r="C49" s="96" t="s">
        <v>2628</v>
      </c>
      <c r="D49" s="12">
        <v>4</v>
      </c>
      <c r="E49" s="11" t="s">
        <v>17</v>
      </c>
      <c r="F49" s="11" t="s">
        <v>16</v>
      </c>
      <c r="G49" s="11" t="s">
        <v>15</v>
      </c>
      <c r="H49" s="11"/>
      <c r="I49" s="11"/>
      <c r="J49" s="11" t="s">
        <v>664</v>
      </c>
      <c r="K49" s="13">
        <v>45927</v>
      </c>
      <c r="L49" s="26" t="str">
        <f>_xlfn.TEXTBEFORE(liste_colisage[[#This Row],[Num Suivis]],"-",,,1)</f>
        <v>OF250130</v>
      </c>
      <c r="M49" s="26" t="str">
        <f>_xlfn.XLOOKUP(liste_colisage[[#This Row],[Num de Colis]],liste_palette[Num De colis],liste_palette[Num de Palette],"Magasin")</f>
        <v>PAL916</v>
      </c>
      <c r="N49" s="26" t="str">
        <f>_xlfn.XLOOKUP(liste_colisage[[#This Row],[Num de Colis]],liste_palette[Num De colis],liste_palette[Facture Export],"Magasin")</f>
        <v>PA-F25023</v>
      </c>
      <c r="O49" s="26" t="e">
        <f>_xlfn.XLOOKUP(liste_colisage[[#This Row],[Num OF]],#REF!,#REF!,"Non Trouvé")</f>
        <v>#REF!</v>
      </c>
      <c r="P49" s="26" t="e">
        <f>_xlfn.XLOOKUP(liste_colisage[[#This Row],[Num OF]],#REF!,#REF!,"Non Trouvé")</f>
        <v>#REF!</v>
      </c>
      <c r="Q49" s="26" t="e">
        <f>_xlfn.XLOOKUP(liste_colisage[[#This Row],[Num OF]],#REF!,#REF!,"Non Trouvé")</f>
        <v>#REF!</v>
      </c>
      <c r="R49" s="91" t="str">
        <f>IF(
   COUNTIFS($A$2:A49,A49,
             $E$2:E49,E49,
             $F$2:F49,F49,
             $G$2:G49,G49,
             $D$2:D49,D49,
             $K$2:K49,K49
             )&gt;1,
   "Doublon",
   "Correcte"
)</f>
        <v>Correcte</v>
      </c>
    </row>
    <row r="50" spans="1:18" ht="15" customHeight="1" x14ac:dyDescent="0.25">
      <c r="A50" s="11" t="s">
        <v>1109</v>
      </c>
      <c r="B50" s="96" t="s">
        <v>2574</v>
      </c>
      <c r="C50" s="96" t="s">
        <v>2627</v>
      </c>
      <c r="D50" s="12">
        <v>1</v>
      </c>
      <c r="E50" s="11" t="s">
        <v>17</v>
      </c>
      <c r="F50" s="11" t="s">
        <v>16</v>
      </c>
      <c r="G50" s="11" t="s">
        <v>441</v>
      </c>
      <c r="H50" s="11"/>
      <c r="I50" s="11"/>
      <c r="J50" s="11" t="s">
        <v>664</v>
      </c>
      <c r="K50" s="13">
        <v>45927</v>
      </c>
      <c r="L50" s="26" t="str">
        <f>_xlfn.TEXTBEFORE(liste_colisage[[#This Row],[Num Suivis]],"-",,,1)</f>
        <v>OF244347</v>
      </c>
      <c r="M50" s="26" t="str">
        <f>_xlfn.XLOOKUP(liste_colisage[[#This Row],[Num de Colis]],liste_palette[Num De colis],liste_palette[Num de Palette],"Magasin")</f>
        <v>PAL916</v>
      </c>
      <c r="N50" s="26" t="str">
        <f>_xlfn.XLOOKUP(liste_colisage[[#This Row],[Num de Colis]],liste_palette[Num De colis],liste_palette[Facture Export],"Magasin")</f>
        <v>PA-F25023</v>
      </c>
      <c r="O50" s="26" t="e">
        <f>_xlfn.XLOOKUP(liste_colisage[[#This Row],[Num OF]],#REF!,#REF!,"Non Trouvé")</f>
        <v>#REF!</v>
      </c>
      <c r="P50" s="26" t="e">
        <f>_xlfn.XLOOKUP(liste_colisage[[#This Row],[Num OF]],#REF!,#REF!,"Non Trouvé")</f>
        <v>#REF!</v>
      </c>
      <c r="Q50" s="26" t="e">
        <f>_xlfn.XLOOKUP(liste_colisage[[#This Row],[Num OF]],#REF!,#REF!,"Non Trouvé")</f>
        <v>#REF!</v>
      </c>
      <c r="R50" s="91" t="str">
        <f>IF(
   COUNTIFS($A$2:A50,A50,
             $E$2:E50,E50,
             $F$2:F50,F50,
             $G$2:G50,G50,
             $D$2:D50,D50,
             $K$2:K50,K50
             )&gt;1,
   "Doublon",
   "Correcte"
)</f>
        <v>Correcte</v>
      </c>
    </row>
    <row r="51" spans="1:18" ht="15" customHeight="1" x14ac:dyDescent="0.25">
      <c r="A51" s="11" t="s">
        <v>1109</v>
      </c>
      <c r="B51" s="96" t="s">
        <v>2574</v>
      </c>
      <c r="C51" s="96" t="s">
        <v>2624</v>
      </c>
      <c r="D51" s="12">
        <v>4</v>
      </c>
      <c r="E51" s="11" t="s">
        <v>17</v>
      </c>
      <c r="F51" s="11" t="s">
        <v>16</v>
      </c>
      <c r="G51" s="11" t="s">
        <v>18</v>
      </c>
      <c r="H51" s="11"/>
      <c r="I51" s="11"/>
      <c r="J51" s="11" t="s">
        <v>664</v>
      </c>
      <c r="K51" s="13">
        <v>45927</v>
      </c>
      <c r="L51" s="26" t="str">
        <f>_xlfn.TEXTBEFORE(liste_colisage[[#This Row],[Num Suivis]],"-",,,1)</f>
        <v>OF250131</v>
      </c>
      <c r="M51" s="26" t="str">
        <f>_xlfn.XLOOKUP(liste_colisage[[#This Row],[Num de Colis]],liste_palette[Num De colis],liste_palette[Num de Palette],"Magasin")</f>
        <v>PAL916</v>
      </c>
      <c r="N51" s="26" t="str">
        <f>_xlfn.XLOOKUP(liste_colisage[[#This Row],[Num de Colis]],liste_palette[Num De colis],liste_palette[Facture Export],"Magasin")</f>
        <v>PA-F25023</v>
      </c>
      <c r="O51" s="26" t="e">
        <f>_xlfn.XLOOKUP(liste_colisage[[#This Row],[Num OF]],#REF!,#REF!,"Non Trouvé")</f>
        <v>#REF!</v>
      </c>
      <c r="P51" s="26" t="e">
        <f>_xlfn.XLOOKUP(liste_colisage[[#This Row],[Num OF]],#REF!,#REF!,"Non Trouvé")</f>
        <v>#REF!</v>
      </c>
      <c r="Q51" s="26" t="e">
        <f>_xlfn.XLOOKUP(liste_colisage[[#This Row],[Num OF]],#REF!,#REF!,"Non Trouvé")</f>
        <v>#REF!</v>
      </c>
      <c r="R51" s="91" t="str">
        <f>IF(
   COUNTIFS($A$2:A51,A51,
             $E$2:E51,E51,
             $F$2:F51,F51,
             $G$2:G51,G51,
             $D$2:D51,D51,
             $K$2:K51,K51
             )&gt;1,
   "Doublon",
   "Correcte"
)</f>
        <v>Correcte</v>
      </c>
    </row>
    <row r="52" spans="1:18" ht="15" customHeight="1" x14ac:dyDescent="0.25">
      <c r="A52" s="11" t="s">
        <v>1110</v>
      </c>
      <c r="B52" s="96" t="s">
        <v>2575</v>
      </c>
      <c r="C52" s="96" t="s">
        <v>2629</v>
      </c>
      <c r="D52" s="12">
        <v>20</v>
      </c>
      <c r="E52" s="11" t="s">
        <v>13</v>
      </c>
      <c r="F52" s="11" t="s">
        <v>418</v>
      </c>
      <c r="G52" s="11" t="s">
        <v>419</v>
      </c>
      <c r="H52" s="11"/>
      <c r="I52" s="11"/>
      <c r="J52" s="11" t="s">
        <v>664</v>
      </c>
      <c r="K52" s="13">
        <v>45839</v>
      </c>
      <c r="L52" s="26" t="str">
        <f>_xlfn.TEXTBEFORE(liste_colisage[[#This Row],[Num Suivis]],"-",,,1)</f>
        <v>OF243983</v>
      </c>
      <c r="M52" s="26" t="str">
        <f>_xlfn.XLOOKUP(liste_colisage[[#This Row],[Num de Colis]],liste_palette[Num De colis],liste_palette[Num de Palette],"Magasin")</f>
        <v>Magasin</v>
      </c>
      <c r="N52" s="26" t="str">
        <f>_xlfn.XLOOKUP(liste_colisage[[#This Row],[Num de Colis]],liste_palette[Num De colis],liste_palette[Facture Export],"Magasin")</f>
        <v>Magasin</v>
      </c>
      <c r="O52" s="26" t="e">
        <f>_xlfn.XLOOKUP(liste_colisage[[#This Row],[Num OF]],#REF!,#REF!,"Non Trouvé")</f>
        <v>#REF!</v>
      </c>
      <c r="P52" s="26" t="e">
        <f>_xlfn.XLOOKUP(liste_colisage[[#This Row],[Num OF]],#REF!,#REF!,"Non Trouvé")</f>
        <v>#REF!</v>
      </c>
      <c r="Q52" s="26" t="e">
        <f>_xlfn.XLOOKUP(liste_colisage[[#This Row],[Num OF]],#REF!,#REF!,"Non Trouvé")</f>
        <v>#REF!</v>
      </c>
      <c r="R52" s="91" t="str">
        <f>IF(
   COUNTIFS($A$2:A52,A52,
             $E$2:E52,E52,
             $F$2:F52,F52,
             $G$2:G52,G52,
             $D$2:D52,D52,
             $K$2:K52,K52
             )&gt;1,
   "Doublon",
   "Correcte"
)</f>
        <v>Correcte</v>
      </c>
    </row>
    <row r="53" spans="1:18" ht="15" customHeight="1" x14ac:dyDescent="0.25">
      <c r="A53" s="11" t="s">
        <v>1110</v>
      </c>
      <c r="B53" s="96" t="s">
        <v>2575</v>
      </c>
      <c r="C53" s="96" t="s">
        <v>2630</v>
      </c>
      <c r="D53" s="12">
        <v>20</v>
      </c>
      <c r="E53" s="11" t="s">
        <v>13</v>
      </c>
      <c r="F53" s="11" t="s">
        <v>418</v>
      </c>
      <c r="G53" s="11" t="s">
        <v>417</v>
      </c>
      <c r="H53" s="11"/>
      <c r="I53" s="11"/>
      <c r="J53" s="11" t="s">
        <v>664</v>
      </c>
      <c r="K53" s="13">
        <v>45839</v>
      </c>
      <c r="L53" s="26" t="str">
        <f>_xlfn.TEXTBEFORE(liste_colisage[[#This Row],[Num Suivis]],"-",,,1)</f>
        <v>OF243982</v>
      </c>
      <c r="M53" s="26" t="str">
        <f>_xlfn.XLOOKUP(liste_colisage[[#This Row],[Num de Colis]],liste_palette[Num De colis],liste_palette[Num de Palette],"Magasin")</f>
        <v>Magasin</v>
      </c>
      <c r="N53" s="26" t="str">
        <f>_xlfn.XLOOKUP(liste_colisage[[#This Row],[Num de Colis]],liste_palette[Num De colis],liste_palette[Facture Export],"Magasin")</f>
        <v>Magasin</v>
      </c>
      <c r="O53" s="26" t="e">
        <f>_xlfn.XLOOKUP(liste_colisage[[#This Row],[Num OF]],#REF!,#REF!,"Non Trouvé")</f>
        <v>#REF!</v>
      </c>
      <c r="P53" s="26" t="e">
        <f>_xlfn.XLOOKUP(liste_colisage[[#This Row],[Num OF]],#REF!,#REF!,"Non Trouvé")</f>
        <v>#REF!</v>
      </c>
      <c r="Q53" s="26" t="e">
        <f>_xlfn.XLOOKUP(liste_colisage[[#This Row],[Num OF]],#REF!,#REF!,"Non Trouvé")</f>
        <v>#REF!</v>
      </c>
      <c r="R53" s="91" t="str">
        <f>IF(
   COUNTIFS($A$2:A53,A53,
             $E$2:E53,E53,
             $F$2:F53,F53,
             $G$2:G53,G53,
             $D$2:D53,D53,
             $K$2:K53,K53
             )&gt;1,
   "Doublon",
   "Correcte"
)</f>
        <v>Correcte</v>
      </c>
    </row>
    <row r="54" spans="1:18" ht="15" customHeight="1" x14ac:dyDescent="0.25">
      <c r="A54" s="11" t="s">
        <v>1110</v>
      </c>
      <c r="B54" s="96" t="s">
        <v>2575</v>
      </c>
      <c r="C54" s="96" t="s">
        <v>2631</v>
      </c>
      <c r="D54" s="12">
        <v>20</v>
      </c>
      <c r="E54" s="11" t="s">
        <v>13</v>
      </c>
      <c r="F54" s="11" t="s">
        <v>418</v>
      </c>
      <c r="G54" s="11" t="s">
        <v>433</v>
      </c>
      <c r="H54" s="11"/>
      <c r="I54" s="11"/>
      <c r="J54" s="11" t="s">
        <v>664</v>
      </c>
      <c r="K54" s="13">
        <v>45839</v>
      </c>
      <c r="L54" s="26" t="str">
        <f>_xlfn.TEXTBEFORE(liste_colisage[[#This Row],[Num Suivis]],"-",,,1)</f>
        <v>OF243997</v>
      </c>
      <c r="M54" s="26" t="str">
        <f>_xlfn.XLOOKUP(liste_colisage[[#This Row],[Num de Colis]],liste_palette[Num De colis],liste_palette[Num de Palette],"Magasin")</f>
        <v>Magasin</v>
      </c>
      <c r="N54" s="26" t="str">
        <f>_xlfn.XLOOKUP(liste_colisage[[#This Row],[Num de Colis]],liste_palette[Num De colis],liste_palette[Facture Export],"Magasin")</f>
        <v>Magasin</v>
      </c>
      <c r="O54" s="26" t="e">
        <f>_xlfn.XLOOKUP(liste_colisage[[#This Row],[Num OF]],#REF!,#REF!,"Non Trouvé")</f>
        <v>#REF!</v>
      </c>
      <c r="P54" s="26" t="e">
        <f>_xlfn.XLOOKUP(liste_colisage[[#This Row],[Num OF]],#REF!,#REF!,"Non Trouvé")</f>
        <v>#REF!</v>
      </c>
      <c r="Q54" s="26" t="e">
        <f>_xlfn.XLOOKUP(liste_colisage[[#This Row],[Num OF]],#REF!,#REF!,"Non Trouvé")</f>
        <v>#REF!</v>
      </c>
      <c r="R54" s="91" t="str">
        <f>IF(
   COUNTIFS($A$2:A54,A54,
             $E$2:E54,E54,
             $F$2:F54,F54,
             $G$2:G54,G54,
             $D$2:D54,D54,
             $K$2:K54,K54
             )&gt;1,
   "Doublon",
   "Correcte"
)</f>
        <v>Correcte</v>
      </c>
    </row>
    <row r="55" spans="1:18" ht="15" customHeight="1" x14ac:dyDescent="0.25">
      <c r="A55" s="11" t="s">
        <v>1110</v>
      </c>
      <c r="B55" s="96" t="s">
        <v>2575</v>
      </c>
      <c r="C55" s="96" t="s">
        <v>2632</v>
      </c>
      <c r="D55" s="12">
        <v>20</v>
      </c>
      <c r="E55" s="11" t="s">
        <v>13</v>
      </c>
      <c r="F55" s="11" t="s">
        <v>418</v>
      </c>
      <c r="G55" s="11" t="s">
        <v>432</v>
      </c>
      <c r="H55" s="11"/>
      <c r="I55" s="11"/>
      <c r="J55" s="11" t="s">
        <v>664</v>
      </c>
      <c r="K55" s="13">
        <v>45839</v>
      </c>
      <c r="L55" s="26" t="str">
        <f>_xlfn.TEXTBEFORE(liste_colisage[[#This Row],[Num Suivis]],"-",,,1)</f>
        <v>OF243996</v>
      </c>
      <c r="M55" s="26" t="str">
        <f>_xlfn.XLOOKUP(liste_colisage[[#This Row],[Num de Colis]],liste_palette[Num De colis],liste_palette[Num de Palette],"Magasin")</f>
        <v>Magasin</v>
      </c>
      <c r="N55" s="26" t="str">
        <f>_xlfn.XLOOKUP(liste_colisage[[#This Row],[Num de Colis]],liste_palette[Num De colis],liste_palette[Facture Export],"Magasin")</f>
        <v>Magasin</v>
      </c>
      <c r="O55" s="26" t="e">
        <f>_xlfn.XLOOKUP(liste_colisage[[#This Row],[Num OF]],#REF!,#REF!,"Non Trouvé")</f>
        <v>#REF!</v>
      </c>
      <c r="P55" s="26" t="e">
        <f>_xlfn.XLOOKUP(liste_colisage[[#This Row],[Num OF]],#REF!,#REF!,"Non Trouvé")</f>
        <v>#REF!</v>
      </c>
      <c r="Q55" s="26" t="e">
        <f>_xlfn.XLOOKUP(liste_colisage[[#This Row],[Num OF]],#REF!,#REF!,"Non Trouvé")</f>
        <v>#REF!</v>
      </c>
      <c r="R55" s="91" t="str">
        <f>IF(
   COUNTIFS($A$2:A55,A55,
             $E$2:E55,E55,
             $F$2:F55,F55,
             $G$2:G55,G55,
             $D$2:D55,D55,
             $K$2:K55,K55
             )&gt;1,
   "Doublon",
   "Correcte"
)</f>
        <v>Correcte</v>
      </c>
    </row>
    <row r="56" spans="1:18" ht="15" customHeight="1" x14ac:dyDescent="0.25">
      <c r="A56" s="11" t="s">
        <v>1111</v>
      </c>
      <c r="B56" s="96" t="s">
        <v>2575</v>
      </c>
      <c r="C56" s="96" t="s">
        <v>2633</v>
      </c>
      <c r="D56" s="12">
        <v>20</v>
      </c>
      <c r="E56" s="11" t="s">
        <v>13</v>
      </c>
      <c r="F56" s="11" t="s">
        <v>418</v>
      </c>
      <c r="G56" s="11" t="s">
        <v>427</v>
      </c>
      <c r="H56" s="11"/>
      <c r="I56" s="11"/>
      <c r="J56" s="11" t="s">
        <v>664</v>
      </c>
      <c r="K56" s="13">
        <v>45839</v>
      </c>
      <c r="L56" s="26" t="str">
        <f>_xlfn.TEXTBEFORE(liste_colisage[[#This Row],[Num Suivis]],"-",,,1)</f>
        <v>OF243991</v>
      </c>
      <c r="M56" s="26" t="str">
        <f>_xlfn.XLOOKUP(liste_colisage[[#This Row],[Num de Colis]],liste_palette[Num De colis],liste_palette[Num de Palette],"Magasin")</f>
        <v>Magasin</v>
      </c>
      <c r="N56" s="26" t="str">
        <f>_xlfn.XLOOKUP(liste_colisage[[#This Row],[Num de Colis]],liste_palette[Num De colis],liste_palette[Facture Export],"Magasin")</f>
        <v>Magasin</v>
      </c>
      <c r="O56" s="26" t="e">
        <f>_xlfn.XLOOKUP(liste_colisage[[#This Row],[Num OF]],#REF!,#REF!,"Non Trouvé")</f>
        <v>#REF!</v>
      </c>
      <c r="P56" s="26" t="e">
        <f>_xlfn.XLOOKUP(liste_colisage[[#This Row],[Num OF]],#REF!,#REF!,"Non Trouvé")</f>
        <v>#REF!</v>
      </c>
      <c r="Q56" s="26" t="e">
        <f>_xlfn.XLOOKUP(liste_colisage[[#This Row],[Num OF]],#REF!,#REF!,"Non Trouvé")</f>
        <v>#REF!</v>
      </c>
      <c r="R56" s="91" t="str">
        <f>IF(
   COUNTIFS($A$2:A56,A56,
             $E$2:E56,E56,
             $F$2:F56,F56,
             $G$2:G56,G56,
             $D$2:D56,D56,
             $K$2:K56,K56
             )&gt;1,
   "Doublon",
   "Correcte"
)</f>
        <v>Correcte</v>
      </c>
    </row>
    <row r="57" spans="1:18" ht="15" customHeight="1" x14ac:dyDescent="0.25">
      <c r="A57" s="11" t="s">
        <v>1111</v>
      </c>
      <c r="B57" s="96" t="s">
        <v>2575</v>
      </c>
      <c r="C57" s="96" t="s">
        <v>2634</v>
      </c>
      <c r="D57" s="12">
        <v>20</v>
      </c>
      <c r="E57" s="11" t="s">
        <v>13</v>
      </c>
      <c r="F57" s="11" t="s">
        <v>418</v>
      </c>
      <c r="G57" s="11" t="s">
        <v>426</v>
      </c>
      <c r="H57" s="11"/>
      <c r="I57" s="11"/>
      <c r="J57" s="11" t="s">
        <v>664</v>
      </c>
      <c r="K57" s="13">
        <v>45839</v>
      </c>
      <c r="L57" s="26" t="str">
        <f>_xlfn.TEXTBEFORE(liste_colisage[[#This Row],[Num Suivis]],"-",,,1)</f>
        <v>OF243990</v>
      </c>
      <c r="M57" s="26" t="str">
        <f>_xlfn.XLOOKUP(liste_colisage[[#This Row],[Num de Colis]],liste_palette[Num De colis],liste_palette[Num de Palette],"Magasin")</f>
        <v>Magasin</v>
      </c>
      <c r="N57" s="26" t="str">
        <f>_xlfn.XLOOKUP(liste_colisage[[#This Row],[Num de Colis]],liste_palette[Num De colis],liste_palette[Facture Export],"Magasin")</f>
        <v>Magasin</v>
      </c>
      <c r="O57" s="26" t="e">
        <f>_xlfn.XLOOKUP(liste_colisage[[#This Row],[Num OF]],#REF!,#REF!,"Non Trouvé")</f>
        <v>#REF!</v>
      </c>
      <c r="P57" s="26" t="e">
        <f>_xlfn.XLOOKUP(liste_colisage[[#This Row],[Num OF]],#REF!,#REF!,"Non Trouvé")</f>
        <v>#REF!</v>
      </c>
      <c r="Q57" s="26" t="e">
        <f>_xlfn.XLOOKUP(liste_colisage[[#This Row],[Num OF]],#REF!,#REF!,"Non Trouvé")</f>
        <v>#REF!</v>
      </c>
      <c r="R57" s="91" t="str">
        <f>IF(
   COUNTIFS($A$2:A57,A57,
             $E$2:E57,E57,
             $F$2:F57,F57,
             $G$2:G57,G57,
             $D$2:D57,D57,
             $K$2:K57,K57
             )&gt;1,
   "Doublon",
   "Correcte"
)</f>
        <v>Correcte</v>
      </c>
    </row>
    <row r="58" spans="1:18" ht="15" customHeight="1" x14ac:dyDescent="0.25">
      <c r="A58" s="11" t="s">
        <v>1111</v>
      </c>
      <c r="B58" s="96" t="s">
        <v>2575</v>
      </c>
      <c r="C58" s="96" t="s">
        <v>2635</v>
      </c>
      <c r="D58" s="12">
        <v>20</v>
      </c>
      <c r="E58" s="11" t="s">
        <v>13</v>
      </c>
      <c r="F58" s="11" t="s">
        <v>418</v>
      </c>
      <c r="G58" s="11" t="s">
        <v>435</v>
      </c>
      <c r="H58" s="11"/>
      <c r="I58" s="11"/>
      <c r="J58" s="11" t="s">
        <v>664</v>
      </c>
      <c r="K58" s="13">
        <v>45839</v>
      </c>
      <c r="L58" s="26" t="str">
        <f>_xlfn.TEXTBEFORE(liste_colisage[[#This Row],[Num Suivis]],"-",,,1)</f>
        <v>OF243999</v>
      </c>
      <c r="M58" s="26" t="str">
        <f>_xlfn.XLOOKUP(liste_colisage[[#This Row],[Num de Colis]],liste_palette[Num De colis],liste_palette[Num de Palette],"Magasin")</f>
        <v>Magasin</v>
      </c>
      <c r="N58" s="26" t="str">
        <f>_xlfn.XLOOKUP(liste_colisage[[#This Row],[Num de Colis]],liste_palette[Num De colis],liste_palette[Facture Export],"Magasin")</f>
        <v>Magasin</v>
      </c>
      <c r="O58" s="26" t="e">
        <f>_xlfn.XLOOKUP(liste_colisage[[#This Row],[Num OF]],#REF!,#REF!,"Non Trouvé")</f>
        <v>#REF!</v>
      </c>
      <c r="P58" s="26" t="e">
        <f>_xlfn.XLOOKUP(liste_colisage[[#This Row],[Num OF]],#REF!,#REF!,"Non Trouvé")</f>
        <v>#REF!</v>
      </c>
      <c r="Q58" s="26" t="e">
        <f>_xlfn.XLOOKUP(liste_colisage[[#This Row],[Num OF]],#REF!,#REF!,"Non Trouvé")</f>
        <v>#REF!</v>
      </c>
      <c r="R58" s="91" t="str">
        <f>IF(
   COUNTIFS($A$2:A58,A58,
             $E$2:E58,E58,
             $F$2:F58,F58,
             $G$2:G58,G58,
             $D$2:D58,D58,
             $K$2:K58,K58
             )&gt;1,
   "Doublon",
   "Correcte"
)</f>
        <v>Correcte</v>
      </c>
    </row>
    <row r="59" spans="1:18" ht="15" customHeight="1" x14ac:dyDescent="0.25">
      <c r="A59" s="11" t="s">
        <v>1111</v>
      </c>
      <c r="B59" s="96" t="s">
        <v>2575</v>
      </c>
      <c r="C59" s="96" t="s">
        <v>2636</v>
      </c>
      <c r="D59" s="12">
        <v>20</v>
      </c>
      <c r="E59" s="11" t="s">
        <v>13</v>
      </c>
      <c r="F59" s="11" t="s">
        <v>418</v>
      </c>
      <c r="G59" s="11" t="s">
        <v>434</v>
      </c>
      <c r="H59" s="11"/>
      <c r="I59" s="11"/>
      <c r="J59" s="11" t="s">
        <v>664</v>
      </c>
      <c r="K59" s="13">
        <v>45839</v>
      </c>
      <c r="L59" s="26" t="str">
        <f>_xlfn.TEXTBEFORE(liste_colisage[[#This Row],[Num Suivis]],"-",,,1)</f>
        <v>OF243998</v>
      </c>
      <c r="M59" s="26" t="str">
        <f>_xlfn.XLOOKUP(liste_colisage[[#This Row],[Num de Colis]],liste_palette[Num De colis],liste_palette[Num de Palette],"Magasin")</f>
        <v>Magasin</v>
      </c>
      <c r="N59" s="26" t="str">
        <f>_xlfn.XLOOKUP(liste_colisage[[#This Row],[Num de Colis]],liste_palette[Num De colis],liste_palette[Facture Export],"Magasin")</f>
        <v>Magasin</v>
      </c>
      <c r="O59" s="26" t="e">
        <f>_xlfn.XLOOKUP(liste_colisage[[#This Row],[Num OF]],#REF!,#REF!,"Non Trouvé")</f>
        <v>#REF!</v>
      </c>
      <c r="P59" s="26" t="e">
        <f>_xlfn.XLOOKUP(liste_colisage[[#This Row],[Num OF]],#REF!,#REF!,"Non Trouvé")</f>
        <v>#REF!</v>
      </c>
      <c r="Q59" s="26" t="e">
        <f>_xlfn.XLOOKUP(liste_colisage[[#This Row],[Num OF]],#REF!,#REF!,"Non Trouvé")</f>
        <v>#REF!</v>
      </c>
      <c r="R59" s="91" t="str">
        <f>IF(
   COUNTIFS($A$2:A59,A59,
             $E$2:E59,E59,
             $F$2:F59,F59,
             $G$2:G59,G59,
             $D$2:D59,D59,
             $K$2:K59,K59
             )&gt;1,
   "Doublon",
   "Correcte"
)</f>
        <v>Correcte</v>
      </c>
    </row>
    <row r="60" spans="1:18" ht="15" customHeight="1" x14ac:dyDescent="0.25">
      <c r="A60" s="11" t="s">
        <v>1112</v>
      </c>
      <c r="B60" s="96" t="s">
        <v>2575</v>
      </c>
      <c r="C60" s="96" t="s">
        <v>2633</v>
      </c>
      <c r="D60" s="12">
        <v>1</v>
      </c>
      <c r="E60" s="11" t="s">
        <v>13</v>
      </c>
      <c r="F60" s="11" t="s">
        <v>418</v>
      </c>
      <c r="G60" s="11" t="s">
        <v>427</v>
      </c>
      <c r="H60" s="11"/>
      <c r="I60" s="11"/>
      <c r="J60" s="11" t="s">
        <v>664</v>
      </c>
      <c r="K60" s="13">
        <v>45875</v>
      </c>
      <c r="L60" s="26" t="str">
        <f>_xlfn.TEXTBEFORE(liste_colisage[[#This Row],[Num Suivis]],"-",,,1)</f>
        <v>OF243991</v>
      </c>
      <c r="M60" s="26" t="str">
        <f>_xlfn.XLOOKUP(liste_colisage[[#This Row],[Num de Colis]],liste_palette[Num De colis],liste_palette[Num de Palette],"Magasin")</f>
        <v>Magasin</v>
      </c>
      <c r="N60" s="26" t="str">
        <f>_xlfn.XLOOKUP(liste_colisage[[#This Row],[Num de Colis]],liste_palette[Num De colis],liste_palette[Facture Export],"Magasin")</f>
        <v>Magasin</v>
      </c>
      <c r="O60" s="26" t="e">
        <f>_xlfn.XLOOKUP(liste_colisage[[#This Row],[Num OF]],#REF!,#REF!,"Non Trouvé")</f>
        <v>#REF!</v>
      </c>
      <c r="P60" s="26" t="e">
        <f>_xlfn.XLOOKUP(liste_colisage[[#This Row],[Num OF]],#REF!,#REF!,"Non Trouvé")</f>
        <v>#REF!</v>
      </c>
      <c r="Q60" s="26" t="e">
        <f>_xlfn.XLOOKUP(liste_colisage[[#This Row],[Num OF]],#REF!,#REF!,"Non Trouvé")</f>
        <v>#REF!</v>
      </c>
      <c r="R60" s="91" t="str">
        <f>IF(
   COUNTIFS($A$2:A60,A60,
             $E$2:E60,E60,
             $F$2:F60,F60,
             $G$2:G60,G60,
             $D$2:D60,D60,
             $K$2:K60,K60
             )&gt;1,
   "Doublon",
   "Correcte"
)</f>
        <v>Correcte</v>
      </c>
    </row>
    <row r="61" spans="1:18" ht="15" customHeight="1" x14ac:dyDescent="0.25">
      <c r="A61" s="11" t="s">
        <v>1112</v>
      </c>
      <c r="B61" s="96" t="s">
        <v>2575</v>
      </c>
      <c r="C61" s="96" t="s">
        <v>2634</v>
      </c>
      <c r="D61" s="12">
        <v>1</v>
      </c>
      <c r="E61" s="11" t="s">
        <v>13</v>
      </c>
      <c r="F61" s="11" t="s">
        <v>418</v>
      </c>
      <c r="G61" s="11" t="s">
        <v>426</v>
      </c>
      <c r="H61" s="11"/>
      <c r="I61" s="11"/>
      <c r="J61" s="11" t="s">
        <v>664</v>
      </c>
      <c r="K61" s="13">
        <v>45875</v>
      </c>
      <c r="L61" s="26" t="str">
        <f>_xlfn.TEXTBEFORE(liste_colisage[[#This Row],[Num Suivis]],"-",,,1)</f>
        <v>OF243990</v>
      </c>
      <c r="M61" s="26" t="str">
        <f>_xlfn.XLOOKUP(liste_colisage[[#This Row],[Num de Colis]],liste_palette[Num De colis],liste_palette[Num de Palette],"Magasin")</f>
        <v>Magasin</v>
      </c>
      <c r="N61" s="26" t="str">
        <f>_xlfn.XLOOKUP(liste_colisage[[#This Row],[Num de Colis]],liste_palette[Num De colis],liste_palette[Facture Export],"Magasin")</f>
        <v>Magasin</v>
      </c>
      <c r="O61" s="26" t="e">
        <f>_xlfn.XLOOKUP(liste_colisage[[#This Row],[Num OF]],#REF!,#REF!,"Non Trouvé")</f>
        <v>#REF!</v>
      </c>
      <c r="P61" s="26" t="e">
        <f>_xlfn.XLOOKUP(liste_colisage[[#This Row],[Num OF]],#REF!,#REF!,"Non Trouvé")</f>
        <v>#REF!</v>
      </c>
      <c r="Q61" s="26" t="e">
        <f>_xlfn.XLOOKUP(liste_colisage[[#This Row],[Num OF]],#REF!,#REF!,"Non Trouvé")</f>
        <v>#REF!</v>
      </c>
      <c r="R61" s="91" t="str">
        <f>IF(
   COUNTIFS($A$2:A61,A61,
             $E$2:E61,E61,
             $F$2:F61,F61,
             $G$2:G61,G61,
             $D$2:D61,D61,
             $K$2:K61,K61
             )&gt;1,
   "Doublon",
   "Correcte"
)</f>
        <v>Correcte</v>
      </c>
    </row>
    <row r="62" spans="1:18" ht="15" customHeight="1" x14ac:dyDescent="0.25">
      <c r="A62" s="11" t="s">
        <v>1112</v>
      </c>
      <c r="B62" s="96" t="s">
        <v>2575</v>
      </c>
      <c r="C62" s="96" t="s">
        <v>2637</v>
      </c>
      <c r="D62" s="12">
        <v>1</v>
      </c>
      <c r="E62" s="11" t="s">
        <v>13</v>
      </c>
      <c r="F62" s="11" t="s">
        <v>418</v>
      </c>
      <c r="G62" s="11" t="s">
        <v>421</v>
      </c>
      <c r="H62" s="11"/>
      <c r="I62" s="11"/>
      <c r="J62" s="11" t="s">
        <v>664</v>
      </c>
      <c r="K62" s="13">
        <v>45875</v>
      </c>
      <c r="L62" s="26" t="str">
        <f>_xlfn.TEXTBEFORE(liste_colisage[[#This Row],[Num Suivis]],"-",,,1)</f>
        <v>OF243985</v>
      </c>
      <c r="M62" s="26" t="str">
        <f>_xlfn.XLOOKUP(liste_colisage[[#This Row],[Num de Colis]],liste_palette[Num De colis],liste_palette[Num de Palette],"Magasin")</f>
        <v>Magasin</v>
      </c>
      <c r="N62" s="26" t="str">
        <f>_xlfn.XLOOKUP(liste_colisage[[#This Row],[Num de Colis]],liste_palette[Num De colis],liste_palette[Facture Export],"Magasin")</f>
        <v>Magasin</v>
      </c>
      <c r="O62" s="26" t="e">
        <f>_xlfn.XLOOKUP(liste_colisage[[#This Row],[Num OF]],#REF!,#REF!,"Non Trouvé")</f>
        <v>#REF!</v>
      </c>
      <c r="P62" s="26" t="e">
        <f>_xlfn.XLOOKUP(liste_colisage[[#This Row],[Num OF]],#REF!,#REF!,"Non Trouvé")</f>
        <v>#REF!</v>
      </c>
      <c r="Q62" s="26" t="e">
        <f>_xlfn.XLOOKUP(liste_colisage[[#This Row],[Num OF]],#REF!,#REF!,"Non Trouvé")</f>
        <v>#REF!</v>
      </c>
      <c r="R62" s="91" t="str">
        <f>IF(
   COUNTIFS($A$2:A62,A62,
             $E$2:E62,E62,
             $F$2:F62,F62,
             $G$2:G62,G62,
             $D$2:D62,D62,
             $K$2:K62,K62
             )&gt;1,
   "Doublon",
   "Correcte"
)</f>
        <v>Correcte</v>
      </c>
    </row>
    <row r="63" spans="1:18" ht="15" customHeight="1" x14ac:dyDescent="0.25">
      <c r="A63" s="11" t="s">
        <v>1112</v>
      </c>
      <c r="B63" s="96" t="s">
        <v>2575</v>
      </c>
      <c r="C63" s="96" t="s">
        <v>2638</v>
      </c>
      <c r="D63" s="12">
        <v>1</v>
      </c>
      <c r="E63" s="11" t="s">
        <v>13</v>
      </c>
      <c r="F63" s="11" t="s">
        <v>418</v>
      </c>
      <c r="G63" s="11" t="s">
        <v>420</v>
      </c>
      <c r="H63" s="11"/>
      <c r="I63" s="11"/>
      <c r="J63" s="11" t="s">
        <v>664</v>
      </c>
      <c r="K63" s="13">
        <v>45875</v>
      </c>
      <c r="L63" s="26" t="str">
        <f>_xlfn.TEXTBEFORE(liste_colisage[[#This Row],[Num Suivis]],"-",,,1)</f>
        <v>OF243984</v>
      </c>
      <c r="M63" s="26" t="str">
        <f>_xlfn.XLOOKUP(liste_colisage[[#This Row],[Num de Colis]],liste_palette[Num De colis],liste_palette[Num de Palette],"Magasin")</f>
        <v>Magasin</v>
      </c>
      <c r="N63" s="26" t="str">
        <f>_xlfn.XLOOKUP(liste_colisage[[#This Row],[Num de Colis]],liste_palette[Num De colis],liste_palette[Facture Export],"Magasin")</f>
        <v>Magasin</v>
      </c>
      <c r="O63" s="26" t="e">
        <f>_xlfn.XLOOKUP(liste_colisage[[#This Row],[Num OF]],#REF!,#REF!,"Non Trouvé")</f>
        <v>#REF!</v>
      </c>
      <c r="P63" s="26" t="e">
        <f>_xlfn.XLOOKUP(liste_colisage[[#This Row],[Num OF]],#REF!,#REF!,"Non Trouvé")</f>
        <v>#REF!</v>
      </c>
      <c r="Q63" s="26" t="e">
        <f>_xlfn.XLOOKUP(liste_colisage[[#This Row],[Num OF]],#REF!,#REF!,"Non Trouvé")</f>
        <v>#REF!</v>
      </c>
      <c r="R63" s="91" t="str">
        <f>IF(
   COUNTIFS($A$2:A63,A63,
             $E$2:E63,E63,
             $F$2:F63,F63,
             $G$2:G63,G63,
             $D$2:D63,D63,
             $K$2:K63,K63
             )&gt;1,
   "Doublon",
   "Correcte"
)</f>
        <v>Correcte</v>
      </c>
    </row>
    <row r="64" spans="1:18" ht="15" customHeight="1" x14ac:dyDescent="0.25">
      <c r="A64" s="11" t="s">
        <v>1112</v>
      </c>
      <c r="B64" s="96" t="s">
        <v>2575</v>
      </c>
      <c r="C64" s="96" t="s">
        <v>2629</v>
      </c>
      <c r="D64" s="12">
        <v>10</v>
      </c>
      <c r="E64" s="11" t="s">
        <v>13</v>
      </c>
      <c r="F64" s="11" t="s">
        <v>418</v>
      </c>
      <c r="G64" s="11" t="s">
        <v>419</v>
      </c>
      <c r="H64" s="11"/>
      <c r="I64" s="11"/>
      <c r="J64" s="11" t="s">
        <v>664</v>
      </c>
      <c r="K64" s="13">
        <v>45875</v>
      </c>
      <c r="L64" s="26" t="str">
        <f>_xlfn.TEXTBEFORE(liste_colisage[[#This Row],[Num Suivis]],"-",,,1)</f>
        <v>OF243983</v>
      </c>
      <c r="M64" s="26" t="str">
        <f>_xlfn.XLOOKUP(liste_colisage[[#This Row],[Num de Colis]],liste_palette[Num De colis],liste_palette[Num de Palette],"Magasin")</f>
        <v>Magasin</v>
      </c>
      <c r="N64" s="26" t="str">
        <f>_xlfn.XLOOKUP(liste_colisage[[#This Row],[Num de Colis]],liste_palette[Num De colis],liste_palette[Facture Export],"Magasin")</f>
        <v>Magasin</v>
      </c>
      <c r="O64" s="26" t="e">
        <f>_xlfn.XLOOKUP(liste_colisage[[#This Row],[Num OF]],#REF!,#REF!,"Non Trouvé")</f>
        <v>#REF!</v>
      </c>
      <c r="P64" s="26" t="e">
        <f>_xlfn.XLOOKUP(liste_colisage[[#This Row],[Num OF]],#REF!,#REF!,"Non Trouvé")</f>
        <v>#REF!</v>
      </c>
      <c r="Q64" s="26" t="e">
        <f>_xlfn.XLOOKUP(liste_colisage[[#This Row],[Num OF]],#REF!,#REF!,"Non Trouvé")</f>
        <v>#REF!</v>
      </c>
      <c r="R64" s="91" t="str">
        <f>IF(
   COUNTIFS($A$2:A64,A64,
             $E$2:E64,E64,
             $F$2:F64,F64,
             $G$2:G64,G64,
             $D$2:D64,D64,
             $K$2:K64,K64
             )&gt;1,
   "Doublon",
   "Correcte"
)</f>
        <v>Correcte</v>
      </c>
    </row>
    <row r="65" spans="1:18" ht="15" customHeight="1" x14ac:dyDescent="0.25">
      <c r="A65" s="11" t="s">
        <v>1112</v>
      </c>
      <c r="B65" s="96" t="s">
        <v>2575</v>
      </c>
      <c r="C65" s="96" t="s">
        <v>2630</v>
      </c>
      <c r="D65" s="12">
        <v>10</v>
      </c>
      <c r="E65" s="11" t="s">
        <v>13</v>
      </c>
      <c r="F65" s="11" t="s">
        <v>418</v>
      </c>
      <c r="G65" s="11" t="s">
        <v>417</v>
      </c>
      <c r="H65" s="11"/>
      <c r="I65" s="11"/>
      <c r="J65" s="11" t="s">
        <v>664</v>
      </c>
      <c r="K65" s="13">
        <v>45875</v>
      </c>
      <c r="L65" s="26" t="str">
        <f>_xlfn.TEXTBEFORE(liste_colisage[[#This Row],[Num Suivis]],"-",,,1)</f>
        <v>OF243982</v>
      </c>
      <c r="M65" s="26" t="str">
        <f>_xlfn.XLOOKUP(liste_colisage[[#This Row],[Num de Colis]],liste_palette[Num De colis],liste_palette[Num de Palette],"Magasin")</f>
        <v>Magasin</v>
      </c>
      <c r="N65" s="26" t="str">
        <f>_xlfn.XLOOKUP(liste_colisage[[#This Row],[Num de Colis]],liste_palette[Num De colis],liste_palette[Facture Export],"Magasin")</f>
        <v>Magasin</v>
      </c>
      <c r="O65" s="26" t="e">
        <f>_xlfn.XLOOKUP(liste_colisage[[#This Row],[Num OF]],#REF!,#REF!,"Non Trouvé")</f>
        <v>#REF!</v>
      </c>
      <c r="P65" s="26" t="e">
        <f>_xlfn.XLOOKUP(liste_colisage[[#This Row],[Num OF]],#REF!,#REF!,"Non Trouvé")</f>
        <v>#REF!</v>
      </c>
      <c r="Q65" s="26" t="e">
        <f>_xlfn.XLOOKUP(liste_colisage[[#This Row],[Num OF]],#REF!,#REF!,"Non Trouvé")</f>
        <v>#REF!</v>
      </c>
      <c r="R65" s="91" t="str">
        <f>IF(
   COUNTIFS($A$2:A65,A65,
             $E$2:E65,E65,
             $F$2:F65,F65,
             $G$2:G65,G65,
             $D$2:D65,D65,
             $K$2:K65,K65
             )&gt;1,
   "Doublon",
   "Correcte"
)</f>
        <v>Correcte</v>
      </c>
    </row>
    <row r="66" spans="1:18" ht="15" customHeight="1" x14ac:dyDescent="0.25">
      <c r="A66" s="11" t="s">
        <v>1112</v>
      </c>
      <c r="B66" s="96" t="s">
        <v>2575</v>
      </c>
      <c r="C66" s="96" t="s">
        <v>2639</v>
      </c>
      <c r="D66" s="12">
        <v>23</v>
      </c>
      <c r="E66" s="11" t="s">
        <v>13</v>
      </c>
      <c r="F66" s="11" t="s">
        <v>418</v>
      </c>
      <c r="G66" s="11" t="s">
        <v>429</v>
      </c>
      <c r="H66" s="11"/>
      <c r="I66" s="11"/>
      <c r="J66" s="11" t="s">
        <v>664</v>
      </c>
      <c r="K66" s="13">
        <v>45839</v>
      </c>
      <c r="L66" s="26" t="str">
        <f>_xlfn.TEXTBEFORE(liste_colisage[[#This Row],[Num Suivis]],"-",,,1)</f>
        <v>OF243993</v>
      </c>
      <c r="M66" s="26" t="str">
        <f>_xlfn.XLOOKUP(liste_colisage[[#This Row],[Num de Colis]],liste_palette[Num De colis],liste_palette[Num de Palette],"Magasin")</f>
        <v>Magasin</v>
      </c>
      <c r="N66" s="26" t="str">
        <f>_xlfn.XLOOKUP(liste_colisage[[#This Row],[Num de Colis]],liste_palette[Num De colis],liste_palette[Facture Export],"Magasin")</f>
        <v>Magasin</v>
      </c>
      <c r="O66" s="26" t="e">
        <f>_xlfn.XLOOKUP(liste_colisage[[#This Row],[Num OF]],#REF!,#REF!,"Non Trouvé")</f>
        <v>#REF!</v>
      </c>
      <c r="P66" s="26" t="e">
        <f>_xlfn.XLOOKUP(liste_colisage[[#This Row],[Num OF]],#REF!,#REF!,"Non Trouvé")</f>
        <v>#REF!</v>
      </c>
      <c r="Q66" s="26" t="e">
        <f>_xlfn.XLOOKUP(liste_colisage[[#This Row],[Num OF]],#REF!,#REF!,"Non Trouvé")</f>
        <v>#REF!</v>
      </c>
      <c r="R66" s="91" t="str">
        <f>IF(
   COUNTIFS($A$2:A66,A66,
             $E$2:E66,E66,
             $F$2:F66,F66,
             $G$2:G66,G66,
             $D$2:D66,D66,
             $K$2:K66,K66
             )&gt;1,
   "Doublon",
   "Correcte"
)</f>
        <v>Correcte</v>
      </c>
    </row>
    <row r="67" spans="1:18" ht="15" customHeight="1" x14ac:dyDescent="0.25">
      <c r="A67" s="11" t="s">
        <v>1112</v>
      </c>
      <c r="B67" s="96" t="s">
        <v>2575</v>
      </c>
      <c r="C67" s="96" t="s">
        <v>2640</v>
      </c>
      <c r="D67" s="12">
        <v>23</v>
      </c>
      <c r="E67" s="11" t="s">
        <v>13</v>
      </c>
      <c r="F67" s="11" t="s">
        <v>418</v>
      </c>
      <c r="G67" s="11" t="s">
        <v>428</v>
      </c>
      <c r="H67" s="11"/>
      <c r="I67" s="11"/>
      <c r="J67" s="11" t="s">
        <v>664</v>
      </c>
      <c r="K67" s="13">
        <v>45839</v>
      </c>
      <c r="L67" s="26" t="str">
        <f>_xlfn.TEXTBEFORE(liste_colisage[[#This Row],[Num Suivis]],"-",,,1)</f>
        <v>OF243992</v>
      </c>
      <c r="M67" s="26" t="str">
        <f>_xlfn.XLOOKUP(liste_colisage[[#This Row],[Num de Colis]],liste_palette[Num De colis],liste_palette[Num de Palette],"Magasin")</f>
        <v>Magasin</v>
      </c>
      <c r="N67" s="26" t="str">
        <f>_xlfn.XLOOKUP(liste_colisage[[#This Row],[Num de Colis]],liste_palette[Num De colis],liste_palette[Facture Export],"Magasin")</f>
        <v>Magasin</v>
      </c>
      <c r="O67" s="26" t="e">
        <f>_xlfn.XLOOKUP(liste_colisage[[#This Row],[Num OF]],#REF!,#REF!,"Non Trouvé")</f>
        <v>#REF!</v>
      </c>
      <c r="P67" s="26" t="e">
        <f>_xlfn.XLOOKUP(liste_colisage[[#This Row],[Num OF]],#REF!,#REF!,"Non Trouvé")</f>
        <v>#REF!</v>
      </c>
      <c r="Q67" s="26" t="e">
        <f>_xlfn.XLOOKUP(liste_colisage[[#This Row],[Num OF]],#REF!,#REF!,"Non Trouvé")</f>
        <v>#REF!</v>
      </c>
      <c r="R67" s="91" t="str">
        <f>IF(
   COUNTIFS($A$2:A67,A67,
             $E$2:E67,E67,
             $F$2:F67,F67,
             $G$2:G67,G67,
             $D$2:D67,D67,
             $K$2:K67,K67
             )&gt;1,
   "Doublon",
   "Correcte"
)</f>
        <v>Correcte</v>
      </c>
    </row>
    <row r="68" spans="1:18" ht="15" customHeight="1" x14ac:dyDescent="0.25">
      <c r="A68" s="11" t="s">
        <v>1113</v>
      </c>
      <c r="B68" s="96" t="s">
        <v>2575</v>
      </c>
      <c r="C68" s="96" t="s">
        <v>2641</v>
      </c>
      <c r="D68" s="12">
        <v>20</v>
      </c>
      <c r="E68" s="11" t="s">
        <v>13</v>
      </c>
      <c r="F68" s="11" t="s">
        <v>418</v>
      </c>
      <c r="G68" s="11" t="s">
        <v>431</v>
      </c>
      <c r="H68" s="11"/>
      <c r="I68" s="11"/>
      <c r="J68" s="11" t="s">
        <v>664</v>
      </c>
      <c r="K68" s="13">
        <v>45839</v>
      </c>
      <c r="L68" s="26" t="str">
        <f>_xlfn.TEXTBEFORE(liste_colisage[[#This Row],[Num Suivis]],"-",,,1)</f>
        <v>OF243995</v>
      </c>
      <c r="M68" s="26" t="str">
        <f>_xlfn.XLOOKUP(liste_colisage[[#This Row],[Num de Colis]],liste_palette[Num De colis],liste_palette[Num de Palette],"Magasin")</f>
        <v>Magasin</v>
      </c>
      <c r="N68" s="26" t="str">
        <f>_xlfn.XLOOKUP(liste_colisage[[#This Row],[Num de Colis]],liste_palette[Num De colis],liste_palette[Facture Export],"Magasin")</f>
        <v>Magasin</v>
      </c>
      <c r="O68" s="26" t="e">
        <f>_xlfn.XLOOKUP(liste_colisage[[#This Row],[Num OF]],#REF!,#REF!,"Non Trouvé")</f>
        <v>#REF!</v>
      </c>
      <c r="P68" s="26" t="e">
        <f>_xlfn.XLOOKUP(liste_colisage[[#This Row],[Num OF]],#REF!,#REF!,"Non Trouvé")</f>
        <v>#REF!</v>
      </c>
      <c r="Q68" s="26" t="e">
        <f>_xlfn.XLOOKUP(liste_colisage[[#This Row],[Num OF]],#REF!,#REF!,"Non Trouvé")</f>
        <v>#REF!</v>
      </c>
      <c r="R68" s="91" t="str">
        <f>IF(
   COUNTIFS($A$2:A68,A68,
             $E$2:E68,E68,
             $F$2:F68,F68,
             $G$2:G68,G68,
             $D$2:D68,D68,
             $K$2:K68,K68
             )&gt;1,
   "Doublon",
   "Correcte"
)</f>
        <v>Correcte</v>
      </c>
    </row>
    <row r="69" spans="1:18" ht="15" customHeight="1" x14ac:dyDescent="0.25">
      <c r="A69" s="11" t="s">
        <v>1113</v>
      </c>
      <c r="B69" s="96" t="s">
        <v>2575</v>
      </c>
      <c r="C69" s="96" t="s">
        <v>2642</v>
      </c>
      <c r="D69" s="12">
        <v>20</v>
      </c>
      <c r="E69" s="11" t="s">
        <v>13</v>
      </c>
      <c r="F69" s="11" t="s">
        <v>418</v>
      </c>
      <c r="G69" s="11" t="s">
        <v>430</v>
      </c>
      <c r="H69" s="11"/>
      <c r="I69" s="11"/>
      <c r="J69" s="11" t="s">
        <v>664</v>
      </c>
      <c r="K69" s="13">
        <v>45839</v>
      </c>
      <c r="L69" s="26" t="str">
        <f>_xlfn.TEXTBEFORE(liste_colisage[[#This Row],[Num Suivis]],"-",,,1)</f>
        <v>OF243994</v>
      </c>
      <c r="M69" s="26" t="str">
        <f>_xlfn.XLOOKUP(liste_colisage[[#This Row],[Num de Colis]],liste_palette[Num De colis],liste_palette[Num de Palette],"Magasin")</f>
        <v>Magasin</v>
      </c>
      <c r="N69" s="26" t="str">
        <f>_xlfn.XLOOKUP(liste_colisage[[#This Row],[Num de Colis]],liste_palette[Num De colis],liste_palette[Facture Export],"Magasin")</f>
        <v>Magasin</v>
      </c>
      <c r="O69" s="26" t="e">
        <f>_xlfn.XLOOKUP(liste_colisage[[#This Row],[Num OF]],#REF!,#REF!,"Non Trouvé")</f>
        <v>#REF!</v>
      </c>
      <c r="P69" s="26" t="e">
        <f>_xlfn.XLOOKUP(liste_colisage[[#This Row],[Num OF]],#REF!,#REF!,"Non Trouvé")</f>
        <v>#REF!</v>
      </c>
      <c r="Q69" s="26" t="e">
        <f>_xlfn.XLOOKUP(liste_colisage[[#This Row],[Num OF]],#REF!,#REF!,"Non Trouvé")</f>
        <v>#REF!</v>
      </c>
      <c r="R69" s="91" t="str">
        <f>IF(
   COUNTIFS($A$2:A69,A69,
             $E$2:E69,E69,
             $F$2:F69,F69,
             $G$2:G69,G69,
             $D$2:D69,D69,
             $K$2:K69,K69
             )&gt;1,
   "Doublon",
   "Correcte"
)</f>
        <v>Correcte</v>
      </c>
    </row>
    <row r="70" spans="1:18" ht="15" customHeight="1" x14ac:dyDescent="0.25">
      <c r="A70" s="11" t="s">
        <v>1114</v>
      </c>
      <c r="B70" s="96" t="s">
        <v>2575</v>
      </c>
      <c r="C70" s="96" t="s">
        <v>2643</v>
      </c>
      <c r="D70" s="12">
        <v>20</v>
      </c>
      <c r="E70" s="11" t="s">
        <v>13</v>
      </c>
      <c r="F70" s="11" t="s">
        <v>418</v>
      </c>
      <c r="G70" s="11" t="s">
        <v>425</v>
      </c>
      <c r="H70" s="11"/>
      <c r="I70" s="11"/>
      <c r="J70" s="11" t="s">
        <v>664</v>
      </c>
      <c r="K70" s="13">
        <v>45839</v>
      </c>
      <c r="L70" s="26" t="str">
        <f>_xlfn.TEXTBEFORE(liste_colisage[[#This Row],[Num Suivis]],"-",,,1)</f>
        <v>OF243989</v>
      </c>
      <c r="M70" s="26" t="str">
        <f>_xlfn.XLOOKUP(liste_colisage[[#This Row],[Num de Colis]],liste_palette[Num De colis],liste_palette[Num de Palette],"Magasin")</f>
        <v>Magasin</v>
      </c>
      <c r="N70" s="26" t="str">
        <f>_xlfn.XLOOKUP(liste_colisage[[#This Row],[Num de Colis]],liste_palette[Num De colis],liste_palette[Facture Export],"Magasin")</f>
        <v>Magasin</v>
      </c>
      <c r="O70" s="26" t="e">
        <f>_xlfn.XLOOKUP(liste_colisage[[#This Row],[Num OF]],#REF!,#REF!,"Non Trouvé")</f>
        <v>#REF!</v>
      </c>
      <c r="P70" s="26" t="e">
        <f>_xlfn.XLOOKUP(liste_colisage[[#This Row],[Num OF]],#REF!,#REF!,"Non Trouvé")</f>
        <v>#REF!</v>
      </c>
      <c r="Q70" s="26" t="e">
        <f>_xlfn.XLOOKUP(liste_colisage[[#This Row],[Num OF]],#REF!,#REF!,"Non Trouvé")</f>
        <v>#REF!</v>
      </c>
      <c r="R70" s="91" t="str">
        <f>IF(
   COUNTIFS($A$2:A70,A70,
             $E$2:E70,E70,
             $F$2:F70,F70,
             $G$2:G70,G70,
             $D$2:D70,D70,
             $K$2:K70,K70
             )&gt;1,
   "Doublon",
   "Correcte"
)</f>
        <v>Correcte</v>
      </c>
    </row>
    <row r="71" spans="1:18" ht="15" customHeight="1" x14ac:dyDescent="0.25">
      <c r="A71" s="11" t="s">
        <v>1114</v>
      </c>
      <c r="B71" s="96" t="s">
        <v>2575</v>
      </c>
      <c r="C71" s="96" t="s">
        <v>2644</v>
      </c>
      <c r="D71" s="12">
        <v>20</v>
      </c>
      <c r="E71" s="11" t="s">
        <v>13</v>
      </c>
      <c r="F71" s="11" t="s">
        <v>418</v>
      </c>
      <c r="G71" s="11" t="s">
        <v>424</v>
      </c>
      <c r="H71" s="11"/>
      <c r="I71" s="11"/>
      <c r="J71" s="11" t="s">
        <v>664</v>
      </c>
      <c r="K71" s="13">
        <v>45839</v>
      </c>
      <c r="L71" s="26" t="str">
        <f>_xlfn.TEXTBEFORE(liste_colisage[[#This Row],[Num Suivis]],"-",,,1)</f>
        <v>OF243988</v>
      </c>
      <c r="M71" s="26" t="str">
        <f>_xlfn.XLOOKUP(liste_colisage[[#This Row],[Num de Colis]],liste_palette[Num De colis],liste_palette[Num de Palette],"Magasin")</f>
        <v>Magasin</v>
      </c>
      <c r="N71" s="26" t="str">
        <f>_xlfn.XLOOKUP(liste_colisage[[#This Row],[Num de Colis]],liste_palette[Num De colis],liste_palette[Facture Export],"Magasin")</f>
        <v>Magasin</v>
      </c>
      <c r="O71" s="26" t="e">
        <f>_xlfn.XLOOKUP(liste_colisage[[#This Row],[Num OF]],#REF!,#REF!,"Non Trouvé")</f>
        <v>#REF!</v>
      </c>
      <c r="P71" s="26" t="e">
        <f>_xlfn.XLOOKUP(liste_colisage[[#This Row],[Num OF]],#REF!,#REF!,"Non Trouvé")</f>
        <v>#REF!</v>
      </c>
      <c r="Q71" s="26" t="e">
        <f>_xlfn.XLOOKUP(liste_colisage[[#This Row],[Num OF]],#REF!,#REF!,"Non Trouvé")</f>
        <v>#REF!</v>
      </c>
      <c r="R71" s="91" t="str">
        <f>IF(
   COUNTIFS($A$2:A71,A71,
             $E$2:E71,E71,
             $F$2:F71,F71,
             $G$2:G71,G71,
             $D$2:D71,D71,
             $K$2:K71,K71
             )&gt;1,
   "Doublon",
   "Correcte"
)</f>
        <v>Correcte</v>
      </c>
    </row>
    <row r="72" spans="1:18" ht="15" customHeight="1" x14ac:dyDescent="0.25">
      <c r="A72" s="11" t="s">
        <v>1115</v>
      </c>
      <c r="B72" s="96" t="s">
        <v>2575</v>
      </c>
      <c r="C72" s="96" t="s">
        <v>2645</v>
      </c>
      <c r="D72" s="12">
        <v>20</v>
      </c>
      <c r="E72" s="11" t="s">
        <v>13</v>
      </c>
      <c r="F72" s="11" t="s">
        <v>418</v>
      </c>
      <c r="G72" s="11" t="s">
        <v>423</v>
      </c>
      <c r="H72" s="11"/>
      <c r="I72" s="11"/>
      <c r="J72" s="11" t="s">
        <v>664</v>
      </c>
      <c r="K72" s="13">
        <v>45839</v>
      </c>
      <c r="L72" s="26" t="str">
        <f>_xlfn.TEXTBEFORE(liste_colisage[[#This Row],[Num Suivis]],"-",,,1)</f>
        <v>OF243987</v>
      </c>
      <c r="M72" s="26" t="str">
        <f>_xlfn.XLOOKUP(liste_colisage[[#This Row],[Num de Colis]],liste_palette[Num De colis],liste_palette[Num de Palette],"Magasin")</f>
        <v>Magasin</v>
      </c>
      <c r="N72" s="26" t="str">
        <f>_xlfn.XLOOKUP(liste_colisage[[#This Row],[Num de Colis]],liste_palette[Num De colis],liste_palette[Facture Export],"Magasin")</f>
        <v>Magasin</v>
      </c>
      <c r="O72" s="26" t="e">
        <f>_xlfn.XLOOKUP(liste_colisage[[#This Row],[Num OF]],#REF!,#REF!,"Non Trouvé")</f>
        <v>#REF!</v>
      </c>
      <c r="P72" s="26" t="e">
        <f>_xlfn.XLOOKUP(liste_colisage[[#This Row],[Num OF]],#REF!,#REF!,"Non Trouvé")</f>
        <v>#REF!</v>
      </c>
      <c r="Q72" s="26" t="e">
        <f>_xlfn.XLOOKUP(liste_colisage[[#This Row],[Num OF]],#REF!,#REF!,"Non Trouvé")</f>
        <v>#REF!</v>
      </c>
      <c r="R72" s="91" t="str">
        <f>IF(
   COUNTIFS($A$2:A72,A72,
             $E$2:E72,E72,
             $F$2:F72,F72,
             $G$2:G72,G72,
             $D$2:D72,D72,
             $K$2:K72,K72
             )&gt;1,
   "Doublon",
   "Correcte"
)</f>
        <v>Correcte</v>
      </c>
    </row>
    <row r="73" spans="1:18" ht="15" customHeight="1" x14ac:dyDescent="0.25">
      <c r="A73" s="11" t="s">
        <v>1115</v>
      </c>
      <c r="B73" s="96" t="s">
        <v>2575</v>
      </c>
      <c r="C73" s="96" t="s">
        <v>2646</v>
      </c>
      <c r="D73" s="12">
        <v>20</v>
      </c>
      <c r="E73" s="11" t="s">
        <v>13</v>
      </c>
      <c r="F73" s="11" t="s">
        <v>418</v>
      </c>
      <c r="G73" s="11" t="s">
        <v>422</v>
      </c>
      <c r="H73" s="11"/>
      <c r="I73" s="11"/>
      <c r="J73" s="11" t="s">
        <v>664</v>
      </c>
      <c r="K73" s="13">
        <v>45839</v>
      </c>
      <c r="L73" s="26" t="str">
        <f>_xlfn.TEXTBEFORE(liste_colisage[[#This Row],[Num Suivis]],"-",,,1)</f>
        <v>OF243986</v>
      </c>
      <c r="M73" s="26" t="str">
        <f>_xlfn.XLOOKUP(liste_colisage[[#This Row],[Num de Colis]],liste_palette[Num De colis],liste_palette[Num de Palette],"Magasin")</f>
        <v>Magasin</v>
      </c>
      <c r="N73" s="26" t="str">
        <f>_xlfn.XLOOKUP(liste_colisage[[#This Row],[Num de Colis]],liste_palette[Num De colis],liste_palette[Facture Export],"Magasin")</f>
        <v>Magasin</v>
      </c>
      <c r="O73" s="26" t="e">
        <f>_xlfn.XLOOKUP(liste_colisage[[#This Row],[Num OF]],#REF!,#REF!,"Non Trouvé")</f>
        <v>#REF!</v>
      </c>
      <c r="P73" s="26" t="e">
        <f>_xlfn.XLOOKUP(liste_colisage[[#This Row],[Num OF]],#REF!,#REF!,"Non Trouvé")</f>
        <v>#REF!</v>
      </c>
      <c r="Q73" s="26" t="e">
        <f>_xlfn.XLOOKUP(liste_colisage[[#This Row],[Num OF]],#REF!,#REF!,"Non Trouvé")</f>
        <v>#REF!</v>
      </c>
      <c r="R73" s="91" t="str">
        <f>IF(
   COUNTIFS($A$2:A73,A73,
             $E$2:E73,E73,
             $F$2:F73,F73,
             $G$2:G73,G73,
             $D$2:D73,D73,
             $K$2:K73,K73
             )&gt;1,
   "Doublon",
   "Correcte"
)</f>
        <v>Correcte</v>
      </c>
    </row>
    <row r="74" spans="1:18" ht="15" customHeight="1" x14ac:dyDescent="0.25">
      <c r="A74" s="11" t="s">
        <v>1115</v>
      </c>
      <c r="B74" s="96" t="s">
        <v>2575</v>
      </c>
      <c r="C74" s="96" t="s">
        <v>2647</v>
      </c>
      <c r="D74" s="12">
        <v>20</v>
      </c>
      <c r="E74" s="11" t="s">
        <v>13</v>
      </c>
      <c r="F74" s="11" t="s">
        <v>418</v>
      </c>
      <c r="G74" s="11" t="s">
        <v>437</v>
      </c>
      <c r="H74" s="11"/>
      <c r="I74" s="11"/>
      <c r="J74" s="11" t="s">
        <v>664</v>
      </c>
      <c r="K74" s="13">
        <v>45839</v>
      </c>
      <c r="L74" s="26" t="str">
        <f>_xlfn.TEXTBEFORE(liste_colisage[[#This Row],[Num Suivis]],"-",,,1)</f>
        <v>OF244001</v>
      </c>
      <c r="M74" s="26" t="str">
        <f>_xlfn.XLOOKUP(liste_colisage[[#This Row],[Num de Colis]],liste_palette[Num De colis],liste_palette[Num de Palette],"Magasin")</f>
        <v>Magasin</v>
      </c>
      <c r="N74" s="26" t="str">
        <f>_xlfn.XLOOKUP(liste_colisage[[#This Row],[Num de Colis]],liste_palette[Num De colis],liste_palette[Facture Export],"Magasin")</f>
        <v>Magasin</v>
      </c>
      <c r="O74" s="26" t="e">
        <f>_xlfn.XLOOKUP(liste_colisage[[#This Row],[Num OF]],#REF!,#REF!,"Non Trouvé")</f>
        <v>#REF!</v>
      </c>
      <c r="P74" s="26" t="e">
        <f>_xlfn.XLOOKUP(liste_colisage[[#This Row],[Num OF]],#REF!,#REF!,"Non Trouvé")</f>
        <v>#REF!</v>
      </c>
      <c r="Q74" s="26" t="e">
        <f>_xlfn.XLOOKUP(liste_colisage[[#This Row],[Num OF]],#REF!,#REF!,"Non Trouvé")</f>
        <v>#REF!</v>
      </c>
      <c r="R74" s="91" t="str">
        <f>IF(
   COUNTIFS($A$2:A74,A74,
             $E$2:E74,E74,
             $F$2:F74,F74,
             $G$2:G74,G74,
             $D$2:D74,D74,
             $K$2:K74,K74
             )&gt;1,
   "Doublon",
   "Correcte"
)</f>
        <v>Correcte</v>
      </c>
    </row>
    <row r="75" spans="1:18" ht="15" customHeight="1" x14ac:dyDescent="0.25">
      <c r="A75" s="11" t="s">
        <v>1115</v>
      </c>
      <c r="B75" s="96" t="s">
        <v>2575</v>
      </c>
      <c r="C75" s="96" t="s">
        <v>2648</v>
      </c>
      <c r="D75" s="12">
        <v>20</v>
      </c>
      <c r="E75" s="11" t="s">
        <v>13</v>
      </c>
      <c r="F75" s="11" t="s">
        <v>418</v>
      </c>
      <c r="G75" s="11" t="s">
        <v>436</v>
      </c>
      <c r="H75" s="11"/>
      <c r="I75" s="11"/>
      <c r="J75" s="11" t="s">
        <v>664</v>
      </c>
      <c r="K75" s="13">
        <v>45839</v>
      </c>
      <c r="L75" s="26" t="str">
        <f>_xlfn.TEXTBEFORE(liste_colisage[[#This Row],[Num Suivis]],"-",,,1)</f>
        <v>OF244000</v>
      </c>
      <c r="M75" s="26" t="str">
        <f>_xlfn.XLOOKUP(liste_colisage[[#This Row],[Num de Colis]],liste_palette[Num De colis],liste_palette[Num de Palette],"Magasin")</f>
        <v>Magasin</v>
      </c>
      <c r="N75" s="26" t="str">
        <f>_xlfn.XLOOKUP(liste_colisage[[#This Row],[Num de Colis]],liste_palette[Num De colis],liste_palette[Facture Export],"Magasin")</f>
        <v>Magasin</v>
      </c>
      <c r="O75" s="26" t="e">
        <f>_xlfn.XLOOKUP(liste_colisage[[#This Row],[Num OF]],#REF!,#REF!,"Non Trouvé")</f>
        <v>#REF!</v>
      </c>
      <c r="P75" s="26" t="e">
        <f>_xlfn.XLOOKUP(liste_colisage[[#This Row],[Num OF]],#REF!,#REF!,"Non Trouvé")</f>
        <v>#REF!</v>
      </c>
      <c r="Q75" s="26" t="e">
        <f>_xlfn.XLOOKUP(liste_colisage[[#This Row],[Num OF]],#REF!,#REF!,"Non Trouvé")</f>
        <v>#REF!</v>
      </c>
      <c r="R75" s="91" t="str">
        <f>IF(
   COUNTIFS($A$2:A75,A75,
             $E$2:E75,E75,
             $F$2:F75,F75,
             $G$2:G75,G75,
             $D$2:D75,D75,
             $K$2:K75,K75
             )&gt;1,
   "Doublon",
   "Correcte"
)</f>
        <v>Correcte</v>
      </c>
    </row>
    <row r="76" spans="1:18" ht="15" customHeight="1" x14ac:dyDescent="0.25">
      <c r="A76" s="11" t="s">
        <v>1116</v>
      </c>
      <c r="B76" s="96" t="s">
        <v>2576</v>
      </c>
      <c r="C76" s="96" t="s">
        <v>2649</v>
      </c>
      <c r="D76" s="12">
        <v>33</v>
      </c>
      <c r="E76" s="11" t="s">
        <v>13</v>
      </c>
      <c r="F76" s="11" t="s">
        <v>462</v>
      </c>
      <c r="G76" s="11" t="s">
        <v>463</v>
      </c>
      <c r="H76" s="11"/>
      <c r="I76" s="11"/>
      <c r="J76" s="11" t="s">
        <v>664</v>
      </c>
      <c r="K76" s="13">
        <v>45822</v>
      </c>
      <c r="L76" s="26" t="str">
        <f>_xlfn.TEXTBEFORE(liste_colisage[[#This Row],[Num Suivis]],"-",,,1)</f>
        <v>OF245555</v>
      </c>
      <c r="M76" s="26" t="str">
        <f>_xlfn.XLOOKUP(liste_colisage[[#This Row],[Num de Colis]],liste_palette[Num De colis],liste_palette[Num de Palette],"Magasin")</f>
        <v>Magasin</v>
      </c>
      <c r="N76" s="26" t="str">
        <f>_xlfn.XLOOKUP(liste_colisage[[#This Row],[Num de Colis]],liste_palette[Num De colis],liste_palette[Facture Export],"Magasin")</f>
        <v>Magasin</v>
      </c>
      <c r="O76" s="26" t="e">
        <f>_xlfn.XLOOKUP(liste_colisage[[#This Row],[Num OF]],#REF!,#REF!,"Non Trouvé")</f>
        <v>#REF!</v>
      </c>
      <c r="P76" s="26" t="e">
        <f>_xlfn.XLOOKUP(liste_colisage[[#This Row],[Num OF]],#REF!,#REF!,"Non Trouvé")</f>
        <v>#REF!</v>
      </c>
      <c r="Q76" s="26" t="e">
        <f>_xlfn.XLOOKUP(liste_colisage[[#This Row],[Num OF]],#REF!,#REF!,"Non Trouvé")</f>
        <v>#REF!</v>
      </c>
      <c r="R76" s="91" t="str">
        <f>IF(
   COUNTIFS($A$2:A76,A76,
             $E$2:E76,E76,
             $F$2:F76,F76,
             $G$2:G76,G76,
             $D$2:D76,D76,
             $K$2:K76,K76
             )&gt;1,
   "Doublon",
   "Correcte"
)</f>
        <v>Correcte</v>
      </c>
    </row>
    <row r="77" spans="1:18" ht="15" customHeight="1" x14ac:dyDescent="0.25">
      <c r="A77" s="11" t="s">
        <v>1116</v>
      </c>
      <c r="B77" s="96" t="s">
        <v>2576</v>
      </c>
      <c r="C77" s="96" t="s">
        <v>2650</v>
      </c>
      <c r="D77" s="12">
        <v>33</v>
      </c>
      <c r="E77" s="11" t="s">
        <v>13</v>
      </c>
      <c r="F77" s="11" t="s">
        <v>462</v>
      </c>
      <c r="G77" s="11" t="s">
        <v>461</v>
      </c>
      <c r="H77" s="11"/>
      <c r="I77" s="11"/>
      <c r="J77" s="11" t="s">
        <v>664</v>
      </c>
      <c r="K77" s="13">
        <v>45822</v>
      </c>
      <c r="L77" s="26" t="str">
        <f>_xlfn.TEXTBEFORE(liste_colisage[[#This Row],[Num Suivis]],"-",,,1)</f>
        <v>OF245554</v>
      </c>
      <c r="M77" s="26" t="str">
        <f>_xlfn.XLOOKUP(liste_colisage[[#This Row],[Num de Colis]],liste_palette[Num De colis],liste_palette[Num de Palette],"Magasin")</f>
        <v>Magasin</v>
      </c>
      <c r="N77" s="26" t="str">
        <f>_xlfn.XLOOKUP(liste_colisage[[#This Row],[Num de Colis]],liste_palette[Num De colis],liste_palette[Facture Export],"Magasin")</f>
        <v>Magasin</v>
      </c>
      <c r="O77" s="26" t="e">
        <f>_xlfn.XLOOKUP(liste_colisage[[#This Row],[Num OF]],#REF!,#REF!,"Non Trouvé")</f>
        <v>#REF!</v>
      </c>
      <c r="P77" s="26" t="e">
        <f>_xlfn.XLOOKUP(liste_colisage[[#This Row],[Num OF]],#REF!,#REF!,"Non Trouvé")</f>
        <v>#REF!</v>
      </c>
      <c r="Q77" s="26" t="e">
        <f>_xlfn.XLOOKUP(liste_colisage[[#This Row],[Num OF]],#REF!,#REF!,"Non Trouvé")</f>
        <v>#REF!</v>
      </c>
      <c r="R77" s="91" t="str">
        <f>IF(
   COUNTIFS($A$2:A77,A77,
             $E$2:E77,E77,
             $F$2:F77,F77,
             $G$2:G77,G77,
             $D$2:D77,D77,
             $K$2:K77,K77
             )&gt;1,
   "Doublon",
   "Correcte"
)</f>
        <v>Correcte</v>
      </c>
    </row>
    <row r="78" spans="1:18" ht="15" customHeight="1" x14ac:dyDescent="0.25">
      <c r="A78" s="11" t="s">
        <v>1117</v>
      </c>
      <c r="B78" s="96" t="s">
        <v>2577</v>
      </c>
      <c r="C78" s="96" t="s">
        <v>2651</v>
      </c>
      <c r="D78" s="12">
        <v>20</v>
      </c>
      <c r="E78" s="11" t="s">
        <v>13</v>
      </c>
      <c r="F78" s="11" t="s">
        <v>477</v>
      </c>
      <c r="G78" s="11" t="s">
        <v>480</v>
      </c>
      <c r="H78" s="11"/>
      <c r="I78" s="11"/>
      <c r="J78" s="11" t="s">
        <v>664</v>
      </c>
      <c r="K78" s="13">
        <v>45860</v>
      </c>
      <c r="L78" s="26" t="str">
        <f>_xlfn.TEXTBEFORE(liste_colisage[[#This Row],[Num Suivis]],"-",,,1)</f>
        <v>OF245879</v>
      </c>
      <c r="M78" s="26" t="str">
        <f>_xlfn.XLOOKUP(liste_colisage[[#This Row],[Num de Colis]],liste_palette[Num De colis],liste_palette[Num de Palette],"Magasin")</f>
        <v>PAL916</v>
      </c>
      <c r="N78" s="26" t="str">
        <f>_xlfn.XLOOKUP(liste_colisage[[#This Row],[Num de Colis]],liste_palette[Num De colis],liste_palette[Facture Export],"Magasin")</f>
        <v>PA-F25023</v>
      </c>
      <c r="O78" s="26" t="e">
        <f>_xlfn.XLOOKUP(liste_colisage[[#This Row],[Num OF]],#REF!,#REF!,"Non Trouvé")</f>
        <v>#REF!</v>
      </c>
      <c r="P78" s="26" t="e">
        <f>_xlfn.XLOOKUP(liste_colisage[[#This Row],[Num OF]],#REF!,#REF!,"Non Trouvé")</f>
        <v>#REF!</v>
      </c>
      <c r="Q78" s="26" t="e">
        <f>_xlfn.XLOOKUP(liste_colisage[[#This Row],[Num OF]],#REF!,#REF!,"Non Trouvé")</f>
        <v>#REF!</v>
      </c>
      <c r="R78" s="91" t="str">
        <f>IF(
   COUNTIFS($A$2:A78,A78,
             $E$2:E78,E78,
             $F$2:F78,F78,
             $G$2:G78,G78,
             $D$2:D78,D78,
             $K$2:K78,K78
             )&gt;1,
   "Doublon",
   "Correcte"
)</f>
        <v>Correcte</v>
      </c>
    </row>
    <row r="79" spans="1:18" ht="15" customHeight="1" x14ac:dyDescent="0.25">
      <c r="A79" s="11" t="s">
        <v>1117</v>
      </c>
      <c r="B79" s="96" t="s">
        <v>2577</v>
      </c>
      <c r="C79" s="96" t="s">
        <v>2652</v>
      </c>
      <c r="D79" s="12">
        <v>20</v>
      </c>
      <c r="E79" s="11" t="s">
        <v>13</v>
      </c>
      <c r="F79" s="11" t="s">
        <v>477</v>
      </c>
      <c r="G79" s="11" t="s">
        <v>479</v>
      </c>
      <c r="H79" s="11"/>
      <c r="I79" s="11"/>
      <c r="J79" s="11" t="s">
        <v>664</v>
      </c>
      <c r="K79" s="13">
        <v>45860</v>
      </c>
      <c r="L79" s="26" t="str">
        <f>_xlfn.TEXTBEFORE(liste_colisage[[#This Row],[Num Suivis]],"-",,,1)</f>
        <v>OF245878</v>
      </c>
      <c r="M79" s="26" t="str">
        <f>_xlfn.XLOOKUP(liste_colisage[[#This Row],[Num de Colis]],liste_palette[Num De colis],liste_palette[Num de Palette],"Magasin")</f>
        <v>PAL916</v>
      </c>
      <c r="N79" s="26" t="str">
        <f>_xlfn.XLOOKUP(liste_colisage[[#This Row],[Num de Colis]],liste_palette[Num De colis],liste_palette[Facture Export],"Magasin")</f>
        <v>PA-F25023</v>
      </c>
      <c r="O79" s="26" t="e">
        <f>_xlfn.XLOOKUP(liste_colisage[[#This Row],[Num OF]],#REF!,#REF!,"Non Trouvé")</f>
        <v>#REF!</v>
      </c>
      <c r="P79" s="26" t="e">
        <f>_xlfn.XLOOKUP(liste_colisage[[#This Row],[Num OF]],#REF!,#REF!,"Non Trouvé")</f>
        <v>#REF!</v>
      </c>
      <c r="Q79" s="26" t="e">
        <f>_xlfn.XLOOKUP(liste_colisage[[#This Row],[Num OF]],#REF!,#REF!,"Non Trouvé")</f>
        <v>#REF!</v>
      </c>
      <c r="R79" s="91" t="str">
        <f>IF(
   COUNTIFS($A$2:A79,A79,
             $E$2:E79,E79,
             $F$2:F79,F79,
             $G$2:G79,G79,
             $D$2:D79,D79,
             $K$2:K79,K79
             )&gt;1,
   "Doublon",
   "Correcte"
)</f>
        <v>Correcte</v>
      </c>
    </row>
    <row r="80" spans="1:18" ht="15" customHeight="1" x14ac:dyDescent="0.25">
      <c r="A80" s="11" t="s">
        <v>1118</v>
      </c>
      <c r="B80" s="96" t="s">
        <v>2577</v>
      </c>
      <c r="C80" s="96" t="s">
        <v>2653</v>
      </c>
      <c r="D80" s="12">
        <v>20</v>
      </c>
      <c r="E80" s="11" t="s">
        <v>13</v>
      </c>
      <c r="F80" s="11" t="s">
        <v>477</v>
      </c>
      <c r="G80" s="11" t="s">
        <v>478</v>
      </c>
      <c r="H80" s="11"/>
      <c r="I80" s="11"/>
      <c r="J80" s="11" t="s">
        <v>664</v>
      </c>
      <c r="K80" s="13">
        <v>45860</v>
      </c>
      <c r="L80" s="26" t="str">
        <f>_xlfn.TEXTBEFORE(liste_colisage[[#This Row],[Num Suivis]],"-",,,1)</f>
        <v>OF245877</v>
      </c>
      <c r="M80" s="26" t="str">
        <f>_xlfn.XLOOKUP(liste_colisage[[#This Row],[Num de Colis]],liste_palette[Num De colis],liste_palette[Num de Palette],"Magasin")</f>
        <v>PAL916</v>
      </c>
      <c r="N80" s="26" t="str">
        <f>_xlfn.XLOOKUP(liste_colisage[[#This Row],[Num de Colis]],liste_palette[Num De colis],liste_palette[Facture Export],"Magasin")</f>
        <v>PA-F25023</v>
      </c>
      <c r="O80" s="26" t="e">
        <f>_xlfn.XLOOKUP(liste_colisage[[#This Row],[Num OF]],#REF!,#REF!,"Non Trouvé")</f>
        <v>#REF!</v>
      </c>
      <c r="P80" s="26" t="e">
        <f>_xlfn.XLOOKUP(liste_colisage[[#This Row],[Num OF]],#REF!,#REF!,"Non Trouvé")</f>
        <v>#REF!</v>
      </c>
      <c r="Q80" s="26" t="e">
        <f>_xlfn.XLOOKUP(liste_colisage[[#This Row],[Num OF]],#REF!,#REF!,"Non Trouvé")</f>
        <v>#REF!</v>
      </c>
      <c r="R80" s="91" t="str">
        <f>IF(
   COUNTIFS($A$2:A80,A80,
             $E$2:E80,E80,
             $F$2:F80,F80,
             $G$2:G80,G80,
             $D$2:D80,D80,
             $K$2:K80,K80
             )&gt;1,
   "Doublon",
   "Correcte"
)</f>
        <v>Correcte</v>
      </c>
    </row>
    <row r="81" spans="1:18" ht="15" customHeight="1" x14ac:dyDescent="0.25">
      <c r="A81" s="11" t="s">
        <v>1118</v>
      </c>
      <c r="B81" s="96" t="s">
        <v>2577</v>
      </c>
      <c r="C81" s="96" t="s">
        <v>2654</v>
      </c>
      <c r="D81" s="12">
        <v>20</v>
      </c>
      <c r="E81" s="11" t="s">
        <v>13</v>
      </c>
      <c r="F81" s="11" t="s">
        <v>477</v>
      </c>
      <c r="G81" s="11" t="s">
        <v>476</v>
      </c>
      <c r="H81" s="11"/>
      <c r="I81" s="11"/>
      <c r="J81" s="11" t="s">
        <v>664</v>
      </c>
      <c r="K81" s="13">
        <v>45860</v>
      </c>
      <c r="L81" s="26" t="str">
        <f>_xlfn.TEXTBEFORE(liste_colisage[[#This Row],[Num Suivis]],"-",,,1)</f>
        <v>OF245876</v>
      </c>
      <c r="M81" s="26" t="str">
        <f>_xlfn.XLOOKUP(liste_colisage[[#This Row],[Num de Colis]],liste_palette[Num De colis],liste_palette[Num de Palette],"Magasin")</f>
        <v>PAL916</v>
      </c>
      <c r="N81" s="26" t="str">
        <f>_xlfn.XLOOKUP(liste_colisage[[#This Row],[Num de Colis]],liste_palette[Num De colis],liste_palette[Facture Export],"Magasin")</f>
        <v>PA-F25023</v>
      </c>
      <c r="O81" s="26" t="e">
        <f>_xlfn.XLOOKUP(liste_colisage[[#This Row],[Num OF]],#REF!,#REF!,"Non Trouvé")</f>
        <v>#REF!</v>
      </c>
      <c r="P81" s="26" t="e">
        <f>_xlfn.XLOOKUP(liste_colisage[[#This Row],[Num OF]],#REF!,#REF!,"Non Trouvé")</f>
        <v>#REF!</v>
      </c>
      <c r="Q81" s="26" t="e">
        <f>_xlfn.XLOOKUP(liste_colisage[[#This Row],[Num OF]],#REF!,#REF!,"Non Trouvé")</f>
        <v>#REF!</v>
      </c>
      <c r="R81" s="91" t="str">
        <f>IF(
   COUNTIFS($A$2:A81,A81,
             $E$2:E81,E81,
             $F$2:F81,F81,
             $G$2:G81,G81,
             $D$2:D81,D81,
             $K$2:K81,K81
             )&gt;1,
   "Doublon",
   "Correcte"
)</f>
        <v>Correcte</v>
      </c>
    </row>
    <row r="82" spans="1:18" ht="15" customHeight="1" x14ac:dyDescent="0.25">
      <c r="A82" s="11" t="s">
        <v>1119</v>
      </c>
      <c r="B82" s="96" t="s">
        <v>2577</v>
      </c>
      <c r="C82" s="96" t="s">
        <v>2655</v>
      </c>
      <c r="D82" s="12">
        <v>20</v>
      </c>
      <c r="E82" s="11" t="s">
        <v>13</v>
      </c>
      <c r="F82" s="11" t="s">
        <v>477</v>
      </c>
      <c r="G82" s="11" t="s">
        <v>482</v>
      </c>
      <c r="H82" s="11"/>
      <c r="I82" s="11"/>
      <c r="J82" s="11" t="s">
        <v>664</v>
      </c>
      <c r="K82" s="13">
        <v>45860</v>
      </c>
      <c r="L82" s="26" t="str">
        <f>_xlfn.TEXTBEFORE(liste_colisage[[#This Row],[Num Suivis]],"-",,,1)</f>
        <v>OF245881</v>
      </c>
      <c r="M82" s="26" t="str">
        <f>_xlfn.XLOOKUP(liste_colisage[[#This Row],[Num de Colis]],liste_palette[Num De colis],liste_palette[Num de Palette],"Magasin")</f>
        <v>PAL916</v>
      </c>
      <c r="N82" s="26" t="str">
        <f>_xlfn.XLOOKUP(liste_colisage[[#This Row],[Num de Colis]],liste_palette[Num De colis],liste_palette[Facture Export],"Magasin")</f>
        <v>PA-F25023</v>
      </c>
      <c r="O82" s="26" t="e">
        <f>_xlfn.XLOOKUP(liste_colisage[[#This Row],[Num OF]],#REF!,#REF!,"Non Trouvé")</f>
        <v>#REF!</v>
      </c>
      <c r="P82" s="26" t="e">
        <f>_xlfn.XLOOKUP(liste_colisage[[#This Row],[Num OF]],#REF!,#REF!,"Non Trouvé")</f>
        <v>#REF!</v>
      </c>
      <c r="Q82" s="26" t="e">
        <f>_xlfn.XLOOKUP(liste_colisage[[#This Row],[Num OF]],#REF!,#REF!,"Non Trouvé")</f>
        <v>#REF!</v>
      </c>
      <c r="R82" s="91" t="str">
        <f>IF(
   COUNTIFS($A$2:A82,A82,
             $E$2:E82,E82,
             $F$2:F82,F82,
             $G$2:G82,G82,
             $D$2:D82,D82,
             $K$2:K82,K82
             )&gt;1,
   "Doublon",
   "Correcte"
)</f>
        <v>Correcte</v>
      </c>
    </row>
    <row r="83" spans="1:18" ht="15" customHeight="1" x14ac:dyDescent="0.25">
      <c r="A83" s="11" t="s">
        <v>1119</v>
      </c>
      <c r="B83" s="96" t="s">
        <v>2577</v>
      </c>
      <c r="C83" s="96" t="s">
        <v>2656</v>
      </c>
      <c r="D83" s="12">
        <v>20</v>
      </c>
      <c r="E83" s="11" t="s">
        <v>13</v>
      </c>
      <c r="F83" s="11" t="s">
        <v>477</v>
      </c>
      <c r="G83" s="11" t="s">
        <v>481</v>
      </c>
      <c r="H83" s="11"/>
      <c r="I83" s="11"/>
      <c r="J83" s="11" t="s">
        <v>664</v>
      </c>
      <c r="K83" s="13">
        <v>45860</v>
      </c>
      <c r="L83" s="26" t="str">
        <f>_xlfn.TEXTBEFORE(liste_colisage[[#This Row],[Num Suivis]],"-",,,1)</f>
        <v>OF245880</v>
      </c>
      <c r="M83" s="26" t="str">
        <f>_xlfn.XLOOKUP(liste_colisage[[#This Row],[Num de Colis]],liste_palette[Num De colis],liste_palette[Num de Palette],"Magasin")</f>
        <v>PAL916</v>
      </c>
      <c r="N83" s="26" t="str">
        <f>_xlfn.XLOOKUP(liste_colisage[[#This Row],[Num de Colis]],liste_palette[Num De colis],liste_palette[Facture Export],"Magasin")</f>
        <v>PA-F25023</v>
      </c>
      <c r="O83" s="26" t="e">
        <f>_xlfn.XLOOKUP(liste_colisage[[#This Row],[Num OF]],#REF!,#REF!,"Non Trouvé")</f>
        <v>#REF!</v>
      </c>
      <c r="P83" s="26" t="e">
        <f>_xlfn.XLOOKUP(liste_colisage[[#This Row],[Num OF]],#REF!,#REF!,"Non Trouvé")</f>
        <v>#REF!</v>
      </c>
      <c r="Q83" s="26" t="e">
        <f>_xlfn.XLOOKUP(liste_colisage[[#This Row],[Num OF]],#REF!,#REF!,"Non Trouvé")</f>
        <v>#REF!</v>
      </c>
      <c r="R83" s="91" t="str">
        <f>IF(
   COUNTIFS($A$2:A83,A83,
             $E$2:E83,E83,
             $F$2:F83,F83,
             $G$2:G83,G83,
             $D$2:D83,D83,
             $K$2:K83,K83
             )&gt;1,
   "Doublon",
   "Correcte"
)</f>
        <v>Correcte</v>
      </c>
    </row>
    <row r="84" spans="1:18" ht="15" customHeight="1" x14ac:dyDescent="0.25">
      <c r="A84" s="11" t="s">
        <v>1120</v>
      </c>
      <c r="B84" s="96" t="s">
        <v>2577</v>
      </c>
      <c r="C84" s="96" t="s">
        <v>2657</v>
      </c>
      <c r="D84" s="12">
        <v>20</v>
      </c>
      <c r="E84" s="11" t="s">
        <v>13</v>
      </c>
      <c r="F84" s="11" t="s">
        <v>477</v>
      </c>
      <c r="G84" s="11" t="s">
        <v>484</v>
      </c>
      <c r="H84" s="11"/>
      <c r="I84" s="11"/>
      <c r="J84" s="11" t="s">
        <v>664</v>
      </c>
      <c r="K84" s="13">
        <v>45860</v>
      </c>
      <c r="L84" s="26" t="str">
        <f>_xlfn.TEXTBEFORE(liste_colisage[[#This Row],[Num Suivis]],"-",,,1)</f>
        <v>OF245883</v>
      </c>
      <c r="M84" s="26" t="str">
        <f>_xlfn.XLOOKUP(liste_colisage[[#This Row],[Num de Colis]],liste_palette[Num De colis],liste_palette[Num de Palette],"Magasin")</f>
        <v>PAL916</v>
      </c>
      <c r="N84" s="26" t="str">
        <f>_xlfn.XLOOKUP(liste_colisage[[#This Row],[Num de Colis]],liste_palette[Num De colis],liste_palette[Facture Export],"Magasin")</f>
        <v>PA-F25023</v>
      </c>
      <c r="O84" s="26" t="e">
        <f>_xlfn.XLOOKUP(liste_colisage[[#This Row],[Num OF]],#REF!,#REF!,"Non Trouvé")</f>
        <v>#REF!</v>
      </c>
      <c r="P84" s="26" t="e">
        <f>_xlfn.XLOOKUP(liste_colisage[[#This Row],[Num OF]],#REF!,#REF!,"Non Trouvé")</f>
        <v>#REF!</v>
      </c>
      <c r="Q84" s="26" t="e">
        <f>_xlfn.XLOOKUP(liste_colisage[[#This Row],[Num OF]],#REF!,#REF!,"Non Trouvé")</f>
        <v>#REF!</v>
      </c>
      <c r="R84" s="91" t="str">
        <f>IF(
   COUNTIFS($A$2:A84,A84,
             $E$2:E84,E84,
             $F$2:F84,F84,
             $G$2:G84,G84,
             $D$2:D84,D84,
             $K$2:K84,K84
             )&gt;1,
   "Doublon",
   "Correcte"
)</f>
        <v>Correcte</v>
      </c>
    </row>
    <row r="85" spans="1:18" ht="15" customHeight="1" x14ac:dyDescent="0.25">
      <c r="A85" s="11" t="s">
        <v>1120</v>
      </c>
      <c r="B85" s="96" t="s">
        <v>2577</v>
      </c>
      <c r="C85" s="96" t="s">
        <v>2658</v>
      </c>
      <c r="D85" s="12">
        <v>20</v>
      </c>
      <c r="E85" s="11" t="s">
        <v>13</v>
      </c>
      <c r="F85" s="11" t="s">
        <v>477</v>
      </c>
      <c r="G85" s="11" t="s">
        <v>483</v>
      </c>
      <c r="H85" s="11"/>
      <c r="I85" s="11"/>
      <c r="J85" s="11" t="s">
        <v>664</v>
      </c>
      <c r="K85" s="13">
        <v>45860</v>
      </c>
      <c r="L85" s="26" t="str">
        <f>_xlfn.TEXTBEFORE(liste_colisage[[#This Row],[Num Suivis]],"-",,,1)</f>
        <v>OF245882</v>
      </c>
      <c r="M85" s="26" t="str">
        <f>_xlfn.XLOOKUP(liste_colisage[[#This Row],[Num de Colis]],liste_palette[Num De colis],liste_palette[Num de Palette],"Magasin")</f>
        <v>PAL916</v>
      </c>
      <c r="N85" s="26" t="str">
        <f>_xlfn.XLOOKUP(liste_colisage[[#This Row],[Num de Colis]],liste_palette[Num De colis],liste_palette[Facture Export],"Magasin")</f>
        <v>PA-F25023</v>
      </c>
      <c r="O85" s="26" t="e">
        <f>_xlfn.XLOOKUP(liste_colisage[[#This Row],[Num OF]],#REF!,#REF!,"Non Trouvé")</f>
        <v>#REF!</v>
      </c>
      <c r="P85" s="26" t="e">
        <f>_xlfn.XLOOKUP(liste_colisage[[#This Row],[Num OF]],#REF!,#REF!,"Non Trouvé")</f>
        <v>#REF!</v>
      </c>
      <c r="Q85" s="26" t="e">
        <f>_xlfn.XLOOKUP(liste_colisage[[#This Row],[Num OF]],#REF!,#REF!,"Non Trouvé")</f>
        <v>#REF!</v>
      </c>
      <c r="R85" s="91" t="str">
        <f>IF(
   COUNTIFS($A$2:A85,A85,
             $E$2:E85,E85,
             $F$2:F85,F85,
             $G$2:G85,G85,
             $D$2:D85,D85,
             $K$2:K85,K85
             )&gt;1,
   "Doublon",
   "Correcte"
)</f>
        <v>Correcte</v>
      </c>
    </row>
    <row r="86" spans="1:18" ht="15" customHeight="1" x14ac:dyDescent="0.25">
      <c r="A86" s="11" t="s">
        <v>1121</v>
      </c>
      <c r="B86" s="96" t="s">
        <v>2577</v>
      </c>
      <c r="C86" s="96" t="s">
        <v>2659</v>
      </c>
      <c r="D86" s="12">
        <v>20</v>
      </c>
      <c r="E86" s="11" t="s">
        <v>13</v>
      </c>
      <c r="F86" s="11" t="s">
        <v>477</v>
      </c>
      <c r="G86" s="11" t="s">
        <v>488</v>
      </c>
      <c r="H86" s="11"/>
      <c r="I86" s="11"/>
      <c r="J86" s="11" t="s">
        <v>664</v>
      </c>
      <c r="K86" s="13">
        <v>45860</v>
      </c>
      <c r="L86" s="26" t="str">
        <f>_xlfn.TEXTBEFORE(liste_colisage[[#This Row],[Num Suivis]],"-",,,1)</f>
        <v>OF245887</v>
      </c>
      <c r="M86" s="26" t="str">
        <f>_xlfn.XLOOKUP(liste_colisage[[#This Row],[Num de Colis]],liste_palette[Num De colis],liste_palette[Num de Palette],"Magasin")</f>
        <v>PAL916</v>
      </c>
      <c r="N86" s="26" t="str">
        <f>_xlfn.XLOOKUP(liste_colisage[[#This Row],[Num de Colis]],liste_palette[Num De colis],liste_palette[Facture Export],"Magasin")</f>
        <v>PA-F25023</v>
      </c>
      <c r="O86" s="26" t="e">
        <f>_xlfn.XLOOKUP(liste_colisage[[#This Row],[Num OF]],#REF!,#REF!,"Non Trouvé")</f>
        <v>#REF!</v>
      </c>
      <c r="P86" s="26" t="e">
        <f>_xlfn.XLOOKUP(liste_colisage[[#This Row],[Num OF]],#REF!,#REF!,"Non Trouvé")</f>
        <v>#REF!</v>
      </c>
      <c r="Q86" s="26" t="e">
        <f>_xlfn.XLOOKUP(liste_colisage[[#This Row],[Num OF]],#REF!,#REF!,"Non Trouvé")</f>
        <v>#REF!</v>
      </c>
      <c r="R86" s="91" t="str">
        <f>IF(
   COUNTIFS($A$2:A86,A86,
             $E$2:E86,E86,
             $F$2:F86,F86,
             $G$2:G86,G86,
             $D$2:D86,D86,
             $K$2:K86,K86
             )&gt;1,
   "Doublon",
   "Correcte"
)</f>
        <v>Correcte</v>
      </c>
    </row>
    <row r="87" spans="1:18" ht="15" customHeight="1" x14ac:dyDescent="0.25">
      <c r="A87" s="11" t="s">
        <v>1121</v>
      </c>
      <c r="B87" s="96" t="s">
        <v>2577</v>
      </c>
      <c r="C87" s="96" t="s">
        <v>2660</v>
      </c>
      <c r="D87" s="12">
        <v>20</v>
      </c>
      <c r="E87" s="11" t="s">
        <v>13</v>
      </c>
      <c r="F87" s="11" t="s">
        <v>477</v>
      </c>
      <c r="G87" s="11" t="s">
        <v>487</v>
      </c>
      <c r="H87" s="11"/>
      <c r="I87" s="11"/>
      <c r="J87" s="11" t="s">
        <v>664</v>
      </c>
      <c r="K87" s="13">
        <v>45860</v>
      </c>
      <c r="L87" s="26" t="str">
        <f>_xlfn.TEXTBEFORE(liste_colisage[[#This Row],[Num Suivis]],"-",,,1)</f>
        <v>OF245886</v>
      </c>
      <c r="M87" s="26" t="str">
        <f>_xlfn.XLOOKUP(liste_colisage[[#This Row],[Num de Colis]],liste_palette[Num De colis],liste_palette[Num de Palette],"Magasin")</f>
        <v>PAL916</v>
      </c>
      <c r="N87" s="26" t="str">
        <f>_xlfn.XLOOKUP(liste_colisage[[#This Row],[Num de Colis]],liste_palette[Num De colis],liste_palette[Facture Export],"Magasin")</f>
        <v>PA-F25023</v>
      </c>
      <c r="O87" s="26" t="e">
        <f>_xlfn.XLOOKUP(liste_colisage[[#This Row],[Num OF]],#REF!,#REF!,"Non Trouvé")</f>
        <v>#REF!</v>
      </c>
      <c r="P87" s="26" t="e">
        <f>_xlfn.XLOOKUP(liste_colisage[[#This Row],[Num OF]],#REF!,#REF!,"Non Trouvé")</f>
        <v>#REF!</v>
      </c>
      <c r="Q87" s="26" t="e">
        <f>_xlfn.XLOOKUP(liste_colisage[[#This Row],[Num OF]],#REF!,#REF!,"Non Trouvé")</f>
        <v>#REF!</v>
      </c>
      <c r="R87" s="91" t="str">
        <f>IF(
   COUNTIFS($A$2:A87,A87,
             $E$2:E87,E87,
             $F$2:F87,F87,
             $G$2:G87,G87,
             $D$2:D87,D87,
             $K$2:K87,K87
             )&gt;1,
   "Doublon",
   "Correcte"
)</f>
        <v>Correcte</v>
      </c>
    </row>
    <row r="88" spans="1:18" ht="15" customHeight="1" x14ac:dyDescent="0.25">
      <c r="A88" s="11" t="s">
        <v>1122</v>
      </c>
      <c r="B88" s="96" t="s">
        <v>2577</v>
      </c>
      <c r="C88" s="96" t="s">
        <v>2661</v>
      </c>
      <c r="D88" s="12">
        <v>20</v>
      </c>
      <c r="E88" s="11" t="s">
        <v>13</v>
      </c>
      <c r="F88" s="11" t="s">
        <v>477</v>
      </c>
      <c r="G88" s="11" t="s">
        <v>486</v>
      </c>
      <c r="H88" s="11"/>
      <c r="I88" s="11"/>
      <c r="J88" s="11" t="s">
        <v>664</v>
      </c>
      <c r="K88" s="13">
        <v>45860</v>
      </c>
      <c r="L88" s="26" t="str">
        <f>_xlfn.TEXTBEFORE(liste_colisage[[#This Row],[Num Suivis]],"-",,,1)</f>
        <v>OF245885</v>
      </c>
      <c r="M88" s="26" t="str">
        <f>_xlfn.XLOOKUP(liste_colisage[[#This Row],[Num de Colis]],liste_palette[Num De colis],liste_palette[Num de Palette],"Magasin")</f>
        <v>PAL916</v>
      </c>
      <c r="N88" s="26" t="str">
        <f>_xlfn.XLOOKUP(liste_colisage[[#This Row],[Num de Colis]],liste_palette[Num De colis],liste_palette[Facture Export],"Magasin")</f>
        <v>PA-F25023</v>
      </c>
      <c r="O88" s="26" t="e">
        <f>_xlfn.XLOOKUP(liste_colisage[[#This Row],[Num OF]],#REF!,#REF!,"Non Trouvé")</f>
        <v>#REF!</v>
      </c>
      <c r="P88" s="26" t="e">
        <f>_xlfn.XLOOKUP(liste_colisage[[#This Row],[Num OF]],#REF!,#REF!,"Non Trouvé")</f>
        <v>#REF!</v>
      </c>
      <c r="Q88" s="26" t="e">
        <f>_xlfn.XLOOKUP(liste_colisage[[#This Row],[Num OF]],#REF!,#REF!,"Non Trouvé")</f>
        <v>#REF!</v>
      </c>
      <c r="R88" s="91" t="str">
        <f>IF(
   COUNTIFS($A$2:A88,A88,
             $E$2:E88,E88,
             $F$2:F88,F88,
             $G$2:G88,G88,
             $D$2:D88,D88,
             $K$2:K88,K88
             )&gt;1,
   "Doublon",
   "Correcte"
)</f>
        <v>Correcte</v>
      </c>
    </row>
    <row r="89" spans="1:18" ht="15" customHeight="1" x14ac:dyDescent="0.25">
      <c r="A89" s="11" t="s">
        <v>1122</v>
      </c>
      <c r="B89" s="96" t="s">
        <v>2577</v>
      </c>
      <c r="C89" s="96" t="s">
        <v>2662</v>
      </c>
      <c r="D89" s="12">
        <v>20</v>
      </c>
      <c r="E89" s="11" t="s">
        <v>13</v>
      </c>
      <c r="F89" s="11" t="s">
        <v>477</v>
      </c>
      <c r="G89" s="11" t="s">
        <v>485</v>
      </c>
      <c r="H89" s="11"/>
      <c r="I89" s="11"/>
      <c r="J89" s="11" t="s">
        <v>664</v>
      </c>
      <c r="K89" s="13">
        <v>45860</v>
      </c>
      <c r="L89" s="26" t="str">
        <f>_xlfn.TEXTBEFORE(liste_colisage[[#This Row],[Num Suivis]],"-",,,1)</f>
        <v>OF245884</v>
      </c>
      <c r="M89" s="26" t="str">
        <f>_xlfn.XLOOKUP(liste_colisage[[#This Row],[Num de Colis]],liste_palette[Num De colis],liste_palette[Num de Palette],"Magasin")</f>
        <v>PAL916</v>
      </c>
      <c r="N89" s="26" t="str">
        <f>_xlfn.XLOOKUP(liste_colisage[[#This Row],[Num de Colis]],liste_palette[Num De colis],liste_palette[Facture Export],"Magasin")</f>
        <v>PA-F25023</v>
      </c>
      <c r="O89" s="26" t="e">
        <f>_xlfn.XLOOKUP(liste_colisage[[#This Row],[Num OF]],#REF!,#REF!,"Non Trouvé")</f>
        <v>#REF!</v>
      </c>
      <c r="P89" s="26" t="e">
        <f>_xlfn.XLOOKUP(liste_colisage[[#This Row],[Num OF]],#REF!,#REF!,"Non Trouvé")</f>
        <v>#REF!</v>
      </c>
      <c r="Q89" s="26" t="e">
        <f>_xlfn.XLOOKUP(liste_colisage[[#This Row],[Num OF]],#REF!,#REF!,"Non Trouvé")</f>
        <v>#REF!</v>
      </c>
      <c r="R89" s="91" t="str">
        <f>IF(
   COUNTIFS($A$2:A89,A89,
             $E$2:E89,E89,
             $F$2:F89,F89,
             $G$2:G89,G89,
             $D$2:D89,D89,
             $K$2:K89,K89
             )&gt;1,
   "Doublon",
   "Correcte"
)</f>
        <v>Correcte</v>
      </c>
    </row>
    <row r="90" spans="1:18" ht="15" customHeight="1" x14ac:dyDescent="0.25">
      <c r="A90" s="11" t="s">
        <v>1123</v>
      </c>
      <c r="B90" s="96" t="s">
        <v>2577</v>
      </c>
      <c r="C90" s="96" t="s">
        <v>2653</v>
      </c>
      <c r="D90" s="12">
        <v>9</v>
      </c>
      <c r="E90" s="11" t="s">
        <v>13</v>
      </c>
      <c r="F90" s="11" t="s">
        <v>477</v>
      </c>
      <c r="G90" s="11" t="s">
        <v>478</v>
      </c>
      <c r="H90" s="11"/>
      <c r="I90" s="11"/>
      <c r="J90" s="11" t="s">
        <v>664</v>
      </c>
      <c r="K90" s="13">
        <v>45860</v>
      </c>
      <c r="L90" s="26" t="str">
        <f>_xlfn.TEXTBEFORE(liste_colisage[[#This Row],[Num Suivis]],"-",,,1)</f>
        <v>OF245877</v>
      </c>
      <c r="M90" s="26" t="str">
        <f>_xlfn.XLOOKUP(liste_colisage[[#This Row],[Num de Colis]],liste_palette[Num De colis],liste_palette[Num de Palette],"Magasin")</f>
        <v>PAL916</v>
      </c>
      <c r="N90" s="26" t="str">
        <f>_xlfn.XLOOKUP(liste_colisage[[#This Row],[Num de Colis]],liste_palette[Num De colis],liste_palette[Facture Export],"Magasin")</f>
        <v>PA-F25023</v>
      </c>
      <c r="O90" s="26" t="e">
        <f>_xlfn.XLOOKUP(liste_colisage[[#This Row],[Num OF]],#REF!,#REF!,"Non Trouvé")</f>
        <v>#REF!</v>
      </c>
      <c r="P90" s="26" t="e">
        <f>_xlfn.XLOOKUP(liste_colisage[[#This Row],[Num OF]],#REF!,#REF!,"Non Trouvé")</f>
        <v>#REF!</v>
      </c>
      <c r="Q90" s="26" t="e">
        <f>_xlfn.XLOOKUP(liste_colisage[[#This Row],[Num OF]],#REF!,#REF!,"Non Trouvé")</f>
        <v>#REF!</v>
      </c>
      <c r="R90" s="91" t="str">
        <f>IF(
   COUNTIFS($A$2:A90,A90,
             $E$2:E90,E90,
             $F$2:F90,F90,
             $G$2:G90,G90,
             $D$2:D90,D90,
             $K$2:K90,K90
             )&gt;1,
   "Doublon",
   "Correcte"
)</f>
        <v>Correcte</v>
      </c>
    </row>
    <row r="91" spans="1:18" ht="15" customHeight="1" x14ac:dyDescent="0.25">
      <c r="A91" s="11" t="s">
        <v>1123</v>
      </c>
      <c r="B91" s="96" t="s">
        <v>2577</v>
      </c>
      <c r="C91" s="96" t="s">
        <v>2658</v>
      </c>
      <c r="D91" s="12">
        <v>9</v>
      </c>
      <c r="E91" s="11" t="s">
        <v>13</v>
      </c>
      <c r="F91" s="11" t="s">
        <v>477</v>
      </c>
      <c r="G91" s="11" t="s">
        <v>483</v>
      </c>
      <c r="H91" s="11"/>
      <c r="I91" s="11"/>
      <c r="J91" s="11" t="s">
        <v>664</v>
      </c>
      <c r="K91" s="13">
        <v>45860</v>
      </c>
      <c r="L91" s="26" t="str">
        <f>_xlfn.TEXTBEFORE(liste_colisage[[#This Row],[Num Suivis]],"-",,,1)</f>
        <v>OF245882</v>
      </c>
      <c r="M91" s="26" t="str">
        <f>_xlfn.XLOOKUP(liste_colisage[[#This Row],[Num de Colis]],liste_palette[Num De colis],liste_palette[Num de Palette],"Magasin")</f>
        <v>PAL916</v>
      </c>
      <c r="N91" s="26" t="str">
        <f>_xlfn.XLOOKUP(liste_colisage[[#This Row],[Num de Colis]],liste_palette[Num De colis],liste_palette[Facture Export],"Magasin")</f>
        <v>PA-F25023</v>
      </c>
      <c r="O91" s="26" t="e">
        <f>_xlfn.XLOOKUP(liste_colisage[[#This Row],[Num OF]],#REF!,#REF!,"Non Trouvé")</f>
        <v>#REF!</v>
      </c>
      <c r="P91" s="26" t="e">
        <f>_xlfn.XLOOKUP(liste_colisage[[#This Row],[Num OF]],#REF!,#REF!,"Non Trouvé")</f>
        <v>#REF!</v>
      </c>
      <c r="Q91" s="26" t="e">
        <f>_xlfn.XLOOKUP(liste_colisage[[#This Row],[Num OF]],#REF!,#REF!,"Non Trouvé")</f>
        <v>#REF!</v>
      </c>
      <c r="R91" s="91" t="str">
        <f>IF(
   COUNTIFS($A$2:A91,A91,
             $E$2:E91,E91,
             $F$2:F91,F91,
             $G$2:G91,G91,
             $D$2:D91,D91,
             $K$2:K91,K91
             )&gt;1,
   "Doublon",
   "Correcte"
)</f>
        <v>Correcte</v>
      </c>
    </row>
    <row r="92" spans="1:18" ht="15" customHeight="1" x14ac:dyDescent="0.25">
      <c r="A92" s="11" t="s">
        <v>1123</v>
      </c>
      <c r="B92" s="96" t="s">
        <v>2577</v>
      </c>
      <c r="C92" s="96" t="s">
        <v>2657</v>
      </c>
      <c r="D92" s="12">
        <v>9</v>
      </c>
      <c r="E92" s="11" t="s">
        <v>13</v>
      </c>
      <c r="F92" s="11" t="s">
        <v>477</v>
      </c>
      <c r="G92" s="11" t="s">
        <v>484</v>
      </c>
      <c r="H92" s="11"/>
      <c r="I92" s="11"/>
      <c r="J92" s="11" t="s">
        <v>664</v>
      </c>
      <c r="K92" s="13">
        <v>45860</v>
      </c>
      <c r="L92" s="26" t="str">
        <f>_xlfn.TEXTBEFORE(liste_colisage[[#This Row],[Num Suivis]],"-",,,1)</f>
        <v>OF245883</v>
      </c>
      <c r="M92" s="26" t="str">
        <f>_xlfn.XLOOKUP(liste_colisage[[#This Row],[Num de Colis]],liste_palette[Num De colis],liste_palette[Num de Palette],"Magasin")</f>
        <v>PAL916</v>
      </c>
      <c r="N92" s="26" t="str">
        <f>_xlfn.XLOOKUP(liste_colisage[[#This Row],[Num de Colis]],liste_palette[Num De colis],liste_palette[Facture Export],"Magasin")</f>
        <v>PA-F25023</v>
      </c>
      <c r="O92" s="26" t="e">
        <f>_xlfn.XLOOKUP(liste_colisage[[#This Row],[Num OF]],#REF!,#REF!,"Non Trouvé")</f>
        <v>#REF!</v>
      </c>
      <c r="P92" s="26" t="e">
        <f>_xlfn.XLOOKUP(liste_colisage[[#This Row],[Num OF]],#REF!,#REF!,"Non Trouvé")</f>
        <v>#REF!</v>
      </c>
      <c r="Q92" s="26" t="e">
        <f>_xlfn.XLOOKUP(liste_colisage[[#This Row],[Num OF]],#REF!,#REF!,"Non Trouvé")</f>
        <v>#REF!</v>
      </c>
      <c r="R92" s="91" t="str">
        <f>IF(
   COUNTIFS($A$2:A92,A92,
             $E$2:E92,E92,
             $F$2:F92,F92,
             $G$2:G92,G92,
             $D$2:D92,D92,
             $K$2:K92,K92
             )&gt;1,
   "Doublon",
   "Correcte"
)</f>
        <v>Correcte</v>
      </c>
    </row>
    <row r="93" spans="1:18" ht="15" customHeight="1" x14ac:dyDescent="0.25">
      <c r="A93" s="11" t="s">
        <v>1123</v>
      </c>
      <c r="B93" s="96" t="s">
        <v>2577</v>
      </c>
      <c r="C93" s="96" t="s">
        <v>2654</v>
      </c>
      <c r="D93" s="12">
        <v>9</v>
      </c>
      <c r="E93" s="11" t="s">
        <v>13</v>
      </c>
      <c r="F93" s="11" t="s">
        <v>477</v>
      </c>
      <c r="G93" s="11" t="s">
        <v>476</v>
      </c>
      <c r="H93" s="11"/>
      <c r="I93" s="11"/>
      <c r="J93" s="11" t="s">
        <v>664</v>
      </c>
      <c r="K93" s="13">
        <v>45860</v>
      </c>
      <c r="L93" s="26" t="str">
        <f>_xlfn.TEXTBEFORE(liste_colisage[[#This Row],[Num Suivis]],"-",,,1)</f>
        <v>OF245876</v>
      </c>
      <c r="M93" s="26" t="str">
        <f>_xlfn.XLOOKUP(liste_colisage[[#This Row],[Num de Colis]],liste_palette[Num De colis],liste_palette[Num de Palette],"Magasin")</f>
        <v>PAL916</v>
      </c>
      <c r="N93" s="26" t="str">
        <f>_xlfn.XLOOKUP(liste_colisage[[#This Row],[Num de Colis]],liste_palette[Num De colis],liste_palette[Facture Export],"Magasin")</f>
        <v>PA-F25023</v>
      </c>
      <c r="O93" s="26" t="e">
        <f>_xlfn.XLOOKUP(liste_colisage[[#This Row],[Num OF]],#REF!,#REF!,"Non Trouvé")</f>
        <v>#REF!</v>
      </c>
      <c r="P93" s="26" t="e">
        <f>_xlfn.XLOOKUP(liste_colisage[[#This Row],[Num OF]],#REF!,#REF!,"Non Trouvé")</f>
        <v>#REF!</v>
      </c>
      <c r="Q93" s="26" t="e">
        <f>_xlfn.XLOOKUP(liste_colisage[[#This Row],[Num OF]],#REF!,#REF!,"Non Trouvé")</f>
        <v>#REF!</v>
      </c>
      <c r="R93" s="91" t="str">
        <f>IF(
   COUNTIFS($A$2:A93,A93,
             $E$2:E93,E93,
             $F$2:F93,F93,
             $G$2:G93,G93,
             $D$2:D93,D93,
             $K$2:K93,K93
             )&gt;1,
   "Doublon",
   "Correcte"
)</f>
        <v>Correcte</v>
      </c>
    </row>
    <row r="94" spans="1:18" ht="15" customHeight="1" x14ac:dyDescent="0.25">
      <c r="A94" s="11" t="s">
        <v>1124</v>
      </c>
      <c r="B94" s="96" t="s">
        <v>2540</v>
      </c>
      <c r="C94" s="96" t="s">
        <v>2663</v>
      </c>
      <c r="D94" s="12">
        <v>22</v>
      </c>
      <c r="E94" s="11" t="s">
        <v>13</v>
      </c>
      <c r="F94" s="11" t="s">
        <v>517</v>
      </c>
      <c r="G94" s="11" t="s">
        <v>551</v>
      </c>
      <c r="H94" s="11"/>
      <c r="I94" s="11"/>
      <c r="J94" s="11" t="s">
        <v>664</v>
      </c>
      <c r="K94" s="13">
        <v>45790</v>
      </c>
      <c r="L94" s="26" t="str">
        <f>_xlfn.TEXTBEFORE(liste_colisage[[#This Row],[Num Suivis]],"-",,,1)</f>
        <v>OF246545</v>
      </c>
      <c r="M94" s="26" t="str">
        <f>_xlfn.XLOOKUP(liste_colisage[[#This Row],[Num de Colis]],liste_palette[Num De colis],liste_palette[Num de Palette],"Magasin")</f>
        <v>PAL916</v>
      </c>
      <c r="N94" s="26" t="str">
        <f>_xlfn.XLOOKUP(liste_colisage[[#This Row],[Num de Colis]],liste_palette[Num De colis],liste_palette[Facture Export],"Magasin")</f>
        <v>PA-F25023</v>
      </c>
      <c r="O94" s="26" t="e">
        <f>_xlfn.XLOOKUP(liste_colisage[[#This Row],[Num OF]],#REF!,#REF!,"Non Trouvé")</f>
        <v>#REF!</v>
      </c>
      <c r="P94" s="26" t="e">
        <f>_xlfn.XLOOKUP(liste_colisage[[#This Row],[Num OF]],#REF!,#REF!,"Non Trouvé")</f>
        <v>#REF!</v>
      </c>
      <c r="Q94" s="26" t="e">
        <f>_xlfn.XLOOKUP(liste_colisage[[#This Row],[Num OF]],#REF!,#REF!,"Non Trouvé")</f>
        <v>#REF!</v>
      </c>
      <c r="R94" s="91" t="str">
        <f>IF(
   COUNTIFS($A$2:A94,A94,
             $E$2:E94,E94,
             $F$2:F94,F94,
             $G$2:G94,G94,
             $D$2:D94,D94,
             $K$2:K94,K94
             )&gt;1,
   "Doublon",
   "Correcte"
)</f>
        <v>Correcte</v>
      </c>
    </row>
    <row r="95" spans="1:18" ht="15" customHeight="1" x14ac:dyDescent="0.25">
      <c r="A95" s="11" t="s">
        <v>1125</v>
      </c>
      <c r="B95" s="96" t="s">
        <v>2540</v>
      </c>
      <c r="C95" s="96" t="s">
        <v>2663</v>
      </c>
      <c r="D95" s="12">
        <v>22</v>
      </c>
      <c r="E95" s="11" t="s">
        <v>13</v>
      </c>
      <c r="F95" s="11" t="s">
        <v>517</v>
      </c>
      <c r="G95" s="11" t="s">
        <v>551</v>
      </c>
      <c r="H95" s="11"/>
      <c r="I95" s="11"/>
      <c r="J95" s="11" t="s">
        <v>664</v>
      </c>
      <c r="K95" s="13">
        <v>45790</v>
      </c>
      <c r="L95" s="26" t="str">
        <f>_xlfn.TEXTBEFORE(liste_colisage[[#This Row],[Num Suivis]],"-",,,1)</f>
        <v>OF246545</v>
      </c>
      <c r="M95" s="26" t="str">
        <f>_xlfn.XLOOKUP(liste_colisage[[#This Row],[Num de Colis]],liste_palette[Num De colis],liste_palette[Num de Palette],"Magasin")</f>
        <v>PAL916</v>
      </c>
      <c r="N95" s="26" t="str">
        <f>_xlfn.XLOOKUP(liste_colisage[[#This Row],[Num de Colis]],liste_palette[Num De colis],liste_palette[Facture Export],"Magasin")</f>
        <v>PA-F25023</v>
      </c>
      <c r="O95" s="26" t="e">
        <f>_xlfn.XLOOKUP(liste_colisage[[#This Row],[Num OF]],#REF!,#REF!,"Non Trouvé")</f>
        <v>#REF!</v>
      </c>
      <c r="P95" s="26" t="e">
        <f>_xlfn.XLOOKUP(liste_colisage[[#This Row],[Num OF]],#REF!,#REF!,"Non Trouvé")</f>
        <v>#REF!</v>
      </c>
      <c r="Q95" s="26" t="e">
        <f>_xlfn.XLOOKUP(liste_colisage[[#This Row],[Num OF]],#REF!,#REF!,"Non Trouvé")</f>
        <v>#REF!</v>
      </c>
      <c r="R95" s="91" t="str">
        <f>IF(
   COUNTIFS($A$2:A95,A95,
             $E$2:E95,E95,
             $F$2:F95,F95,
             $G$2:G95,G95,
             $D$2:D95,D95,
             $K$2:K95,K95
             )&gt;1,
   "Doublon",
   "Correcte"
)</f>
        <v>Correcte</v>
      </c>
    </row>
    <row r="96" spans="1:18" ht="15" customHeight="1" x14ac:dyDescent="0.25">
      <c r="A96" s="11" t="s">
        <v>1126</v>
      </c>
      <c r="B96" s="96" t="s">
        <v>2578</v>
      </c>
      <c r="C96" s="96" t="s">
        <v>2664</v>
      </c>
      <c r="D96" s="12">
        <v>40</v>
      </c>
      <c r="E96" s="11" t="s">
        <v>13</v>
      </c>
      <c r="F96" s="11" t="s">
        <v>573</v>
      </c>
      <c r="G96" s="11" t="s">
        <v>527</v>
      </c>
      <c r="H96" s="11"/>
      <c r="I96" s="11"/>
      <c r="J96" s="11" t="s">
        <v>664</v>
      </c>
      <c r="K96" s="13">
        <v>45927</v>
      </c>
      <c r="L96" s="26" t="str">
        <f>_xlfn.TEXTBEFORE(liste_colisage[[#This Row],[Num Suivis]],"-",,,1)</f>
        <v>OF246516</v>
      </c>
      <c r="M96" s="26" t="str">
        <f>_xlfn.XLOOKUP(liste_colisage[[#This Row],[Num de Colis]],liste_palette[Num De colis],liste_palette[Num de Palette],"Magasin")</f>
        <v>PAL915</v>
      </c>
      <c r="N96" s="26" t="str">
        <f>_xlfn.XLOOKUP(liste_colisage[[#This Row],[Num de Colis]],liste_palette[Num De colis],liste_palette[Facture Export],"Magasin")</f>
        <v>PA-F25023</v>
      </c>
      <c r="O96" s="26" t="e">
        <f>_xlfn.XLOOKUP(liste_colisage[[#This Row],[Num OF]],#REF!,#REF!,"Non Trouvé")</f>
        <v>#REF!</v>
      </c>
      <c r="P96" s="26" t="e">
        <f>_xlfn.XLOOKUP(liste_colisage[[#This Row],[Num OF]],#REF!,#REF!,"Non Trouvé")</f>
        <v>#REF!</v>
      </c>
      <c r="Q96" s="26" t="e">
        <f>_xlfn.XLOOKUP(liste_colisage[[#This Row],[Num OF]],#REF!,#REF!,"Non Trouvé")</f>
        <v>#REF!</v>
      </c>
      <c r="R96" s="91" t="str">
        <f>IF(
   COUNTIFS($A$2:A96,A96,
             $E$2:E96,E96,
             $F$2:F96,F96,
             $G$2:G96,G96,
             $D$2:D96,D96,
             $K$2:K96,K96
             )&gt;1,
   "Doublon",
   "Correcte"
)</f>
        <v>Correcte</v>
      </c>
    </row>
    <row r="97" spans="1:18" ht="15" customHeight="1" x14ac:dyDescent="0.25">
      <c r="A97" s="11" t="s">
        <v>1126</v>
      </c>
      <c r="B97" s="96" t="s">
        <v>2578</v>
      </c>
      <c r="C97" s="96" t="s">
        <v>2665</v>
      </c>
      <c r="D97" s="12">
        <v>40</v>
      </c>
      <c r="E97" s="11" t="s">
        <v>13</v>
      </c>
      <c r="F97" s="11" t="s">
        <v>573</v>
      </c>
      <c r="G97" s="11" t="s">
        <v>526</v>
      </c>
      <c r="H97" s="11"/>
      <c r="I97" s="11"/>
      <c r="J97" s="11" t="s">
        <v>664</v>
      </c>
      <c r="K97" s="13">
        <v>45927</v>
      </c>
      <c r="L97" s="26" t="str">
        <f>_xlfn.TEXTBEFORE(liste_colisage[[#This Row],[Num Suivis]],"-",,,1)</f>
        <v>OF246515</v>
      </c>
      <c r="M97" s="26" t="str">
        <f>_xlfn.XLOOKUP(liste_colisage[[#This Row],[Num de Colis]],liste_palette[Num De colis],liste_palette[Num de Palette],"Magasin")</f>
        <v>PAL915</v>
      </c>
      <c r="N97" s="26" t="str">
        <f>_xlfn.XLOOKUP(liste_colisage[[#This Row],[Num de Colis]],liste_palette[Num De colis],liste_palette[Facture Export],"Magasin")</f>
        <v>PA-F25023</v>
      </c>
      <c r="O97" s="26" t="e">
        <f>_xlfn.XLOOKUP(liste_colisage[[#This Row],[Num OF]],#REF!,#REF!,"Non Trouvé")</f>
        <v>#REF!</v>
      </c>
      <c r="P97" s="26" t="e">
        <f>_xlfn.XLOOKUP(liste_colisage[[#This Row],[Num OF]],#REF!,#REF!,"Non Trouvé")</f>
        <v>#REF!</v>
      </c>
      <c r="Q97" s="26" t="e">
        <f>_xlfn.XLOOKUP(liste_colisage[[#This Row],[Num OF]],#REF!,#REF!,"Non Trouvé")</f>
        <v>#REF!</v>
      </c>
      <c r="R97" s="91" t="str">
        <f>IF(
   COUNTIFS($A$2:A97,A97,
             $E$2:E97,E97,
             $F$2:F97,F97,
             $G$2:G97,G97,
             $D$2:D97,D97,
             $K$2:K97,K97
             )&gt;1,
   "Doublon",
   "Correcte"
)</f>
        <v>Correcte</v>
      </c>
    </row>
    <row r="98" spans="1:18" ht="15" customHeight="1" x14ac:dyDescent="0.25">
      <c r="A98" s="11" t="s">
        <v>1127</v>
      </c>
      <c r="B98" s="96" t="s">
        <v>2539</v>
      </c>
      <c r="C98" s="96" t="s">
        <v>2666</v>
      </c>
      <c r="D98" s="12">
        <v>40</v>
      </c>
      <c r="E98" s="11" t="s">
        <v>13</v>
      </c>
      <c r="F98" s="11" t="s">
        <v>12</v>
      </c>
      <c r="G98" s="11" t="s">
        <v>11</v>
      </c>
      <c r="H98" s="11"/>
      <c r="I98" s="11"/>
      <c r="J98" s="11" t="s">
        <v>664</v>
      </c>
      <c r="K98" s="13">
        <v>45926</v>
      </c>
      <c r="L98" s="26" t="str">
        <f>_xlfn.TEXTBEFORE(liste_colisage[[#This Row],[Num Suivis]],"-",,,1)</f>
        <v>OF250128</v>
      </c>
      <c r="M98" s="26" t="str">
        <f>_xlfn.XLOOKUP(liste_colisage[[#This Row],[Num de Colis]],liste_palette[Num De colis],liste_palette[Num de Palette],"Magasin")</f>
        <v>PAL915</v>
      </c>
      <c r="N98" s="26" t="str">
        <f>_xlfn.XLOOKUP(liste_colisage[[#This Row],[Num de Colis]],liste_palette[Num De colis],liste_palette[Facture Export],"Magasin")</f>
        <v>PA-F25023</v>
      </c>
      <c r="O98" s="26" t="e">
        <f>_xlfn.XLOOKUP(liste_colisage[[#This Row],[Num OF]],#REF!,#REF!,"Non Trouvé")</f>
        <v>#REF!</v>
      </c>
      <c r="P98" s="26" t="e">
        <f>_xlfn.XLOOKUP(liste_colisage[[#This Row],[Num OF]],#REF!,#REF!,"Non Trouvé")</f>
        <v>#REF!</v>
      </c>
      <c r="Q98" s="26" t="e">
        <f>_xlfn.XLOOKUP(liste_colisage[[#This Row],[Num OF]],#REF!,#REF!,"Non Trouvé")</f>
        <v>#REF!</v>
      </c>
      <c r="R98" s="91" t="str">
        <f>IF(
   COUNTIFS($A$2:A98,A98,
             $E$2:E98,E98,
             $F$2:F98,F98,
             $G$2:G98,G98,
             $D$2:D98,D98,
             $K$2:K98,K98
             )&gt;1,
   "Doublon",
   "Correcte"
)</f>
        <v>Correcte</v>
      </c>
    </row>
    <row r="99" spans="1:18" ht="15" customHeight="1" x14ac:dyDescent="0.25">
      <c r="A99" s="11" t="s">
        <v>1127</v>
      </c>
      <c r="B99" s="96" t="s">
        <v>2539</v>
      </c>
      <c r="C99" s="96" t="s">
        <v>2667</v>
      </c>
      <c r="D99" s="12">
        <v>40</v>
      </c>
      <c r="E99" s="11" t="s">
        <v>13</v>
      </c>
      <c r="F99" s="11" t="s">
        <v>12</v>
      </c>
      <c r="G99" s="11" t="s">
        <v>14</v>
      </c>
      <c r="H99" s="11"/>
      <c r="I99" s="11"/>
      <c r="J99" s="11" t="s">
        <v>664</v>
      </c>
      <c r="K99" s="13">
        <v>45926</v>
      </c>
      <c r="L99" s="26" t="str">
        <f>_xlfn.TEXTBEFORE(liste_colisage[[#This Row],[Num Suivis]],"-",,,1)</f>
        <v>OF250129</v>
      </c>
      <c r="M99" s="26" t="str">
        <f>_xlfn.XLOOKUP(liste_colisage[[#This Row],[Num de Colis]],liste_palette[Num De colis],liste_palette[Num de Palette],"Magasin")</f>
        <v>PAL915</v>
      </c>
      <c r="N99" s="26" t="str">
        <f>_xlfn.XLOOKUP(liste_colisage[[#This Row],[Num de Colis]],liste_palette[Num De colis],liste_palette[Facture Export],"Magasin")</f>
        <v>PA-F25023</v>
      </c>
      <c r="O99" s="26" t="e">
        <f>_xlfn.XLOOKUP(liste_colisage[[#This Row],[Num OF]],#REF!,#REF!,"Non Trouvé")</f>
        <v>#REF!</v>
      </c>
      <c r="P99" s="26" t="e">
        <f>_xlfn.XLOOKUP(liste_colisage[[#This Row],[Num OF]],#REF!,#REF!,"Non Trouvé")</f>
        <v>#REF!</v>
      </c>
      <c r="Q99" s="26" t="e">
        <f>_xlfn.XLOOKUP(liste_colisage[[#This Row],[Num OF]],#REF!,#REF!,"Non Trouvé")</f>
        <v>#REF!</v>
      </c>
      <c r="R99" s="91" t="str">
        <f>IF(
   COUNTIFS($A$2:A99,A99,
             $E$2:E99,E99,
             $F$2:F99,F99,
             $G$2:G99,G99,
             $D$2:D99,D99,
             $K$2:K99,K99
             )&gt;1,
   "Doublon",
   "Correcte"
)</f>
        <v>Correcte</v>
      </c>
    </row>
    <row r="100" spans="1:18" ht="15" customHeight="1" x14ac:dyDescent="0.25">
      <c r="A100" s="11" t="s">
        <v>1128</v>
      </c>
      <c r="B100" s="96" t="s">
        <v>2539</v>
      </c>
      <c r="C100" s="96" t="s">
        <v>2666</v>
      </c>
      <c r="D100" s="12">
        <v>40</v>
      </c>
      <c r="E100" s="11" t="s">
        <v>13</v>
      </c>
      <c r="F100" s="11" t="s">
        <v>12</v>
      </c>
      <c r="G100" s="11" t="s">
        <v>11</v>
      </c>
      <c r="H100" s="11"/>
      <c r="I100" s="11"/>
      <c r="J100" s="11" t="s">
        <v>664</v>
      </c>
      <c r="K100" s="13">
        <v>45926</v>
      </c>
      <c r="L100" s="26" t="str">
        <f>_xlfn.TEXTBEFORE(liste_colisage[[#This Row],[Num Suivis]],"-",,,1)</f>
        <v>OF250128</v>
      </c>
      <c r="M100" s="26" t="str">
        <f>_xlfn.XLOOKUP(liste_colisage[[#This Row],[Num de Colis]],liste_palette[Num De colis],liste_palette[Num de Palette],"Magasin")</f>
        <v>PAL915</v>
      </c>
      <c r="N100" s="26" t="str">
        <f>_xlfn.XLOOKUP(liste_colisage[[#This Row],[Num de Colis]],liste_palette[Num De colis],liste_palette[Facture Export],"Magasin")</f>
        <v>PA-F25023</v>
      </c>
      <c r="O100" s="26" t="e">
        <f>_xlfn.XLOOKUP(liste_colisage[[#This Row],[Num OF]],#REF!,#REF!,"Non Trouvé")</f>
        <v>#REF!</v>
      </c>
      <c r="P100" s="26" t="e">
        <f>_xlfn.XLOOKUP(liste_colisage[[#This Row],[Num OF]],#REF!,#REF!,"Non Trouvé")</f>
        <v>#REF!</v>
      </c>
      <c r="Q100" s="26" t="e">
        <f>_xlfn.XLOOKUP(liste_colisage[[#This Row],[Num OF]],#REF!,#REF!,"Non Trouvé")</f>
        <v>#REF!</v>
      </c>
      <c r="R100" s="91" t="str">
        <f>IF(
   COUNTIFS($A$2:A100,A100,
             $E$2:E100,E100,
             $F$2:F100,F100,
             $G$2:G100,G100,
             $D$2:D100,D100,
             $K$2:K100,K100
             )&gt;1,
   "Doublon",
   "Correcte"
)</f>
        <v>Correcte</v>
      </c>
    </row>
    <row r="101" spans="1:18" ht="15" customHeight="1" x14ac:dyDescent="0.25">
      <c r="A101" s="11" t="s">
        <v>1128</v>
      </c>
      <c r="B101" s="96" t="s">
        <v>2539</v>
      </c>
      <c r="C101" s="96" t="s">
        <v>2667</v>
      </c>
      <c r="D101" s="12">
        <v>40</v>
      </c>
      <c r="E101" s="11" t="s">
        <v>13</v>
      </c>
      <c r="F101" s="11" t="s">
        <v>12</v>
      </c>
      <c r="G101" s="11" t="s">
        <v>14</v>
      </c>
      <c r="H101" s="11"/>
      <c r="I101" s="11"/>
      <c r="J101" s="11" t="s">
        <v>664</v>
      </c>
      <c r="K101" s="13">
        <v>45926</v>
      </c>
      <c r="L101" s="26" t="str">
        <f>_xlfn.TEXTBEFORE(liste_colisage[[#This Row],[Num Suivis]],"-",,,1)</f>
        <v>OF250129</v>
      </c>
      <c r="M101" s="26" t="str">
        <f>_xlfn.XLOOKUP(liste_colisage[[#This Row],[Num de Colis]],liste_palette[Num De colis],liste_palette[Num de Palette],"Magasin")</f>
        <v>PAL915</v>
      </c>
      <c r="N101" s="26" t="str">
        <f>_xlfn.XLOOKUP(liste_colisage[[#This Row],[Num de Colis]],liste_palette[Num De colis],liste_palette[Facture Export],"Magasin")</f>
        <v>PA-F25023</v>
      </c>
      <c r="O101" s="26" t="e">
        <f>_xlfn.XLOOKUP(liste_colisage[[#This Row],[Num OF]],#REF!,#REF!,"Non Trouvé")</f>
        <v>#REF!</v>
      </c>
      <c r="P101" s="26" t="e">
        <f>_xlfn.XLOOKUP(liste_colisage[[#This Row],[Num OF]],#REF!,#REF!,"Non Trouvé")</f>
        <v>#REF!</v>
      </c>
      <c r="Q101" s="26" t="e">
        <f>_xlfn.XLOOKUP(liste_colisage[[#This Row],[Num OF]],#REF!,#REF!,"Non Trouvé")</f>
        <v>#REF!</v>
      </c>
      <c r="R101" s="91" t="str">
        <f>IF(
   COUNTIFS($A$2:A101,A101,
             $E$2:E101,E101,
             $F$2:F101,F101,
             $G$2:G101,G101,
             $D$2:D101,D101,
             $K$2:K101,K101
             )&gt;1,
   "Doublon",
   "Correcte"
)</f>
        <v>Correcte</v>
      </c>
    </row>
    <row r="102" spans="1:18" ht="15" customHeight="1" x14ac:dyDescent="0.25">
      <c r="A102" s="11" t="s">
        <v>1129</v>
      </c>
      <c r="B102" s="96" t="s">
        <v>2539</v>
      </c>
      <c r="C102" s="96" t="s">
        <v>2666</v>
      </c>
      <c r="D102" s="12">
        <v>40</v>
      </c>
      <c r="E102" s="11" t="s">
        <v>13</v>
      </c>
      <c r="F102" s="11" t="s">
        <v>12</v>
      </c>
      <c r="G102" s="11" t="s">
        <v>11</v>
      </c>
      <c r="H102" s="11"/>
      <c r="I102" s="11"/>
      <c r="J102" s="11" t="s">
        <v>664</v>
      </c>
      <c r="K102" s="13">
        <v>45926</v>
      </c>
      <c r="L102" s="26" t="str">
        <f>_xlfn.TEXTBEFORE(liste_colisage[[#This Row],[Num Suivis]],"-",,,1)</f>
        <v>OF250128</v>
      </c>
      <c r="M102" s="26" t="str">
        <f>_xlfn.XLOOKUP(liste_colisage[[#This Row],[Num de Colis]],liste_palette[Num De colis],liste_palette[Num de Palette],"Magasin")</f>
        <v>PAL915</v>
      </c>
      <c r="N102" s="26" t="str">
        <f>_xlfn.XLOOKUP(liste_colisage[[#This Row],[Num de Colis]],liste_palette[Num De colis],liste_palette[Facture Export],"Magasin")</f>
        <v>PA-F25023</v>
      </c>
      <c r="O102" s="26" t="e">
        <f>_xlfn.XLOOKUP(liste_colisage[[#This Row],[Num OF]],#REF!,#REF!,"Non Trouvé")</f>
        <v>#REF!</v>
      </c>
      <c r="P102" s="26" t="e">
        <f>_xlfn.XLOOKUP(liste_colisage[[#This Row],[Num OF]],#REF!,#REF!,"Non Trouvé")</f>
        <v>#REF!</v>
      </c>
      <c r="Q102" s="26" t="e">
        <f>_xlfn.XLOOKUP(liste_colisage[[#This Row],[Num OF]],#REF!,#REF!,"Non Trouvé")</f>
        <v>#REF!</v>
      </c>
      <c r="R102" s="91" t="str">
        <f>IF(
   COUNTIFS($A$2:A102,A102,
             $E$2:E102,E102,
             $F$2:F102,F102,
             $G$2:G102,G102,
             $D$2:D102,D102,
             $K$2:K102,K102
             )&gt;1,
   "Doublon",
   "Correcte"
)</f>
        <v>Correcte</v>
      </c>
    </row>
    <row r="103" spans="1:18" ht="15" customHeight="1" x14ac:dyDescent="0.25">
      <c r="A103" s="11" t="s">
        <v>1129</v>
      </c>
      <c r="B103" s="96" t="s">
        <v>2539</v>
      </c>
      <c r="C103" s="96" t="s">
        <v>2667</v>
      </c>
      <c r="D103" s="12">
        <v>40</v>
      </c>
      <c r="E103" s="11" t="s">
        <v>13</v>
      </c>
      <c r="F103" s="11" t="s">
        <v>12</v>
      </c>
      <c r="G103" s="11" t="s">
        <v>14</v>
      </c>
      <c r="H103" s="11"/>
      <c r="I103" s="11"/>
      <c r="J103" s="11" t="s">
        <v>664</v>
      </c>
      <c r="K103" s="13">
        <v>45926</v>
      </c>
      <c r="L103" s="26" t="str">
        <f>_xlfn.TEXTBEFORE(liste_colisage[[#This Row],[Num Suivis]],"-",,,1)</f>
        <v>OF250129</v>
      </c>
      <c r="M103" s="26" t="str">
        <f>_xlfn.XLOOKUP(liste_colisage[[#This Row],[Num de Colis]],liste_palette[Num De colis],liste_palette[Num de Palette],"Magasin")</f>
        <v>PAL915</v>
      </c>
      <c r="N103" s="26" t="str">
        <f>_xlfn.XLOOKUP(liste_colisage[[#This Row],[Num de Colis]],liste_palette[Num De colis],liste_palette[Facture Export],"Magasin")</f>
        <v>PA-F25023</v>
      </c>
      <c r="O103" s="26" t="e">
        <f>_xlfn.XLOOKUP(liste_colisage[[#This Row],[Num OF]],#REF!,#REF!,"Non Trouvé")</f>
        <v>#REF!</v>
      </c>
      <c r="P103" s="26" t="e">
        <f>_xlfn.XLOOKUP(liste_colisage[[#This Row],[Num OF]],#REF!,#REF!,"Non Trouvé")</f>
        <v>#REF!</v>
      </c>
      <c r="Q103" s="26" t="e">
        <f>_xlfn.XLOOKUP(liste_colisage[[#This Row],[Num OF]],#REF!,#REF!,"Non Trouvé")</f>
        <v>#REF!</v>
      </c>
      <c r="R103" s="91" t="str">
        <f>IF(
   COUNTIFS($A$2:A103,A103,
             $E$2:E103,E103,
             $F$2:F103,F103,
             $G$2:G103,G103,
             $D$2:D103,D103,
             $K$2:K103,K103
             )&gt;1,
   "Doublon",
   "Correcte"
)</f>
        <v>Correcte</v>
      </c>
    </row>
    <row r="104" spans="1:18" ht="15" customHeight="1" x14ac:dyDescent="0.25">
      <c r="A104" s="11" t="s">
        <v>1130</v>
      </c>
      <c r="B104" s="96" t="s">
        <v>2539</v>
      </c>
      <c r="C104" s="96" t="s">
        <v>2666</v>
      </c>
      <c r="D104" s="12">
        <v>40</v>
      </c>
      <c r="E104" s="11" t="s">
        <v>13</v>
      </c>
      <c r="F104" s="11" t="s">
        <v>12</v>
      </c>
      <c r="G104" s="11" t="s">
        <v>11</v>
      </c>
      <c r="H104" s="11"/>
      <c r="I104" s="11"/>
      <c r="J104" s="11" t="s">
        <v>664</v>
      </c>
      <c r="K104" s="13">
        <v>45926</v>
      </c>
      <c r="L104" s="26" t="str">
        <f>_xlfn.TEXTBEFORE(liste_colisage[[#This Row],[Num Suivis]],"-",,,1)</f>
        <v>OF250128</v>
      </c>
      <c r="M104" s="26" t="str">
        <f>_xlfn.XLOOKUP(liste_colisage[[#This Row],[Num de Colis]],liste_palette[Num De colis],liste_palette[Num de Palette],"Magasin")</f>
        <v>PAL915</v>
      </c>
      <c r="N104" s="26" t="str">
        <f>_xlfn.XLOOKUP(liste_colisage[[#This Row],[Num de Colis]],liste_palette[Num De colis],liste_palette[Facture Export],"Magasin")</f>
        <v>PA-F25023</v>
      </c>
      <c r="O104" s="26" t="e">
        <f>_xlfn.XLOOKUP(liste_colisage[[#This Row],[Num OF]],#REF!,#REF!,"Non Trouvé")</f>
        <v>#REF!</v>
      </c>
      <c r="P104" s="26" t="e">
        <f>_xlfn.XLOOKUP(liste_colisage[[#This Row],[Num OF]],#REF!,#REF!,"Non Trouvé")</f>
        <v>#REF!</v>
      </c>
      <c r="Q104" s="26" t="e">
        <f>_xlfn.XLOOKUP(liste_colisage[[#This Row],[Num OF]],#REF!,#REF!,"Non Trouvé")</f>
        <v>#REF!</v>
      </c>
      <c r="R104" s="91" t="str">
        <f>IF(
   COUNTIFS($A$2:A104,A104,
             $E$2:E104,E104,
             $F$2:F104,F104,
             $G$2:G104,G104,
             $D$2:D104,D104,
             $K$2:K104,K104
             )&gt;1,
   "Doublon",
   "Correcte"
)</f>
        <v>Correcte</v>
      </c>
    </row>
    <row r="105" spans="1:18" ht="15" customHeight="1" x14ac:dyDescent="0.25">
      <c r="A105" s="11" t="s">
        <v>1130</v>
      </c>
      <c r="B105" s="96" t="s">
        <v>2539</v>
      </c>
      <c r="C105" s="96" t="s">
        <v>2667</v>
      </c>
      <c r="D105" s="12">
        <v>40</v>
      </c>
      <c r="E105" s="11" t="s">
        <v>13</v>
      </c>
      <c r="F105" s="11" t="s">
        <v>12</v>
      </c>
      <c r="G105" s="11" t="s">
        <v>14</v>
      </c>
      <c r="H105" s="11"/>
      <c r="I105" s="11"/>
      <c r="J105" s="11" t="s">
        <v>664</v>
      </c>
      <c r="K105" s="13">
        <v>45926</v>
      </c>
      <c r="L105" s="26" t="str">
        <f>_xlfn.TEXTBEFORE(liste_colisage[[#This Row],[Num Suivis]],"-",,,1)</f>
        <v>OF250129</v>
      </c>
      <c r="M105" s="26" t="str">
        <f>_xlfn.XLOOKUP(liste_colisage[[#This Row],[Num de Colis]],liste_palette[Num De colis],liste_palette[Num de Palette],"Magasin")</f>
        <v>PAL915</v>
      </c>
      <c r="N105" s="26" t="str">
        <f>_xlfn.XLOOKUP(liste_colisage[[#This Row],[Num de Colis]],liste_palette[Num De colis],liste_palette[Facture Export],"Magasin")</f>
        <v>PA-F25023</v>
      </c>
      <c r="O105" s="26" t="e">
        <f>_xlfn.XLOOKUP(liste_colisage[[#This Row],[Num OF]],#REF!,#REF!,"Non Trouvé")</f>
        <v>#REF!</v>
      </c>
      <c r="P105" s="26" t="e">
        <f>_xlfn.XLOOKUP(liste_colisage[[#This Row],[Num OF]],#REF!,#REF!,"Non Trouvé")</f>
        <v>#REF!</v>
      </c>
      <c r="Q105" s="26" t="e">
        <f>_xlfn.XLOOKUP(liste_colisage[[#This Row],[Num OF]],#REF!,#REF!,"Non Trouvé")</f>
        <v>#REF!</v>
      </c>
      <c r="R105" s="91" t="str">
        <f>IF(
   COUNTIFS($A$2:A105,A105,
             $E$2:E105,E105,
             $F$2:F105,F105,
             $G$2:G105,G105,
             $D$2:D105,D105,
             $K$2:K105,K105
             )&gt;1,
   "Doublon",
   "Correcte"
)</f>
        <v>Correcte</v>
      </c>
    </row>
    <row r="106" spans="1:18" ht="15" customHeight="1" x14ac:dyDescent="0.25">
      <c r="A106" s="11" t="s">
        <v>1131</v>
      </c>
      <c r="B106" s="96" t="s">
        <v>2539</v>
      </c>
      <c r="C106" s="96" t="s">
        <v>2666</v>
      </c>
      <c r="D106" s="12">
        <v>40</v>
      </c>
      <c r="E106" s="11" t="s">
        <v>13</v>
      </c>
      <c r="F106" s="11" t="s">
        <v>12</v>
      </c>
      <c r="G106" s="11" t="s">
        <v>11</v>
      </c>
      <c r="H106" s="11"/>
      <c r="I106" s="11"/>
      <c r="J106" s="11" t="s">
        <v>664</v>
      </c>
      <c r="K106" s="13">
        <v>45926</v>
      </c>
      <c r="L106" s="26" t="str">
        <f>_xlfn.TEXTBEFORE(liste_colisage[[#This Row],[Num Suivis]],"-",,,1)</f>
        <v>OF250128</v>
      </c>
      <c r="M106" s="26" t="str">
        <f>_xlfn.XLOOKUP(liste_colisage[[#This Row],[Num de Colis]],liste_palette[Num De colis],liste_palette[Num de Palette],"Magasin")</f>
        <v>PAL915</v>
      </c>
      <c r="N106" s="26" t="str">
        <f>_xlfn.XLOOKUP(liste_colisage[[#This Row],[Num de Colis]],liste_palette[Num De colis],liste_palette[Facture Export],"Magasin")</f>
        <v>PA-F25023</v>
      </c>
      <c r="O106" s="26" t="e">
        <f>_xlfn.XLOOKUP(liste_colisage[[#This Row],[Num OF]],#REF!,#REF!,"Non Trouvé")</f>
        <v>#REF!</v>
      </c>
      <c r="P106" s="26" t="e">
        <f>_xlfn.XLOOKUP(liste_colisage[[#This Row],[Num OF]],#REF!,#REF!,"Non Trouvé")</f>
        <v>#REF!</v>
      </c>
      <c r="Q106" s="26" t="e">
        <f>_xlfn.XLOOKUP(liste_colisage[[#This Row],[Num OF]],#REF!,#REF!,"Non Trouvé")</f>
        <v>#REF!</v>
      </c>
      <c r="R106" s="91" t="str">
        <f>IF(
   COUNTIFS($A$2:A106,A106,
             $E$2:E106,E106,
             $F$2:F106,F106,
             $G$2:G106,G106,
             $D$2:D106,D106,
             $K$2:K106,K106
             )&gt;1,
   "Doublon",
   "Correcte"
)</f>
        <v>Correcte</v>
      </c>
    </row>
    <row r="107" spans="1:18" ht="15" customHeight="1" x14ac:dyDescent="0.25">
      <c r="A107" s="11" t="s">
        <v>1131</v>
      </c>
      <c r="B107" s="96" t="s">
        <v>2539</v>
      </c>
      <c r="C107" s="96" t="s">
        <v>2667</v>
      </c>
      <c r="D107" s="12">
        <v>40</v>
      </c>
      <c r="E107" s="11" t="s">
        <v>13</v>
      </c>
      <c r="F107" s="11" t="s">
        <v>12</v>
      </c>
      <c r="G107" s="11" t="s">
        <v>14</v>
      </c>
      <c r="H107" s="11"/>
      <c r="I107" s="11"/>
      <c r="J107" s="11" t="s">
        <v>664</v>
      </c>
      <c r="K107" s="13">
        <v>45926</v>
      </c>
      <c r="L107" s="26" t="str">
        <f>_xlfn.TEXTBEFORE(liste_colisage[[#This Row],[Num Suivis]],"-",,,1)</f>
        <v>OF250129</v>
      </c>
      <c r="M107" s="26" t="str">
        <f>_xlfn.XLOOKUP(liste_colisage[[#This Row],[Num de Colis]],liste_palette[Num De colis],liste_palette[Num de Palette],"Magasin")</f>
        <v>PAL915</v>
      </c>
      <c r="N107" s="26" t="str">
        <f>_xlfn.XLOOKUP(liste_colisage[[#This Row],[Num de Colis]],liste_palette[Num De colis],liste_palette[Facture Export],"Magasin")</f>
        <v>PA-F25023</v>
      </c>
      <c r="O107" s="26" t="e">
        <f>_xlfn.XLOOKUP(liste_colisage[[#This Row],[Num OF]],#REF!,#REF!,"Non Trouvé")</f>
        <v>#REF!</v>
      </c>
      <c r="P107" s="26" t="e">
        <f>_xlfn.XLOOKUP(liste_colisage[[#This Row],[Num OF]],#REF!,#REF!,"Non Trouvé")</f>
        <v>#REF!</v>
      </c>
      <c r="Q107" s="26" t="e">
        <f>_xlfn.XLOOKUP(liste_colisage[[#This Row],[Num OF]],#REF!,#REF!,"Non Trouvé")</f>
        <v>#REF!</v>
      </c>
      <c r="R107" s="91" t="str">
        <f>IF(
   COUNTIFS($A$2:A107,A107,
             $E$2:E107,E107,
             $F$2:F107,F107,
             $G$2:G107,G107,
             $D$2:D107,D107,
             $K$2:K107,K107
             )&gt;1,
   "Doublon",
   "Correcte"
)</f>
        <v>Correcte</v>
      </c>
    </row>
    <row r="108" spans="1:18" ht="15" customHeight="1" x14ac:dyDescent="0.25">
      <c r="A108" s="11" t="s">
        <v>1132</v>
      </c>
      <c r="B108" s="96" t="s">
        <v>2575</v>
      </c>
      <c r="C108" s="96" t="s">
        <v>2668</v>
      </c>
      <c r="D108" s="12">
        <v>40</v>
      </c>
      <c r="E108" s="11" t="s">
        <v>13</v>
      </c>
      <c r="F108" s="11" t="s">
        <v>418</v>
      </c>
      <c r="G108" s="11" t="s">
        <v>471</v>
      </c>
      <c r="H108" s="11"/>
      <c r="I108" s="11"/>
      <c r="J108" s="11" t="s">
        <v>664</v>
      </c>
      <c r="K108" s="13">
        <v>45839</v>
      </c>
      <c r="L108" s="26" t="str">
        <f>_xlfn.TEXTBEFORE(liste_colisage[[#This Row],[Num Suivis]],"-",,,1)</f>
        <v>OF245596</v>
      </c>
      <c r="M108" s="26" t="str">
        <f>_xlfn.XLOOKUP(liste_colisage[[#This Row],[Num de Colis]],liste_palette[Num De colis],liste_palette[Num de Palette],"Magasin")</f>
        <v>Magasin</v>
      </c>
      <c r="N108" s="26" t="str">
        <f>_xlfn.XLOOKUP(liste_colisage[[#This Row],[Num de Colis]],liste_palette[Num De colis],liste_palette[Facture Export],"Magasin")</f>
        <v>Magasin</v>
      </c>
      <c r="O108" s="26" t="e">
        <f>_xlfn.XLOOKUP(liste_colisage[[#This Row],[Num OF]],#REF!,#REF!,"Non Trouvé")</f>
        <v>#REF!</v>
      </c>
      <c r="P108" s="26" t="e">
        <f>_xlfn.XLOOKUP(liste_colisage[[#This Row],[Num OF]],#REF!,#REF!,"Non Trouvé")</f>
        <v>#REF!</v>
      </c>
      <c r="Q108" s="26" t="e">
        <f>_xlfn.XLOOKUP(liste_colisage[[#This Row],[Num OF]],#REF!,#REF!,"Non Trouvé")</f>
        <v>#REF!</v>
      </c>
      <c r="R108" s="91" t="str">
        <f>IF(
   COUNTIFS($A$2:A108,A108,
             $E$2:E108,E108,
             $F$2:F108,F108,
             $G$2:G108,G108,
             $D$2:D108,D108,
             $K$2:K108,K108
             )&gt;1,
   "Doublon",
   "Correcte"
)</f>
        <v>Correcte</v>
      </c>
    </row>
    <row r="109" spans="1:18" ht="15" customHeight="1" x14ac:dyDescent="0.25">
      <c r="A109" s="11" t="s">
        <v>1132</v>
      </c>
      <c r="B109" s="96" t="s">
        <v>2575</v>
      </c>
      <c r="C109" s="96" t="s">
        <v>2650</v>
      </c>
      <c r="D109" s="12">
        <v>40</v>
      </c>
      <c r="E109" s="11" t="s">
        <v>13</v>
      </c>
      <c r="F109" s="11" t="s">
        <v>418</v>
      </c>
      <c r="G109" s="11" t="s">
        <v>461</v>
      </c>
      <c r="H109" s="11"/>
      <c r="I109" s="11"/>
      <c r="J109" s="11" t="s">
        <v>664</v>
      </c>
      <c r="K109" s="13">
        <v>45839</v>
      </c>
      <c r="L109" s="26" t="str">
        <f>_xlfn.TEXTBEFORE(liste_colisage[[#This Row],[Num Suivis]],"-",,,1)</f>
        <v>OF245554</v>
      </c>
      <c r="M109" s="26" t="str">
        <f>_xlfn.XLOOKUP(liste_colisage[[#This Row],[Num de Colis]],liste_palette[Num De colis],liste_palette[Num de Palette],"Magasin")</f>
        <v>Magasin</v>
      </c>
      <c r="N109" s="26" t="str">
        <f>_xlfn.XLOOKUP(liste_colisage[[#This Row],[Num de Colis]],liste_palette[Num De colis],liste_palette[Facture Export],"Magasin")</f>
        <v>Magasin</v>
      </c>
      <c r="O109" s="26" t="e">
        <f>_xlfn.XLOOKUP(liste_colisage[[#This Row],[Num OF]],#REF!,#REF!,"Non Trouvé")</f>
        <v>#REF!</v>
      </c>
      <c r="P109" s="26" t="e">
        <f>_xlfn.XLOOKUP(liste_colisage[[#This Row],[Num OF]],#REF!,#REF!,"Non Trouvé")</f>
        <v>#REF!</v>
      </c>
      <c r="Q109" s="26" t="e">
        <f>_xlfn.XLOOKUP(liste_colisage[[#This Row],[Num OF]],#REF!,#REF!,"Non Trouvé")</f>
        <v>#REF!</v>
      </c>
      <c r="R109" s="91" t="str">
        <f>IF(
   COUNTIFS($A$2:A109,A109,
             $E$2:E109,E109,
             $F$2:F109,F109,
             $G$2:G109,G109,
             $D$2:D109,D109,
             $K$2:K109,K109
             )&gt;1,
   "Doublon",
   "Correcte"
)</f>
        <v>Correcte</v>
      </c>
    </row>
    <row r="110" spans="1:18" ht="15" customHeight="1" x14ac:dyDescent="0.25">
      <c r="A110" s="11" t="s">
        <v>1133</v>
      </c>
      <c r="B110" s="96" t="s">
        <v>2575</v>
      </c>
      <c r="C110" s="96" t="s">
        <v>2668</v>
      </c>
      <c r="D110" s="12">
        <v>42</v>
      </c>
      <c r="E110" s="11" t="s">
        <v>13</v>
      </c>
      <c r="F110" s="11" t="s">
        <v>418</v>
      </c>
      <c r="G110" s="11" t="s">
        <v>471</v>
      </c>
      <c r="H110" s="11"/>
      <c r="I110" s="11"/>
      <c r="J110" s="11" t="s">
        <v>664</v>
      </c>
      <c r="K110" s="13">
        <v>45839</v>
      </c>
      <c r="L110" s="26" t="str">
        <f>_xlfn.TEXTBEFORE(liste_colisage[[#This Row],[Num Suivis]],"-",,,1)</f>
        <v>OF245596</v>
      </c>
      <c r="M110" s="26" t="str">
        <f>_xlfn.XLOOKUP(liste_colisage[[#This Row],[Num de Colis]],liste_palette[Num De colis],liste_palette[Num de Palette],"Magasin")</f>
        <v>Magasin</v>
      </c>
      <c r="N110" s="26" t="str">
        <f>_xlfn.XLOOKUP(liste_colisage[[#This Row],[Num de Colis]],liste_palette[Num De colis],liste_palette[Facture Export],"Magasin")</f>
        <v>Magasin</v>
      </c>
      <c r="O110" s="26" t="e">
        <f>_xlfn.XLOOKUP(liste_colisage[[#This Row],[Num OF]],#REF!,#REF!,"Non Trouvé")</f>
        <v>#REF!</v>
      </c>
      <c r="P110" s="26" t="e">
        <f>_xlfn.XLOOKUP(liste_colisage[[#This Row],[Num OF]],#REF!,#REF!,"Non Trouvé")</f>
        <v>#REF!</v>
      </c>
      <c r="Q110" s="26" t="e">
        <f>_xlfn.XLOOKUP(liste_colisage[[#This Row],[Num OF]],#REF!,#REF!,"Non Trouvé")</f>
        <v>#REF!</v>
      </c>
      <c r="R110" s="91" t="str">
        <f>IF(
   COUNTIFS($A$2:A110,A110,
             $E$2:E110,E110,
             $F$2:F110,F110,
             $G$2:G110,G110,
             $D$2:D110,D110,
             $K$2:K110,K110
             )&gt;1,
   "Doublon",
   "Correcte"
)</f>
        <v>Correcte</v>
      </c>
    </row>
    <row r="111" spans="1:18" ht="15" customHeight="1" x14ac:dyDescent="0.25">
      <c r="A111" s="11" t="s">
        <v>1133</v>
      </c>
      <c r="B111" s="96" t="s">
        <v>2575</v>
      </c>
      <c r="C111" s="96" t="s">
        <v>2650</v>
      </c>
      <c r="D111" s="12">
        <v>42</v>
      </c>
      <c r="E111" s="11" t="s">
        <v>13</v>
      </c>
      <c r="F111" s="11" t="s">
        <v>418</v>
      </c>
      <c r="G111" s="11" t="s">
        <v>461</v>
      </c>
      <c r="H111" s="11"/>
      <c r="I111" s="11"/>
      <c r="J111" s="11" t="s">
        <v>664</v>
      </c>
      <c r="K111" s="13">
        <v>45839</v>
      </c>
      <c r="L111" s="26" t="str">
        <f>_xlfn.TEXTBEFORE(liste_colisage[[#This Row],[Num Suivis]],"-",,,1)</f>
        <v>OF245554</v>
      </c>
      <c r="M111" s="26" t="str">
        <f>_xlfn.XLOOKUP(liste_colisage[[#This Row],[Num de Colis]],liste_palette[Num De colis],liste_palette[Num de Palette],"Magasin")</f>
        <v>Magasin</v>
      </c>
      <c r="N111" s="26" t="str">
        <f>_xlfn.XLOOKUP(liste_colisage[[#This Row],[Num de Colis]],liste_palette[Num De colis],liste_palette[Facture Export],"Magasin")</f>
        <v>Magasin</v>
      </c>
      <c r="O111" s="26" t="e">
        <f>_xlfn.XLOOKUP(liste_colisage[[#This Row],[Num OF]],#REF!,#REF!,"Non Trouvé")</f>
        <v>#REF!</v>
      </c>
      <c r="P111" s="26" t="e">
        <f>_xlfn.XLOOKUP(liste_colisage[[#This Row],[Num OF]],#REF!,#REF!,"Non Trouvé")</f>
        <v>#REF!</v>
      </c>
      <c r="Q111" s="26" t="e">
        <f>_xlfn.XLOOKUP(liste_colisage[[#This Row],[Num OF]],#REF!,#REF!,"Non Trouvé")</f>
        <v>#REF!</v>
      </c>
      <c r="R111" s="91" t="str">
        <f>IF(
   COUNTIFS($A$2:A111,A111,
             $E$2:E111,E111,
             $F$2:F111,F111,
             $G$2:G111,G111,
             $D$2:D111,D111,
             $K$2:K111,K111
             )&gt;1,
   "Doublon",
   "Correcte"
)</f>
        <v>Correcte</v>
      </c>
    </row>
    <row r="112" spans="1:18" ht="15" customHeight="1" x14ac:dyDescent="0.25">
      <c r="A112" s="11" t="s">
        <v>1134</v>
      </c>
      <c r="B112" s="96" t="s">
        <v>2575</v>
      </c>
      <c r="C112" s="96" t="s">
        <v>2629</v>
      </c>
      <c r="D112" s="12">
        <v>20</v>
      </c>
      <c r="E112" s="11" t="s">
        <v>13</v>
      </c>
      <c r="F112" s="11" t="s">
        <v>418</v>
      </c>
      <c r="G112" s="11" t="s">
        <v>419</v>
      </c>
      <c r="H112" s="11"/>
      <c r="I112" s="11"/>
      <c r="J112" s="11" t="s">
        <v>664</v>
      </c>
      <c r="K112" s="13">
        <v>45839</v>
      </c>
      <c r="L112" s="26" t="str">
        <f>_xlfn.TEXTBEFORE(liste_colisage[[#This Row],[Num Suivis]],"-",,,1)</f>
        <v>OF243983</v>
      </c>
      <c r="M112" s="26" t="str">
        <f>_xlfn.XLOOKUP(liste_colisage[[#This Row],[Num de Colis]],liste_palette[Num De colis],liste_palette[Num de Palette],"Magasin")</f>
        <v>Magasin</v>
      </c>
      <c r="N112" s="26" t="str">
        <f>_xlfn.XLOOKUP(liste_colisage[[#This Row],[Num de Colis]],liste_palette[Num De colis],liste_palette[Facture Export],"Magasin")</f>
        <v>Magasin</v>
      </c>
      <c r="O112" s="26" t="e">
        <f>_xlfn.XLOOKUP(liste_colisage[[#This Row],[Num OF]],#REF!,#REF!,"Non Trouvé")</f>
        <v>#REF!</v>
      </c>
      <c r="P112" s="26" t="e">
        <f>_xlfn.XLOOKUP(liste_colisage[[#This Row],[Num OF]],#REF!,#REF!,"Non Trouvé")</f>
        <v>#REF!</v>
      </c>
      <c r="Q112" s="26" t="e">
        <f>_xlfn.XLOOKUP(liste_colisage[[#This Row],[Num OF]],#REF!,#REF!,"Non Trouvé")</f>
        <v>#REF!</v>
      </c>
      <c r="R112" s="91" t="str">
        <f>IF(
   COUNTIFS($A$2:A112,A112,
             $E$2:E112,E112,
             $F$2:F112,F112,
             $G$2:G112,G112,
             $D$2:D112,D112,
             $K$2:K112,K112
             )&gt;1,
   "Doublon",
   "Correcte"
)</f>
        <v>Correcte</v>
      </c>
    </row>
    <row r="113" spans="1:18" ht="15" customHeight="1" x14ac:dyDescent="0.25">
      <c r="A113" s="11" t="s">
        <v>1134</v>
      </c>
      <c r="B113" s="96" t="s">
        <v>2575</v>
      </c>
      <c r="C113" s="96" t="s">
        <v>2655</v>
      </c>
      <c r="D113" s="12">
        <v>20</v>
      </c>
      <c r="E113" s="11" t="s">
        <v>13</v>
      </c>
      <c r="F113" s="11" t="s">
        <v>418</v>
      </c>
      <c r="G113" s="11" t="s">
        <v>482</v>
      </c>
      <c r="H113" s="11"/>
      <c r="I113" s="11"/>
      <c r="J113" s="11" t="s">
        <v>664</v>
      </c>
      <c r="K113" s="13">
        <v>45839</v>
      </c>
      <c r="L113" s="26" t="str">
        <f>_xlfn.TEXTBEFORE(liste_colisage[[#This Row],[Num Suivis]],"-",,,1)</f>
        <v>OF245881</v>
      </c>
      <c r="M113" s="26" t="str">
        <f>_xlfn.XLOOKUP(liste_colisage[[#This Row],[Num de Colis]],liste_palette[Num De colis],liste_palette[Num de Palette],"Magasin")</f>
        <v>Magasin</v>
      </c>
      <c r="N113" s="26" t="str">
        <f>_xlfn.XLOOKUP(liste_colisage[[#This Row],[Num de Colis]],liste_palette[Num De colis],liste_palette[Facture Export],"Magasin")</f>
        <v>Magasin</v>
      </c>
      <c r="O113" s="26" t="e">
        <f>_xlfn.XLOOKUP(liste_colisage[[#This Row],[Num OF]],#REF!,#REF!,"Non Trouvé")</f>
        <v>#REF!</v>
      </c>
      <c r="P113" s="26" t="e">
        <f>_xlfn.XLOOKUP(liste_colisage[[#This Row],[Num OF]],#REF!,#REF!,"Non Trouvé")</f>
        <v>#REF!</v>
      </c>
      <c r="Q113" s="26" t="e">
        <f>_xlfn.XLOOKUP(liste_colisage[[#This Row],[Num OF]],#REF!,#REF!,"Non Trouvé")</f>
        <v>#REF!</v>
      </c>
      <c r="R113" s="91" t="str">
        <f>IF(
   COUNTIFS($A$2:A113,A113,
             $E$2:E113,E113,
             $F$2:F113,F113,
             $G$2:G113,G113,
             $D$2:D113,D113,
             $K$2:K113,K113
             )&gt;1,
   "Doublon",
   "Correcte"
)</f>
        <v>Correcte</v>
      </c>
    </row>
    <row r="114" spans="1:18" ht="15" customHeight="1" x14ac:dyDescent="0.25">
      <c r="A114" s="11" t="s">
        <v>1134</v>
      </c>
      <c r="B114" s="96" t="s">
        <v>2575</v>
      </c>
      <c r="C114" s="96" t="s">
        <v>2669</v>
      </c>
      <c r="D114" s="12">
        <v>20</v>
      </c>
      <c r="E114" s="11" t="s">
        <v>13</v>
      </c>
      <c r="F114" s="11" t="s">
        <v>418</v>
      </c>
      <c r="G114" s="11" t="s">
        <v>495</v>
      </c>
      <c r="H114" s="11"/>
      <c r="I114" s="11"/>
      <c r="J114" s="11" t="s">
        <v>664</v>
      </c>
      <c r="K114" s="13">
        <v>45839</v>
      </c>
      <c r="L114" s="26" t="str">
        <f>_xlfn.TEXTBEFORE(liste_colisage[[#This Row],[Num Suivis]],"-",,,1)</f>
        <v>OF245897</v>
      </c>
      <c r="M114" s="26" t="str">
        <f>_xlfn.XLOOKUP(liste_colisage[[#This Row],[Num de Colis]],liste_palette[Num De colis],liste_palette[Num de Palette],"Magasin")</f>
        <v>Magasin</v>
      </c>
      <c r="N114" s="26" t="str">
        <f>_xlfn.XLOOKUP(liste_colisage[[#This Row],[Num de Colis]],liste_palette[Num De colis],liste_palette[Facture Export],"Magasin")</f>
        <v>Magasin</v>
      </c>
      <c r="O114" s="26" t="e">
        <f>_xlfn.XLOOKUP(liste_colisage[[#This Row],[Num OF]],#REF!,#REF!,"Non Trouvé")</f>
        <v>#REF!</v>
      </c>
      <c r="P114" s="26" t="e">
        <f>_xlfn.XLOOKUP(liste_colisage[[#This Row],[Num OF]],#REF!,#REF!,"Non Trouvé")</f>
        <v>#REF!</v>
      </c>
      <c r="Q114" s="26" t="e">
        <f>_xlfn.XLOOKUP(liste_colisage[[#This Row],[Num OF]],#REF!,#REF!,"Non Trouvé")</f>
        <v>#REF!</v>
      </c>
      <c r="R114" s="91" t="str">
        <f>IF(
   COUNTIFS($A$2:A114,A114,
             $E$2:E114,E114,
             $F$2:F114,F114,
             $G$2:G114,G114,
             $D$2:D114,D114,
             $K$2:K114,K114
             )&gt;1,
   "Doublon",
   "Correcte"
)</f>
        <v>Correcte</v>
      </c>
    </row>
    <row r="115" spans="1:18" ht="15" customHeight="1" x14ac:dyDescent="0.25">
      <c r="A115" s="11" t="s">
        <v>1134</v>
      </c>
      <c r="B115" s="96" t="s">
        <v>2575</v>
      </c>
      <c r="C115" s="96" t="s">
        <v>2630</v>
      </c>
      <c r="D115" s="12">
        <v>20</v>
      </c>
      <c r="E115" s="11" t="s">
        <v>13</v>
      </c>
      <c r="F115" s="11" t="s">
        <v>418</v>
      </c>
      <c r="G115" s="11" t="s">
        <v>417</v>
      </c>
      <c r="H115" s="11"/>
      <c r="I115" s="11"/>
      <c r="J115" s="11" t="s">
        <v>664</v>
      </c>
      <c r="K115" s="13">
        <v>45839</v>
      </c>
      <c r="L115" s="26" t="str">
        <f>_xlfn.TEXTBEFORE(liste_colisage[[#This Row],[Num Suivis]],"-",,,1)</f>
        <v>OF243982</v>
      </c>
      <c r="M115" s="26" t="str">
        <f>_xlfn.XLOOKUP(liste_colisage[[#This Row],[Num de Colis]],liste_palette[Num De colis],liste_palette[Num de Palette],"Magasin")</f>
        <v>Magasin</v>
      </c>
      <c r="N115" s="26" t="str">
        <f>_xlfn.XLOOKUP(liste_colisage[[#This Row],[Num de Colis]],liste_palette[Num De colis],liste_palette[Facture Export],"Magasin")</f>
        <v>Magasin</v>
      </c>
      <c r="O115" s="26" t="e">
        <f>_xlfn.XLOOKUP(liste_colisage[[#This Row],[Num OF]],#REF!,#REF!,"Non Trouvé")</f>
        <v>#REF!</v>
      </c>
      <c r="P115" s="26" t="e">
        <f>_xlfn.XLOOKUP(liste_colisage[[#This Row],[Num OF]],#REF!,#REF!,"Non Trouvé")</f>
        <v>#REF!</v>
      </c>
      <c r="Q115" s="26" t="e">
        <f>_xlfn.XLOOKUP(liste_colisage[[#This Row],[Num OF]],#REF!,#REF!,"Non Trouvé")</f>
        <v>#REF!</v>
      </c>
      <c r="R115" s="91" t="str">
        <f>IF(
   COUNTIFS($A$2:A115,A115,
             $E$2:E115,E115,
             $F$2:F115,F115,
             $G$2:G115,G115,
             $D$2:D115,D115,
             $K$2:K115,K115
             )&gt;1,
   "Doublon",
   "Correcte"
)</f>
        <v>Correcte</v>
      </c>
    </row>
    <row r="116" spans="1:18" ht="15" customHeight="1" x14ac:dyDescent="0.25">
      <c r="A116" s="11" t="s">
        <v>1135</v>
      </c>
      <c r="B116" s="96" t="s">
        <v>2579</v>
      </c>
      <c r="C116" s="96" t="s">
        <v>2670</v>
      </c>
      <c r="D116" s="12">
        <v>20</v>
      </c>
      <c r="E116" s="11" t="s">
        <v>24</v>
      </c>
      <c r="F116" s="11" t="s">
        <v>23</v>
      </c>
      <c r="G116" s="11" t="s">
        <v>70</v>
      </c>
      <c r="H116" s="11"/>
      <c r="I116" s="11"/>
      <c r="J116" s="11" t="s">
        <v>664</v>
      </c>
      <c r="K116" s="13">
        <v>45926</v>
      </c>
      <c r="L116" s="26" t="str">
        <f>_xlfn.TEXTBEFORE(liste_colisage[[#This Row],[Num Suivis]],"-",,,1)</f>
        <v>CA250061</v>
      </c>
      <c r="M116" s="26" t="str">
        <f>_xlfn.XLOOKUP(liste_colisage[[#This Row],[Num de Colis]],liste_palette[Num De colis],liste_palette[Num de Palette],"Magasin")</f>
        <v>PAL915</v>
      </c>
      <c r="N116" s="26" t="str">
        <f>_xlfn.XLOOKUP(liste_colisage[[#This Row],[Num de Colis]],liste_palette[Num De colis],liste_palette[Facture Export],"Magasin")</f>
        <v>PA-F25023</v>
      </c>
      <c r="O116" s="26" t="e">
        <f>_xlfn.XLOOKUP(liste_colisage[[#This Row],[Num OF]],#REF!,#REF!,"Non Trouvé")</f>
        <v>#REF!</v>
      </c>
      <c r="P116" s="26" t="e">
        <f>_xlfn.XLOOKUP(liste_colisage[[#This Row],[Num OF]],#REF!,#REF!,"Non Trouvé")</f>
        <v>#REF!</v>
      </c>
      <c r="Q116" s="26" t="e">
        <f>_xlfn.XLOOKUP(liste_colisage[[#This Row],[Num OF]],#REF!,#REF!,"Non Trouvé")</f>
        <v>#REF!</v>
      </c>
      <c r="R116" s="91" t="str">
        <f>IF(
   COUNTIFS($A$2:A116,A116,
             $E$2:E116,E116,
             $F$2:F116,F116,
             $G$2:G116,G116,
             $D$2:D116,D116,
             $K$2:K116,K116
             )&gt;1,
   "Doublon",
   "Correcte"
)</f>
        <v>Correcte</v>
      </c>
    </row>
    <row r="117" spans="1:18" ht="15" customHeight="1" x14ac:dyDescent="0.25">
      <c r="A117" s="11" t="s">
        <v>1136</v>
      </c>
      <c r="B117" s="96" t="s">
        <v>2579</v>
      </c>
      <c r="C117" s="96" t="s">
        <v>2671</v>
      </c>
      <c r="D117" s="12">
        <v>9</v>
      </c>
      <c r="E117" s="11" t="s">
        <v>24</v>
      </c>
      <c r="F117" s="11" t="s">
        <v>23</v>
      </c>
      <c r="G117" s="11" t="s">
        <v>374</v>
      </c>
      <c r="H117" s="11"/>
      <c r="I117" s="11"/>
      <c r="J117" s="11" t="s">
        <v>664</v>
      </c>
      <c r="K117" s="13">
        <v>45926</v>
      </c>
      <c r="L117" s="26" t="str">
        <f>_xlfn.TEXTBEFORE(liste_colisage[[#This Row],[Num Suivis]],"-",,,1)</f>
        <v>OF242746</v>
      </c>
      <c r="M117" s="26" t="str">
        <f>_xlfn.XLOOKUP(liste_colisage[[#This Row],[Num de Colis]],liste_palette[Num De colis],liste_palette[Num de Palette],"Magasin")</f>
        <v>PAL915</v>
      </c>
      <c r="N117" s="26" t="str">
        <f>_xlfn.XLOOKUP(liste_colisage[[#This Row],[Num de Colis]],liste_palette[Num De colis],liste_palette[Facture Export],"Magasin")</f>
        <v>PA-F25023</v>
      </c>
      <c r="O117" s="26" t="e">
        <f>_xlfn.XLOOKUP(liste_colisage[[#This Row],[Num OF]],#REF!,#REF!,"Non Trouvé")</f>
        <v>#REF!</v>
      </c>
      <c r="P117" s="26" t="e">
        <f>_xlfn.XLOOKUP(liste_colisage[[#This Row],[Num OF]],#REF!,#REF!,"Non Trouvé")</f>
        <v>#REF!</v>
      </c>
      <c r="Q117" s="26" t="e">
        <f>_xlfn.XLOOKUP(liste_colisage[[#This Row],[Num OF]],#REF!,#REF!,"Non Trouvé")</f>
        <v>#REF!</v>
      </c>
      <c r="R117" s="91" t="str">
        <f>IF(
   COUNTIFS($A$2:A117,A117,
             $E$2:E117,E117,
             $F$2:F117,F117,
             $G$2:G117,G117,
             $D$2:D117,D117,
             $K$2:K117,K117
             )&gt;1,
   "Doublon",
   "Correcte"
)</f>
        <v>Correcte</v>
      </c>
    </row>
    <row r="118" spans="1:18" ht="15" customHeight="1" x14ac:dyDescent="0.25">
      <c r="A118" s="11" t="s">
        <v>1136</v>
      </c>
      <c r="B118" s="96" t="s">
        <v>2579</v>
      </c>
      <c r="C118" s="96" t="s">
        <v>2582</v>
      </c>
      <c r="D118" s="12">
        <v>11</v>
      </c>
      <c r="E118" s="11" t="s">
        <v>24</v>
      </c>
      <c r="F118" s="11" t="s">
        <v>23</v>
      </c>
      <c r="G118" s="11" t="s">
        <v>71</v>
      </c>
      <c r="H118" s="11"/>
      <c r="I118" s="11"/>
      <c r="J118" s="11" t="s">
        <v>664</v>
      </c>
      <c r="K118" s="13">
        <v>45926</v>
      </c>
      <c r="L118" s="26" t="str">
        <f>_xlfn.TEXTBEFORE(liste_colisage[[#This Row],[Num Suivis]],"-",,,1)</f>
        <v>CA250062</v>
      </c>
      <c r="M118" s="26" t="str">
        <f>_xlfn.XLOOKUP(liste_colisage[[#This Row],[Num de Colis]],liste_palette[Num De colis],liste_palette[Num de Palette],"Magasin")</f>
        <v>PAL915</v>
      </c>
      <c r="N118" s="26" t="str">
        <f>_xlfn.XLOOKUP(liste_colisage[[#This Row],[Num de Colis]],liste_palette[Num De colis],liste_palette[Facture Export],"Magasin")</f>
        <v>PA-F25023</v>
      </c>
      <c r="O118" s="26" t="e">
        <f>_xlfn.XLOOKUP(liste_colisage[[#This Row],[Num OF]],#REF!,#REF!,"Non Trouvé")</f>
        <v>#REF!</v>
      </c>
      <c r="P118" s="26" t="e">
        <f>_xlfn.XLOOKUP(liste_colisage[[#This Row],[Num OF]],#REF!,#REF!,"Non Trouvé")</f>
        <v>#REF!</v>
      </c>
      <c r="Q118" s="26" t="e">
        <f>_xlfn.XLOOKUP(liste_colisage[[#This Row],[Num OF]],#REF!,#REF!,"Non Trouvé")</f>
        <v>#REF!</v>
      </c>
      <c r="R118" s="91" t="str">
        <f>IF(
   COUNTIFS($A$2:A118,A118,
             $E$2:E118,E118,
             $F$2:F118,F118,
             $G$2:G118,G118,
             $D$2:D118,D118,
             $K$2:K118,K118
             )&gt;1,
   "Doublon",
   "Correcte"
)</f>
        <v>Correcte</v>
      </c>
    </row>
    <row r="119" spans="1:18" ht="15" customHeight="1" x14ac:dyDescent="0.25">
      <c r="A119" s="11" t="s">
        <v>1137</v>
      </c>
      <c r="B119" s="96" t="s">
        <v>2579</v>
      </c>
      <c r="C119" s="96" t="s">
        <v>2612</v>
      </c>
      <c r="D119" s="12">
        <v>20</v>
      </c>
      <c r="E119" s="11" t="s">
        <v>24</v>
      </c>
      <c r="F119" s="11" t="s">
        <v>23</v>
      </c>
      <c r="G119" s="11" t="s">
        <v>72</v>
      </c>
      <c r="H119" s="11"/>
      <c r="I119" s="11"/>
      <c r="J119" s="11" t="s">
        <v>664</v>
      </c>
      <c r="K119" s="13">
        <v>45926</v>
      </c>
      <c r="L119" s="26" t="str">
        <f>_xlfn.TEXTBEFORE(liste_colisage[[#This Row],[Num Suivis]],"-",,,1)</f>
        <v>CA250063</v>
      </c>
      <c r="M119" s="26" t="str">
        <f>_xlfn.XLOOKUP(liste_colisage[[#This Row],[Num de Colis]],liste_palette[Num De colis],liste_palette[Num de Palette],"Magasin")</f>
        <v>PAL915</v>
      </c>
      <c r="N119" s="26" t="str">
        <f>_xlfn.XLOOKUP(liste_colisage[[#This Row],[Num de Colis]],liste_palette[Num De colis],liste_palette[Facture Export],"Magasin")</f>
        <v>PA-F25023</v>
      </c>
      <c r="O119" s="26" t="e">
        <f>_xlfn.XLOOKUP(liste_colisage[[#This Row],[Num OF]],#REF!,#REF!,"Non Trouvé")</f>
        <v>#REF!</v>
      </c>
      <c r="P119" s="26" t="e">
        <f>_xlfn.XLOOKUP(liste_colisage[[#This Row],[Num OF]],#REF!,#REF!,"Non Trouvé")</f>
        <v>#REF!</v>
      </c>
      <c r="Q119" s="26" t="e">
        <f>_xlfn.XLOOKUP(liste_colisage[[#This Row],[Num OF]],#REF!,#REF!,"Non Trouvé")</f>
        <v>#REF!</v>
      </c>
      <c r="R119" s="91" t="str">
        <f>IF(
   COUNTIFS($A$2:A119,A119,
             $E$2:E119,E119,
             $F$2:F119,F119,
             $G$2:G119,G119,
             $D$2:D119,D119,
             $K$2:K119,K119
             )&gt;1,
   "Doublon",
   "Correcte"
)</f>
        <v>Correcte</v>
      </c>
    </row>
    <row r="120" spans="1:18" ht="15" customHeight="1" x14ac:dyDescent="0.25">
      <c r="A120" s="11" t="s">
        <v>1138</v>
      </c>
      <c r="B120" s="96" t="s">
        <v>2580</v>
      </c>
      <c r="C120" s="96" t="s">
        <v>2672</v>
      </c>
      <c r="D120" s="12">
        <v>20</v>
      </c>
      <c r="E120" s="11" t="s">
        <v>22</v>
      </c>
      <c r="F120" s="11" t="s">
        <v>21</v>
      </c>
      <c r="G120" s="11" t="s">
        <v>202</v>
      </c>
      <c r="H120" s="11"/>
      <c r="I120" s="11"/>
      <c r="J120" s="11" t="s">
        <v>664</v>
      </c>
      <c r="K120" s="13">
        <v>45926</v>
      </c>
      <c r="L120" s="26" t="str">
        <f>_xlfn.TEXTBEFORE(liste_colisage[[#This Row],[Num Suivis]],"-",,,1)</f>
        <v>OF244792</v>
      </c>
      <c r="M120" s="26" t="str">
        <f>_xlfn.XLOOKUP(liste_colisage[[#This Row],[Num de Colis]],liste_palette[Num De colis],liste_palette[Num de Palette],"Magasin")</f>
        <v>PAL915</v>
      </c>
      <c r="N120" s="26" t="str">
        <f>_xlfn.XLOOKUP(liste_colisage[[#This Row],[Num de Colis]],liste_palette[Num De colis],liste_palette[Facture Export],"Magasin")</f>
        <v>PA-F25023</v>
      </c>
      <c r="O120" s="26" t="e">
        <f>_xlfn.XLOOKUP(liste_colisage[[#This Row],[Num OF]],#REF!,#REF!,"Non Trouvé")</f>
        <v>#REF!</v>
      </c>
      <c r="P120" s="26" t="e">
        <f>_xlfn.XLOOKUP(liste_colisage[[#This Row],[Num OF]],#REF!,#REF!,"Non Trouvé")</f>
        <v>#REF!</v>
      </c>
      <c r="Q120" s="26" t="e">
        <f>_xlfn.XLOOKUP(liste_colisage[[#This Row],[Num OF]],#REF!,#REF!,"Non Trouvé")</f>
        <v>#REF!</v>
      </c>
      <c r="R120" s="91" t="str">
        <f>IF(
   COUNTIFS($A$2:A120,A120,
             $E$2:E120,E120,
             $F$2:F120,F120,
             $G$2:G120,G120,
             $D$2:D120,D120,
             $K$2:K120,K120
             )&gt;1,
   "Doublon",
   "Correcte"
)</f>
        <v>Correcte</v>
      </c>
    </row>
    <row r="121" spans="1:18" ht="15" customHeight="1" x14ac:dyDescent="0.25">
      <c r="A121" s="11" t="s">
        <v>1138</v>
      </c>
      <c r="B121" s="96" t="s">
        <v>2580</v>
      </c>
      <c r="C121" s="96" t="s">
        <v>2673</v>
      </c>
      <c r="D121" s="12">
        <v>20</v>
      </c>
      <c r="E121" s="11" t="s">
        <v>22</v>
      </c>
      <c r="F121" s="11" t="s">
        <v>21</v>
      </c>
      <c r="G121" s="11" t="s">
        <v>203</v>
      </c>
      <c r="H121" s="11"/>
      <c r="I121" s="11"/>
      <c r="J121" s="11" t="s">
        <v>664</v>
      </c>
      <c r="K121" s="13">
        <v>45926</v>
      </c>
      <c r="L121" s="26" t="str">
        <f>_xlfn.TEXTBEFORE(liste_colisage[[#This Row],[Num Suivis]],"-",,,1)</f>
        <v>OF244793</v>
      </c>
      <c r="M121" s="26" t="str">
        <f>_xlfn.XLOOKUP(liste_colisage[[#This Row],[Num de Colis]],liste_palette[Num De colis],liste_palette[Num de Palette],"Magasin")</f>
        <v>PAL915</v>
      </c>
      <c r="N121" s="26" t="str">
        <f>_xlfn.XLOOKUP(liste_colisage[[#This Row],[Num de Colis]],liste_palette[Num De colis],liste_palette[Facture Export],"Magasin")</f>
        <v>PA-F25023</v>
      </c>
      <c r="O121" s="26" t="e">
        <f>_xlfn.XLOOKUP(liste_colisage[[#This Row],[Num OF]],#REF!,#REF!,"Non Trouvé")</f>
        <v>#REF!</v>
      </c>
      <c r="P121" s="26" t="e">
        <f>_xlfn.XLOOKUP(liste_colisage[[#This Row],[Num OF]],#REF!,#REF!,"Non Trouvé")</f>
        <v>#REF!</v>
      </c>
      <c r="Q121" s="26" t="e">
        <f>_xlfn.XLOOKUP(liste_colisage[[#This Row],[Num OF]],#REF!,#REF!,"Non Trouvé")</f>
        <v>#REF!</v>
      </c>
      <c r="R121" s="91" t="str">
        <f>IF(
   COUNTIFS($A$2:A121,A121,
             $E$2:E121,E121,
             $F$2:F121,F121,
             $G$2:G121,G121,
             $D$2:D121,D121,
             $K$2:K121,K121
             )&gt;1,
   "Doublon",
   "Correcte"
)</f>
        <v>Correcte</v>
      </c>
    </row>
    <row r="122" spans="1:18" ht="15" customHeight="1" x14ac:dyDescent="0.25">
      <c r="A122" s="11" t="s">
        <v>1138</v>
      </c>
      <c r="B122" s="96" t="s">
        <v>2580</v>
      </c>
      <c r="C122" s="96" t="s">
        <v>2674</v>
      </c>
      <c r="D122" s="12">
        <v>20</v>
      </c>
      <c r="E122" s="11" t="s">
        <v>22</v>
      </c>
      <c r="F122" s="11" t="s">
        <v>21</v>
      </c>
      <c r="G122" s="11" t="s">
        <v>205</v>
      </c>
      <c r="H122" s="11"/>
      <c r="I122" s="11"/>
      <c r="J122" s="11" t="s">
        <v>664</v>
      </c>
      <c r="K122" s="13">
        <v>45926</v>
      </c>
      <c r="L122" s="26" t="str">
        <f>_xlfn.TEXTBEFORE(liste_colisage[[#This Row],[Num Suivis]],"-",,,1)</f>
        <v>OF244795</v>
      </c>
      <c r="M122" s="26" t="str">
        <f>_xlfn.XLOOKUP(liste_colisage[[#This Row],[Num de Colis]],liste_palette[Num De colis],liste_palette[Num de Palette],"Magasin")</f>
        <v>PAL915</v>
      </c>
      <c r="N122" s="26" t="str">
        <f>_xlfn.XLOOKUP(liste_colisage[[#This Row],[Num de Colis]],liste_palette[Num De colis],liste_palette[Facture Export],"Magasin")</f>
        <v>PA-F25023</v>
      </c>
      <c r="O122" s="26" t="e">
        <f>_xlfn.XLOOKUP(liste_colisage[[#This Row],[Num OF]],#REF!,#REF!,"Non Trouvé")</f>
        <v>#REF!</v>
      </c>
      <c r="P122" s="26" t="e">
        <f>_xlfn.XLOOKUP(liste_colisage[[#This Row],[Num OF]],#REF!,#REF!,"Non Trouvé")</f>
        <v>#REF!</v>
      </c>
      <c r="Q122" s="26" t="e">
        <f>_xlfn.XLOOKUP(liste_colisage[[#This Row],[Num OF]],#REF!,#REF!,"Non Trouvé")</f>
        <v>#REF!</v>
      </c>
      <c r="R122" s="91" t="str">
        <f>IF(
   COUNTIFS($A$2:A122,A122,
             $E$2:E122,E122,
             $F$2:F122,F122,
             $G$2:G122,G122,
             $D$2:D122,D122,
             $K$2:K122,K122
             )&gt;1,
   "Doublon",
   "Correcte"
)</f>
        <v>Correcte</v>
      </c>
    </row>
    <row r="123" spans="1:18" ht="15" customHeight="1" x14ac:dyDescent="0.25">
      <c r="A123" s="11" t="s">
        <v>1139</v>
      </c>
      <c r="B123" s="96" t="s">
        <v>2580</v>
      </c>
      <c r="C123" s="96" t="s">
        <v>2675</v>
      </c>
      <c r="D123" s="12">
        <v>20</v>
      </c>
      <c r="E123" s="11" t="s">
        <v>22</v>
      </c>
      <c r="F123" s="11" t="s">
        <v>21</v>
      </c>
      <c r="G123" s="11" t="s">
        <v>211</v>
      </c>
      <c r="H123" s="11"/>
      <c r="I123" s="11"/>
      <c r="J123" s="11" t="s">
        <v>664</v>
      </c>
      <c r="K123" s="13">
        <v>45926</v>
      </c>
      <c r="L123" s="26" t="str">
        <f>_xlfn.TEXTBEFORE(liste_colisage[[#This Row],[Num Suivis]],"-",,,1)</f>
        <v>OF244801</v>
      </c>
      <c r="M123" s="26" t="str">
        <f>_xlfn.XLOOKUP(liste_colisage[[#This Row],[Num de Colis]],liste_palette[Num De colis],liste_palette[Num de Palette],"Magasin")</f>
        <v>PAL915</v>
      </c>
      <c r="N123" s="26" t="str">
        <f>_xlfn.XLOOKUP(liste_colisage[[#This Row],[Num de Colis]],liste_palette[Num De colis],liste_palette[Facture Export],"Magasin")</f>
        <v>PA-F25023</v>
      </c>
      <c r="O123" s="26" t="e">
        <f>_xlfn.XLOOKUP(liste_colisage[[#This Row],[Num OF]],#REF!,#REF!,"Non Trouvé")</f>
        <v>#REF!</v>
      </c>
      <c r="P123" s="26" t="e">
        <f>_xlfn.XLOOKUP(liste_colisage[[#This Row],[Num OF]],#REF!,#REF!,"Non Trouvé")</f>
        <v>#REF!</v>
      </c>
      <c r="Q123" s="26" t="e">
        <f>_xlfn.XLOOKUP(liste_colisage[[#This Row],[Num OF]],#REF!,#REF!,"Non Trouvé")</f>
        <v>#REF!</v>
      </c>
      <c r="R123" s="91" t="str">
        <f>IF(
   COUNTIFS($A$2:A123,A123,
             $E$2:E123,E123,
             $F$2:F123,F123,
             $G$2:G123,G123,
             $D$2:D123,D123,
             $K$2:K123,K123
             )&gt;1,
   "Doublon",
   "Correcte"
)</f>
        <v>Correcte</v>
      </c>
    </row>
    <row r="124" spans="1:18" ht="15" customHeight="1" x14ac:dyDescent="0.25">
      <c r="A124" s="11" t="s">
        <v>1139</v>
      </c>
      <c r="B124" s="96" t="s">
        <v>2580</v>
      </c>
      <c r="C124" s="96" t="s">
        <v>2676</v>
      </c>
      <c r="D124" s="12">
        <v>20</v>
      </c>
      <c r="E124" s="11" t="s">
        <v>22</v>
      </c>
      <c r="F124" s="11" t="s">
        <v>21</v>
      </c>
      <c r="G124" s="11" t="s">
        <v>210</v>
      </c>
      <c r="H124" s="11"/>
      <c r="I124" s="11"/>
      <c r="J124" s="11" t="s">
        <v>664</v>
      </c>
      <c r="K124" s="13">
        <v>45926</v>
      </c>
      <c r="L124" s="26" t="str">
        <f>_xlfn.TEXTBEFORE(liste_colisage[[#This Row],[Num Suivis]],"-",,,1)</f>
        <v>OF244800</v>
      </c>
      <c r="M124" s="26" t="str">
        <f>_xlfn.XLOOKUP(liste_colisage[[#This Row],[Num de Colis]],liste_palette[Num De colis],liste_palette[Num de Palette],"Magasin")</f>
        <v>PAL915</v>
      </c>
      <c r="N124" s="26" t="str">
        <f>_xlfn.XLOOKUP(liste_colisage[[#This Row],[Num de Colis]],liste_palette[Num De colis],liste_palette[Facture Export],"Magasin")</f>
        <v>PA-F25023</v>
      </c>
      <c r="O124" s="26" t="e">
        <f>_xlfn.XLOOKUP(liste_colisage[[#This Row],[Num OF]],#REF!,#REF!,"Non Trouvé")</f>
        <v>#REF!</v>
      </c>
      <c r="P124" s="26" t="e">
        <f>_xlfn.XLOOKUP(liste_colisage[[#This Row],[Num OF]],#REF!,#REF!,"Non Trouvé")</f>
        <v>#REF!</v>
      </c>
      <c r="Q124" s="26" t="e">
        <f>_xlfn.XLOOKUP(liste_colisage[[#This Row],[Num OF]],#REF!,#REF!,"Non Trouvé")</f>
        <v>#REF!</v>
      </c>
      <c r="R124" s="91" t="str">
        <f>IF(
   COUNTIFS($A$2:A124,A124,
             $E$2:E124,E124,
             $F$2:F124,F124,
             $G$2:G124,G124,
             $D$2:D124,D124,
             $K$2:K124,K124
             )&gt;1,
   "Doublon",
   "Correcte"
)</f>
        <v>Correcte</v>
      </c>
    </row>
    <row r="125" spans="1:18" ht="15" customHeight="1" x14ac:dyDescent="0.25">
      <c r="A125" s="11" t="s">
        <v>1139</v>
      </c>
      <c r="B125" s="96" t="s">
        <v>2580</v>
      </c>
      <c r="C125" s="96" t="s">
        <v>2677</v>
      </c>
      <c r="D125" s="12">
        <v>20</v>
      </c>
      <c r="E125" s="11" t="s">
        <v>22</v>
      </c>
      <c r="F125" s="11" t="s">
        <v>21</v>
      </c>
      <c r="G125" s="11" t="s">
        <v>209</v>
      </c>
      <c r="H125" s="11"/>
      <c r="I125" s="11"/>
      <c r="J125" s="11" t="s">
        <v>664</v>
      </c>
      <c r="K125" s="13">
        <v>45926</v>
      </c>
      <c r="L125" s="26" t="str">
        <f>_xlfn.TEXTBEFORE(liste_colisage[[#This Row],[Num Suivis]],"-",,,1)</f>
        <v>OF244799</v>
      </c>
      <c r="M125" s="26" t="str">
        <f>_xlfn.XLOOKUP(liste_colisage[[#This Row],[Num de Colis]],liste_palette[Num De colis],liste_palette[Num de Palette],"Magasin")</f>
        <v>PAL915</v>
      </c>
      <c r="N125" s="26" t="str">
        <f>_xlfn.XLOOKUP(liste_colisage[[#This Row],[Num de Colis]],liste_palette[Num De colis],liste_palette[Facture Export],"Magasin")</f>
        <v>PA-F25023</v>
      </c>
      <c r="O125" s="26" t="e">
        <f>_xlfn.XLOOKUP(liste_colisage[[#This Row],[Num OF]],#REF!,#REF!,"Non Trouvé")</f>
        <v>#REF!</v>
      </c>
      <c r="P125" s="26" t="e">
        <f>_xlfn.XLOOKUP(liste_colisage[[#This Row],[Num OF]],#REF!,#REF!,"Non Trouvé")</f>
        <v>#REF!</v>
      </c>
      <c r="Q125" s="26" t="e">
        <f>_xlfn.XLOOKUP(liste_colisage[[#This Row],[Num OF]],#REF!,#REF!,"Non Trouvé")</f>
        <v>#REF!</v>
      </c>
      <c r="R125" s="91" t="str">
        <f>IF(
   COUNTIFS($A$2:A125,A125,
             $E$2:E125,E125,
             $F$2:F125,F125,
             $G$2:G125,G125,
             $D$2:D125,D125,
             $K$2:K125,K125
             )&gt;1,
   "Doublon",
   "Correcte"
)</f>
        <v>Correcte</v>
      </c>
    </row>
    <row r="126" spans="1:18" ht="15" customHeight="1" x14ac:dyDescent="0.25">
      <c r="A126" s="11" t="s">
        <v>1140</v>
      </c>
      <c r="B126" s="96" t="s">
        <v>2581</v>
      </c>
      <c r="C126" s="96" t="s">
        <v>2678</v>
      </c>
      <c r="D126" s="12">
        <v>81</v>
      </c>
      <c r="E126" s="11" t="s">
        <v>27</v>
      </c>
      <c r="F126" s="11" t="s">
        <v>26</v>
      </c>
      <c r="G126" s="11" t="s">
        <v>25</v>
      </c>
      <c r="H126" s="11"/>
      <c r="I126" s="11"/>
      <c r="J126" s="11" t="s">
        <v>664</v>
      </c>
      <c r="K126" s="13">
        <v>45927</v>
      </c>
      <c r="L126" s="26" t="str">
        <f>_xlfn.TEXTBEFORE(liste_colisage[[#This Row],[Num Suivis]],"-",,,1)</f>
        <v>OF250199</v>
      </c>
      <c r="M126" s="26" t="str">
        <f>_xlfn.XLOOKUP(liste_colisage[[#This Row],[Num de Colis]],liste_palette[Num De colis],liste_palette[Num de Palette],"Magasin")</f>
        <v>PAL915</v>
      </c>
      <c r="N126" s="26" t="str">
        <f>_xlfn.XLOOKUP(liste_colisage[[#This Row],[Num de Colis]],liste_palette[Num De colis],liste_palette[Facture Export],"Magasin")</f>
        <v>PA-F25023</v>
      </c>
      <c r="O126" s="26" t="e">
        <f>_xlfn.XLOOKUP(liste_colisage[[#This Row],[Num OF]],#REF!,#REF!,"Non Trouvé")</f>
        <v>#REF!</v>
      </c>
      <c r="P126" s="26" t="e">
        <f>_xlfn.XLOOKUP(liste_colisage[[#This Row],[Num OF]],#REF!,#REF!,"Non Trouvé")</f>
        <v>#REF!</v>
      </c>
      <c r="Q126" s="28" t="e">
        <f>_xlfn.XLOOKUP(liste_colisage[[#This Row],[Num OF]],#REF!,#REF!,"Non Trouvé")</f>
        <v>#REF!</v>
      </c>
      <c r="R126" s="91" t="str">
        <f>IF(
   COUNTIFS($A$2:A126,A126,
             $E$2:E126,E126,
             $F$2:F126,F126,
             $G$2:G126,G126,
             $D$2:D126,D126,
             $K$2:K126,K126
             )&gt;1,
   "Doublon",
   "Correcte"
)</f>
        <v>Correcte</v>
      </c>
    </row>
    <row r="127" spans="1:18" ht="15" customHeight="1" x14ac:dyDescent="0.25">
      <c r="A127" s="11" t="s">
        <v>1141</v>
      </c>
      <c r="B127" s="96" t="s">
        <v>2574</v>
      </c>
      <c r="C127" s="96" t="s">
        <v>2625</v>
      </c>
      <c r="D127" s="12">
        <v>5</v>
      </c>
      <c r="E127" s="11" t="s">
        <v>17</v>
      </c>
      <c r="F127" s="11" t="s">
        <v>16</v>
      </c>
      <c r="G127" s="11" t="s">
        <v>19</v>
      </c>
      <c r="H127" s="11"/>
      <c r="I127" s="11"/>
      <c r="J127" s="11" t="s">
        <v>664</v>
      </c>
      <c r="K127" s="13">
        <v>45933</v>
      </c>
      <c r="L127" s="26" t="str">
        <f>_xlfn.TEXTBEFORE(liste_colisage[[#This Row],[Num Suivis]],"-",,,1)</f>
        <v>OF250132</v>
      </c>
      <c r="M127" s="26" t="str">
        <f>_xlfn.XLOOKUP(liste_colisage[[#This Row],[Num de Colis]],liste_palette[Num De colis],liste_palette[Num de Palette],"Magasin")</f>
        <v>Magasin</v>
      </c>
      <c r="N127" s="26" t="str">
        <f>_xlfn.XLOOKUP(liste_colisage[[#This Row],[Num de Colis]],liste_palette[Num De colis],liste_palette[Facture Export],"Magasin")</f>
        <v>Magasin</v>
      </c>
      <c r="O127" s="26" t="e">
        <f>_xlfn.XLOOKUP(liste_colisage[[#This Row],[Num OF]],#REF!,#REF!,"Non Trouvé")</f>
        <v>#REF!</v>
      </c>
      <c r="P127" s="26" t="e">
        <f>_xlfn.XLOOKUP(liste_colisage[[#This Row],[Num OF]],#REF!,#REF!,"Non Trouvé")</f>
        <v>#REF!</v>
      </c>
      <c r="Q127" s="26" t="e">
        <f>_xlfn.XLOOKUP(liste_colisage[[#This Row],[Num OF]],#REF!,#REF!,"Non Trouvé")</f>
        <v>#REF!</v>
      </c>
      <c r="R127" s="91" t="str">
        <f>IF(
   COUNTIFS($A$2:A127,A127,
             $E$2:E127,E127,
             $F$2:F127,F127,
             $G$2:G127,G127,
             $D$2:D127,D127,
             $K$2:K127,K127
             )&gt;1,
   "Doublon",
   "Correcte"
)</f>
        <v>Correcte</v>
      </c>
    </row>
    <row r="128" spans="1:18" ht="15" customHeight="1" x14ac:dyDescent="0.25">
      <c r="A128" s="11" t="s">
        <v>1141</v>
      </c>
      <c r="B128" s="96" t="s">
        <v>2574</v>
      </c>
      <c r="C128" s="96" t="s">
        <v>2624</v>
      </c>
      <c r="D128" s="12">
        <v>3</v>
      </c>
      <c r="E128" s="11" t="s">
        <v>17</v>
      </c>
      <c r="F128" s="11" t="s">
        <v>16</v>
      </c>
      <c r="G128" s="11" t="s">
        <v>18</v>
      </c>
      <c r="H128" s="11"/>
      <c r="I128" s="11"/>
      <c r="J128" s="11" t="s">
        <v>664</v>
      </c>
      <c r="K128" s="13">
        <v>45933</v>
      </c>
      <c r="L128" s="26" t="str">
        <f>_xlfn.TEXTBEFORE(liste_colisage[[#This Row],[Num Suivis]],"-",,,1)</f>
        <v>OF250131</v>
      </c>
      <c r="M128" s="26" t="str">
        <f>_xlfn.XLOOKUP(liste_colisage[[#This Row],[Num de Colis]],liste_palette[Num De colis],liste_palette[Num de Palette],"Magasin")</f>
        <v>Magasin</v>
      </c>
      <c r="N128" s="26" t="str">
        <f>_xlfn.XLOOKUP(liste_colisage[[#This Row],[Num de Colis]],liste_palette[Num De colis],liste_palette[Facture Export],"Magasin")</f>
        <v>Magasin</v>
      </c>
      <c r="O128" s="26" t="e">
        <f>_xlfn.XLOOKUP(liste_colisage[[#This Row],[Num OF]],#REF!,#REF!,"Non Trouvé")</f>
        <v>#REF!</v>
      </c>
      <c r="P128" s="26" t="e">
        <f>_xlfn.XLOOKUP(liste_colisage[[#This Row],[Num OF]],#REF!,#REF!,"Non Trouvé")</f>
        <v>#REF!</v>
      </c>
      <c r="Q128" s="26" t="e">
        <f>_xlfn.XLOOKUP(liste_colisage[[#This Row],[Num OF]],#REF!,#REF!,"Non Trouvé")</f>
        <v>#REF!</v>
      </c>
      <c r="R128" s="91" t="str">
        <f>IF(
   COUNTIFS($A$2:A128,A128,
             $E$2:E128,E128,
             $F$2:F128,F128,
             $G$2:G128,G128,
             $D$2:D128,D128,
             $K$2:K128,K128
             )&gt;1,
   "Doublon",
   "Correcte"
)</f>
        <v>Correcte</v>
      </c>
    </row>
    <row r="129" spans="1:18" ht="15" customHeight="1" x14ac:dyDescent="0.25">
      <c r="A129" s="11" t="s">
        <v>1142</v>
      </c>
      <c r="B129" s="96" t="s">
        <v>2574</v>
      </c>
      <c r="C129" s="96" t="s">
        <v>2679</v>
      </c>
      <c r="D129" s="12">
        <v>3</v>
      </c>
      <c r="E129" s="11" t="s">
        <v>17</v>
      </c>
      <c r="F129" s="11" t="s">
        <v>16</v>
      </c>
      <c r="G129" s="11" t="s">
        <v>306</v>
      </c>
      <c r="H129" s="11"/>
      <c r="I129" s="11"/>
      <c r="J129" s="11" t="s">
        <v>664</v>
      </c>
      <c r="K129" s="13">
        <v>45933</v>
      </c>
      <c r="L129" s="26" t="str">
        <f>_xlfn.TEXTBEFORE(liste_colisage[[#This Row],[Num Suivis]],"-",,,1)</f>
        <v>OF240130</v>
      </c>
      <c r="M129" s="26" t="str">
        <f>_xlfn.XLOOKUP(liste_colisage[[#This Row],[Num de Colis]],liste_palette[Num De colis],liste_palette[Num de Palette],"Magasin")</f>
        <v>Magasin</v>
      </c>
      <c r="N129" s="26" t="str">
        <f>_xlfn.XLOOKUP(liste_colisage[[#This Row],[Num de Colis]],liste_palette[Num De colis],liste_palette[Facture Export],"Magasin")</f>
        <v>Magasin</v>
      </c>
      <c r="O129" s="26" t="e">
        <f>_xlfn.XLOOKUP(liste_colisage[[#This Row],[Num OF]],#REF!,#REF!,"Non Trouvé")</f>
        <v>#REF!</v>
      </c>
      <c r="P129" s="26" t="e">
        <f>_xlfn.XLOOKUP(liste_colisage[[#This Row],[Num OF]],#REF!,#REF!,"Non Trouvé")</f>
        <v>#REF!</v>
      </c>
      <c r="Q129" s="26" t="e">
        <f>_xlfn.XLOOKUP(liste_colisage[[#This Row],[Num OF]],#REF!,#REF!,"Non Trouvé")</f>
        <v>#REF!</v>
      </c>
      <c r="R129" s="91" t="str">
        <f>IF(
   COUNTIFS($A$2:A129,A129,
             $E$2:E129,E129,
             $F$2:F129,F129,
             $G$2:G129,G129,
             $D$2:D129,D129,
             $K$2:K129,K129
             )&gt;1,
   "Doublon",
   "Correcte"
)</f>
        <v>Correcte</v>
      </c>
    </row>
    <row r="130" spans="1:18" ht="15" customHeight="1" x14ac:dyDescent="0.25">
      <c r="A130" s="11" t="s">
        <v>1142</v>
      </c>
      <c r="B130" s="96" t="s">
        <v>2574</v>
      </c>
      <c r="C130" s="96" t="s">
        <v>2680</v>
      </c>
      <c r="D130" s="12">
        <v>5</v>
      </c>
      <c r="E130" s="11" t="s">
        <v>17</v>
      </c>
      <c r="F130" s="11" t="s">
        <v>16</v>
      </c>
      <c r="G130" s="11" t="s">
        <v>36</v>
      </c>
      <c r="H130" s="11"/>
      <c r="I130" s="11"/>
      <c r="J130" s="11" t="s">
        <v>664</v>
      </c>
      <c r="K130" s="13">
        <v>45933</v>
      </c>
      <c r="L130" s="26" t="str">
        <f>_xlfn.TEXTBEFORE(liste_colisage[[#This Row],[Num Suivis]],"-",,,1)</f>
        <v>CA250012</v>
      </c>
      <c r="M130" s="26" t="str">
        <f>_xlfn.XLOOKUP(liste_colisage[[#This Row],[Num de Colis]],liste_palette[Num De colis],liste_palette[Num de Palette],"Magasin")</f>
        <v>Magasin</v>
      </c>
      <c r="N130" s="26" t="str">
        <f>_xlfn.XLOOKUP(liste_colisage[[#This Row],[Num de Colis]],liste_palette[Num De colis],liste_palette[Facture Export],"Magasin")</f>
        <v>Magasin</v>
      </c>
      <c r="O130" s="26" t="e">
        <f>_xlfn.XLOOKUP(liste_colisage[[#This Row],[Num OF]],#REF!,#REF!,"Non Trouvé")</f>
        <v>#REF!</v>
      </c>
      <c r="P130" s="26" t="e">
        <f>_xlfn.XLOOKUP(liste_colisage[[#This Row],[Num OF]],#REF!,#REF!,"Non Trouvé")</f>
        <v>#REF!</v>
      </c>
      <c r="Q130" s="26" t="e">
        <f>_xlfn.XLOOKUP(liste_colisage[[#This Row],[Num OF]],#REF!,#REF!,"Non Trouvé")</f>
        <v>#REF!</v>
      </c>
      <c r="R130" s="91" t="str">
        <f>IF(
   COUNTIFS($A$2:A130,A130,
             $E$2:E130,E130,
             $F$2:F130,F130,
             $G$2:G130,G130,
             $D$2:D130,D130,
             $K$2:K130,K130
             )&gt;1,
   "Doublon",
   "Correcte"
)</f>
        <v>Correcte</v>
      </c>
    </row>
    <row r="131" spans="1:18" ht="15" customHeight="1" x14ac:dyDescent="0.25">
      <c r="A131" s="11" t="s">
        <v>1143</v>
      </c>
      <c r="B131" s="96" t="s">
        <v>2574</v>
      </c>
      <c r="C131" s="96" t="s">
        <v>2681</v>
      </c>
      <c r="D131" s="12">
        <v>5</v>
      </c>
      <c r="E131" s="11" t="s">
        <v>17</v>
      </c>
      <c r="F131" s="11" t="s">
        <v>16</v>
      </c>
      <c r="G131" s="11" t="s">
        <v>39</v>
      </c>
      <c r="H131" s="11"/>
      <c r="I131" s="11"/>
      <c r="J131" s="11" t="s">
        <v>664</v>
      </c>
      <c r="K131" s="13">
        <v>45933</v>
      </c>
      <c r="L131" s="26" t="str">
        <f>_xlfn.TEXTBEFORE(liste_colisage[[#This Row],[Num Suivis]],"-",,,1)</f>
        <v>CA250015</v>
      </c>
      <c r="M131" s="26" t="str">
        <f>_xlfn.XLOOKUP(liste_colisage[[#This Row],[Num de Colis]],liste_palette[Num De colis],liste_palette[Num de Palette],"Magasin")</f>
        <v>Magasin</v>
      </c>
      <c r="N131" s="26" t="str">
        <f>_xlfn.XLOOKUP(liste_colisage[[#This Row],[Num de Colis]],liste_palette[Num De colis],liste_palette[Facture Export],"Magasin")</f>
        <v>Magasin</v>
      </c>
      <c r="O131" s="26" t="e">
        <f>_xlfn.XLOOKUP(liste_colisage[[#This Row],[Num OF]],#REF!,#REF!,"Non Trouvé")</f>
        <v>#REF!</v>
      </c>
      <c r="P131" s="26" t="e">
        <f>_xlfn.XLOOKUP(liste_colisage[[#This Row],[Num OF]],#REF!,#REF!,"Non Trouvé")</f>
        <v>#REF!</v>
      </c>
      <c r="Q131" s="26" t="e">
        <f>_xlfn.XLOOKUP(liste_colisage[[#This Row],[Num OF]],#REF!,#REF!,"Non Trouvé")</f>
        <v>#REF!</v>
      </c>
      <c r="R131" s="92" t="str">
        <f>IF(
   COUNTIFS($A$2:A131,A131,
             $E$2:E131,E131,
             $F$2:F131,F131,
             $G$2:G131,G131,
             $D$2:D131,D131,
             $K$2:K131,K131
             )&gt;1,
   "Doublon",
   "Correcte"
)</f>
        <v>Correcte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390A3-3AD9-4EE9-8C97-C568A5596A14}">
  <dimension ref="A1:H93"/>
  <sheetViews>
    <sheetView workbookViewId="0">
      <selection activeCell="C7" sqref="C7"/>
    </sheetView>
  </sheetViews>
  <sheetFormatPr baseColWidth="10" defaultColWidth="11.42578125" defaultRowHeight="15" x14ac:dyDescent="0.25"/>
  <cols>
    <col min="1" max="1" width="17.140625" bestFit="1" customWidth="1"/>
    <col min="2" max="2" width="15.28515625" bestFit="1" customWidth="1"/>
    <col min="3" max="3" width="8.5703125" bestFit="1" customWidth="1"/>
    <col min="4" max="4" width="16.28515625" bestFit="1" customWidth="1"/>
    <col min="5" max="5" width="7.7109375" bestFit="1" customWidth="1"/>
    <col min="6" max="6" width="12.28515625" bestFit="1" customWidth="1"/>
    <col min="7" max="7" width="15.140625" bestFit="1" customWidth="1"/>
    <col min="8" max="8" width="14.42578125" customWidth="1"/>
  </cols>
  <sheetData>
    <row r="1" spans="1:8" ht="24.75" customHeight="1" thickBot="1" x14ac:dyDescent="0.3">
      <c r="A1" s="78" t="s">
        <v>1144</v>
      </c>
      <c r="B1" s="79" t="s">
        <v>1145</v>
      </c>
      <c r="C1" s="79" t="s">
        <v>656</v>
      </c>
      <c r="D1" s="80" t="s">
        <v>1146</v>
      </c>
      <c r="E1" s="79" t="s">
        <v>657</v>
      </c>
      <c r="F1" s="79" t="s">
        <v>683</v>
      </c>
      <c r="G1" s="81" t="s">
        <v>659</v>
      </c>
      <c r="H1" s="88" t="s">
        <v>1227</v>
      </c>
    </row>
    <row r="2" spans="1:8" ht="16.5" thickTop="1" thickBot="1" x14ac:dyDescent="0.3">
      <c r="A2" s="73" t="s">
        <v>1147</v>
      </c>
      <c r="B2" s="74" t="s">
        <v>1101</v>
      </c>
      <c r="C2" s="74"/>
      <c r="D2" s="74" t="s">
        <v>1148</v>
      </c>
      <c r="E2" s="74"/>
      <c r="F2" s="74" t="s">
        <v>664</v>
      </c>
      <c r="G2" s="75">
        <v>45927</v>
      </c>
      <c r="H2" s="87" t="str">
        <f>IF(
   COUNTIFS($A$2:A2,A2,
             $B$2:B2,B2,
             $D$2:D2,D2,
              $I$2:I2,I2
             )&gt;1,
   "Doublon",
   "Correcte"
)</f>
        <v>Correcte</v>
      </c>
    </row>
    <row r="3" spans="1:8" ht="16.5" thickTop="1" thickBot="1" x14ac:dyDescent="0.3">
      <c r="A3" s="73" t="s">
        <v>1147</v>
      </c>
      <c r="B3" s="74" t="s">
        <v>1101</v>
      </c>
      <c r="C3" s="74"/>
      <c r="D3" s="74" t="s">
        <v>1148</v>
      </c>
      <c r="E3" s="74"/>
      <c r="F3" s="74" t="s">
        <v>664</v>
      </c>
      <c r="G3" s="75">
        <v>45927</v>
      </c>
      <c r="H3" s="74" t="str">
        <f>IF(
   COUNTIFS($A$2:A3,A3,
             $B$2:B3,B3,
             $D$2:D3,D3,
              $I$2:I3,I3
             )&gt;1,
   "Doublon",
   "Correcte"
)</f>
        <v>Correcte</v>
      </c>
    </row>
    <row r="4" spans="1:8" ht="16.5" thickTop="1" thickBot="1" x14ac:dyDescent="0.3">
      <c r="A4" s="73" t="s">
        <v>1147</v>
      </c>
      <c r="B4" s="74" t="s">
        <v>1101</v>
      </c>
      <c r="C4" s="74"/>
      <c r="D4" s="74" t="s">
        <v>1148</v>
      </c>
      <c r="E4" s="74"/>
      <c r="F4" s="74" t="s">
        <v>664</v>
      </c>
      <c r="G4" s="75">
        <v>45927</v>
      </c>
      <c r="H4" s="74" t="str">
        <f>IF(
   COUNTIFS($A$2:A4,A4,
             $B$2:B4,B4,
             $D$2:D4,D4,
              $I$2:I4,I4
             )&gt;1,
   "Doublon",
   "Correcte"
)</f>
        <v>Correcte</v>
      </c>
    </row>
    <row r="5" spans="1:8" ht="16.5" thickTop="1" thickBot="1" x14ac:dyDescent="0.3">
      <c r="A5" s="73" t="s">
        <v>1147</v>
      </c>
      <c r="B5" s="74" t="s">
        <v>1101</v>
      </c>
      <c r="C5" s="74"/>
      <c r="D5" s="74" t="s">
        <v>1148</v>
      </c>
      <c r="E5" s="74"/>
      <c r="F5" s="74" t="s">
        <v>664</v>
      </c>
      <c r="G5" s="75">
        <v>45927</v>
      </c>
      <c r="H5" s="74" t="str">
        <f>IF(
   COUNTIFS($A$2:A5,A5,
             $B$2:B5,B5,
             $D$2:D5,D5,
              $I$2:I5,I5
             )&gt;1,
   "Doublon",
   "Correcte"
)</f>
        <v>Correcte</v>
      </c>
    </row>
    <row r="6" spans="1:8" ht="16.5" thickTop="1" thickBot="1" x14ac:dyDescent="0.3">
      <c r="A6" s="73" t="s">
        <v>1147</v>
      </c>
      <c r="B6" s="74" t="s">
        <v>1102</v>
      </c>
      <c r="C6" s="74"/>
      <c r="D6" s="74" t="s">
        <v>1148</v>
      </c>
      <c r="E6" s="74"/>
      <c r="F6" s="74" t="s">
        <v>664</v>
      </c>
      <c r="G6" s="75">
        <v>45927</v>
      </c>
      <c r="H6" s="74" t="str">
        <f>IF(
   COUNTIFS($A$2:A6,A6,
             $B$2:B6,B6,
             $D$2:D6,D6,
              $I$2:I6,I6
             )&gt;1,
   "Doublon",
   "Correcte"
)</f>
        <v>Correcte</v>
      </c>
    </row>
    <row r="7" spans="1:8" ht="16.5" thickTop="1" thickBot="1" x14ac:dyDescent="0.3">
      <c r="A7" s="73" t="s">
        <v>1147</v>
      </c>
      <c r="B7" s="74" t="s">
        <v>1102</v>
      </c>
      <c r="C7" s="74"/>
      <c r="D7" s="74" t="s">
        <v>1148</v>
      </c>
      <c r="E7" s="74"/>
      <c r="F7" s="74" t="s">
        <v>664</v>
      </c>
      <c r="G7" s="75">
        <v>45927</v>
      </c>
      <c r="H7" s="74" t="str">
        <f>IF(
   COUNTIFS($A$2:A7,A7,
             $B$2:B7,B7,
             $D$2:D7,D7,
              $I$2:I7,I7
             )&gt;1,
   "Doublon",
   "Correcte"
)</f>
        <v>Correcte</v>
      </c>
    </row>
    <row r="8" spans="1:8" ht="16.5" thickTop="1" thickBot="1" x14ac:dyDescent="0.3">
      <c r="A8" s="73" t="s">
        <v>1147</v>
      </c>
      <c r="B8" s="74" t="s">
        <v>1102</v>
      </c>
      <c r="C8" s="74"/>
      <c r="D8" s="74" t="s">
        <v>1148</v>
      </c>
      <c r="E8" s="74"/>
      <c r="F8" s="74" t="s">
        <v>664</v>
      </c>
      <c r="G8" s="75">
        <v>45927</v>
      </c>
      <c r="H8" s="74" t="str">
        <f>IF(
   COUNTIFS($A$2:A8,A8,
             $B$2:B8,B8,
             $D$2:D8,D8,
              $I$2:I8,I8
             )&gt;1,
   "Doublon",
   "Correcte"
)</f>
        <v>Correcte</v>
      </c>
    </row>
    <row r="9" spans="1:8" ht="16.5" thickTop="1" thickBot="1" x14ac:dyDescent="0.3">
      <c r="A9" s="73" t="s">
        <v>1147</v>
      </c>
      <c r="B9" s="74" t="s">
        <v>1102</v>
      </c>
      <c r="C9" s="74"/>
      <c r="D9" s="74" t="s">
        <v>1148</v>
      </c>
      <c r="E9" s="74"/>
      <c r="F9" s="74" t="s">
        <v>664</v>
      </c>
      <c r="G9" s="75">
        <v>45927</v>
      </c>
      <c r="H9" s="74" t="str">
        <f>IF(
   COUNTIFS($A$2:A9,A9,
             $B$2:B9,B9,
             $D$2:D9,D9,
              $I$2:I9,I9
             )&gt;1,
   "Doublon",
   "Correcte"
)</f>
        <v>Correcte</v>
      </c>
    </row>
    <row r="10" spans="1:8" ht="16.5" thickTop="1" thickBot="1" x14ac:dyDescent="0.3">
      <c r="A10" s="73" t="s">
        <v>1147</v>
      </c>
      <c r="B10" s="74" t="s">
        <v>1102</v>
      </c>
      <c r="C10" s="74"/>
      <c r="D10" s="74" t="s">
        <v>1148</v>
      </c>
      <c r="E10" s="74"/>
      <c r="F10" s="74" t="s">
        <v>664</v>
      </c>
      <c r="G10" s="75">
        <v>45927</v>
      </c>
      <c r="H10" s="74" t="str">
        <f>IF(
   COUNTIFS($A$2:A10,A10,
             $B$2:B10,B10,
             $D$2:D10,D10,
              $I$2:I10,I10
             )&gt;1,
   "Doublon",
   "Correcte"
)</f>
        <v>Correcte</v>
      </c>
    </row>
    <row r="11" spans="1:8" ht="16.5" thickTop="1" thickBot="1" x14ac:dyDescent="0.3">
      <c r="A11" s="73" t="s">
        <v>1147</v>
      </c>
      <c r="B11" s="74" t="s">
        <v>1102</v>
      </c>
      <c r="C11" s="74"/>
      <c r="D11" s="74" t="s">
        <v>1148</v>
      </c>
      <c r="E11" s="74"/>
      <c r="F11" s="74" t="s">
        <v>664</v>
      </c>
      <c r="G11" s="75">
        <v>45927</v>
      </c>
      <c r="H11" s="74" t="str">
        <f>IF(
   COUNTIFS($A$2:A11,A11,
             $B$2:B11,B11,
             $D$2:D11,D11,
              $I$2:I11,I11
             )&gt;1,
   "Doublon",
   "Correcte"
)</f>
        <v>Correcte</v>
      </c>
    </row>
    <row r="12" spans="1:8" ht="16.5" thickTop="1" thickBot="1" x14ac:dyDescent="0.3">
      <c r="A12" s="73" t="s">
        <v>1147</v>
      </c>
      <c r="B12" s="74" t="s">
        <v>1103</v>
      </c>
      <c r="C12" s="74"/>
      <c r="D12" s="74" t="s">
        <v>1148</v>
      </c>
      <c r="E12" s="74"/>
      <c r="F12" s="74" t="s">
        <v>664</v>
      </c>
      <c r="G12" s="75">
        <v>45927</v>
      </c>
      <c r="H12" s="74" t="str">
        <f>IF(
   COUNTIFS($A$2:A12,A12,
             $B$2:B12,B12,
             $D$2:D12,D12,
              $I$2:I12,I12
             )&gt;1,
   "Doublon",
   "Correcte"
)</f>
        <v>Correcte</v>
      </c>
    </row>
    <row r="13" spans="1:8" ht="16.5" thickTop="1" thickBot="1" x14ac:dyDescent="0.3">
      <c r="A13" s="76" t="s">
        <v>1147</v>
      </c>
      <c r="B13" s="77" t="s">
        <v>1103</v>
      </c>
      <c r="C13" s="77"/>
      <c r="D13" s="77" t="s">
        <v>1148</v>
      </c>
      <c r="E13" s="77"/>
      <c r="F13" s="74" t="s">
        <v>664</v>
      </c>
      <c r="G13" s="75">
        <v>45927</v>
      </c>
      <c r="H13" s="74" t="str">
        <f>IF(
   COUNTIFS($A$2:A13,A13,
             $B$2:B13,B13,
             $D$2:D13,D13,
              $I$2:I13,I13
             )&gt;1,
   "Doublon",
   "Correcte"
)</f>
        <v>Correcte</v>
      </c>
    </row>
    <row r="14" spans="1:8" ht="16.5" thickTop="1" thickBot="1" x14ac:dyDescent="0.3">
      <c r="A14" s="73" t="s">
        <v>1147</v>
      </c>
      <c r="B14" s="74" t="s">
        <v>1103</v>
      </c>
      <c r="C14" s="74"/>
      <c r="D14" s="74" t="s">
        <v>1148</v>
      </c>
      <c r="E14" s="74"/>
      <c r="F14" s="74" t="s">
        <v>664</v>
      </c>
      <c r="G14" s="75">
        <v>45927</v>
      </c>
      <c r="H14" s="74" t="str">
        <f>IF(
   COUNTIFS($A$2:A14,A14,
             $B$2:B14,B14,
             $D$2:D14,D14,
              $I$2:I14,I14
             )&gt;1,
   "Doublon",
   "Correcte"
)</f>
        <v>Correcte</v>
      </c>
    </row>
    <row r="15" spans="1:8" ht="16.5" thickTop="1" thickBot="1" x14ac:dyDescent="0.3">
      <c r="A15" s="73" t="s">
        <v>1147</v>
      </c>
      <c r="B15" s="74" t="s">
        <v>1103</v>
      </c>
      <c r="C15" s="74"/>
      <c r="D15" s="74" t="s">
        <v>1148</v>
      </c>
      <c r="E15" s="74"/>
      <c r="F15" s="74" t="s">
        <v>664</v>
      </c>
      <c r="G15" s="75">
        <v>45927</v>
      </c>
      <c r="H15" s="74" t="str">
        <f>IF(
   COUNTIFS($A$2:A15,A15,
             $B$2:B15,B15,
             $D$2:D15,D15,
              $I$2:I15,I15
             )&gt;1,
   "Doublon",
   "Correcte"
)</f>
        <v>Correcte</v>
      </c>
    </row>
    <row r="16" spans="1:8" ht="16.5" thickTop="1" thickBot="1" x14ac:dyDescent="0.3">
      <c r="A16" s="73" t="s">
        <v>1147</v>
      </c>
      <c r="B16" s="74" t="s">
        <v>1103</v>
      </c>
      <c r="C16" s="74"/>
      <c r="D16" s="74" t="s">
        <v>1148</v>
      </c>
      <c r="E16" s="74"/>
      <c r="F16" s="74" t="s">
        <v>664</v>
      </c>
      <c r="G16" s="75">
        <v>45927</v>
      </c>
      <c r="H16" s="74" t="str">
        <f>IF(
   COUNTIFS($A$2:A16,A16,
             $B$2:B16,B16,
             $D$2:D16,D16,
              $I$2:I16,I16
             )&gt;1,
   "Doublon",
   "Correcte"
)</f>
        <v>Correcte</v>
      </c>
    </row>
    <row r="17" spans="1:8" ht="16.5" thickTop="1" thickBot="1" x14ac:dyDescent="0.3">
      <c r="A17" s="73" t="s">
        <v>1147</v>
      </c>
      <c r="B17" s="74" t="s">
        <v>1103</v>
      </c>
      <c r="C17" s="74"/>
      <c r="D17" s="74" t="s">
        <v>1148</v>
      </c>
      <c r="E17" s="74"/>
      <c r="F17" s="74" t="s">
        <v>664</v>
      </c>
      <c r="G17" s="75">
        <v>45927</v>
      </c>
      <c r="H17" s="74" t="str">
        <f>IF(
   COUNTIFS($A$2:A17,A17,
             $B$2:B17,B17,
             $D$2:D17,D17,
              $I$2:I17,I17
             )&gt;1,
   "Doublon",
   "Correcte"
)</f>
        <v>Correcte</v>
      </c>
    </row>
    <row r="18" spans="1:8" ht="16.5" thickTop="1" thickBot="1" x14ac:dyDescent="0.3">
      <c r="A18" s="73" t="s">
        <v>1147</v>
      </c>
      <c r="B18" s="74" t="s">
        <v>1103</v>
      </c>
      <c r="C18" s="74"/>
      <c r="D18" s="74" t="s">
        <v>1148</v>
      </c>
      <c r="E18" s="74"/>
      <c r="F18" s="74" t="s">
        <v>664</v>
      </c>
      <c r="G18" s="75">
        <v>45927</v>
      </c>
      <c r="H18" s="74" t="str">
        <f>IF(
   COUNTIFS($A$2:A18,A18,
             $B$2:B18,B18,
             $D$2:D18,D18,
              $I$2:I18,I18
             )&gt;1,
   "Doublon",
   "Correcte"
)</f>
        <v>Correcte</v>
      </c>
    </row>
    <row r="19" spans="1:8" ht="16.5" thickTop="1" thickBot="1" x14ac:dyDescent="0.3">
      <c r="A19" s="73" t="s">
        <v>1149</v>
      </c>
      <c r="B19" s="74" t="s">
        <v>1104</v>
      </c>
      <c r="C19" s="74"/>
      <c r="D19" s="74" t="s">
        <v>1148</v>
      </c>
      <c r="E19" s="74"/>
      <c r="F19" s="74" t="s">
        <v>664</v>
      </c>
      <c r="G19" s="75">
        <v>45927</v>
      </c>
      <c r="H19" s="74" t="str">
        <f>IF(
   COUNTIFS($A$2:A19,A19,
             $B$2:B19,B19,
             $D$2:D19,D19,
              $I$2:I19,I19
             )&gt;1,
   "Doublon",
   "Correcte"
)</f>
        <v>Correcte</v>
      </c>
    </row>
    <row r="20" spans="1:8" ht="16.5" thickTop="1" thickBot="1" x14ac:dyDescent="0.3">
      <c r="A20" s="73" t="s">
        <v>1149</v>
      </c>
      <c r="B20" s="74" t="s">
        <v>1104</v>
      </c>
      <c r="C20" s="74"/>
      <c r="D20" s="74" t="s">
        <v>1148</v>
      </c>
      <c r="E20" s="74"/>
      <c r="F20" s="74" t="s">
        <v>664</v>
      </c>
      <c r="G20" s="75">
        <v>45927</v>
      </c>
      <c r="H20" s="74" t="str">
        <f>IF(
   COUNTIFS($A$2:A20,A20,
             $B$2:B20,B20,
             $D$2:D20,D20,
              $I$2:I20,I20
             )&gt;1,
   "Doublon",
   "Correcte"
)</f>
        <v>Correcte</v>
      </c>
    </row>
    <row r="21" spans="1:8" ht="16.5" thickTop="1" thickBot="1" x14ac:dyDescent="0.3">
      <c r="A21" s="73" t="s">
        <v>1149</v>
      </c>
      <c r="B21" s="74" t="s">
        <v>1104</v>
      </c>
      <c r="C21" s="74"/>
      <c r="D21" s="74" t="s">
        <v>1148</v>
      </c>
      <c r="E21" s="74"/>
      <c r="F21" s="74" t="s">
        <v>664</v>
      </c>
      <c r="G21" s="75">
        <v>45927</v>
      </c>
      <c r="H21" s="74" t="str">
        <f>IF(
   COUNTIFS($A$2:A21,A21,
             $B$2:B21,B21,
             $D$2:D21,D21,
              $I$2:I21,I21
             )&gt;1,
   "Doublon",
   "Correcte"
)</f>
        <v>Correcte</v>
      </c>
    </row>
    <row r="22" spans="1:8" ht="16.5" thickTop="1" thickBot="1" x14ac:dyDescent="0.3">
      <c r="A22" s="73" t="s">
        <v>1149</v>
      </c>
      <c r="B22" s="74" t="s">
        <v>1104</v>
      </c>
      <c r="C22" s="74"/>
      <c r="D22" s="74" t="s">
        <v>1148</v>
      </c>
      <c r="E22" s="74"/>
      <c r="F22" s="74" t="s">
        <v>664</v>
      </c>
      <c r="G22" s="75">
        <v>45927</v>
      </c>
      <c r="H22" s="74" t="str">
        <f>IF(
   COUNTIFS($A$2:A22,A22,
             $B$2:B22,B22,
             $D$2:D22,D22,
              $I$2:I22,I22
             )&gt;1,
   "Doublon",
   "Correcte"
)</f>
        <v>Correcte</v>
      </c>
    </row>
    <row r="23" spans="1:8" ht="16.5" thickTop="1" thickBot="1" x14ac:dyDescent="0.3">
      <c r="A23" s="73" t="s">
        <v>1149</v>
      </c>
      <c r="B23" s="74" t="s">
        <v>1104</v>
      </c>
      <c r="C23" s="74"/>
      <c r="D23" s="74" t="s">
        <v>1148</v>
      </c>
      <c r="E23" s="74"/>
      <c r="F23" s="74" t="s">
        <v>664</v>
      </c>
      <c r="G23" s="75">
        <v>45927</v>
      </c>
      <c r="H23" s="74" t="str">
        <f>IF(
   COUNTIFS($A$2:A23,A23,
             $B$2:B23,B23,
             $D$2:D23,D23,
              $I$2:I23,I23
             )&gt;1,
   "Doublon",
   "Correcte"
)</f>
        <v>Correcte</v>
      </c>
    </row>
    <row r="24" spans="1:8" ht="16.5" thickTop="1" thickBot="1" x14ac:dyDescent="0.3">
      <c r="A24" s="73" t="s">
        <v>1149</v>
      </c>
      <c r="B24" s="74" t="s">
        <v>1104</v>
      </c>
      <c r="C24" s="74"/>
      <c r="D24" s="74" t="s">
        <v>1148</v>
      </c>
      <c r="E24" s="74"/>
      <c r="F24" s="74" t="s">
        <v>664</v>
      </c>
      <c r="G24" s="75">
        <v>45927</v>
      </c>
      <c r="H24" s="74" t="str">
        <f>IF(
   COUNTIFS($A$2:A24,A24,
             $B$2:B24,B24,
             $D$2:D24,D24,
              $I$2:I24,I24
             )&gt;1,
   "Doublon",
   "Correcte"
)</f>
        <v>Correcte</v>
      </c>
    </row>
    <row r="25" spans="1:8" ht="16.5" thickTop="1" thickBot="1" x14ac:dyDescent="0.3">
      <c r="A25" s="73" t="s">
        <v>1149</v>
      </c>
      <c r="B25" s="74" t="s">
        <v>1104</v>
      </c>
      <c r="C25" s="74"/>
      <c r="D25" s="74" t="s">
        <v>1148</v>
      </c>
      <c r="E25" s="74"/>
      <c r="F25" s="74" t="s">
        <v>664</v>
      </c>
      <c r="G25" s="75">
        <v>45927</v>
      </c>
      <c r="H25" s="74" t="str">
        <f>IF(
   COUNTIFS($A$2:A25,A25,
             $B$2:B25,B25,
             $D$2:D25,D25,
              $I$2:I25,I25
             )&gt;1,
   "Doublon",
   "Correcte"
)</f>
        <v>Correcte</v>
      </c>
    </row>
    <row r="26" spans="1:8" ht="16.5" thickTop="1" thickBot="1" x14ac:dyDescent="0.3">
      <c r="A26" s="73" t="s">
        <v>1149</v>
      </c>
      <c r="B26" s="74" t="s">
        <v>1104</v>
      </c>
      <c r="C26" s="74"/>
      <c r="D26" s="74" t="s">
        <v>1148</v>
      </c>
      <c r="E26" s="74"/>
      <c r="F26" s="74" t="s">
        <v>664</v>
      </c>
      <c r="G26" s="75">
        <v>45927</v>
      </c>
      <c r="H26" s="74" t="str">
        <f>IF(
   COUNTIFS($A$2:A26,A26,
             $B$2:B26,B26,
             $D$2:D26,D26,
              $I$2:I26,I26
             )&gt;1,
   "Doublon",
   "Correcte"
)</f>
        <v>Correcte</v>
      </c>
    </row>
    <row r="27" spans="1:8" ht="16.5" thickTop="1" thickBot="1" x14ac:dyDescent="0.3">
      <c r="A27" s="73" t="s">
        <v>1149</v>
      </c>
      <c r="B27" s="74" t="s">
        <v>1104</v>
      </c>
      <c r="C27" s="74"/>
      <c r="D27" s="74" t="s">
        <v>1148</v>
      </c>
      <c r="E27" s="74"/>
      <c r="F27" s="74" t="s">
        <v>664</v>
      </c>
      <c r="G27" s="75">
        <v>45927</v>
      </c>
      <c r="H27" s="74" t="str">
        <f>IF(
   COUNTIFS($A$2:A27,A27,
             $B$2:B27,B27,
             $D$2:D27,D27,
              $I$2:I27,I27
             )&gt;1,
   "Doublon",
   "Correcte"
)</f>
        <v>Correcte</v>
      </c>
    </row>
    <row r="28" spans="1:8" ht="16.5" thickTop="1" thickBot="1" x14ac:dyDescent="0.3">
      <c r="A28" s="73" t="s">
        <v>1149</v>
      </c>
      <c r="B28" s="74" t="s">
        <v>1104</v>
      </c>
      <c r="C28" s="74"/>
      <c r="D28" s="74" t="s">
        <v>1148</v>
      </c>
      <c r="E28" s="74"/>
      <c r="F28" s="74" t="s">
        <v>664</v>
      </c>
      <c r="G28" s="75">
        <v>45927</v>
      </c>
      <c r="H28" s="74" t="str">
        <f>IF(
   COUNTIFS($A$2:A28,A28,
             $B$2:B28,B28,
             $D$2:D28,D28,
              $I$2:I28,I28
             )&gt;1,
   "Doublon",
   "Correcte"
)</f>
        <v>Correcte</v>
      </c>
    </row>
    <row r="29" spans="1:8" ht="16.5" thickTop="1" thickBot="1" x14ac:dyDescent="0.3">
      <c r="A29" s="73" t="s">
        <v>1149</v>
      </c>
      <c r="B29" s="74" t="s">
        <v>1104</v>
      </c>
      <c r="C29" s="74"/>
      <c r="D29" s="74" t="s">
        <v>1148</v>
      </c>
      <c r="E29" s="74"/>
      <c r="F29" s="74" t="s">
        <v>664</v>
      </c>
      <c r="G29" s="75">
        <v>45927</v>
      </c>
      <c r="H29" s="74" t="str">
        <f>IF(
   COUNTIFS($A$2:A29,A29,
             $B$2:B29,B29,
             $D$2:D29,D29,
              $I$2:I29,I29
             )&gt;1,
   "Doublon",
   "Correcte"
)</f>
        <v>Correcte</v>
      </c>
    </row>
    <row r="30" spans="1:8" ht="16.5" thickTop="1" thickBot="1" x14ac:dyDescent="0.3">
      <c r="A30" s="73" t="s">
        <v>1149</v>
      </c>
      <c r="B30" s="74" t="s">
        <v>1104</v>
      </c>
      <c r="C30" s="74"/>
      <c r="D30" s="74" t="s">
        <v>1148</v>
      </c>
      <c r="E30" s="74"/>
      <c r="F30" s="74" t="s">
        <v>664</v>
      </c>
      <c r="G30" s="75">
        <v>45927</v>
      </c>
      <c r="H30" s="74" t="str">
        <f>IF(
   COUNTIFS($A$2:A30,A30,
             $B$2:B30,B30,
             $D$2:D30,D30,
              $I$2:I30,I30
             )&gt;1,
   "Doublon",
   "Correcte"
)</f>
        <v>Correcte</v>
      </c>
    </row>
    <row r="31" spans="1:8" ht="16.5" thickTop="1" thickBot="1" x14ac:dyDescent="0.3">
      <c r="A31" s="73" t="s">
        <v>1149</v>
      </c>
      <c r="B31" s="74" t="s">
        <v>1104</v>
      </c>
      <c r="C31" s="74"/>
      <c r="D31" s="74" t="s">
        <v>1148</v>
      </c>
      <c r="E31" s="74"/>
      <c r="F31" s="74" t="s">
        <v>664</v>
      </c>
      <c r="G31" s="75">
        <v>45927</v>
      </c>
      <c r="H31" s="74" t="str">
        <f>IF(
   COUNTIFS($A$2:A31,A31,
             $B$2:B31,B31,
             $D$2:D31,D31,
              $I$2:I31,I31
             )&gt;1,
   "Doublon",
   "Correcte"
)</f>
        <v>Correcte</v>
      </c>
    </row>
    <row r="32" spans="1:8" ht="16.5" thickTop="1" thickBot="1" x14ac:dyDescent="0.3">
      <c r="A32" s="73" t="s">
        <v>1149</v>
      </c>
      <c r="B32" s="74" t="s">
        <v>1104</v>
      </c>
      <c r="C32" s="74"/>
      <c r="D32" s="74" t="s">
        <v>1148</v>
      </c>
      <c r="E32" s="74"/>
      <c r="F32" s="74" t="s">
        <v>664</v>
      </c>
      <c r="G32" s="75">
        <v>45927</v>
      </c>
      <c r="H32" s="74" t="str">
        <f>IF(
   COUNTIFS($A$2:A32,A32,
             $B$2:B32,B32,
             $D$2:D32,D32,
              $I$2:I32,I32
             )&gt;1,
   "Doublon",
   "Correcte"
)</f>
        <v>Correcte</v>
      </c>
    </row>
    <row r="33" spans="1:8" ht="16.5" thickTop="1" thickBot="1" x14ac:dyDescent="0.3">
      <c r="A33" s="73" t="s">
        <v>1147</v>
      </c>
      <c r="B33" s="74" t="s">
        <v>1105</v>
      </c>
      <c r="C33" s="74"/>
      <c r="D33" s="74" t="s">
        <v>1148</v>
      </c>
      <c r="E33" s="74"/>
      <c r="F33" s="74" t="s">
        <v>664</v>
      </c>
      <c r="G33" s="75">
        <v>45927</v>
      </c>
      <c r="H33" s="74" t="str">
        <f>IF(
   COUNTIFS($A$2:A33,A33,
             $B$2:B33,B33,
             $D$2:D33,D33,
              $I$2:I33,I33
             )&gt;1,
   "Doublon",
   "Correcte"
)</f>
        <v>Correcte</v>
      </c>
    </row>
    <row r="34" spans="1:8" ht="16.5" thickTop="1" thickBot="1" x14ac:dyDescent="0.3">
      <c r="A34" s="73" t="s">
        <v>1147</v>
      </c>
      <c r="B34" s="74" t="s">
        <v>1105</v>
      </c>
      <c r="C34" s="74"/>
      <c r="D34" s="74" t="s">
        <v>1148</v>
      </c>
      <c r="E34" s="74"/>
      <c r="F34" s="74" t="s">
        <v>664</v>
      </c>
      <c r="G34" s="75">
        <v>45927</v>
      </c>
      <c r="H34" s="74" t="str">
        <f>IF(
   COUNTIFS($A$2:A34,A34,
             $B$2:B34,B34,
             $D$2:D34,D34,
              $I$2:I34,I34
             )&gt;1,
   "Doublon",
   "Correcte"
)</f>
        <v>Correcte</v>
      </c>
    </row>
    <row r="35" spans="1:8" ht="16.5" thickTop="1" thickBot="1" x14ac:dyDescent="0.3">
      <c r="A35" s="73" t="s">
        <v>1147</v>
      </c>
      <c r="B35" s="74" t="s">
        <v>1105</v>
      </c>
      <c r="C35" s="74"/>
      <c r="D35" s="74" t="s">
        <v>1148</v>
      </c>
      <c r="E35" s="74"/>
      <c r="F35" s="74" t="s">
        <v>664</v>
      </c>
      <c r="G35" s="75">
        <v>45927</v>
      </c>
      <c r="H35" s="74" t="str">
        <f>IF(
   COUNTIFS($A$2:A35,A35,
             $B$2:B35,B35,
             $D$2:D35,D35,
              $I$2:I35,I35
             )&gt;1,
   "Doublon",
   "Correcte"
)</f>
        <v>Correcte</v>
      </c>
    </row>
    <row r="36" spans="1:8" ht="16.5" thickTop="1" thickBot="1" x14ac:dyDescent="0.3">
      <c r="A36" s="73" t="s">
        <v>1147</v>
      </c>
      <c r="B36" s="74" t="s">
        <v>1105</v>
      </c>
      <c r="C36" s="74"/>
      <c r="D36" s="74" t="s">
        <v>1148</v>
      </c>
      <c r="E36" s="74"/>
      <c r="F36" s="74" t="s">
        <v>664</v>
      </c>
      <c r="G36" s="75">
        <v>45927</v>
      </c>
      <c r="H36" s="74" t="str">
        <f>IF(
   COUNTIFS($A$2:A36,A36,
             $B$2:B36,B36,
             $D$2:D36,D36,
              $I$2:I36,I36
             )&gt;1,
   "Doublon",
   "Correcte"
)</f>
        <v>Correcte</v>
      </c>
    </row>
    <row r="37" spans="1:8" ht="16.5" thickTop="1" thickBot="1" x14ac:dyDescent="0.3">
      <c r="A37" s="73" t="s">
        <v>1147</v>
      </c>
      <c r="B37" s="74" t="s">
        <v>1105</v>
      </c>
      <c r="C37" s="74"/>
      <c r="D37" s="74" t="s">
        <v>1148</v>
      </c>
      <c r="E37" s="74"/>
      <c r="F37" s="74" t="s">
        <v>664</v>
      </c>
      <c r="G37" s="75">
        <v>45927</v>
      </c>
      <c r="H37" s="74" t="str">
        <f>IF(
   COUNTIFS($A$2:A37,A37,
             $B$2:B37,B37,
             $D$2:D37,D37,
              $I$2:I37,I37
             )&gt;1,
   "Doublon",
   "Correcte"
)</f>
        <v>Correcte</v>
      </c>
    </row>
    <row r="38" spans="1:8" ht="16.5" thickTop="1" thickBot="1" x14ac:dyDescent="0.3">
      <c r="A38" s="73" t="s">
        <v>1147</v>
      </c>
      <c r="B38" s="74" t="s">
        <v>1105</v>
      </c>
      <c r="C38" s="74"/>
      <c r="D38" s="74" t="s">
        <v>1148</v>
      </c>
      <c r="E38" s="74"/>
      <c r="F38" s="74" t="s">
        <v>664</v>
      </c>
      <c r="G38" s="75">
        <v>45927</v>
      </c>
      <c r="H38" s="74" t="str">
        <f>IF(
   COUNTIFS($A$2:A38,A38,
             $B$2:B38,B38,
             $D$2:D38,D38,
              $I$2:I38,I38
             )&gt;1,
   "Doublon",
   "Correcte"
)</f>
        <v>Correcte</v>
      </c>
    </row>
    <row r="39" spans="1:8" ht="16.5" thickTop="1" thickBot="1" x14ac:dyDescent="0.3">
      <c r="A39" s="73" t="s">
        <v>1147</v>
      </c>
      <c r="B39" s="74" t="s">
        <v>1105</v>
      </c>
      <c r="C39" s="74"/>
      <c r="D39" s="74" t="s">
        <v>1148</v>
      </c>
      <c r="E39" s="74"/>
      <c r="F39" s="74" t="s">
        <v>664</v>
      </c>
      <c r="G39" s="75">
        <v>45927</v>
      </c>
      <c r="H39" s="74" t="str">
        <f>IF(
   COUNTIFS($A$2:A39,A39,
             $B$2:B39,B39,
             $D$2:D39,D39,
              $I$2:I39,I39
             )&gt;1,
   "Doublon",
   "Correcte"
)</f>
        <v>Correcte</v>
      </c>
    </row>
    <row r="40" spans="1:8" ht="16.5" thickTop="1" thickBot="1" x14ac:dyDescent="0.3">
      <c r="A40" s="73" t="s">
        <v>1147</v>
      </c>
      <c r="B40" s="74" t="s">
        <v>1105</v>
      </c>
      <c r="C40" s="74"/>
      <c r="D40" s="74" t="s">
        <v>1148</v>
      </c>
      <c r="E40" s="74"/>
      <c r="F40" s="74" t="s">
        <v>664</v>
      </c>
      <c r="G40" s="75">
        <v>45927</v>
      </c>
      <c r="H40" s="74" t="str">
        <f>IF(
   COUNTIFS($A$2:A40,A40,
             $B$2:B40,B40,
             $D$2:D40,D40,
              $I$2:I40,I40
             )&gt;1,
   "Doublon",
   "Correcte"
)</f>
        <v>Correcte</v>
      </c>
    </row>
    <row r="41" spans="1:8" ht="16.5" thickTop="1" thickBot="1" x14ac:dyDescent="0.3">
      <c r="A41" s="73" t="s">
        <v>1147</v>
      </c>
      <c r="B41" s="74" t="s">
        <v>1105</v>
      </c>
      <c r="C41" s="74"/>
      <c r="D41" s="74" t="s">
        <v>1148</v>
      </c>
      <c r="E41" s="74"/>
      <c r="F41" s="74" t="s">
        <v>664</v>
      </c>
      <c r="G41" s="75">
        <v>45927</v>
      </c>
      <c r="H41" s="74" t="str">
        <f>IF(
   COUNTIFS($A$2:A41,A41,
             $B$2:B41,B41,
             $D$2:D41,D41,
              $I$2:I41,I41
             )&gt;1,
   "Doublon",
   "Correcte"
)</f>
        <v>Correcte</v>
      </c>
    </row>
    <row r="42" spans="1:8" ht="16.5" thickTop="1" thickBot="1" x14ac:dyDescent="0.3">
      <c r="A42" s="73" t="s">
        <v>1149</v>
      </c>
      <c r="B42" s="74" t="s">
        <v>1106</v>
      </c>
      <c r="C42" s="74"/>
      <c r="D42" s="74" t="s">
        <v>1148</v>
      </c>
      <c r="E42" s="74"/>
      <c r="F42" s="74" t="s">
        <v>664</v>
      </c>
      <c r="G42" s="75">
        <v>45927</v>
      </c>
      <c r="H42" s="74" t="str">
        <f>IF(
   COUNTIFS($A$2:A42,A42,
             $B$2:B42,B42,
             $D$2:D42,D42,
              $I$2:I42,I42
             )&gt;1,
   "Doublon",
   "Correcte"
)</f>
        <v>Correcte</v>
      </c>
    </row>
    <row r="43" spans="1:8" ht="16.5" thickTop="1" thickBot="1" x14ac:dyDescent="0.3">
      <c r="A43" s="73" t="s">
        <v>1149</v>
      </c>
      <c r="B43" s="74" t="s">
        <v>1106</v>
      </c>
      <c r="C43" s="74"/>
      <c r="D43" s="74" t="s">
        <v>1148</v>
      </c>
      <c r="E43" s="74"/>
      <c r="F43" s="74" t="s">
        <v>664</v>
      </c>
      <c r="G43" s="75">
        <v>45927</v>
      </c>
      <c r="H43" s="74" t="str">
        <f>IF(
   COUNTIFS($A$2:A43,A43,
             $B$2:B43,B43,
             $D$2:D43,D43,
              $I$2:I43,I43
             )&gt;1,
   "Doublon",
   "Correcte"
)</f>
        <v>Correcte</v>
      </c>
    </row>
    <row r="44" spans="1:8" ht="16.5" thickTop="1" thickBot="1" x14ac:dyDescent="0.3">
      <c r="A44" s="73" t="s">
        <v>1149</v>
      </c>
      <c r="B44" s="74" t="s">
        <v>1106</v>
      </c>
      <c r="C44" s="74"/>
      <c r="D44" s="74" t="s">
        <v>1148</v>
      </c>
      <c r="E44" s="74"/>
      <c r="F44" s="74" t="s">
        <v>664</v>
      </c>
      <c r="G44" s="75">
        <v>45927</v>
      </c>
      <c r="H44" s="74" t="str">
        <f>IF(
   COUNTIFS($A$2:A44,A44,
             $B$2:B44,B44,
             $D$2:D44,D44,
              $I$2:I44,I44
             )&gt;1,
   "Doublon",
   "Correcte"
)</f>
        <v>Correcte</v>
      </c>
    </row>
    <row r="45" spans="1:8" ht="16.5" thickTop="1" thickBot="1" x14ac:dyDescent="0.3">
      <c r="A45" s="73" t="s">
        <v>1149</v>
      </c>
      <c r="B45" s="74" t="s">
        <v>1107</v>
      </c>
      <c r="C45" s="74"/>
      <c r="D45" s="74" t="s">
        <v>1148</v>
      </c>
      <c r="E45" s="74"/>
      <c r="F45" s="74" t="s">
        <v>664</v>
      </c>
      <c r="G45" s="75">
        <v>45927</v>
      </c>
      <c r="H45" s="74" t="str">
        <f>IF(
   COUNTIFS($A$2:A45,A45,
             $B$2:B45,B45,
             $D$2:D45,D45,
              $I$2:I45,I45
             )&gt;1,
   "Doublon",
   "Correcte"
)</f>
        <v>Correcte</v>
      </c>
    </row>
    <row r="46" spans="1:8" ht="16.5" thickTop="1" thickBot="1" x14ac:dyDescent="0.3">
      <c r="A46" s="73" t="s">
        <v>1149</v>
      </c>
      <c r="B46" s="74" t="s">
        <v>1107</v>
      </c>
      <c r="C46" s="74"/>
      <c r="D46" s="74" t="s">
        <v>1148</v>
      </c>
      <c r="E46" s="74"/>
      <c r="F46" s="74" t="s">
        <v>664</v>
      </c>
      <c r="G46" s="75">
        <v>45927</v>
      </c>
      <c r="H46" s="74" t="str">
        <f>IF(
   COUNTIFS($A$2:A46,A46,
             $B$2:B46,B46,
             $D$2:D46,D46,
              $I$2:I46,I46
             )&gt;1,
   "Doublon",
   "Correcte"
)</f>
        <v>Correcte</v>
      </c>
    </row>
    <row r="47" spans="1:8" ht="16.5" thickTop="1" thickBot="1" x14ac:dyDescent="0.3">
      <c r="A47" s="73" t="s">
        <v>1149</v>
      </c>
      <c r="B47" s="74" t="s">
        <v>1108</v>
      </c>
      <c r="C47" s="74"/>
      <c r="D47" s="74" t="s">
        <v>1148</v>
      </c>
      <c r="E47" s="74"/>
      <c r="F47" s="74" t="s">
        <v>664</v>
      </c>
      <c r="G47" s="75">
        <v>45927</v>
      </c>
      <c r="H47" s="74" t="str">
        <f>IF(
   COUNTIFS($A$2:A47,A47,
             $B$2:B47,B47,
             $D$2:D47,D47,
              $I$2:I47,I47
             )&gt;1,
   "Doublon",
   "Correcte"
)</f>
        <v>Correcte</v>
      </c>
    </row>
    <row r="48" spans="1:8" ht="16.5" thickTop="1" thickBot="1" x14ac:dyDescent="0.3">
      <c r="A48" s="73" t="s">
        <v>1149</v>
      </c>
      <c r="B48" s="74" t="s">
        <v>1108</v>
      </c>
      <c r="C48" s="74"/>
      <c r="D48" s="74" t="s">
        <v>1148</v>
      </c>
      <c r="E48" s="74"/>
      <c r="F48" s="74" t="s">
        <v>664</v>
      </c>
      <c r="G48" s="75">
        <v>45927</v>
      </c>
      <c r="H48" s="74" t="str">
        <f>IF(
   COUNTIFS($A$2:A48,A48,
             $B$2:B48,B48,
             $D$2:D48,D48,
              $I$2:I48,I48
             )&gt;1,
   "Doublon",
   "Correcte"
)</f>
        <v>Correcte</v>
      </c>
    </row>
    <row r="49" spans="1:8" ht="16.5" thickTop="1" thickBot="1" x14ac:dyDescent="0.3">
      <c r="A49" s="73" t="s">
        <v>1149</v>
      </c>
      <c r="B49" s="74" t="s">
        <v>1109</v>
      </c>
      <c r="C49" s="74"/>
      <c r="D49" s="74" t="s">
        <v>1148</v>
      </c>
      <c r="E49" s="74"/>
      <c r="F49" s="74" t="s">
        <v>664</v>
      </c>
      <c r="G49" s="75">
        <v>45927</v>
      </c>
      <c r="H49" s="74" t="str">
        <f>IF(
   COUNTIFS($A$2:A49,A49,
             $B$2:B49,B49,
             $D$2:D49,D49,
              $I$2:I49,I49
             )&gt;1,
   "Doublon",
   "Correcte"
)</f>
        <v>Correcte</v>
      </c>
    </row>
    <row r="50" spans="1:8" ht="16.5" thickTop="1" thickBot="1" x14ac:dyDescent="0.3">
      <c r="A50" s="73" t="s">
        <v>1149</v>
      </c>
      <c r="B50" s="74" t="s">
        <v>1109</v>
      </c>
      <c r="C50" s="74"/>
      <c r="D50" s="74" t="s">
        <v>1148</v>
      </c>
      <c r="E50" s="74"/>
      <c r="F50" s="74" t="s">
        <v>664</v>
      </c>
      <c r="G50" s="75">
        <v>45927</v>
      </c>
      <c r="H50" s="74" t="str">
        <f>IF(
   COUNTIFS($A$2:A50,A50,
             $B$2:B50,B50,
             $D$2:D50,D50,
              $I$2:I50,I50
             )&gt;1,
   "Doublon",
   "Correcte"
)</f>
        <v>Correcte</v>
      </c>
    </row>
    <row r="51" spans="1:8" ht="16.5" thickTop="1" thickBot="1" x14ac:dyDescent="0.3">
      <c r="A51" s="73" t="s">
        <v>1149</v>
      </c>
      <c r="B51" s="74" t="s">
        <v>1109</v>
      </c>
      <c r="C51" s="74"/>
      <c r="D51" s="74" t="s">
        <v>1148</v>
      </c>
      <c r="E51" s="74"/>
      <c r="F51" s="74" t="s">
        <v>664</v>
      </c>
      <c r="G51" s="75">
        <v>45927</v>
      </c>
      <c r="H51" s="74" t="str">
        <f>IF(
   COUNTIFS($A$2:A51,A51,
             $B$2:B51,B51,
             $D$2:D51,D51,
              $I$2:I51,I51
             )&gt;1,
   "Doublon",
   "Correcte"
)</f>
        <v>Correcte</v>
      </c>
    </row>
    <row r="52" spans="1:8" ht="16.5" thickTop="1" thickBot="1" x14ac:dyDescent="0.3">
      <c r="A52" s="73" t="s">
        <v>1149</v>
      </c>
      <c r="B52" s="74" t="s">
        <v>1117</v>
      </c>
      <c r="C52" s="74"/>
      <c r="D52" s="74" t="s">
        <v>1148</v>
      </c>
      <c r="E52" s="74"/>
      <c r="F52" s="74" t="s">
        <v>664</v>
      </c>
      <c r="G52" s="75">
        <v>45927</v>
      </c>
      <c r="H52" s="74" t="str">
        <f>IF(
   COUNTIFS($A$2:A52,A52,
             $B$2:B52,B52,
             $D$2:D52,D52,
              $I$2:I52,I52
             )&gt;1,
   "Doublon",
   "Correcte"
)</f>
        <v>Correcte</v>
      </c>
    </row>
    <row r="53" spans="1:8" ht="16.5" thickTop="1" thickBot="1" x14ac:dyDescent="0.3">
      <c r="A53" s="73" t="s">
        <v>1149</v>
      </c>
      <c r="B53" s="74" t="s">
        <v>1117</v>
      </c>
      <c r="C53" s="74"/>
      <c r="D53" s="74" t="s">
        <v>1148</v>
      </c>
      <c r="E53" s="74"/>
      <c r="F53" s="74" t="s">
        <v>664</v>
      </c>
      <c r="G53" s="75">
        <v>45927</v>
      </c>
      <c r="H53" s="74" t="str">
        <f>IF(
   COUNTIFS($A$2:A53,A53,
             $B$2:B53,B53,
             $D$2:D53,D53,
              $I$2:I53,I53
             )&gt;1,
   "Doublon",
   "Correcte"
)</f>
        <v>Correcte</v>
      </c>
    </row>
    <row r="54" spans="1:8" ht="16.5" thickTop="1" thickBot="1" x14ac:dyDescent="0.3">
      <c r="A54" s="73" t="s">
        <v>1149</v>
      </c>
      <c r="B54" s="74" t="s">
        <v>1118</v>
      </c>
      <c r="C54" s="74"/>
      <c r="D54" s="74" t="s">
        <v>1148</v>
      </c>
      <c r="E54" s="74"/>
      <c r="F54" s="74" t="s">
        <v>664</v>
      </c>
      <c r="G54" s="75">
        <v>45927</v>
      </c>
      <c r="H54" s="74" t="str">
        <f>IF(
   COUNTIFS($A$2:A54,A54,
             $B$2:B54,B54,
             $D$2:D54,D54,
              $I$2:I54,I54
             )&gt;1,
   "Doublon",
   "Correcte"
)</f>
        <v>Correcte</v>
      </c>
    </row>
    <row r="55" spans="1:8" ht="16.5" thickTop="1" thickBot="1" x14ac:dyDescent="0.3">
      <c r="A55" s="73" t="s">
        <v>1149</v>
      </c>
      <c r="B55" s="74" t="s">
        <v>1118</v>
      </c>
      <c r="C55" s="74"/>
      <c r="D55" s="74" t="s">
        <v>1148</v>
      </c>
      <c r="E55" s="74"/>
      <c r="F55" s="74" t="s">
        <v>664</v>
      </c>
      <c r="G55" s="75">
        <v>45927</v>
      </c>
      <c r="H55" s="74" t="str">
        <f>IF(
   COUNTIFS($A$2:A55,A55,
             $B$2:B55,B55,
             $D$2:D55,D55,
              $I$2:I55,I55
             )&gt;1,
   "Doublon",
   "Correcte"
)</f>
        <v>Correcte</v>
      </c>
    </row>
    <row r="56" spans="1:8" ht="16.5" thickTop="1" thickBot="1" x14ac:dyDescent="0.3">
      <c r="A56" s="73" t="s">
        <v>1149</v>
      </c>
      <c r="B56" s="74" t="s">
        <v>1119</v>
      </c>
      <c r="C56" s="74"/>
      <c r="D56" s="74" t="s">
        <v>1148</v>
      </c>
      <c r="E56" s="74"/>
      <c r="F56" s="74" t="s">
        <v>664</v>
      </c>
      <c r="G56" s="75">
        <v>45927</v>
      </c>
      <c r="H56" s="74" t="str">
        <f>IF(
   COUNTIFS($A$2:A56,A56,
             $B$2:B56,B56,
             $D$2:D56,D56,
              $I$2:I56,I56
             )&gt;1,
   "Doublon",
   "Correcte"
)</f>
        <v>Correcte</v>
      </c>
    </row>
    <row r="57" spans="1:8" ht="16.5" thickTop="1" thickBot="1" x14ac:dyDescent="0.3">
      <c r="A57" s="73" t="s">
        <v>1149</v>
      </c>
      <c r="B57" s="74" t="s">
        <v>1119</v>
      </c>
      <c r="C57" s="74"/>
      <c r="D57" s="74" t="s">
        <v>1148</v>
      </c>
      <c r="E57" s="74"/>
      <c r="F57" s="74" t="s">
        <v>664</v>
      </c>
      <c r="G57" s="75">
        <v>45927</v>
      </c>
      <c r="H57" s="74" t="str">
        <f>IF(
   COUNTIFS($A$2:A57,A57,
             $B$2:B57,B57,
             $D$2:D57,D57,
              $I$2:I57,I57
             )&gt;1,
   "Doublon",
   "Correcte"
)</f>
        <v>Correcte</v>
      </c>
    </row>
    <row r="58" spans="1:8" ht="16.5" thickTop="1" thickBot="1" x14ac:dyDescent="0.3">
      <c r="A58" s="73" t="s">
        <v>1149</v>
      </c>
      <c r="B58" s="74" t="s">
        <v>1120</v>
      </c>
      <c r="C58" s="74"/>
      <c r="D58" s="74" t="s">
        <v>1148</v>
      </c>
      <c r="E58" s="74"/>
      <c r="F58" s="74" t="s">
        <v>664</v>
      </c>
      <c r="G58" s="75">
        <v>45927</v>
      </c>
      <c r="H58" s="74" t="str">
        <f>IF(
   COUNTIFS($A$2:A58,A58,
             $B$2:B58,B58,
             $D$2:D58,D58,
              $I$2:I58,I58
             )&gt;1,
   "Doublon",
   "Correcte"
)</f>
        <v>Correcte</v>
      </c>
    </row>
    <row r="59" spans="1:8" ht="16.5" thickTop="1" thickBot="1" x14ac:dyDescent="0.3">
      <c r="A59" s="73" t="s">
        <v>1149</v>
      </c>
      <c r="B59" s="74" t="s">
        <v>1120</v>
      </c>
      <c r="C59" s="74"/>
      <c r="D59" s="74" t="s">
        <v>1148</v>
      </c>
      <c r="E59" s="74"/>
      <c r="F59" s="74" t="s">
        <v>664</v>
      </c>
      <c r="G59" s="75">
        <v>45927</v>
      </c>
      <c r="H59" s="74" t="str">
        <f>IF(
   COUNTIFS($A$2:A59,A59,
             $B$2:B59,B59,
             $D$2:D59,D59,
              $I$2:I59,I59
             )&gt;1,
   "Doublon",
   "Correcte"
)</f>
        <v>Correcte</v>
      </c>
    </row>
    <row r="60" spans="1:8" ht="16.5" thickTop="1" thickBot="1" x14ac:dyDescent="0.3">
      <c r="A60" s="73" t="s">
        <v>1149</v>
      </c>
      <c r="B60" s="74" t="s">
        <v>1121</v>
      </c>
      <c r="C60" s="74"/>
      <c r="D60" s="74" t="s">
        <v>1148</v>
      </c>
      <c r="E60" s="74"/>
      <c r="F60" s="74" t="s">
        <v>664</v>
      </c>
      <c r="G60" s="75">
        <v>45927</v>
      </c>
      <c r="H60" s="74" t="str">
        <f>IF(
   COUNTIFS($A$2:A60,A60,
             $B$2:B60,B60,
             $D$2:D60,D60,
              $I$2:I60,I60
             )&gt;1,
   "Doublon",
   "Correcte"
)</f>
        <v>Correcte</v>
      </c>
    </row>
    <row r="61" spans="1:8" ht="16.5" thickTop="1" thickBot="1" x14ac:dyDescent="0.3">
      <c r="A61" s="73" t="s">
        <v>1149</v>
      </c>
      <c r="B61" s="74" t="s">
        <v>1121</v>
      </c>
      <c r="C61" s="74"/>
      <c r="D61" s="74" t="s">
        <v>1148</v>
      </c>
      <c r="E61" s="74"/>
      <c r="F61" s="74" t="s">
        <v>664</v>
      </c>
      <c r="G61" s="75">
        <v>45927</v>
      </c>
      <c r="H61" s="74" t="str">
        <f>IF(
   COUNTIFS($A$2:A61,A61,
             $B$2:B61,B61,
             $D$2:D61,D61,
              $I$2:I61,I61
             )&gt;1,
   "Doublon",
   "Correcte"
)</f>
        <v>Correcte</v>
      </c>
    </row>
    <row r="62" spans="1:8" ht="16.5" thickTop="1" thickBot="1" x14ac:dyDescent="0.3">
      <c r="A62" s="73" t="s">
        <v>1149</v>
      </c>
      <c r="B62" s="74" t="s">
        <v>1122</v>
      </c>
      <c r="C62" s="74"/>
      <c r="D62" s="74" t="s">
        <v>1148</v>
      </c>
      <c r="E62" s="74"/>
      <c r="F62" s="74" t="s">
        <v>664</v>
      </c>
      <c r="G62" s="75">
        <v>45927</v>
      </c>
      <c r="H62" s="74" t="str">
        <f>IF(
   COUNTIFS($A$2:A62,A62,
             $B$2:B62,B62,
             $D$2:D62,D62,
              $I$2:I62,I62
             )&gt;1,
   "Doublon",
   "Correcte"
)</f>
        <v>Correcte</v>
      </c>
    </row>
    <row r="63" spans="1:8" ht="16.5" thickTop="1" thickBot="1" x14ac:dyDescent="0.3">
      <c r="A63" s="73" t="s">
        <v>1149</v>
      </c>
      <c r="B63" s="74" t="s">
        <v>1122</v>
      </c>
      <c r="C63" s="74"/>
      <c r="D63" s="74" t="s">
        <v>1148</v>
      </c>
      <c r="E63" s="74"/>
      <c r="F63" s="74" t="s">
        <v>664</v>
      </c>
      <c r="G63" s="75">
        <v>45927</v>
      </c>
      <c r="H63" s="74" t="str">
        <f>IF(
   COUNTIFS($A$2:A63,A63,
             $B$2:B63,B63,
             $D$2:D63,D63,
              $I$2:I63,I63
             )&gt;1,
   "Doublon",
   "Correcte"
)</f>
        <v>Correcte</v>
      </c>
    </row>
    <row r="64" spans="1:8" ht="16.5" thickTop="1" thickBot="1" x14ac:dyDescent="0.3">
      <c r="A64" s="73" t="s">
        <v>1149</v>
      </c>
      <c r="B64" s="74" t="s">
        <v>1123</v>
      </c>
      <c r="C64" s="74"/>
      <c r="D64" s="74" t="s">
        <v>1148</v>
      </c>
      <c r="E64" s="74"/>
      <c r="F64" s="74" t="s">
        <v>664</v>
      </c>
      <c r="G64" s="75">
        <v>45927</v>
      </c>
      <c r="H64" s="74" t="str">
        <f>IF(
   COUNTIFS($A$2:A64,A64,
             $B$2:B64,B64,
             $D$2:D64,D64,
              $I$2:I64,I64
             )&gt;1,
   "Doublon",
   "Correcte"
)</f>
        <v>Correcte</v>
      </c>
    </row>
    <row r="65" spans="1:8" ht="16.5" thickTop="1" thickBot="1" x14ac:dyDescent="0.3">
      <c r="A65" s="73" t="s">
        <v>1149</v>
      </c>
      <c r="B65" s="74" t="s">
        <v>1123</v>
      </c>
      <c r="C65" s="74"/>
      <c r="D65" s="74" t="s">
        <v>1148</v>
      </c>
      <c r="E65" s="74"/>
      <c r="F65" s="74" t="s">
        <v>664</v>
      </c>
      <c r="G65" s="75">
        <v>45927</v>
      </c>
      <c r="H65" s="74" t="str">
        <f>IF(
   COUNTIFS($A$2:A65,A65,
             $B$2:B65,B65,
             $D$2:D65,D65,
              $I$2:I65,I65
             )&gt;1,
   "Doublon",
   "Correcte"
)</f>
        <v>Correcte</v>
      </c>
    </row>
    <row r="66" spans="1:8" ht="16.5" thickTop="1" thickBot="1" x14ac:dyDescent="0.3">
      <c r="A66" s="73" t="s">
        <v>1149</v>
      </c>
      <c r="B66" s="74" t="s">
        <v>1123</v>
      </c>
      <c r="C66" s="74"/>
      <c r="D66" s="74" t="s">
        <v>1148</v>
      </c>
      <c r="E66" s="74"/>
      <c r="F66" s="74" t="s">
        <v>664</v>
      </c>
      <c r="G66" s="75">
        <v>45927</v>
      </c>
      <c r="H66" s="74" t="str">
        <f>IF(
   COUNTIFS($A$2:A66,A66,
             $B$2:B66,B66,
             $D$2:D66,D66,
              $I$2:I66,I66
             )&gt;1,
   "Doublon",
   "Correcte"
)</f>
        <v>Correcte</v>
      </c>
    </row>
    <row r="67" spans="1:8" ht="16.5" thickTop="1" thickBot="1" x14ac:dyDescent="0.3">
      <c r="A67" s="73" t="s">
        <v>1149</v>
      </c>
      <c r="B67" s="74" t="s">
        <v>1123</v>
      </c>
      <c r="C67" s="74"/>
      <c r="D67" s="74" t="s">
        <v>1148</v>
      </c>
      <c r="E67" s="74"/>
      <c r="F67" s="74" t="s">
        <v>664</v>
      </c>
      <c r="G67" s="75">
        <v>45927</v>
      </c>
      <c r="H67" s="74" t="str">
        <f>IF(
   COUNTIFS($A$2:A67,A67,
             $B$2:B67,B67,
             $D$2:D67,D67,
              $I$2:I67,I67
             )&gt;1,
   "Doublon",
   "Correcte"
)</f>
        <v>Correcte</v>
      </c>
    </row>
    <row r="68" spans="1:8" ht="16.5" thickTop="1" thickBot="1" x14ac:dyDescent="0.3">
      <c r="A68" s="73" t="s">
        <v>1149</v>
      </c>
      <c r="B68" s="74" t="s">
        <v>1124</v>
      </c>
      <c r="C68" s="74"/>
      <c r="D68" s="74" t="s">
        <v>1148</v>
      </c>
      <c r="E68" s="74"/>
      <c r="F68" s="74" t="s">
        <v>664</v>
      </c>
      <c r="G68" s="75">
        <v>45927</v>
      </c>
      <c r="H68" s="74" t="str">
        <f>IF(
   COUNTIFS($A$2:A68,A68,
             $B$2:B68,B68,
             $D$2:D68,D68,
              $I$2:I68,I68
             )&gt;1,
   "Doublon",
   "Correcte"
)</f>
        <v>Correcte</v>
      </c>
    </row>
    <row r="69" spans="1:8" ht="16.5" thickTop="1" thickBot="1" x14ac:dyDescent="0.3">
      <c r="A69" s="73" t="s">
        <v>1149</v>
      </c>
      <c r="B69" s="74" t="s">
        <v>1125</v>
      </c>
      <c r="C69" s="74"/>
      <c r="D69" s="74" t="s">
        <v>1148</v>
      </c>
      <c r="E69" s="74"/>
      <c r="F69" s="74" t="s">
        <v>664</v>
      </c>
      <c r="G69" s="75">
        <v>45927</v>
      </c>
      <c r="H69" s="74" t="str">
        <f>IF(
   COUNTIFS($A$2:A69,A69,
             $B$2:B69,B69,
             $D$2:D69,D69,
              $I$2:I69,I69
             )&gt;1,
   "Doublon",
   "Correcte"
)</f>
        <v>Correcte</v>
      </c>
    </row>
    <row r="70" spans="1:8" ht="16.5" thickTop="1" thickBot="1" x14ac:dyDescent="0.3">
      <c r="A70" s="73" t="s">
        <v>1147</v>
      </c>
      <c r="B70" s="74" t="s">
        <v>1126</v>
      </c>
      <c r="C70" s="74"/>
      <c r="D70" s="74" t="s">
        <v>1148</v>
      </c>
      <c r="E70" s="74"/>
      <c r="F70" s="74" t="s">
        <v>664</v>
      </c>
      <c r="G70" s="75">
        <v>45927</v>
      </c>
      <c r="H70" s="74" t="str">
        <f>IF(
   COUNTIFS($A$2:A70,A70,
             $B$2:B70,B70,
             $D$2:D70,D70,
              $I$2:I70,I70
             )&gt;1,
   "Doublon",
   "Correcte"
)</f>
        <v>Correcte</v>
      </c>
    </row>
    <row r="71" spans="1:8" ht="16.5" thickTop="1" thickBot="1" x14ac:dyDescent="0.3">
      <c r="A71" s="73" t="s">
        <v>1147</v>
      </c>
      <c r="B71" s="74" t="s">
        <v>1126</v>
      </c>
      <c r="C71" s="74"/>
      <c r="D71" s="74" t="s">
        <v>1148</v>
      </c>
      <c r="E71" s="74"/>
      <c r="F71" s="74" t="s">
        <v>664</v>
      </c>
      <c r="G71" s="75">
        <v>45927</v>
      </c>
      <c r="H71" s="74" t="str">
        <f>IF(
   COUNTIFS($A$2:A71,A71,
             $B$2:B71,B71,
             $D$2:D71,D71,
              $I$2:I71,I71
             )&gt;1,
   "Doublon",
   "Correcte"
)</f>
        <v>Correcte</v>
      </c>
    </row>
    <row r="72" spans="1:8" ht="16.5" thickTop="1" thickBot="1" x14ac:dyDescent="0.3">
      <c r="A72" s="73" t="s">
        <v>1147</v>
      </c>
      <c r="B72" s="74" t="s">
        <v>1127</v>
      </c>
      <c r="C72" s="74"/>
      <c r="D72" s="74" t="s">
        <v>1148</v>
      </c>
      <c r="E72" s="74"/>
      <c r="F72" s="74" t="s">
        <v>664</v>
      </c>
      <c r="G72" s="75">
        <v>45927</v>
      </c>
      <c r="H72" s="74" t="str">
        <f>IF(
   COUNTIFS($A$2:A72,A72,
             $B$2:B72,B72,
             $D$2:D72,D72,
              $I$2:I72,I72
             )&gt;1,
   "Doublon",
   "Correcte"
)</f>
        <v>Correcte</v>
      </c>
    </row>
    <row r="73" spans="1:8" ht="16.5" thickTop="1" thickBot="1" x14ac:dyDescent="0.3">
      <c r="A73" s="73" t="s">
        <v>1147</v>
      </c>
      <c r="B73" s="74" t="s">
        <v>1127</v>
      </c>
      <c r="C73" s="74"/>
      <c r="D73" s="74" t="s">
        <v>1148</v>
      </c>
      <c r="E73" s="74"/>
      <c r="F73" s="74" t="s">
        <v>664</v>
      </c>
      <c r="G73" s="75">
        <v>45927</v>
      </c>
      <c r="H73" s="74" t="str">
        <f>IF(
   COUNTIFS($A$2:A73,A73,
             $B$2:B73,B73,
             $D$2:D73,D73,
              $I$2:I73,I73
             )&gt;1,
   "Doublon",
   "Correcte"
)</f>
        <v>Correcte</v>
      </c>
    </row>
    <row r="74" spans="1:8" ht="16.5" thickTop="1" thickBot="1" x14ac:dyDescent="0.3">
      <c r="A74" s="73" t="s">
        <v>1147</v>
      </c>
      <c r="B74" s="74" t="s">
        <v>1128</v>
      </c>
      <c r="C74" s="74"/>
      <c r="D74" s="74" t="s">
        <v>1148</v>
      </c>
      <c r="E74" s="74"/>
      <c r="F74" s="74" t="s">
        <v>664</v>
      </c>
      <c r="G74" s="75">
        <v>45927</v>
      </c>
      <c r="H74" s="74" t="str">
        <f>IF(
   COUNTIFS($A$2:A74,A74,
             $B$2:B74,B74,
             $D$2:D74,D74,
              $I$2:I74,I74
             )&gt;1,
   "Doublon",
   "Correcte"
)</f>
        <v>Correcte</v>
      </c>
    </row>
    <row r="75" spans="1:8" ht="16.5" thickTop="1" thickBot="1" x14ac:dyDescent="0.3">
      <c r="A75" s="73" t="s">
        <v>1147</v>
      </c>
      <c r="B75" s="74" t="s">
        <v>1128</v>
      </c>
      <c r="C75" s="74"/>
      <c r="D75" s="74" t="s">
        <v>1148</v>
      </c>
      <c r="E75" s="74"/>
      <c r="F75" s="74" t="s">
        <v>664</v>
      </c>
      <c r="G75" s="75">
        <v>45927</v>
      </c>
      <c r="H75" s="74" t="str">
        <f>IF(
   COUNTIFS($A$2:A75,A75,
             $B$2:B75,B75,
             $D$2:D75,D75,
              $I$2:I75,I75
             )&gt;1,
   "Doublon",
   "Correcte"
)</f>
        <v>Correcte</v>
      </c>
    </row>
    <row r="76" spans="1:8" ht="16.5" thickTop="1" thickBot="1" x14ac:dyDescent="0.3">
      <c r="A76" s="73" t="s">
        <v>1147</v>
      </c>
      <c r="B76" s="74" t="s">
        <v>1129</v>
      </c>
      <c r="C76" s="74"/>
      <c r="D76" s="74" t="s">
        <v>1148</v>
      </c>
      <c r="E76" s="74"/>
      <c r="F76" s="74" t="s">
        <v>664</v>
      </c>
      <c r="G76" s="75">
        <v>45927</v>
      </c>
      <c r="H76" s="74" t="str">
        <f>IF(
   COUNTIFS($A$2:A76,A76,
             $B$2:B76,B76,
             $D$2:D76,D76,
              $I$2:I76,I76
             )&gt;1,
   "Doublon",
   "Correcte"
)</f>
        <v>Correcte</v>
      </c>
    </row>
    <row r="77" spans="1:8" ht="16.5" thickTop="1" thickBot="1" x14ac:dyDescent="0.3">
      <c r="A77" s="73" t="s">
        <v>1147</v>
      </c>
      <c r="B77" s="74" t="s">
        <v>1129</v>
      </c>
      <c r="C77" s="74"/>
      <c r="D77" s="74" t="s">
        <v>1148</v>
      </c>
      <c r="E77" s="74"/>
      <c r="F77" s="74" t="s">
        <v>664</v>
      </c>
      <c r="G77" s="75">
        <v>45927</v>
      </c>
      <c r="H77" s="74" t="str">
        <f>IF(
   COUNTIFS($A$2:A77,A77,
             $B$2:B77,B77,
             $D$2:D77,D77,
              $I$2:I77,I77
             )&gt;1,
   "Doublon",
   "Correcte"
)</f>
        <v>Correcte</v>
      </c>
    </row>
    <row r="78" spans="1:8" ht="16.5" thickTop="1" thickBot="1" x14ac:dyDescent="0.3">
      <c r="A78" s="73" t="s">
        <v>1147</v>
      </c>
      <c r="B78" s="74" t="s">
        <v>1130</v>
      </c>
      <c r="C78" s="74"/>
      <c r="D78" s="74" t="s">
        <v>1148</v>
      </c>
      <c r="E78" s="74"/>
      <c r="F78" s="74" t="s">
        <v>664</v>
      </c>
      <c r="G78" s="75">
        <v>45927</v>
      </c>
      <c r="H78" s="74" t="str">
        <f>IF(
   COUNTIFS($A$2:A78,A78,
             $B$2:B78,B78,
             $D$2:D78,D78,
              $I$2:I78,I78
             )&gt;1,
   "Doublon",
   "Correcte"
)</f>
        <v>Correcte</v>
      </c>
    </row>
    <row r="79" spans="1:8" ht="16.5" thickTop="1" thickBot="1" x14ac:dyDescent="0.3">
      <c r="A79" s="73" t="s">
        <v>1147</v>
      </c>
      <c r="B79" s="74" t="s">
        <v>1130</v>
      </c>
      <c r="C79" s="74"/>
      <c r="D79" s="74" t="s">
        <v>1148</v>
      </c>
      <c r="E79" s="74"/>
      <c r="F79" s="74" t="s">
        <v>664</v>
      </c>
      <c r="G79" s="75">
        <v>45927</v>
      </c>
      <c r="H79" s="74" t="str">
        <f>IF(
   COUNTIFS($A$2:A79,A79,
             $B$2:B79,B79,
             $D$2:D79,D79,
              $I$2:I79,I79
             )&gt;1,
   "Doublon",
   "Correcte"
)</f>
        <v>Correcte</v>
      </c>
    </row>
    <row r="80" spans="1:8" ht="16.5" thickTop="1" thickBot="1" x14ac:dyDescent="0.3">
      <c r="A80" s="73" t="s">
        <v>1147</v>
      </c>
      <c r="B80" s="74" t="s">
        <v>1131</v>
      </c>
      <c r="C80" s="74"/>
      <c r="D80" s="74" t="s">
        <v>1148</v>
      </c>
      <c r="E80" s="74"/>
      <c r="F80" s="74" t="s">
        <v>664</v>
      </c>
      <c r="G80" s="75">
        <v>45927</v>
      </c>
      <c r="H80" s="74" t="str">
        <f>IF(
   COUNTIFS($A$2:A80,A80,
             $B$2:B80,B80,
             $D$2:D80,D80,
              $I$2:I80,I80
             )&gt;1,
   "Doublon",
   "Correcte"
)</f>
        <v>Correcte</v>
      </c>
    </row>
    <row r="81" spans="1:8" ht="16.5" thickTop="1" thickBot="1" x14ac:dyDescent="0.3">
      <c r="A81" s="73" t="s">
        <v>1147</v>
      </c>
      <c r="B81" s="74" t="s">
        <v>1131</v>
      </c>
      <c r="C81" s="74"/>
      <c r="D81" s="74" t="s">
        <v>1148</v>
      </c>
      <c r="E81" s="74"/>
      <c r="F81" s="74" t="s">
        <v>664</v>
      </c>
      <c r="G81" s="75">
        <v>45927</v>
      </c>
      <c r="H81" s="74" t="str">
        <f>IF(
   COUNTIFS($A$2:A81,A81,
             $B$2:B81,B81,
             $D$2:D81,D81,
              $I$2:I81,I81
             )&gt;1,
   "Doublon",
   "Correcte"
)</f>
        <v>Correcte</v>
      </c>
    </row>
    <row r="82" spans="1:8" ht="16.5" thickTop="1" thickBot="1" x14ac:dyDescent="0.3">
      <c r="A82" s="73" t="s">
        <v>1147</v>
      </c>
      <c r="B82" s="74" t="s">
        <v>1135</v>
      </c>
      <c r="C82" s="74"/>
      <c r="D82" s="74" t="s">
        <v>1148</v>
      </c>
      <c r="E82" s="74"/>
      <c r="F82" s="74" t="s">
        <v>664</v>
      </c>
      <c r="G82" s="75">
        <v>45927</v>
      </c>
      <c r="H82" s="74" t="str">
        <f>IF(
   COUNTIFS($A$2:A82,A82,
             $B$2:B82,B82,
             $D$2:D82,D82,
              $I$2:I82,I82
             )&gt;1,
   "Doublon",
   "Correcte"
)</f>
        <v>Correcte</v>
      </c>
    </row>
    <row r="83" spans="1:8" ht="16.5" thickTop="1" thickBot="1" x14ac:dyDescent="0.3">
      <c r="A83" s="73" t="s">
        <v>1147</v>
      </c>
      <c r="B83" s="74" t="s">
        <v>1136</v>
      </c>
      <c r="C83" s="74"/>
      <c r="D83" s="74" t="s">
        <v>1148</v>
      </c>
      <c r="E83" s="74"/>
      <c r="F83" s="74" t="s">
        <v>664</v>
      </c>
      <c r="G83" s="75">
        <v>45927</v>
      </c>
      <c r="H83" s="74" t="str">
        <f>IF(
   COUNTIFS($A$2:A83,A83,
             $B$2:B83,B83,
             $D$2:D83,D83,
              $I$2:I83,I83
             )&gt;1,
   "Doublon",
   "Correcte"
)</f>
        <v>Correcte</v>
      </c>
    </row>
    <row r="84" spans="1:8" ht="16.5" thickTop="1" thickBot="1" x14ac:dyDescent="0.3">
      <c r="A84" s="73" t="s">
        <v>1147</v>
      </c>
      <c r="B84" s="74" t="s">
        <v>1136</v>
      </c>
      <c r="C84" s="74"/>
      <c r="D84" s="74" t="s">
        <v>1148</v>
      </c>
      <c r="E84" s="74"/>
      <c r="F84" s="74" t="s">
        <v>664</v>
      </c>
      <c r="G84" s="75">
        <v>45927</v>
      </c>
      <c r="H84" s="74" t="str">
        <f>IF(
   COUNTIFS($A$2:A84,A84,
             $B$2:B84,B84,
             $D$2:D84,D84,
              $I$2:I84,I84
             )&gt;1,
   "Doublon",
   "Correcte"
)</f>
        <v>Correcte</v>
      </c>
    </row>
    <row r="85" spans="1:8" ht="16.5" thickTop="1" thickBot="1" x14ac:dyDescent="0.3">
      <c r="A85" s="73" t="s">
        <v>1147</v>
      </c>
      <c r="B85" s="74" t="s">
        <v>1137</v>
      </c>
      <c r="C85" s="74"/>
      <c r="D85" s="74" t="s">
        <v>1148</v>
      </c>
      <c r="E85" s="74"/>
      <c r="F85" s="74" t="s">
        <v>664</v>
      </c>
      <c r="G85" s="75">
        <v>45927</v>
      </c>
      <c r="H85" s="74" t="str">
        <f>IF(
   COUNTIFS($A$2:A85,A85,
             $B$2:B85,B85,
             $D$2:D85,D85,
              $I$2:I85,I85
             )&gt;1,
   "Doublon",
   "Correcte"
)</f>
        <v>Correcte</v>
      </c>
    </row>
    <row r="86" spans="1:8" ht="16.5" thickTop="1" thickBot="1" x14ac:dyDescent="0.3">
      <c r="A86" s="73" t="s">
        <v>1147</v>
      </c>
      <c r="B86" s="74" t="s">
        <v>1138</v>
      </c>
      <c r="C86" s="74"/>
      <c r="D86" s="74" t="s">
        <v>1148</v>
      </c>
      <c r="E86" s="74"/>
      <c r="F86" s="74" t="s">
        <v>664</v>
      </c>
      <c r="G86" s="75">
        <v>45927</v>
      </c>
      <c r="H86" s="74" t="str">
        <f>IF(
   COUNTIFS($A$2:A86,A86,
             $B$2:B86,B86,
             $D$2:D86,D86,
              $I$2:I86,I86
             )&gt;1,
   "Doublon",
   "Correcte"
)</f>
        <v>Correcte</v>
      </c>
    </row>
    <row r="87" spans="1:8" ht="16.5" thickTop="1" thickBot="1" x14ac:dyDescent="0.3">
      <c r="A87" s="73" t="s">
        <v>1147</v>
      </c>
      <c r="B87" s="74" t="s">
        <v>1138</v>
      </c>
      <c r="C87" s="74"/>
      <c r="D87" s="74" t="s">
        <v>1148</v>
      </c>
      <c r="E87" s="74"/>
      <c r="F87" s="74" t="s">
        <v>664</v>
      </c>
      <c r="G87" s="75">
        <v>45927</v>
      </c>
      <c r="H87" s="74" t="str">
        <f>IF(
   COUNTIFS($A$2:A87,A87,
             $B$2:B87,B87,
             $D$2:D87,D87,
              $I$2:I87,I87
             )&gt;1,
   "Doublon",
   "Correcte"
)</f>
        <v>Correcte</v>
      </c>
    </row>
    <row r="88" spans="1:8" ht="16.5" thickTop="1" thickBot="1" x14ac:dyDescent="0.3">
      <c r="A88" s="73" t="s">
        <v>1147</v>
      </c>
      <c r="B88" s="74" t="s">
        <v>1138</v>
      </c>
      <c r="C88" s="74"/>
      <c r="D88" s="74" t="s">
        <v>1148</v>
      </c>
      <c r="E88" s="74"/>
      <c r="F88" s="74" t="s">
        <v>664</v>
      </c>
      <c r="G88" s="75">
        <v>45927</v>
      </c>
      <c r="H88" s="74" t="str">
        <f>IF(
   COUNTIFS($A$2:A88,A88,
             $B$2:B88,B88,
             $D$2:D88,D88,
              $I$2:I88,I88
             )&gt;1,
   "Doublon",
   "Correcte"
)</f>
        <v>Correcte</v>
      </c>
    </row>
    <row r="89" spans="1:8" ht="16.5" thickTop="1" thickBot="1" x14ac:dyDescent="0.3">
      <c r="A89" s="73" t="s">
        <v>1147</v>
      </c>
      <c r="B89" s="74" t="s">
        <v>1139</v>
      </c>
      <c r="C89" s="74"/>
      <c r="D89" s="74" t="s">
        <v>1148</v>
      </c>
      <c r="E89" s="74"/>
      <c r="F89" s="74" t="s">
        <v>664</v>
      </c>
      <c r="G89" s="75">
        <v>45927</v>
      </c>
      <c r="H89" s="74" t="str">
        <f>IF(
   COUNTIFS($A$2:A89,A89,
             $B$2:B89,B89,
             $D$2:D89,D89,
              $I$2:I89,I89
             )&gt;1,
   "Doublon",
   "Correcte"
)</f>
        <v>Correcte</v>
      </c>
    </row>
    <row r="90" spans="1:8" ht="16.5" thickTop="1" thickBot="1" x14ac:dyDescent="0.3">
      <c r="A90" s="73" t="s">
        <v>1147</v>
      </c>
      <c r="B90" s="74" t="s">
        <v>1139</v>
      </c>
      <c r="C90" s="74"/>
      <c r="D90" s="74" t="s">
        <v>1148</v>
      </c>
      <c r="E90" s="74"/>
      <c r="F90" s="74" t="s">
        <v>664</v>
      </c>
      <c r="G90" s="75">
        <v>45927</v>
      </c>
      <c r="H90" s="74" t="str">
        <f>IF(
   COUNTIFS($A$2:A90,A90,
             $B$2:B90,B90,
             $D$2:D90,D90,
              $I$2:I90,I90
             )&gt;1,
   "Doublon",
   "Correcte"
)</f>
        <v>Correcte</v>
      </c>
    </row>
    <row r="91" spans="1:8" ht="16.5" thickTop="1" thickBot="1" x14ac:dyDescent="0.3">
      <c r="A91" s="73" t="s">
        <v>1147</v>
      </c>
      <c r="B91" s="74" t="s">
        <v>1139</v>
      </c>
      <c r="C91" s="74"/>
      <c r="D91" s="74" t="s">
        <v>1148</v>
      </c>
      <c r="E91" s="74"/>
      <c r="F91" s="74" t="s">
        <v>664</v>
      </c>
      <c r="G91" s="75">
        <v>45927</v>
      </c>
      <c r="H91" s="74" t="str">
        <f>IF(
   COUNTIFS($A$2:A91,A91,
             $B$2:B91,B91,
             $D$2:D91,D91,
              $I$2:I91,I91
             )&gt;1,
   "Doublon",
   "Correcte"
)</f>
        <v>Correcte</v>
      </c>
    </row>
    <row r="92" spans="1:8" ht="16.5" thickTop="1" thickBot="1" x14ac:dyDescent="0.3">
      <c r="A92" s="73" t="s">
        <v>1147</v>
      </c>
      <c r="B92" s="74" t="s">
        <v>1140</v>
      </c>
      <c r="C92" s="74"/>
      <c r="D92" s="74" t="s">
        <v>1148</v>
      </c>
      <c r="E92" s="74"/>
      <c r="F92" s="74" t="s">
        <v>664</v>
      </c>
      <c r="G92" s="75">
        <v>45927</v>
      </c>
      <c r="H92" s="77" t="str">
        <f>IF(
   COUNTIFS($A$2:A92,A92,
             $B$2:B92,B92,
             $D$2:D92,D92,
              $I$2:I92,I92
             )&gt;1,
   "Doublon",
   "Correcte"
)</f>
        <v>Correcte</v>
      </c>
    </row>
    <row r="93" spans="1:8" ht="15.75" thickTop="1" x14ac:dyDescent="0.25"/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A816-E3B9-4EC9-9565-62FA54B7F040}">
  <dimension ref="A1:Q1172"/>
  <sheetViews>
    <sheetView tabSelected="1" topLeftCell="B1" workbookViewId="0">
      <selection activeCell="R2" sqref="R2"/>
    </sheetView>
  </sheetViews>
  <sheetFormatPr baseColWidth="10" defaultColWidth="9.140625" defaultRowHeight="15" x14ac:dyDescent="0.25"/>
  <cols>
    <col min="1" max="1" width="12.42578125" bestFit="1" customWidth="1"/>
    <col min="2" max="2" width="18.5703125" customWidth="1"/>
    <col min="3" max="3" width="12.42578125" customWidth="1"/>
    <col min="4" max="4" width="12.85546875" customWidth="1"/>
    <col min="6" max="6" width="12.5703125" customWidth="1"/>
    <col min="7" max="7" width="13.85546875" customWidth="1"/>
    <col min="8" max="8" width="26" customWidth="1"/>
    <col min="9" max="9" width="13.5703125" customWidth="1"/>
    <col min="10" max="11" width="22.140625" customWidth="1"/>
    <col min="12" max="12" width="14" customWidth="1"/>
    <col min="13" max="13" width="12.5703125" customWidth="1"/>
    <col min="14" max="14" width="26.5703125" customWidth="1"/>
    <col min="15" max="15" width="23.42578125" customWidth="1"/>
    <col min="16" max="16" width="15.7109375" customWidth="1"/>
    <col min="17" max="17" width="10.85546875" customWidth="1"/>
  </cols>
  <sheetData>
    <row r="1" spans="1:17" s="5" customFormat="1" ht="30" customHeight="1" x14ac:dyDescent="0.25">
      <c r="A1" s="10" t="s">
        <v>2391</v>
      </c>
      <c r="B1" s="10" t="s">
        <v>1150</v>
      </c>
      <c r="C1" s="10" t="s">
        <v>1151</v>
      </c>
      <c r="D1" s="10" t="s">
        <v>1152</v>
      </c>
      <c r="E1" s="10" t="s">
        <v>690</v>
      </c>
      <c r="F1" s="10" t="s">
        <v>656</v>
      </c>
      <c r="G1" s="10" t="s">
        <v>586</v>
      </c>
      <c r="H1" s="10" t="s">
        <v>587</v>
      </c>
      <c r="I1" s="10" t="s">
        <v>661</v>
      </c>
      <c r="J1" s="10" t="s">
        <v>2684</v>
      </c>
      <c r="K1" s="33" t="s">
        <v>0</v>
      </c>
      <c r="L1" s="10" t="s">
        <v>1</v>
      </c>
      <c r="M1" s="10" t="s">
        <v>2</v>
      </c>
      <c r="N1" s="10" t="s">
        <v>3</v>
      </c>
      <c r="O1" s="10" t="s">
        <v>4</v>
      </c>
      <c r="P1" s="10" t="s">
        <v>5</v>
      </c>
      <c r="Q1" s="45" t="s">
        <v>1227</v>
      </c>
    </row>
    <row r="2" spans="1:17" x14ac:dyDescent="0.25">
      <c r="A2" s="89" t="s">
        <v>2845</v>
      </c>
      <c r="B2" s="11" t="s">
        <v>1153</v>
      </c>
      <c r="C2" s="11" t="s">
        <v>662</v>
      </c>
      <c r="D2" s="11" t="s">
        <v>1154</v>
      </c>
      <c r="E2" s="11">
        <v>55</v>
      </c>
      <c r="F2" s="11"/>
      <c r="G2" s="11" t="s">
        <v>664</v>
      </c>
      <c r="H2" s="14">
        <v>45915</v>
      </c>
      <c r="I2" s="12">
        <f>-Mvt_Inter_entrepot[[#This Row],[QTE]]</f>
        <v>-55</v>
      </c>
      <c r="J2" s="11" t="s">
        <v>29</v>
      </c>
      <c r="K2" s="11" t="str">
        <f>_xlfn.TEXTBEFORE(Mvt_Inter_entrepot[[#This Row],[Num Suivis]],"-",,,1)</f>
        <v>CA250001</v>
      </c>
      <c r="L2" s="11" t="e">
        <f>_xlfn.XLOOKUP(Mvt_Inter_entrepot[[#This Row],[Num OF]],#REF!,#REF!,"Non Trouvé")</f>
        <v>#REF!</v>
      </c>
      <c r="M2" s="11" t="e">
        <f>_xlfn.XLOOKUP(Mvt_Inter_entrepot[[#This Row],[Num OF]],#REF!,#REF!,"Non Trouvé")</f>
        <v>#REF!</v>
      </c>
      <c r="N2" s="11" t="e">
        <f>_xlfn.XLOOKUP(Mvt_Inter_entrepot[[#This Row],[Num OF]],#REF!,#REF!,"Non Trouvé")</f>
        <v>#REF!</v>
      </c>
      <c r="O2" s="11" t="e">
        <f>_xlfn.XLOOKUP(Mvt_Inter_entrepot[[#This Row],[Num OF]],#REF!,#REF!,"Non Trouvé")</f>
        <v>#REF!</v>
      </c>
      <c r="P2" s="11" t="e">
        <f>_xlfn.XLOOKUP(Mvt_Inter_entrepot[[#This Row],[Num OF]],#REF!,#REF!,"Non Trouvé")</f>
        <v>#REF!</v>
      </c>
      <c r="Q2" s="89" t="str">
        <f>IF(
   COUNTIFS($A$2:A2,A2,
             $B$2:B2,B2,
             $C$2:C2,C2,
             $D$2:D2,D2,
             $E$2:E2,E2,
             $H$2:H2,H2
             )&gt;1,
   "Doublon",
   "Correcte"
)</f>
        <v>Correcte</v>
      </c>
    </row>
    <row r="3" spans="1:17" x14ac:dyDescent="0.25">
      <c r="A3" s="89" t="s">
        <v>2846</v>
      </c>
      <c r="B3" s="11" t="s">
        <v>1153</v>
      </c>
      <c r="C3" s="11" t="s">
        <v>662</v>
      </c>
      <c r="D3" s="11" t="s">
        <v>1154</v>
      </c>
      <c r="E3" s="11">
        <v>49</v>
      </c>
      <c r="F3" s="11"/>
      <c r="G3" s="11" t="s">
        <v>664</v>
      </c>
      <c r="H3" s="14">
        <v>45915</v>
      </c>
      <c r="I3" s="12">
        <f>-Mvt_Inter_entrepot[[#This Row],[QTE]]</f>
        <v>-49</v>
      </c>
      <c r="J3" s="11" t="s">
        <v>30</v>
      </c>
      <c r="K3" s="11" t="str">
        <f>_xlfn.TEXTBEFORE(Mvt_Inter_entrepot[[#This Row],[Num Suivis]],"-",,,1)</f>
        <v>CA250002</v>
      </c>
      <c r="L3" s="11" t="e">
        <f>_xlfn.XLOOKUP(Mvt_Inter_entrepot[[#This Row],[Num OF]],#REF!,#REF!,"Non Trouvé")</f>
        <v>#REF!</v>
      </c>
      <c r="M3" s="11" t="e">
        <f>_xlfn.XLOOKUP(Mvt_Inter_entrepot[[#This Row],[Num OF]],#REF!,#REF!,"Non Trouvé")</f>
        <v>#REF!</v>
      </c>
      <c r="N3" s="11" t="e">
        <f>_xlfn.XLOOKUP(Mvt_Inter_entrepot[[#This Row],[Num OF]],#REF!,#REF!,"Non Trouvé")</f>
        <v>#REF!</v>
      </c>
      <c r="O3" s="11" t="e">
        <f>_xlfn.XLOOKUP(Mvt_Inter_entrepot[[#This Row],[Num OF]],#REF!,#REF!,"Non Trouvé")</f>
        <v>#REF!</v>
      </c>
      <c r="P3" s="11" t="e">
        <f>_xlfn.XLOOKUP(Mvt_Inter_entrepot[[#This Row],[Num OF]],#REF!,#REF!,"Non Trouvé")</f>
        <v>#REF!</v>
      </c>
      <c r="Q3" s="11" t="str">
        <f>IF(
   COUNTIFS($A$2:A3,A3,
             $B$2:B3,B3,
             $C$2:C3,C3,
             $D$2:D3,D3,
             $E$2:E3,E3,
             $H$2:H3,H3
             )&gt;1,
   "Doublon",
   "Correcte"
)</f>
        <v>Correcte</v>
      </c>
    </row>
    <row r="4" spans="1:17" x14ac:dyDescent="0.25">
      <c r="A4" s="89" t="s">
        <v>2847</v>
      </c>
      <c r="B4" s="11" t="s">
        <v>1153</v>
      </c>
      <c r="C4" s="11" t="s">
        <v>662</v>
      </c>
      <c r="D4" s="11" t="s">
        <v>1154</v>
      </c>
      <c r="E4" s="11">
        <v>31</v>
      </c>
      <c r="F4" s="11"/>
      <c r="G4" s="11" t="s">
        <v>664</v>
      </c>
      <c r="H4" s="14">
        <v>45915</v>
      </c>
      <c r="I4" s="12">
        <f>-Mvt_Inter_entrepot[[#This Row],[QTE]]</f>
        <v>-31</v>
      </c>
      <c r="J4" s="11" t="s">
        <v>56</v>
      </c>
      <c r="K4" s="11" t="str">
        <f>_xlfn.TEXTBEFORE(Mvt_Inter_entrepot[[#This Row],[Num Suivis]],"-",,,1)</f>
        <v>CA250040</v>
      </c>
      <c r="L4" s="11" t="e">
        <f>_xlfn.XLOOKUP(Mvt_Inter_entrepot[[#This Row],[Num OF]],#REF!,#REF!,"Non Trouvé")</f>
        <v>#REF!</v>
      </c>
      <c r="M4" s="11" t="e">
        <f>_xlfn.XLOOKUP(Mvt_Inter_entrepot[[#This Row],[Num OF]],#REF!,#REF!,"Non Trouvé")</f>
        <v>#REF!</v>
      </c>
      <c r="N4" s="11" t="e">
        <f>_xlfn.XLOOKUP(Mvt_Inter_entrepot[[#This Row],[Num OF]],#REF!,#REF!,"Non Trouvé")</f>
        <v>#REF!</v>
      </c>
      <c r="O4" s="11" t="e">
        <f>_xlfn.XLOOKUP(Mvt_Inter_entrepot[[#This Row],[Num OF]],#REF!,#REF!,"Non Trouvé")</f>
        <v>#REF!</v>
      </c>
      <c r="P4" s="11" t="e">
        <f>_xlfn.XLOOKUP(Mvt_Inter_entrepot[[#This Row],[Num OF]],#REF!,#REF!,"Non Trouvé")</f>
        <v>#REF!</v>
      </c>
      <c r="Q4" s="11" t="str">
        <f>IF(
   COUNTIFS($A$2:A4,A4,
             $B$2:B4,B4,
             $C$2:C4,C4,
             $D$2:D4,D4,
             $E$2:E4,E4,
             $H$2:H4,H4
             )&gt;1,
   "Doublon",
   "Correcte"
)</f>
        <v>Correcte</v>
      </c>
    </row>
    <row r="5" spans="1:17" x14ac:dyDescent="0.25">
      <c r="A5" s="89" t="s">
        <v>2848</v>
      </c>
      <c r="B5" s="11" t="s">
        <v>1153</v>
      </c>
      <c r="C5" s="11" t="s">
        <v>662</v>
      </c>
      <c r="D5" s="11" t="s">
        <v>1154</v>
      </c>
      <c r="E5" s="11">
        <v>5</v>
      </c>
      <c r="F5" s="11"/>
      <c r="G5" s="11" t="s">
        <v>664</v>
      </c>
      <c r="H5" s="14">
        <v>45915</v>
      </c>
      <c r="I5" s="12">
        <f>-Mvt_Inter_entrepot[[#This Row],[QTE]]</f>
        <v>-5</v>
      </c>
      <c r="J5" s="11" t="s">
        <v>57</v>
      </c>
      <c r="K5" s="11" t="str">
        <f>_xlfn.TEXTBEFORE(Mvt_Inter_entrepot[[#This Row],[Num Suivis]],"-",,,1)</f>
        <v>CA250041</v>
      </c>
      <c r="L5" s="11" t="e">
        <f>_xlfn.XLOOKUP(Mvt_Inter_entrepot[[#This Row],[Num OF]],#REF!,#REF!,"Non Trouvé")</f>
        <v>#REF!</v>
      </c>
      <c r="M5" s="11" t="e">
        <f>_xlfn.XLOOKUP(Mvt_Inter_entrepot[[#This Row],[Num OF]],#REF!,#REF!,"Non Trouvé")</f>
        <v>#REF!</v>
      </c>
      <c r="N5" s="11" t="e">
        <f>_xlfn.XLOOKUP(Mvt_Inter_entrepot[[#This Row],[Num OF]],#REF!,#REF!,"Non Trouvé")</f>
        <v>#REF!</v>
      </c>
      <c r="O5" s="11" t="e">
        <f>_xlfn.XLOOKUP(Mvt_Inter_entrepot[[#This Row],[Num OF]],#REF!,#REF!,"Non Trouvé")</f>
        <v>#REF!</v>
      </c>
      <c r="P5" s="11" t="e">
        <f>_xlfn.XLOOKUP(Mvt_Inter_entrepot[[#This Row],[Num OF]],#REF!,#REF!,"Non Trouvé")</f>
        <v>#REF!</v>
      </c>
      <c r="Q5" s="11" t="str">
        <f>IF(
   COUNTIFS($A$2:A5,A5,
             $B$2:B5,B5,
             $C$2:C5,C5,
             $D$2:D5,D5,
             $E$2:E5,E5,
             $H$2:H5,H5
             )&gt;1,
   "Doublon",
   "Correcte"
)</f>
        <v>Correcte</v>
      </c>
    </row>
    <row r="6" spans="1:17" x14ac:dyDescent="0.25">
      <c r="A6" s="11" t="s">
        <v>2849</v>
      </c>
      <c r="B6" s="11" t="s">
        <v>1153</v>
      </c>
      <c r="C6" s="11" t="s">
        <v>662</v>
      </c>
      <c r="D6" s="11" t="s">
        <v>1154</v>
      </c>
      <c r="E6" s="11">
        <v>25</v>
      </c>
      <c r="F6" s="11"/>
      <c r="G6" s="11" t="s">
        <v>664</v>
      </c>
      <c r="H6" s="14">
        <v>45915</v>
      </c>
      <c r="I6" s="12">
        <f>-Mvt_Inter_entrepot[[#This Row],[QTE]]</f>
        <v>-25</v>
      </c>
      <c r="J6" s="11" t="s">
        <v>58</v>
      </c>
      <c r="K6" s="11" t="str">
        <f>_xlfn.TEXTBEFORE(Mvt_Inter_entrepot[[#This Row],[Num Suivis]],"-",,,1)</f>
        <v>CA250042</v>
      </c>
      <c r="L6" s="11" t="e">
        <f>_xlfn.XLOOKUP(Mvt_Inter_entrepot[[#This Row],[Num OF]],#REF!,#REF!,"Non Trouvé")</f>
        <v>#REF!</v>
      </c>
      <c r="M6" s="11" t="e">
        <f>_xlfn.XLOOKUP(Mvt_Inter_entrepot[[#This Row],[Num OF]],#REF!,#REF!,"Non Trouvé")</f>
        <v>#REF!</v>
      </c>
      <c r="N6" s="11" t="e">
        <f>_xlfn.XLOOKUP(Mvt_Inter_entrepot[[#This Row],[Num OF]],#REF!,#REF!,"Non Trouvé")</f>
        <v>#REF!</v>
      </c>
      <c r="O6" s="11" t="e">
        <f>_xlfn.XLOOKUP(Mvt_Inter_entrepot[[#This Row],[Num OF]],#REF!,#REF!,"Non Trouvé")</f>
        <v>#REF!</v>
      </c>
      <c r="P6" s="11" t="e">
        <f>_xlfn.XLOOKUP(Mvt_Inter_entrepot[[#This Row],[Num OF]],#REF!,#REF!,"Non Trouvé")</f>
        <v>#REF!</v>
      </c>
      <c r="Q6" s="11" t="str">
        <f>IF(
   COUNTIFS($A$2:A6,A6,
             $B$2:B6,B6,
             $C$2:C6,C6,
             $D$2:D6,D6,
             $E$2:E6,E6,
             $H$2:H6,H6
             )&gt;1,
   "Doublon",
   "Correcte"
)</f>
        <v>Correcte</v>
      </c>
    </row>
    <row r="7" spans="1:17" x14ac:dyDescent="0.25">
      <c r="A7" s="11" t="s">
        <v>2850</v>
      </c>
      <c r="B7" s="11" t="s">
        <v>1153</v>
      </c>
      <c r="C7" s="11" t="s">
        <v>662</v>
      </c>
      <c r="D7" s="11" t="s">
        <v>1154</v>
      </c>
      <c r="E7" s="11">
        <v>5</v>
      </c>
      <c r="F7" s="11"/>
      <c r="G7" s="11" t="s">
        <v>664</v>
      </c>
      <c r="H7" s="14">
        <v>45915</v>
      </c>
      <c r="I7" s="12">
        <f>-Mvt_Inter_entrepot[[#This Row],[QTE]]</f>
        <v>-5</v>
      </c>
      <c r="J7" s="11" t="s">
        <v>61</v>
      </c>
      <c r="K7" s="11" t="str">
        <f>_xlfn.TEXTBEFORE(Mvt_Inter_entrepot[[#This Row],[Num Suivis]],"-",,,1)</f>
        <v>CA250045</v>
      </c>
      <c r="L7" s="11" t="e">
        <f>_xlfn.XLOOKUP(Mvt_Inter_entrepot[[#This Row],[Num OF]],#REF!,#REF!,"Non Trouvé")</f>
        <v>#REF!</v>
      </c>
      <c r="M7" s="11" t="e">
        <f>_xlfn.XLOOKUP(Mvt_Inter_entrepot[[#This Row],[Num OF]],#REF!,#REF!,"Non Trouvé")</f>
        <v>#REF!</v>
      </c>
      <c r="N7" s="11" t="e">
        <f>_xlfn.XLOOKUP(Mvt_Inter_entrepot[[#This Row],[Num OF]],#REF!,#REF!,"Non Trouvé")</f>
        <v>#REF!</v>
      </c>
      <c r="O7" s="11" t="e">
        <f>_xlfn.XLOOKUP(Mvt_Inter_entrepot[[#This Row],[Num OF]],#REF!,#REF!,"Non Trouvé")</f>
        <v>#REF!</v>
      </c>
      <c r="P7" s="11" t="e">
        <f>_xlfn.XLOOKUP(Mvt_Inter_entrepot[[#This Row],[Num OF]],#REF!,#REF!,"Non Trouvé")</f>
        <v>#REF!</v>
      </c>
      <c r="Q7" s="11" t="str">
        <f>IF(
   COUNTIFS($A$2:A7,A7,
             $B$2:B7,B7,
             $C$2:C7,C7,
             $D$2:D7,D7,
             $E$2:E7,E7,
             $H$2:H7,H7
             )&gt;1,
   "Doublon",
   "Correcte"
)</f>
        <v>Correcte</v>
      </c>
    </row>
    <row r="8" spans="1:17" x14ac:dyDescent="0.25">
      <c r="A8" s="11" t="s">
        <v>2851</v>
      </c>
      <c r="B8" s="11" t="s">
        <v>1153</v>
      </c>
      <c r="C8" s="11" t="s">
        <v>662</v>
      </c>
      <c r="D8" s="11" t="s">
        <v>1154</v>
      </c>
      <c r="E8" s="11">
        <v>5</v>
      </c>
      <c r="F8" s="11"/>
      <c r="G8" s="11" t="s">
        <v>664</v>
      </c>
      <c r="H8" s="14">
        <v>45915</v>
      </c>
      <c r="I8" s="12">
        <f>-Mvt_Inter_entrepot[[#This Row],[QTE]]</f>
        <v>-5</v>
      </c>
      <c r="J8" s="11" t="s">
        <v>71</v>
      </c>
      <c r="K8" s="11" t="str">
        <f>_xlfn.TEXTBEFORE(Mvt_Inter_entrepot[[#This Row],[Num Suivis]],"-",,,1)</f>
        <v>CA250062</v>
      </c>
      <c r="L8" s="11" t="e">
        <f>_xlfn.XLOOKUP(Mvt_Inter_entrepot[[#This Row],[Num OF]],#REF!,#REF!,"Non Trouvé")</f>
        <v>#REF!</v>
      </c>
      <c r="M8" s="11" t="e">
        <f>_xlfn.XLOOKUP(Mvt_Inter_entrepot[[#This Row],[Num OF]],#REF!,#REF!,"Non Trouvé")</f>
        <v>#REF!</v>
      </c>
      <c r="N8" s="11" t="e">
        <f>_xlfn.XLOOKUP(Mvt_Inter_entrepot[[#This Row],[Num OF]],#REF!,#REF!,"Non Trouvé")</f>
        <v>#REF!</v>
      </c>
      <c r="O8" s="11" t="e">
        <f>_xlfn.XLOOKUP(Mvt_Inter_entrepot[[#This Row],[Num OF]],#REF!,#REF!,"Non Trouvé")</f>
        <v>#REF!</v>
      </c>
      <c r="P8" s="11" t="e">
        <f>_xlfn.XLOOKUP(Mvt_Inter_entrepot[[#This Row],[Num OF]],#REF!,#REF!,"Non Trouvé")</f>
        <v>#REF!</v>
      </c>
      <c r="Q8" s="11" t="str">
        <f>IF(
   COUNTIFS($A$2:A8,A8,
             $B$2:B8,B8,
             $C$2:C8,C8,
             $D$2:D8,D8,
             $E$2:E8,E8,
             $H$2:H8,H8
             )&gt;1,
   "Doublon",
   "Correcte"
)</f>
        <v>Correcte</v>
      </c>
    </row>
    <row r="9" spans="1:17" x14ac:dyDescent="0.25">
      <c r="A9" s="11" t="s">
        <v>2852</v>
      </c>
      <c r="B9" s="11" t="s">
        <v>1153</v>
      </c>
      <c r="C9" s="11" t="s">
        <v>662</v>
      </c>
      <c r="D9" s="11" t="s">
        <v>1154</v>
      </c>
      <c r="E9" s="11">
        <v>15</v>
      </c>
      <c r="F9" s="11"/>
      <c r="G9" s="11" t="s">
        <v>664</v>
      </c>
      <c r="H9" s="14">
        <v>45915</v>
      </c>
      <c r="I9" s="12">
        <f>-Mvt_Inter_entrepot[[#This Row],[QTE]]</f>
        <v>-15</v>
      </c>
      <c r="J9" s="11" t="s">
        <v>72</v>
      </c>
      <c r="K9" s="11" t="str">
        <f>_xlfn.TEXTBEFORE(Mvt_Inter_entrepot[[#This Row],[Num Suivis]],"-",,,1)</f>
        <v>CA250063</v>
      </c>
      <c r="L9" s="11" t="e">
        <f>_xlfn.XLOOKUP(Mvt_Inter_entrepot[[#This Row],[Num OF]],#REF!,#REF!,"Non Trouvé")</f>
        <v>#REF!</v>
      </c>
      <c r="M9" s="11" t="e">
        <f>_xlfn.XLOOKUP(Mvt_Inter_entrepot[[#This Row],[Num OF]],#REF!,#REF!,"Non Trouvé")</f>
        <v>#REF!</v>
      </c>
      <c r="N9" s="11" t="e">
        <f>_xlfn.XLOOKUP(Mvt_Inter_entrepot[[#This Row],[Num OF]],#REF!,#REF!,"Non Trouvé")</f>
        <v>#REF!</v>
      </c>
      <c r="O9" s="11" t="e">
        <f>_xlfn.XLOOKUP(Mvt_Inter_entrepot[[#This Row],[Num OF]],#REF!,#REF!,"Non Trouvé")</f>
        <v>#REF!</v>
      </c>
      <c r="P9" s="11" t="e">
        <f>_xlfn.XLOOKUP(Mvt_Inter_entrepot[[#This Row],[Num OF]],#REF!,#REF!,"Non Trouvé")</f>
        <v>#REF!</v>
      </c>
      <c r="Q9" s="11" t="str">
        <f>IF(
   COUNTIFS($A$2:A9,A9,
             $B$2:B9,B9,
             $C$2:C9,C9,
             $D$2:D9,D9,
             $E$2:E9,E9,
             $H$2:H9,H9
             )&gt;1,
   "Doublon",
   "Correcte"
)</f>
        <v>Correcte</v>
      </c>
    </row>
    <row r="10" spans="1:17" x14ac:dyDescent="0.25">
      <c r="A10" s="11" t="s">
        <v>2853</v>
      </c>
      <c r="B10" s="11" t="s">
        <v>1153</v>
      </c>
      <c r="C10" s="11" t="s">
        <v>662</v>
      </c>
      <c r="D10" s="11" t="s">
        <v>1154</v>
      </c>
      <c r="E10" s="11">
        <v>14</v>
      </c>
      <c r="F10" s="11"/>
      <c r="G10" s="11" t="s">
        <v>664</v>
      </c>
      <c r="H10" s="14">
        <v>45915</v>
      </c>
      <c r="I10" s="12">
        <f>-Mvt_Inter_entrepot[[#This Row],[QTE]]</f>
        <v>-14</v>
      </c>
      <c r="J10" s="11" t="s">
        <v>73</v>
      </c>
      <c r="K10" s="11" t="str">
        <f>_xlfn.TEXTBEFORE(Mvt_Inter_entrepot[[#This Row],[Num Suivis]],"-",,,1)</f>
        <v>CA250064</v>
      </c>
      <c r="L10" s="11" t="e">
        <f>_xlfn.XLOOKUP(Mvt_Inter_entrepot[[#This Row],[Num OF]],#REF!,#REF!,"Non Trouvé")</f>
        <v>#REF!</v>
      </c>
      <c r="M10" s="11" t="e">
        <f>_xlfn.XLOOKUP(Mvt_Inter_entrepot[[#This Row],[Num OF]],#REF!,#REF!,"Non Trouvé")</f>
        <v>#REF!</v>
      </c>
      <c r="N10" s="11" t="e">
        <f>_xlfn.XLOOKUP(Mvt_Inter_entrepot[[#This Row],[Num OF]],#REF!,#REF!,"Non Trouvé")</f>
        <v>#REF!</v>
      </c>
      <c r="O10" s="11" t="e">
        <f>_xlfn.XLOOKUP(Mvt_Inter_entrepot[[#This Row],[Num OF]],#REF!,#REF!,"Non Trouvé")</f>
        <v>#REF!</v>
      </c>
      <c r="P10" s="11" t="e">
        <f>_xlfn.XLOOKUP(Mvt_Inter_entrepot[[#This Row],[Num OF]],#REF!,#REF!,"Non Trouvé")</f>
        <v>#REF!</v>
      </c>
      <c r="Q10" s="11" t="str">
        <f>IF(
   COUNTIFS($A$2:A10,A10,
             $B$2:B10,B10,
             $C$2:C10,C10,
             $D$2:D10,D10,
             $E$2:E10,E10,
             $H$2:H10,H10
             )&gt;1,
   "Doublon",
   "Correcte"
)</f>
        <v>Correcte</v>
      </c>
    </row>
    <row r="11" spans="1:17" x14ac:dyDescent="0.25">
      <c r="A11" s="11" t="s">
        <v>2854</v>
      </c>
      <c r="B11" s="11" t="s">
        <v>1153</v>
      </c>
      <c r="C11" s="11" t="s">
        <v>662</v>
      </c>
      <c r="D11" s="11" t="s">
        <v>1154</v>
      </c>
      <c r="E11" s="11">
        <v>15</v>
      </c>
      <c r="F11" s="11"/>
      <c r="G11" s="11" t="s">
        <v>664</v>
      </c>
      <c r="H11" s="14">
        <v>45915</v>
      </c>
      <c r="I11" s="12">
        <f>-Mvt_Inter_entrepot[[#This Row],[QTE]]</f>
        <v>-15</v>
      </c>
      <c r="J11" s="11" t="s">
        <v>74</v>
      </c>
      <c r="K11" s="11" t="str">
        <f>_xlfn.TEXTBEFORE(Mvt_Inter_entrepot[[#This Row],[Num Suivis]],"-",,,1)</f>
        <v>CA250065</v>
      </c>
      <c r="L11" s="11" t="e">
        <f>_xlfn.XLOOKUP(Mvt_Inter_entrepot[[#This Row],[Num OF]],#REF!,#REF!,"Non Trouvé")</f>
        <v>#REF!</v>
      </c>
      <c r="M11" s="11" t="e">
        <f>_xlfn.XLOOKUP(Mvt_Inter_entrepot[[#This Row],[Num OF]],#REF!,#REF!,"Non Trouvé")</f>
        <v>#REF!</v>
      </c>
      <c r="N11" s="11" t="e">
        <f>_xlfn.XLOOKUP(Mvt_Inter_entrepot[[#This Row],[Num OF]],#REF!,#REF!,"Non Trouvé")</f>
        <v>#REF!</v>
      </c>
      <c r="O11" s="11" t="e">
        <f>_xlfn.XLOOKUP(Mvt_Inter_entrepot[[#This Row],[Num OF]],#REF!,#REF!,"Non Trouvé")</f>
        <v>#REF!</v>
      </c>
      <c r="P11" s="11" t="e">
        <f>_xlfn.XLOOKUP(Mvt_Inter_entrepot[[#This Row],[Num OF]],#REF!,#REF!,"Non Trouvé")</f>
        <v>#REF!</v>
      </c>
      <c r="Q11" s="11" t="str">
        <f>IF(
   COUNTIFS($A$2:A11,A11,
             $B$2:B11,B11,
             $C$2:C11,C11,
             $D$2:D11,D11,
             $E$2:E11,E11,
             $H$2:H11,H11
             )&gt;1,
   "Doublon",
   "Correcte"
)</f>
        <v>Correcte</v>
      </c>
    </row>
    <row r="12" spans="1:17" x14ac:dyDescent="0.25">
      <c r="A12" s="11" t="s">
        <v>2855</v>
      </c>
      <c r="B12" s="11" t="s">
        <v>1153</v>
      </c>
      <c r="C12" s="11" t="s">
        <v>662</v>
      </c>
      <c r="D12" s="11" t="s">
        <v>1154</v>
      </c>
      <c r="E12" s="11">
        <v>15</v>
      </c>
      <c r="F12" s="11"/>
      <c r="G12" s="11" t="s">
        <v>664</v>
      </c>
      <c r="H12" s="14">
        <v>45915</v>
      </c>
      <c r="I12" s="12">
        <f>-Mvt_Inter_entrepot[[#This Row],[QTE]]</f>
        <v>-15</v>
      </c>
      <c r="J12" s="11" t="s">
        <v>75</v>
      </c>
      <c r="K12" s="11" t="str">
        <f>_xlfn.TEXTBEFORE(Mvt_Inter_entrepot[[#This Row],[Num Suivis]],"-",,,1)</f>
        <v>CA250066</v>
      </c>
      <c r="L12" s="11" t="e">
        <f>_xlfn.XLOOKUP(Mvt_Inter_entrepot[[#This Row],[Num OF]],#REF!,#REF!,"Non Trouvé")</f>
        <v>#REF!</v>
      </c>
      <c r="M12" s="11" t="e">
        <f>_xlfn.XLOOKUP(Mvt_Inter_entrepot[[#This Row],[Num OF]],#REF!,#REF!,"Non Trouvé")</f>
        <v>#REF!</v>
      </c>
      <c r="N12" s="11" t="e">
        <f>_xlfn.XLOOKUP(Mvt_Inter_entrepot[[#This Row],[Num OF]],#REF!,#REF!,"Non Trouvé")</f>
        <v>#REF!</v>
      </c>
      <c r="O12" s="11" t="e">
        <f>_xlfn.XLOOKUP(Mvt_Inter_entrepot[[#This Row],[Num OF]],#REF!,#REF!,"Non Trouvé")</f>
        <v>#REF!</v>
      </c>
      <c r="P12" s="11" t="e">
        <f>_xlfn.XLOOKUP(Mvt_Inter_entrepot[[#This Row],[Num OF]],#REF!,#REF!,"Non Trouvé")</f>
        <v>#REF!</v>
      </c>
      <c r="Q12" s="11" t="str">
        <f>IF(
   COUNTIFS($A$2:A12,A12,
             $B$2:B12,B12,
             $C$2:C12,C12,
             $D$2:D12,D12,
             $E$2:E12,E12,
             $H$2:H12,H12
             )&gt;1,
   "Doublon",
   "Correcte"
)</f>
        <v>Correcte</v>
      </c>
    </row>
    <row r="13" spans="1:17" x14ac:dyDescent="0.25">
      <c r="A13" s="11" t="s">
        <v>2856</v>
      </c>
      <c r="B13" s="11" t="s">
        <v>1153</v>
      </c>
      <c r="C13" s="11" t="s">
        <v>662</v>
      </c>
      <c r="D13" s="11" t="s">
        <v>1154</v>
      </c>
      <c r="E13" s="11">
        <v>10</v>
      </c>
      <c r="F13" s="11"/>
      <c r="G13" s="11" t="s">
        <v>664</v>
      </c>
      <c r="H13" s="14">
        <v>45915</v>
      </c>
      <c r="I13" s="12">
        <f>-Mvt_Inter_entrepot[[#This Row],[QTE]]</f>
        <v>-10</v>
      </c>
      <c r="J13" s="11" t="s">
        <v>76</v>
      </c>
      <c r="K13" s="11" t="str">
        <f>_xlfn.TEXTBEFORE(Mvt_Inter_entrepot[[#This Row],[Num Suivis]],"-",,,1)</f>
        <v>CA250068</v>
      </c>
      <c r="L13" s="11" t="e">
        <f>_xlfn.XLOOKUP(Mvt_Inter_entrepot[[#This Row],[Num OF]],#REF!,#REF!,"Non Trouvé")</f>
        <v>#REF!</v>
      </c>
      <c r="M13" s="11" t="e">
        <f>_xlfn.XLOOKUP(Mvt_Inter_entrepot[[#This Row],[Num OF]],#REF!,#REF!,"Non Trouvé")</f>
        <v>#REF!</v>
      </c>
      <c r="N13" s="11" t="e">
        <f>_xlfn.XLOOKUP(Mvt_Inter_entrepot[[#This Row],[Num OF]],#REF!,#REF!,"Non Trouvé")</f>
        <v>#REF!</v>
      </c>
      <c r="O13" s="11" t="e">
        <f>_xlfn.XLOOKUP(Mvt_Inter_entrepot[[#This Row],[Num OF]],#REF!,#REF!,"Non Trouvé")</f>
        <v>#REF!</v>
      </c>
      <c r="P13" s="11" t="e">
        <f>_xlfn.XLOOKUP(Mvt_Inter_entrepot[[#This Row],[Num OF]],#REF!,#REF!,"Non Trouvé")</f>
        <v>#REF!</v>
      </c>
      <c r="Q13" s="11" t="str">
        <f>IF(
   COUNTIFS($A$2:A13,A13,
             $B$2:B13,B13,
             $C$2:C13,C13,
             $D$2:D13,D13,
             $E$2:E13,E13,
             $H$2:H13,H13
             )&gt;1,
   "Doublon",
   "Correcte"
)</f>
        <v>Correcte</v>
      </c>
    </row>
    <row r="14" spans="1:17" x14ac:dyDescent="0.25">
      <c r="A14" s="11" t="s">
        <v>2857</v>
      </c>
      <c r="B14" s="11" t="s">
        <v>1153</v>
      </c>
      <c r="C14" s="11" t="s">
        <v>662</v>
      </c>
      <c r="D14" s="11" t="s">
        <v>1154</v>
      </c>
      <c r="E14" s="11">
        <v>20</v>
      </c>
      <c r="F14" s="11"/>
      <c r="G14" s="11" t="s">
        <v>664</v>
      </c>
      <c r="H14" s="14">
        <v>45915</v>
      </c>
      <c r="I14" s="12">
        <f>-Mvt_Inter_entrepot[[#This Row],[QTE]]</f>
        <v>-20</v>
      </c>
      <c r="J14" s="11" t="s">
        <v>77</v>
      </c>
      <c r="K14" s="11" t="str">
        <f>_xlfn.TEXTBEFORE(Mvt_Inter_entrepot[[#This Row],[Num Suivis]],"-",,,1)</f>
        <v>CA250069</v>
      </c>
      <c r="L14" s="11" t="e">
        <f>_xlfn.XLOOKUP(Mvt_Inter_entrepot[[#This Row],[Num OF]],#REF!,#REF!,"Non Trouvé")</f>
        <v>#REF!</v>
      </c>
      <c r="M14" s="11" t="e">
        <f>_xlfn.XLOOKUP(Mvt_Inter_entrepot[[#This Row],[Num OF]],#REF!,#REF!,"Non Trouvé")</f>
        <v>#REF!</v>
      </c>
      <c r="N14" s="11" t="e">
        <f>_xlfn.XLOOKUP(Mvt_Inter_entrepot[[#This Row],[Num OF]],#REF!,#REF!,"Non Trouvé")</f>
        <v>#REF!</v>
      </c>
      <c r="O14" s="11" t="e">
        <f>_xlfn.XLOOKUP(Mvt_Inter_entrepot[[#This Row],[Num OF]],#REF!,#REF!,"Non Trouvé")</f>
        <v>#REF!</v>
      </c>
      <c r="P14" s="11" t="e">
        <f>_xlfn.XLOOKUP(Mvt_Inter_entrepot[[#This Row],[Num OF]],#REF!,#REF!,"Non Trouvé")</f>
        <v>#REF!</v>
      </c>
      <c r="Q14" s="11" t="str">
        <f>IF(
   COUNTIFS($A$2:A14,A14,
             $B$2:B14,B14,
             $C$2:C14,C14,
             $D$2:D14,D14,
             $E$2:E14,E14,
             $H$2:H14,H14
             )&gt;1,
   "Doublon",
   "Correcte"
)</f>
        <v>Correcte</v>
      </c>
    </row>
    <row r="15" spans="1:17" x14ac:dyDescent="0.25">
      <c r="A15" s="11" t="s">
        <v>2858</v>
      </c>
      <c r="B15" s="11" t="s">
        <v>1153</v>
      </c>
      <c r="C15" s="11" t="s">
        <v>662</v>
      </c>
      <c r="D15" s="11" t="s">
        <v>1154</v>
      </c>
      <c r="E15" s="11">
        <v>5</v>
      </c>
      <c r="F15" s="11"/>
      <c r="G15" s="11" t="s">
        <v>664</v>
      </c>
      <c r="H15" s="14">
        <v>45915</v>
      </c>
      <c r="I15" s="12">
        <f>-Mvt_Inter_entrepot[[#This Row],[QTE]]</f>
        <v>-5</v>
      </c>
      <c r="J15" s="11" t="s">
        <v>78</v>
      </c>
      <c r="K15" s="11" t="str">
        <f>_xlfn.TEXTBEFORE(Mvt_Inter_entrepot[[#This Row],[Num Suivis]],"-",,,1)</f>
        <v>CA250070</v>
      </c>
      <c r="L15" s="11" t="e">
        <f>_xlfn.XLOOKUP(Mvt_Inter_entrepot[[#This Row],[Num OF]],#REF!,#REF!,"Non Trouvé")</f>
        <v>#REF!</v>
      </c>
      <c r="M15" s="11" t="e">
        <f>_xlfn.XLOOKUP(Mvt_Inter_entrepot[[#This Row],[Num OF]],#REF!,#REF!,"Non Trouvé")</f>
        <v>#REF!</v>
      </c>
      <c r="N15" s="11" t="e">
        <f>_xlfn.XLOOKUP(Mvt_Inter_entrepot[[#This Row],[Num OF]],#REF!,#REF!,"Non Trouvé")</f>
        <v>#REF!</v>
      </c>
      <c r="O15" s="11" t="e">
        <f>_xlfn.XLOOKUP(Mvt_Inter_entrepot[[#This Row],[Num OF]],#REF!,#REF!,"Non Trouvé")</f>
        <v>#REF!</v>
      </c>
      <c r="P15" s="11" t="e">
        <f>_xlfn.XLOOKUP(Mvt_Inter_entrepot[[#This Row],[Num OF]],#REF!,#REF!,"Non Trouvé")</f>
        <v>#REF!</v>
      </c>
      <c r="Q15" s="11" t="str">
        <f>IF(
   COUNTIFS($A$2:A15,A15,
             $B$2:B15,B15,
             $C$2:C15,C15,
             $D$2:D15,D15,
             $E$2:E15,E15,
             $H$2:H15,H15
             )&gt;1,
   "Doublon",
   "Correcte"
)</f>
        <v>Correcte</v>
      </c>
    </row>
    <row r="16" spans="1:17" x14ac:dyDescent="0.25">
      <c r="A16" s="11" t="s">
        <v>2859</v>
      </c>
      <c r="B16" s="11" t="s">
        <v>1153</v>
      </c>
      <c r="C16" s="11" t="s">
        <v>662</v>
      </c>
      <c r="D16" s="11" t="s">
        <v>1154</v>
      </c>
      <c r="E16" s="11">
        <v>19</v>
      </c>
      <c r="F16" s="11"/>
      <c r="G16" s="11" t="s">
        <v>664</v>
      </c>
      <c r="H16" s="14">
        <v>45915</v>
      </c>
      <c r="I16" s="12">
        <f>-Mvt_Inter_entrepot[[#This Row],[QTE]]</f>
        <v>-19</v>
      </c>
      <c r="J16" s="11" t="s">
        <v>82</v>
      </c>
      <c r="K16" s="11" t="str">
        <f>_xlfn.TEXTBEFORE(Mvt_Inter_entrepot[[#This Row],[Num Suivis]],"-",,,1)</f>
        <v>CA250075</v>
      </c>
      <c r="L16" s="11" t="e">
        <f>_xlfn.XLOOKUP(Mvt_Inter_entrepot[[#This Row],[Num OF]],#REF!,#REF!,"Non Trouvé")</f>
        <v>#REF!</v>
      </c>
      <c r="M16" s="11" t="e">
        <f>_xlfn.XLOOKUP(Mvt_Inter_entrepot[[#This Row],[Num OF]],#REF!,#REF!,"Non Trouvé")</f>
        <v>#REF!</v>
      </c>
      <c r="N16" s="11" t="e">
        <f>_xlfn.XLOOKUP(Mvt_Inter_entrepot[[#This Row],[Num OF]],#REF!,#REF!,"Non Trouvé")</f>
        <v>#REF!</v>
      </c>
      <c r="O16" s="11" t="e">
        <f>_xlfn.XLOOKUP(Mvt_Inter_entrepot[[#This Row],[Num OF]],#REF!,#REF!,"Non Trouvé")</f>
        <v>#REF!</v>
      </c>
      <c r="P16" s="11" t="e">
        <f>_xlfn.XLOOKUP(Mvt_Inter_entrepot[[#This Row],[Num OF]],#REF!,#REF!,"Non Trouvé")</f>
        <v>#REF!</v>
      </c>
      <c r="Q16" s="11" t="str">
        <f>IF(
   COUNTIFS($A$2:A16,A16,
             $B$2:B16,B16,
             $C$2:C16,C16,
             $D$2:D16,D16,
             $E$2:E16,E16,
             $H$2:H16,H16
             )&gt;1,
   "Doublon",
   "Correcte"
)</f>
        <v>Correcte</v>
      </c>
    </row>
    <row r="17" spans="1:17" x14ac:dyDescent="0.25">
      <c r="A17" s="11" t="s">
        <v>2860</v>
      </c>
      <c r="B17" s="11" t="s">
        <v>1153</v>
      </c>
      <c r="C17" s="11" t="s">
        <v>662</v>
      </c>
      <c r="D17" s="11" t="s">
        <v>1154</v>
      </c>
      <c r="E17" s="11">
        <v>10</v>
      </c>
      <c r="F17" s="11"/>
      <c r="G17" s="11" t="s">
        <v>664</v>
      </c>
      <c r="H17" s="14">
        <v>45915</v>
      </c>
      <c r="I17" s="12">
        <f>-Mvt_Inter_entrepot[[#This Row],[QTE]]</f>
        <v>-10</v>
      </c>
      <c r="J17" s="11" t="s">
        <v>83</v>
      </c>
      <c r="K17" s="11" t="str">
        <f>_xlfn.TEXTBEFORE(Mvt_Inter_entrepot[[#This Row],[Num Suivis]],"-",,,1)</f>
        <v>CA250076</v>
      </c>
      <c r="L17" s="11" t="e">
        <f>_xlfn.XLOOKUP(Mvt_Inter_entrepot[[#This Row],[Num OF]],#REF!,#REF!,"Non Trouvé")</f>
        <v>#REF!</v>
      </c>
      <c r="M17" s="11" t="e">
        <f>_xlfn.XLOOKUP(Mvt_Inter_entrepot[[#This Row],[Num OF]],#REF!,#REF!,"Non Trouvé")</f>
        <v>#REF!</v>
      </c>
      <c r="N17" s="11" t="e">
        <f>_xlfn.XLOOKUP(Mvt_Inter_entrepot[[#This Row],[Num OF]],#REF!,#REF!,"Non Trouvé")</f>
        <v>#REF!</v>
      </c>
      <c r="O17" s="11" t="e">
        <f>_xlfn.XLOOKUP(Mvt_Inter_entrepot[[#This Row],[Num OF]],#REF!,#REF!,"Non Trouvé")</f>
        <v>#REF!</v>
      </c>
      <c r="P17" s="11" t="e">
        <f>_xlfn.XLOOKUP(Mvt_Inter_entrepot[[#This Row],[Num OF]],#REF!,#REF!,"Non Trouvé")</f>
        <v>#REF!</v>
      </c>
      <c r="Q17" s="11" t="str">
        <f>IF(
   COUNTIFS($A$2:A17,A17,
             $B$2:B17,B17,
             $C$2:C17,C17,
             $D$2:D17,D17,
             $E$2:E17,E17,
             $H$2:H17,H17
             )&gt;1,
   "Doublon",
   "Correcte"
)</f>
        <v>Correcte</v>
      </c>
    </row>
    <row r="18" spans="1:17" x14ac:dyDescent="0.25">
      <c r="A18" s="11" t="s">
        <v>2861</v>
      </c>
      <c r="B18" s="11" t="s">
        <v>1153</v>
      </c>
      <c r="C18" s="11" t="s">
        <v>662</v>
      </c>
      <c r="D18" s="11" t="s">
        <v>1154</v>
      </c>
      <c r="E18" s="11">
        <v>23</v>
      </c>
      <c r="F18" s="11"/>
      <c r="G18" s="11" t="s">
        <v>664</v>
      </c>
      <c r="H18" s="14">
        <v>45915</v>
      </c>
      <c r="I18" s="12">
        <f>-Mvt_Inter_entrepot[[#This Row],[QTE]]</f>
        <v>-23</v>
      </c>
      <c r="J18" s="11" t="s">
        <v>84</v>
      </c>
      <c r="K18" s="11" t="str">
        <f>_xlfn.TEXTBEFORE(Mvt_Inter_entrepot[[#This Row],[Num Suivis]],"-",,,1)</f>
        <v>CA250077</v>
      </c>
      <c r="L18" s="11" t="e">
        <f>_xlfn.XLOOKUP(Mvt_Inter_entrepot[[#This Row],[Num OF]],#REF!,#REF!,"Non Trouvé")</f>
        <v>#REF!</v>
      </c>
      <c r="M18" s="11" t="e">
        <f>_xlfn.XLOOKUP(Mvt_Inter_entrepot[[#This Row],[Num OF]],#REF!,#REF!,"Non Trouvé")</f>
        <v>#REF!</v>
      </c>
      <c r="N18" s="11" t="e">
        <f>_xlfn.XLOOKUP(Mvt_Inter_entrepot[[#This Row],[Num OF]],#REF!,#REF!,"Non Trouvé")</f>
        <v>#REF!</v>
      </c>
      <c r="O18" s="11" t="e">
        <f>_xlfn.XLOOKUP(Mvt_Inter_entrepot[[#This Row],[Num OF]],#REF!,#REF!,"Non Trouvé")</f>
        <v>#REF!</v>
      </c>
      <c r="P18" s="11" t="e">
        <f>_xlfn.XLOOKUP(Mvt_Inter_entrepot[[#This Row],[Num OF]],#REF!,#REF!,"Non Trouvé")</f>
        <v>#REF!</v>
      </c>
      <c r="Q18" s="11" t="str">
        <f>IF(
   COUNTIFS($A$2:A18,A18,
             $B$2:B18,B18,
             $C$2:C18,C18,
             $D$2:D18,D18,
             $E$2:E18,E18,
             $H$2:H18,H18
             )&gt;1,
   "Doublon",
   "Correcte"
)</f>
        <v>Correcte</v>
      </c>
    </row>
    <row r="19" spans="1:17" x14ac:dyDescent="0.25">
      <c r="A19" s="11" t="s">
        <v>2862</v>
      </c>
      <c r="B19" s="11" t="s">
        <v>1153</v>
      </c>
      <c r="C19" s="11" t="s">
        <v>662</v>
      </c>
      <c r="D19" s="11" t="s">
        <v>1154</v>
      </c>
      <c r="E19" s="11">
        <v>5</v>
      </c>
      <c r="F19" s="11"/>
      <c r="G19" s="11" t="s">
        <v>664</v>
      </c>
      <c r="H19" s="14">
        <v>45915</v>
      </c>
      <c r="I19" s="12">
        <f>-Mvt_Inter_entrepot[[#This Row],[QTE]]</f>
        <v>-5</v>
      </c>
      <c r="J19" s="11" t="s">
        <v>87</v>
      </c>
      <c r="K19" s="11" t="str">
        <f>_xlfn.TEXTBEFORE(Mvt_Inter_entrepot[[#This Row],[Num Suivis]],"-",,,1)</f>
        <v>CA250271</v>
      </c>
      <c r="L19" s="11" t="e">
        <f>_xlfn.XLOOKUP(Mvt_Inter_entrepot[[#This Row],[Num OF]],#REF!,#REF!,"Non Trouvé")</f>
        <v>#REF!</v>
      </c>
      <c r="M19" s="11" t="e">
        <f>_xlfn.XLOOKUP(Mvt_Inter_entrepot[[#This Row],[Num OF]],#REF!,#REF!,"Non Trouvé")</f>
        <v>#REF!</v>
      </c>
      <c r="N19" s="11" t="e">
        <f>_xlfn.XLOOKUP(Mvt_Inter_entrepot[[#This Row],[Num OF]],#REF!,#REF!,"Non Trouvé")</f>
        <v>#REF!</v>
      </c>
      <c r="O19" s="11" t="e">
        <f>_xlfn.XLOOKUP(Mvt_Inter_entrepot[[#This Row],[Num OF]],#REF!,#REF!,"Non Trouvé")</f>
        <v>#REF!</v>
      </c>
      <c r="P19" s="11" t="e">
        <f>_xlfn.XLOOKUP(Mvt_Inter_entrepot[[#This Row],[Num OF]],#REF!,#REF!,"Non Trouvé")</f>
        <v>#REF!</v>
      </c>
      <c r="Q19" s="11" t="str">
        <f>IF(
   COUNTIFS($A$2:A19,A19,
             $B$2:B19,B19,
             $C$2:C19,C19,
             $D$2:D19,D19,
             $E$2:E19,E19,
             $H$2:H19,H19
             )&gt;1,
   "Doublon",
   "Correcte"
)</f>
        <v>Correcte</v>
      </c>
    </row>
    <row r="20" spans="1:17" x14ac:dyDescent="0.25">
      <c r="A20" s="11" t="s">
        <v>2863</v>
      </c>
      <c r="B20" s="11" t="s">
        <v>1153</v>
      </c>
      <c r="C20" s="11" t="s">
        <v>662</v>
      </c>
      <c r="D20" s="11" t="s">
        <v>1154</v>
      </c>
      <c r="E20" s="11">
        <v>11</v>
      </c>
      <c r="F20" s="11"/>
      <c r="G20" s="11" t="s">
        <v>664</v>
      </c>
      <c r="H20" s="14">
        <v>45915</v>
      </c>
      <c r="I20" s="12">
        <f>-Mvt_Inter_entrepot[[#This Row],[QTE]]</f>
        <v>-11</v>
      </c>
      <c r="J20" s="11" t="s">
        <v>93</v>
      </c>
      <c r="K20" s="11" t="str">
        <f>_xlfn.TEXTBEFORE(Mvt_Inter_entrepot[[#This Row],[Num Suivis]],"-",,,1)</f>
        <v>CA250359</v>
      </c>
      <c r="L20" s="11" t="e">
        <f>_xlfn.XLOOKUP(Mvt_Inter_entrepot[[#This Row],[Num OF]],#REF!,#REF!,"Non Trouvé")</f>
        <v>#REF!</v>
      </c>
      <c r="M20" s="11" t="e">
        <f>_xlfn.XLOOKUP(Mvt_Inter_entrepot[[#This Row],[Num OF]],#REF!,#REF!,"Non Trouvé")</f>
        <v>#REF!</v>
      </c>
      <c r="N20" s="11" t="e">
        <f>_xlfn.XLOOKUP(Mvt_Inter_entrepot[[#This Row],[Num OF]],#REF!,#REF!,"Non Trouvé")</f>
        <v>#REF!</v>
      </c>
      <c r="O20" s="11" t="e">
        <f>_xlfn.XLOOKUP(Mvt_Inter_entrepot[[#This Row],[Num OF]],#REF!,#REF!,"Non Trouvé")</f>
        <v>#REF!</v>
      </c>
      <c r="P20" s="11" t="e">
        <f>_xlfn.XLOOKUP(Mvt_Inter_entrepot[[#This Row],[Num OF]],#REF!,#REF!,"Non Trouvé")</f>
        <v>#REF!</v>
      </c>
      <c r="Q20" s="11" t="str">
        <f>IF(
   COUNTIFS($A$2:A20,A20,
             $B$2:B20,B20,
             $C$2:C20,C20,
             $D$2:D20,D20,
             $E$2:E20,E20,
             $H$2:H20,H20
             )&gt;1,
   "Doublon",
   "Correcte"
)</f>
        <v>Correcte</v>
      </c>
    </row>
    <row r="21" spans="1:17" x14ac:dyDescent="0.25">
      <c r="A21" s="11" t="s">
        <v>2864</v>
      </c>
      <c r="B21" s="11" t="s">
        <v>1153</v>
      </c>
      <c r="C21" s="11" t="s">
        <v>662</v>
      </c>
      <c r="D21" s="11" t="s">
        <v>1154</v>
      </c>
      <c r="E21" s="11">
        <v>11</v>
      </c>
      <c r="F21" s="11"/>
      <c r="G21" s="11" t="s">
        <v>664</v>
      </c>
      <c r="H21" s="14">
        <v>45915</v>
      </c>
      <c r="I21" s="12">
        <f>-Mvt_Inter_entrepot[[#This Row],[QTE]]</f>
        <v>-11</v>
      </c>
      <c r="J21" s="11" t="s">
        <v>94</v>
      </c>
      <c r="K21" s="11" t="str">
        <f>_xlfn.TEXTBEFORE(Mvt_Inter_entrepot[[#This Row],[Num Suivis]],"-",,,1)</f>
        <v>CA250360</v>
      </c>
      <c r="L21" s="11" t="e">
        <f>_xlfn.XLOOKUP(Mvt_Inter_entrepot[[#This Row],[Num OF]],#REF!,#REF!,"Non Trouvé")</f>
        <v>#REF!</v>
      </c>
      <c r="M21" s="11" t="e">
        <f>_xlfn.XLOOKUP(Mvt_Inter_entrepot[[#This Row],[Num OF]],#REF!,#REF!,"Non Trouvé")</f>
        <v>#REF!</v>
      </c>
      <c r="N21" s="11" t="e">
        <f>_xlfn.XLOOKUP(Mvt_Inter_entrepot[[#This Row],[Num OF]],#REF!,#REF!,"Non Trouvé")</f>
        <v>#REF!</v>
      </c>
      <c r="O21" s="11" t="e">
        <f>_xlfn.XLOOKUP(Mvt_Inter_entrepot[[#This Row],[Num OF]],#REF!,#REF!,"Non Trouvé")</f>
        <v>#REF!</v>
      </c>
      <c r="P21" s="11" t="e">
        <f>_xlfn.XLOOKUP(Mvt_Inter_entrepot[[#This Row],[Num OF]],#REF!,#REF!,"Non Trouvé")</f>
        <v>#REF!</v>
      </c>
      <c r="Q21" s="11" t="str">
        <f>IF(
   COUNTIFS($A$2:A21,A21,
             $B$2:B21,B21,
             $C$2:C21,C21,
             $D$2:D21,D21,
             $E$2:E21,E21,
             $H$2:H21,H21
             )&gt;1,
   "Doublon",
   "Correcte"
)</f>
        <v>Correcte</v>
      </c>
    </row>
    <row r="22" spans="1:17" x14ac:dyDescent="0.25">
      <c r="A22" s="11" t="s">
        <v>2865</v>
      </c>
      <c r="B22" s="11" t="s">
        <v>1153</v>
      </c>
      <c r="C22" s="11" t="s">
        <v>662</v>
      </c>
      <c r="D22" s="11" t="s">
        <v>1154</v>
      </c>
      <c r="E22" s="11">
        <v>11</v>
      </c>
      <c r="F22" s="11"/>
      <c r="G22" s="11" t="s">
        <v>664</v>
      </c>
      <c r="H22" s="14">
        <v>45915</v>
      </c>
      <c r="I22" s="12">
        <f>-Mvt_Inter_entrepot[[#This Row],[QTE]]</f>
        <v>-11</v>
      </c>
      <c r="J22" s="11" t="s">
        <v>95</v>
      </c>
      <c r="K22" s="11" t="str">
        <f>_xlfn.TEXTBEFORE(Mvt_Inter_entrepot[[#This Row],[Num Suivis]],"-",,,1)</f>
        <v>CA250361</v>
      </c>
      <c r="L22" s="11" t="e">
        <f>_xlfn.XLOOKUP(Mvt_Inter_entrepot[[#This Row],[Num OF]],#REF!,#REF!,"Non Trouvé")</f>
        <v>#REF!</v>
      </c>
      <c r="M22" s="11" t="e">
        <f>_xlfn.XLOOKUP(Mvt_Inter_entrepot[[#This Row],[Num OF]],#REF!,#REF!,"Non Trouvé")</f>
        <v>#REF!</v>
      </c>
      <c r="N22" s="11" t="e">
        <f>_xlfn.XLOOKUP(Mvt_Inter_entrepot[[#This Row],[Num OF]],#REF!,#REF!,"Non Trouvé")</f>
        <v>#REF!</v>
      </c>
      <c r="O22" s="11" t="e">
        <f>_xlfn.XLOOKUP(Mvt_Inter_entrepot[[#This Row],[Num OF]],#REF!,#REF!,"Non Trouvé")</f>
        <v>#REF!</v>
      </c>
      <c r="P22" s="11" t="e">
        <f>_xlfn.XLOOKUP(Mvt_Inter_entrepot[[#This Row],[Num OF]],#REF!,#REF!,"Non Trouvé")</f>
        <v>#REF!</v>
      </c>
      <c r="Q22" s="11" t="str">
        <f>IF(
   COUNTIFS($A$2:A22,A22,
             $B$2:B22,B22,
             $C$2:C22,C22,
             $D$2:D22,D22,
             $E$2:E22,E22,
             $H$2:H22,H22
             )&gt;1,
   "Doublon",
   "Correcte"
)</f>
        <v>Correcte</v>
      </c>
    </row>
    <row r="23" spans="1:17" x14ac:dyDescent="0.25">
      <c r="A23" s="11" t="s">
        <v>2866</v>
      </c>
      <c r="B23" s="11" t="s">
        <v>1153</v>
      </c>
      <c r="C23" s="11" t="s">
        <v>662</v>
      </c>
      <c r="D23" s="11" t="s">
        <v>1154</v>
      </c>
      <c r="E23" s="11">
        <v>6</v>
      </c>
      <c r="F23" s="11"/>
      <c r="G23" s="11" t="s">
        <v>664</v>
      </c>
      <c r="H23" s="14">
        <v>45915</v>
      </c>
      <c r="I23" s="12">
        <f>-Mvt_Inter_entrepot[[#This Row],[QTE]]</f>
        <v>-6</v>
      </c>
      <c r="J23" s="11" t="s">
        <v>97</v>
      </c>
      <c r="K23" s="11" t="str">
        <f>_xlfn.TEXTBEFORE(Mvt_Inter_entrepot[[#This Row],[Num Suivis]],"-",,,1)</f>
        <v>CA250364</v>
      </c>
      <c r="L23" s="11" t="e">
        <f>_xlfn.XLOOKUP(Mvt_Inter_entrepot[[#This Row],[Num OF]],#REF!,#REF!,"Non Trouvé")</f>
        <v>#REF!</v>
      </c>
      <c r="M23" s="11" t="e">
        <f>_xlfn.XLOOKUP(Mvt_Inter_entrepot[[#This Row],[Num OF]],#REF!,#REF!,"Non Trouvé")</f>
        <v>#REF!</v>
      </c>
      <c r="N23" s="11" t="e">
        <f>_xlfn.XLOOKUP(Mvt_Inter_entrepot[[#This Row],[Num OF]],#REF!,#REF!,"Non Trouvé")</f>
        <v>#REF!</v>
      </c>
      <c r="O23" s="11" t="e">
        <f>_xlfn.XLOOKUP(Mvt_Inter_entrepot[[#This Row],[Num OF]],#REF!,#REF!,"Non Trouvé")</f>
        <v>#REF!</v>
      </c>
      <c r="P23" s="11" t="e">
        <f>_xlfn.XLOOKUP(Mvt_Inter_entrepot[[#This Row],[Num OF]],#REF!,#REF!,"Non Trouvé")</f>
        <v>#REF!</v>
      </c>
      <c r="Q23" s="11" t="str">
        <f>IF(
   COUNTIFS($A$2:A23,A23,
             $B$2:B23,B23,
             $C$2:C23,C23,
             $D$2:D23,D23,
             $E$2:E23,E23,
             $H$2:H23,H23
             )&gt;1,
   "Doublon",
   "Correcte"
)</f>
        <v>Correcte</v>
      </c>
    </row>
    <row r="24" spans="1:17" x14ac:dyDescent="0.25">
      <c r="A24" s="11" t="s">
        <v>2867</v>
      </c>
      <c r="B24" s="11" t="s">
        <v>1153</v>
      </c>
      <c r="C24" s="11" t="s">
        <v>662</v>
      </c>
      <c r="D24" s="11" t="s">
        <v>1154</v>
      </c>
      <c r="E24" s="11">
        <v>2</v>
      </c>
      <c r="F24" s="11"/>
      <c r="G24" s="11" t="s">
        <v>664</v>
      </c>
      <c r="H24" s="14">
        <v>45915</v>
      </c>
      <c r="I24" s="12">
        <f>-Mvt_Inter_entrepot[[#This Row],[QTE]]</f>
        <v>-2</v>
      </c>
      <c r="J24" s="11" t="s">
        <v>98</v>
      </c>
      <c r="K24" s="11" t="str">
        <f>_xlfn.TEXTBEFORE(Mvt_Inter_entrepot[[#This Row],[Num Suivis]],"-",,,1)</f>
        <v>CA250391</v>
      </c>
      <c r="L24" s="11" t="e">
        <f>_xlfn.XLOOKUP(Mvt_Inter_entrepot[[#This Row],[Num OF]],#REF!,#REF!,"Non Trouvé")</f>
        <v>#REF!</v>
      </c>
      <c r="M24" s="11" t="e">
        <f>_xlfn.XLOOKUP(Mvt_Inter_entrepot[[#This Row],[Num OF]],#REF!,#REF!,"Non Trouvé")</f>
        <v>#REF!</v>
      </c>
      <c r="N24" s="11" t="e">
        <f>_xlfn.XLOOKUP(Mvt_Inter_entrepot[[#This Row],[Num OF]],#REF!,#REF!,"Non Trouvé")</f>
        <v>#REF!</v>
      </c>
      <c r="O24" s="11" t="e">
        <f>_xlfn.XLOOKUP(Mvt_Inter_entrepot[[#This Row],[Num OF]],#REF!,#REF!,"Non Trouvé")</f>
        <v>#REF!</v>
      </c>
      <c r="P24" s="11" t="e">
        <f>_xlfn.XLOOKUP(Mvt_Inter_entrepot[[#This Row],[Num OF]],#REF!,#REF!,"Non Trouvé")</f>
        <v>#REF!</v>
      </c>
      <c r="Q24" s="11" t="str">
        <f>IF(
   COUNTIFS($A$2:A24,A24,
             $B$2:B24,B24,
             $C$2:C24,C24,
             $D$2:D24,D24,
             $E$2:E24,E24,
             $H$2:H24,H24
             )&gt;1,
   "Doublon",
   "Correcte"
)</f>
        <v>Correcte</v>
      </c>
    </row>
    <row r="25" spans="1:17" x14ac:dyDescent="0.25">
      <c r="A25" s="11" t="s">
        <v>2868</v>
      </c>
      <c r="B25" s="11" t="s">
        <v>1153</v>
      </c>
      <c r="C25" s="11" t="s">
        <v>662</v>
      </c>
      <c r="D25" s="11" t="s">
        <v>1154</v>
      </c>
      <c r="E25" s="11">
        <v>2</v>
      </c>
      <c r="F25" s="11"/>
      <c r="G25" s="11" t="s">
        <v>664</v>
      </c>
      <c r="H25" s="14">
        <v>45915</v>
      </c>
      <c r="I25" s="12">
        <f>-Mvt_Inter_entrepot[[#This Row],[QTE]]</f>
        <v>-2</v>
      </c>
      <c r="J25" s="11" t="s">
        <v>100</v>
      </c>
      <c r="K25" s="11" t="str">
        <f>_xlfn.TEXTBEFORE(Mvt_Inter_entrepot[[#This Row],[Num Suivis]],"-",,,1)</f>
        <v>CA250393</v>
      </c>
      <c r="L25" s="11" t="e">
        <f>_xlfn.XLOOKUP(Mvt_Inter_entrepot[[#This Row],[Num OF]],#REF!,#REF!,"Non Trouvé")</f>
        <v>#REF!</v>
      </c>
      <c r="M25" s="11" t="e">
        <f>_xlfn.XLOOKUP(Mvt_Inter_entrepot[[#This Row],[Num OF]],#REF!,#REF!,"Non Trouvé")</f>
        <v>#REF!</v>
      </c>
      <c r="N25" s="11" t="e">
        <f>_xlfn.XLOOKUP(Mvt_Inter_entrepot[[#This Row],[Num OF]],#REF!,#REF!,"Non Trouvé")</f>
        <v>#REF!</v>
      </c>
      <c r="O25" s="11" t="e">
        <f>_xlfn.XLOOKUP(Mvt_Inter_entrepot[[#This Row],[Num OF]],#REF!,#REF!,"Non Trouvé")</f>
        <v>#REF!</v>
      </c>
      <c r="P25" s="11" t="e">
        <f>_xlfn.XLOOKUP(Mvt_Inter_entrepot[[#This Row],[Num OF]],#REF!,#REF!,"Non Trouvé")</f>
        <v>#REF!</v>
      </c>
      <c r="Q25" s="11" t="str">
        <f>IF(
   COUNTIFS($A$2:A25,A25,
             $B$2:B25,B25,
             $C$2:C25,C25,
             $D$2:D25,D25,
             $E$2:E25,E25,
             $H$2:H25,H25
             )&gt;1,
   "Doublon",
   "Correcte"
)</f>
        <v>Correcte</v>
      </c>
    </row>
    <row r="26" spans="1:17" x14ac:dyDescent="0.25">
      <c r="A26" s="11" t="s">
        <v>2869</v>
      </c>
      <c r="B26" s="11" t="s">
        <v>1153</v>
      </c>
      <c r="C26" s="11" t="s">
        <v>662</v>
      </c>
      <c r="D26" s="11" t="s">
        <v>665</v>
      </c>
      <c r="E26" s="11">
        <v>95</v>
      </c>
      <c r="F26" s="11"/>
      <c r="G26" s="11" t="s">
        <v>664</v>
      </c>
      <c r="H26" s="14">
        <v>45915</v>
      </c>
      <c r="I26" s="12">
        <f>-Mvt_Inter_entrepot[[#This Row],[QTE]]</f>
        <v>-95</v>
      </c>
      <c r="J26" s="11" t="s">
        <v>106</v>
      </c>
      <c r="K26" s="11" t="str">
        <f>_xlfn.TEXTBEFORE(Mvt_Inter_entrepot[[#This Row],[Num Suivis]],"-",,,1)</f>
        <v>CA250750</v>
      </c>
      <c r="L26" s="11" t="e">
        <f>_xlfn.XLOOKUP(Mvt_Inter_entrepot[[#This Row],[Num OF]],#REF!,#REF!,"Non Trouvé")</f>
        <v>#REF!</v>
      </c>
      <c r="M26" s="11" t="e">
        <f>_xlfn.XLOOKUP(Mvt_Inter_entrepot[[#This Row],[Num OF]],#REF!,#REF!,"Non Trouvé")</f>
        <v>#REF!</v>
      </c>
      <c r="N26" s="11" t="e">
        <f>_xlfn.XLOOKUP(Mvt_Inter_entrepot[[#This Row],[Num OF]],#REF!,#REF!,"Non Trouvé")</f>
        <v>#REF!</v>
      </c>
      <c r="O26" s="11" t="e">
        <f>_xlfn.XLOOKUP(Mvt_Inter_entrepot[[#This Row],[Num OF]],#REF!,#REF!,"Non Trouvé")</f>
        <v>#REF!</v>
      </c>
      <c r="P26" s="11" t="e">
        <f>_xlfn.XLOOKUP(Mvt_Inter_entrepot[[#This Row],[Num OF]],#REF!,#REF!,"Non Trouvé")</f>
        <v>#REF!</v>
      </c>
      <c r="Q26" s="11" t="str">
        <f>IF(
   COUNTIFS($A$2:A26,A26,
             $B$2:B26,B26,
             $C$2:C26,C26,
             $D$2:D26,D26,
             $E$2:E26,E26,
             $H$2:H26,H26
             )&gt;1,
   "Doublon",
   "Correcte"
)</f>
        <v>Correcte</v>
      </c>
    </row>
    <row r="27" spans="1:17" x14ac:dyDescent="0.25">
      <c r="A27" s="11" t="s">
        <v>2870</v>
      </c>
      <c r="B27" s="11" t="s">
        <v>1153</v>
      </c>
      <c r="C27" s="11" t="s">
        <v>662</v>
      </c>
      <c r="D27" s="11" t="s">
        <v>665</v>
      </c>
      <c r="E27" s="11">
        <v>93</v>
      </c>
      <c r="F27" s="11"/>
      <c r="G27" s="11" t="s">
        <v>664</v>
      </c>
      <c r="H27" s="14">
        <v>45915</v>
      </c>
      <c r="I27" s="12">
        <f>-Mvt_Inter_entrepot[[#This Row],[QTE]]</f>
        <v>-93</v>
      </c>
      <c r="J27" s="11" t="s">
        <v>107</v>
      </c>
      <c r="K27" s="11" t="str">
        <f>_xlfn.TEXTBEFORE(Mvt_Inter_entrepot[[#This Row],[Num Suivis]],"-",,,1)</f>
        <v>CA250776</v>
      </c>
      <c r="L27" s="11" t="e">
        <f>_xlfn.XLOOKUP(Mvt_Inter_entrepot[[#This Row],[Num OF]],#REF!,#REF!,"Non Trouvé")</f>
        <v>#REF!</v>
      </c>
      <c r="M27" s="11" t="e">
        <f>_xlfn.XLOOKUP(Mvt_Inter_entrepot[[#This Row],[Num OF]],#REF!,#REF!,"Non Trouvé")</f>
        <v>#REF!</v>
      </c>
      <c r="N27" s="11" t="e">
        <f>_xlfn.XLOOKUP(Mvt_Inter_entrepot[[#This Row],[Num OF]],#REF!,#REF!,"Non Trouvé")</f>
        <v>#REF!</v>
      </c>
      <c r="O27" s="11" t="e">
        <f>_xlfn.XLOOKUP(Mvt_Inter_entrepot[[#This Row],[Num OF]],#REF!,#REF!,"Non Trouvé")</f>
        <v>#REF!</v>
      </c>
      <c r="P27" s="11" t="e">
        <f>_xlfn.XLOOKUP(Mvt_Inter_entrepot[[#This Row],[Num OF]],#REF!,#REF!,"Non Trouvé")</f>
        <v>#REF!</v>
      </c>
      <c r="Q27" s="11" t="str">
        <f>IF(
   COUNTIFS($A$2:A27,A27,
             $B$2:B27,B27,
             $C$2:C27,C27,
             $D$2:D27,D27,
             $E$2:E27,E27,
             $H$2:H27,H27
             )&gt;1,
   "Doublon",
   "Correcte"
)</f>
        <v>Correcte</v>
      </c>
    </row>
    <row r="28" spans="1:17" x14ac:dyDescent="0.25">
      <c r="A28" s="11" t="s">
        <v>2871</v>
      </c>
      <c r="B28" s="11" t="s">
        <v>1153</v>
      </c>
      <c r="C28" s="11" t="s">
        <v>662</v>
      </c>
      <c r="D28" s="11" t="s">
        <v>665</v>
      </c>
      <c r="E28" s="11">
        <v>51</v>
      </c>
      <c r="F28" s="11"/>
      <c r="G28" s="11" t="s">
        <v>664</v>
      </c>
      <c r="H28" s="14">
        <v>45915</v>
      </c>
      <c r="I28" s="12">
        <f>-Mvt_Inter_entrepot[[#This Row],[QTE]]</f>
        <v>-51</v>
      </c>
      <c r="J28" s="11" t="s">
        <v>108</v>
      </c>
      <c r="K28" s="11" t="str">
        <f>_xlfn.TEXTBEFORE(Mvt_Inter_entrepot[[#This Row],[Num Suivis]],"-",,,1)</f>
        <v>CA250777</v>
      </c>
      <c r="L28" s="11" t="e">
        <f>_xlfn.XLOOKUP(Mvt_Inter_entrepot[[#This Row],[Num OF]],#REF!,#REF!,"Non Trouvé")</f>
        <v>#REF!</v>
      </c>
      <c r="M28" s="11" t="e">
        <f>_xlfn.XLOOKUP(Mvt_Inter_entrepot[[#This Row],[Num OF]],#REF!,#REF!,"Non Trouvé")</f>
        <v>#REF!</v>
      </c>
      <c r="N28" s="11" t="e">
        <f>_xlfn.XLOOKUP(Mvt_Inter_entrepot[[#This Row],[Num OF]],#REF!,#REF!,"Non Trouvé")</f>
        <v>#REF!</v>
      </c>
      <c r="O28" s="11" t="e">
        <f>_xlfn.XLOOKUP(Mvt_Inter_entrepot[[#This Row],[Num OF]],#REF!,#REF!,"Non Trouvé")</f>
        <v>#REF!</v>
      </c>
      <c r="P28" s="11" t="e">
        <f>_xlfn.XLOOKUP(Mvt_Inter_entrepot[[#This Row],[Num OF]],#REF!,#REF!,"Non Trouvé")</f>
        <v>#REF!</v>
      </c>
      <c r="Q28" s="11" t="str">
        <f>IF(
   COUNTIFS($A$2:A28,A28,
             $B$2:B28,B28,
             $C$2:C28,C28,
             $D$2:D28,D28,
             $E$2:E28,E28,
             $H$2:H28,H28
             )&gt;1,
   "Doublon",
   "Correcte"
)</f>
        <v>Correcte</v>
      </c>
    </row>
    <row r="29" spans="1:17" x14ac:dyDescent="0.25">
      <c r="A29" s="11" t="s">
        <v>2872</v>
      </c>
      <c r="B29" s="11" t="s">
        <v>1153</v>
      </c>
      <c r="C29" s="11" t="s">
        <v>662</v>
      </c>
      <c r="D29" s="11" t="s">
        <v>665</v>
      </c>
      <c r="E29" s="11">
        <v>15</v>
      </c>
      <c r="F29" s="11"/>
      <c r="G29" s="11" t="s">
        <v>664</v>
      </c>
      <c r="H29" s="14">
        <v>45915</v>
      </c>
      <c r="I29" s="12">
        <f>-Mvt_Inter_entrepot[[#This Row],[QTE]]</f>
        <v>-15</v>
      </c>
      <c r="J29" s="11" t="s">
        <v>109</v>
      </c>
      <c r="K29" s="11" t="str">
        <f>_xlfn.TEXTBEFORE(Mvt_Inter_entrepot[[#This Row],[Num Suivis]],"-",,,1)</f>
        <v>CA250778</v>
      </c>
      <c r="L29" s="11" t="e">
        <f>_xlfn.XLOOKUP(Mvt_Inter_entrepot[[#This Row],[Num OF]],#REF!,#REF!,"Non Trouvé")</f>
        <v>#REF!</v>
      </c>
      <c r="M29" s="11" t="e">
        <f>_xlfn.XLOOKUP(Mvt_Inter_entrepot[[#This Row],[Num OF]],#REF!,#REF!,"Non Trouvé")</f>
        <v>#REF!</v>
      </c>
      <c r="N29" s="11" t="e">
        <f>_xlfn.XLOOKUP(Mvt_Inter_entrepot[[#This Row],[Num OF]],#REF!,#REF!,"Non Trouvé")</f>
        <v>#REF!</v>
      </c>
      <c r="O29" s="11" t="e">
        <f>_xlfn.XLOOKUP(Mvt_Inter_entrepot[[#This Row],[Num OF]],#REF!,#REF!,"Non Trouvé")</f>
        <v>#REF!</v>
      </c>
      <c r="P29" s="11" t="e">
        <f>_xlfn.XLOOKUP(Mvt_Inter_entrepot[[#This Row],[Num OF]],#REF!,#REF!,"Non Trouvé")</f>
        <v>#REF!</v>
      </c>
      <c r="Q29" s="11" t="str">
        <f>IF(
   COUNTIFS($A$2:A29,A29,
             $B$2:B29,B29,
             $C$2:C29,C29,
             $D$2:D29,D29,
             $E$2:E29,E29,
             $H$2:H29,H29
             )&gt;1,
   "Doublon",
   "Correcte"
)</f>
        <v>Correcte</v>
      </c>
    </row>
    <row r="30" spans="1:17" x14ac:dyDescent="0.25">
      <c r="A30" s="11" t="s">
        <v>2873</v>
      </c>
      <c r="B30" s="11" t="s">
        <v>1153</v>
      </c>
      <c r="C30" s="11" t="s">
        <v>662</v>
      </c>
      <c r="D30" s="11" t="s">
        <v>665</v>
      </c>
      <c r="E30" s="11">
        <v>51</v>
      </c>
      <c r="F30" s="11"/>
      <c r="G30" s="11" t="s">
        <v>664</v>
      </c>
      <c r="H30" s="14">
        <v>45915</v>
      </c>
      <c r="I30" s="12">
        <f>-Mvt_Inter_entrepot[[#This Row],[QTE]]</f>
        <v>-51</v>
      </c>
      <c r="J30" s="11" t="s">
        <v>110</v>
      </c>
      <c r="K30" s="11" t="str">
        <f>_xlfn.TEXTBEFORE(Mvt_Inter_entrepot[[#This Row],[Num Suivis]],"-",,,1)</f>
        <v>CA250779</v>
      </c>
      <c r="L30" s="11" t="e">
        <f>_xlfn.XLOOKUP(Mvt_Inter_entrepot[[#This Row],[Num OF]],#REF!,#REF!,"Non Trouvé")</f>
        <v>#REF!</v>
      </c>
      <c r="M30" s="11" t="e">
        <f>_xlfn.XLOOKUP(Mvt_Inter_entrepot[[#This Row],[Num OF]],#REF!,#REF!,"Non Trouvé")</f>
        <v>#REF!</v>
      </c>
      <c r="N30" s="11" t="e">
        <f>_xlfn.XLOOKUP(Mvt_Inter_entrepot[[#This Row],[Num OF]],#REF!,#REF!,"Non Trouvé")</f>
        <v>#REF!</v>
      </c>
      <c r="O30" s="11" t="e">
        <f>_xlfn.XLOOKUP(Mvt_Inter_entrepot[[#This Row],[Num OF]],#REF!,#REF!,"Non Trouvé")</f>
        <v>#REF!</v>
      </c>
      <c r="P30" s="11" t="e">
        <f>_xlfn.XLOOKUP(Mvt_Inter_entrepot[[#This Row],[Num OF]],#REF!,#REF!,"Non Trouvé")</f>
        <v>#REF!</v>
      </c>
      <c r="Q30" s="11" t="str">
        <f>IF(
   COUNTIFS($A$2:A30,A30,
             $B$2:B30,B30,
             $C$2:C30,C30,
             $D$2:D30,D30,
             $E$2:E30,E30,
             $H$2:H30,H30
             )&gt;1,
   "Doublon",
   "Correcte"
)</f>
        <v>Correcte</v>
      </c>
    </row>
    <row r="31" spans="1:17" x14ac:dyDescent="0.25">
      <c r="A31" s="11" t="s">
        <v>2874</v>
      </c>
      <c r="B31" s="11" t="s">
        <v>1153</v>
      </c>
      <c r="C31" s="11" t="s">
        <v>662</v>
      </c>
      <c r="D31" s="11" t="s">
        <v>665</v>
      </c>
      <c r="E31" s="11">
        <v>22</v>
      </c>
      <c r="F31" s="11"/>
      <c r="G31" s="11" t="s">
        <v>664</v>
      </c>
      <c r="H31" s="14">
        <v>45915</v>
      </c>
      <c r="I31" s="12">
        <f>-Mvt_Inter_entrepot[[#This Row],[QTE]]</f>
        <v>-22</v>
      </c>
      <c r="J31" s="11" t="s">
        <v>111</v>
      </c>
      <c r="K31" s="11" t="str">
        <f>_xlfn.TEXTBEFORE(Mvt_Inter_entrepot[[#This Row],[Num Suivis]],"-",,,1)</f>
        <v>CA250780</v>
      </c>
      <c r="L31" s="11" t="e">
        <f>_xlfn.XLOOKUP(Mvt_Inter_entrepot[[#This Row],[Num OF]],#REF!,#REF!,"Non Trouvé")</f>
        <v>#REF!</v>
      </c>
      <c r="M31" s="11" t="e">
        <f>_xlfn.XLOOKUP(Mvt_Inter_entrepot[[#This Row],[Num OF]],#REF!,#REF!,"Non Trouvé")</f>
        <v>#REF!</v>
      </c>
      <c r="N31" s="11" t="e">
        <f>_xlfn.XLOOKUP(Mvt_Inter_entrepot[[#This Row],[Num OF]],#REF!,#REF!,"Non Trouvé")</f>
        <v>#REF!</v>
      </c>
      <c r="O31" s="11" t="e">
        <f>_xlfn.XLOOKUP(Mvt_Inter_entrepot[[#This Row],[Num OF]],#REF!,#REF!,"Non Trouvé")</f>
        <v>#REF!</v>
      </c>
      <c r="P31" s="11" t="e">
        <f>_xlfn.XLOOKUP(Mvt_Inter_entrepot[[#This Row],[Num OF]],#REF!,#REF!,"Non Trouvé")</f>
        <v>#REF!</v>
      </c>
      <c r="Q31" s="11" t="str">
        <f>IF(
   COUNTIFS($A$2:A31,A31,
             $B$2:B31,B31,
             $C$2:C31,C31,
             $D$2:D31,D31,
             $E$2:E31,E31,
             $H$2:H31,H31
             )&gt;1,
   "Doublon",
   "Correcte"
)</f>
        <v>Correcte</v>
      </c>
    </row>
    <row r="32" spans="1:17" x14ac:dyDescent="0.25">
      <c r="A32" s="11" t="s">
        <v>2875</v>
      </c>
      <c r="B32" s="11" t="s">
        <v>1153</v>
      </c>
      <c r="C32" s="11" t="s">
        <v>662</v>
      </c>
      <c r="D32" s="11" t="s">
        <v>665</v>
      </c>
      <c r="E32" s="11">
        <v>49</v>
      </c>
      <c r="F32" s="11"/>
      <c r="G32" s="11" t="s">
        <v>664</v>
      </c>
      <c r="H32" s="14">
        <v>45915</v>
      </c>
      <c r="I32" s="12">
        <f>-Mvt_Inter_entrepot[[#This Row],[QTE]]</f>
        <v>-49</v>
      </c>
      <c r="J32" s="11" t="s">
        <v>112</v>
      </c>
      <c r="K32" s="11" t="str">
        <f>_xlfn.TEXTBEFORE(Mvt_Inter_entrepot[[#This Row],[Num Suivis]],"-",,,1)</f>
        <v>CA250781</v>
      </c>
      <c r="L32" s="11" t="e">
        <f>_xlfn.XLOOKUP(Mvt_Inter_entrepot[[#This Row],[Num OF]],#REF!,#REF!,"Non Trouvé")</f>
        <v>#REF!</v>
      </c>
      <c r="M32" s="11" t="e">
        <f>_xlfn.XLOOKUP(Mvt_Inter_entrepot[[#This Row],[Num OF]],#REF!,#REF!,"Non Trouvé")</f>
        <v>#REF!</v>
      </c>
      <c r="N32" s="11" t="e">
        <f>_xlfn.XLOOKUP(Mvt_Inter_entrepot[[#This Row],[Num OF]],#REF!,#REF!,"Non Trouvé")</f>
        <v>#REF!</v>
      </c>
      <c r="O32" s="11" t="e">
        <f>_xlfn.XLOOKUP(Mvt_Inter_entrepot[[#This Row],[Num OF]],#REF!,#REF!,"Non Trouvé")</f>
        <v>#REF!</v>
      </c>
      <c r="P32" s="11" t="e">
        <f>_xlfn.XLOOKUP(Mvt_Inter_entrepot[[#This Row],[Num OF]],#REF!,#REF!,"Non Trouvé")</f>
        <v>#REF!</v>
      </c>
      <c r="Q32" s="11" t="str">
        <f>IF(
   COUNTIFS($A$2:A32,A32,
             $B$2:B32,B32,
             $C$2:C32,C32,
             $D$2:D32,D32,
             $E$2:E32,E32,
             $H$2:H32,H32
             )&gt;1,
   "Doublon",
   "Correcte"
)</f>
        <v>Correcte</v>
      </c>
    </row>
    <row r="33" spans="1:17" x14ac:dyDescent="0.25">
      <c r="A33" s="11" t="s">
        <v>2876</v>
      </c>
      <c r="B33" s="11" t="s">
        <v>1153</v>
      </c>
      <c r="C33" s="11" t="s">
        <v>662</v>
      </c>
      <c r="D33" s="11" t="s">
        <v>665</v>
      </c>
      <c r="E33" s="11">
        <v>84</v>
      </c>
      <c r="F33" s="11"/>
      <c r="G33" s="11" t="s">
        <v>664</v>
      </c>
      <c r="H33" s="14">
        <v>45915</v>
      </c>
      <c r="I33" s="12">
        <f>-Mvt_Inter_entrepot[[#This Row],[QTE]]</f>
        <v>-84</v>
      </c>
      <c r="J33" s="11" t="s">
        <v>113</v>
      </c>
      <c r="K33" s="11" t="str">
        <f>_xlfn.TEXTBEFORE(Mvt_Inter_entrepot[[#This Row],[Num Suivis]],"-",,,1)</f>
        <v>CA250782</v>
      </c>
      <c r="L33" s="11" t="e">
        <f>_xlfn.XLOOKUP(Mvt_Inter_entrepot[[#This Row],[Num OF]],#REF!,#REF!,"Non Trouvé")</f>
        <v>#REF!</v>
      </c>
      <c r="M33" s="11" t="e">
        <f>_xlfn.XLOOKUP(Mvt_Inter_entrepot[[#This Row],[Num OF]],#REF!,#REF!,"Non Trouvé")</f>
        <v>#REF!</v>
      </c>
      <c r="N33" s="11" t="e">
        <f>_xlfn.XLOOKUP(Mvt_Inter_entrepot[[#This Row],[Num OF]],#REF!,#REF!,"Non Trouvé")</f>
        <v>#REF!</v>
      </c>
      <c r="O33" s="11" t="e">
        <f>_xlfn.XLOOKUP(Mvt_Inter_entrepot[[#This Row],[Num OF]],#REF!,#REF!,"Non Trouvé")</f>
        <v>#REF!</v>
      </c>
      <c r="P33" s="11" t="e">
        <f>_xlfn.XLOOKUP(Mvt_Inter_entrepot[[#This Row],[Num OF]],#REF!,#REF!,"Non Trouvé")</f>
        <v>#REF!</v>
      </c>
      <c r="Q33" s="11" t="str">
        <f>IF(
   COUNTIFS($A$2:A33,A33,
             $B$2:B33,B33,
             $C$2:C33,C33,
             $D$2:D33,D33,
             $E$2:E33,E33,
             $H$2:H33,H33
             )&gt;1,
   "Doublon",
   "Correcte"
)</f>
        <v>Correcte</v>
      </c>
    </row>
    <row r="34" spans="1:17" x14ac:dyDescent="0.25">
      <c r="A34" s="11" t="s">
        <v>2877</v>
      </c>
      <c r="B34" s="11" t="s">
        <v>1153</v>
      </c>
      <c r="C34" s="11" t="s">
        <v>662</v>
      </c>
      <c r="D34" s="11" t="s">
        <v>665</v>
      </c>
      <c r="E34" s="11">
        <v>51</v>
      </c>
      <c r="F34" s="11"/>
      <c r="G34" s="11" t="s">
        <v>664</v>
      </c>
      <c r="H34" s="14">
        <v>45915</v>
      </c>
      <c r="I34" s="12">
        <f>-Mvt_Inter_entrepot[[#This Row],[QTE]]</f>
        <v>-51</v>
      </c>
      <c r="J34" s="11" t="s">
        <v>114</v>
      </c>
      <c r="K34" s="11" t="str">
        <f>_xlfn.TEXTBEFORE(Mvt_Inter_entrepot[[#This Row],[Num Suivis]],"-",,,1)</f>
        <v>CA250783</v>
      </c>
      <c r="L34" s="11" t="e">
        <f>_xlfn.XLOOKUP(Mvt_Inter_entrepot[[#This Row],[Num OF]],#REF!,#REF!,"Non Trouvé")</f>
        <v>#REF!</v>
      </c>
      <c r="M34" s="11" t="e">
        <f>_xlfn.XLOOKUP(Mvt_Inter_entrepot[[#This Row],[Num OF]],#REF!,#REF!,"Non Trouvé")</f>
        <v>#REF!</v>
      </c>
      <c r="N34" s="11" t="e">
        <f>_xlfn.XLOOKUP(Mvt_Inter_entrepot[[#This Row],[Num OF]],#REF!,#REF!,"Non Trouvé")</f>
        <v>#REF!</v>
      </c>
      <c r="O34" s="11" t="e">
        <f>_xlfn.XLOOKUP(Mvt_Inter_entrepot[[#This Row],[Num OF]],#REF!,#REF!,"Non Trouvé")</f>
        <v>#REF!</v>
      </c>
      <c r="P34" s="11" t="e">
        <f>_xlfn.XLOOKUP(Mvt_Inter_entrepot[[#This Row],[Num OF]],#REF!,#REF!,"Non Trouvé")</f>
        <v>#REF!</v>
      </c>
      <c r="Q34" s="11" t="str">
        <f>IF(
   COUNTIFS($A$2:A34,A34,
             $B$2:B34,B34,
             $C$2:C34,C34,
             $D$2:D34,D34,
             $E$2:E34,E34,
             $H$2:H34,H34
             )&gt;1,
   "Doublon",
   "Correcte"
)</f>
        <v>Correcte</v>
      </c>
    </row>
    <row r="35" spans="1:17" x14ac:dyDescent="0.25">
      <c r="A35" s="11" t="s">
        <v>2878</v>
      </c>
      <c r="B35" s="11" t="s">
        <v>1153</v>
      </c>
      <c r="C35" s="11" t="s">
        <v>662</v>
      </c>
      <c r="D35" s="11" t="s">
        <v>665</v>
      </c>
      <c r="E35" s="11">
        <v>52</v>
      </c>
      <c r="F35" s="11"/>
      <c r="G35" s="11" t="s">
        <v>664</v>
      </c>
      <c r="H35" s="14">
        <v>45915</v>
      </c>
      <c r="I35" s="12">
        <f>-Mvt_Inter_entrepot[[#This Row],[QTE]]</f>
        <v>-52</v>
      </c>
      <c r="J35" s="11" t="s">
        <v>115</v>
      </c>
      <c r="K35" s="11" t="str">
        <f>_xlfn.TEXTBEFORE(Mvt_Inter_entrepot[[#This Row],[Num Suivis]],"-",,,1)</f>
        <v>CA250784</v>
      </c>
      <c r="L35" s="11" t="e">
        <f>_xlfn.XLOOKUP(Mvt_Inter_entrepot[[#This Row],[Num OF]],#REF!,#REF!,"Non Trouvé")</f>
        <v>#REF!</v>
      </c>
      <c r="M35" s="11" t="e">
        <f>_xlfn.XLOOKUP(Mvt_Inter_entrepot[[#This Row],[Num OF]],#REF!,#REF!,"Non Trouvé")</f>
        <v>#REF!</v>
      </c>
      <c r="N35" s="11" t="e">
        <f>_xlfn.XLOOKUP(Mvt_Inter_entrepot[[#This Row],[Num OF]],#REF!,#REF!,"Non Trouvé")</f>
        <v>#REF!</v>
      </c>
      <c r="O35" s="11" t="e">
        <f>_xlfn.XLOOKUP(Mvt_Inter_entrepot[[#This Row],[Num OF]],#REF!,#REF!,"Non Trouvé")</f>
        <v>#REF!</v>
      </c>
      <c r="P35" s="11" t="e">
        <f>_xlfn.XLOOKUP(Mvt_Inter_entrepot[[#This Row],[Num OF]],#REF!,#REF!,"Non Trouvé")</f>
        <v>#REF!</v>
      </c>
      <c r="Q35" s="11" t="str">
        <f>IF(
   COUNTIFS($A$2:A35,A35,
             $B$2:B35,B35,
             $C$2:C35,C35,
             $D$2:D35,D35,
             $E$2:E35,E35,
             $H$2:H35,H35
             )&gt;1,
   "Doublon",
   "Correcte"
)</f>
        <v>Correcte</v>
      </c>
    </row>
    <row r="36" spans="1:17" x14ac:dyDescent="0.25">
      <c r="A36" s="11" t="s">
        <v>3791</v>
      </c>
      <c r="B36" s="11" t="s">
        <v>1153</v>
      </c>
      <c r="C36" s="11" t="s">
        <v>662</v>
      </c>
      <c r="D36" s="11" t="s">
        <v>1154</v>
      </c>
      <c r="E36" s="11">
        <v>15</v>
      </c>
      <c r="F36" s="11"/>
      <c r="G36" s="11" t="s">
        <v>664</v>
      </c>
      <c r="H36" s="14">
        <v>45915</v>
      </c>
      <c r="I36" s="12">
        <f>-Mvt_Inter_entrepot[[#This Row],[QTE]]</f>
        <v>-15</v>
      </c>
      <c r="J36" s="11" t="s">
        <v>1155</v>
      </c>
      <c r="K36" s="11" t="str">
        <f>_xlfn.TEXTBEFORE(Mvt_Inter_entrepot[[#This Row],[Num Suivis]],"-",,,1)</f>
        <v>OF230240</v>
      </c>
      <c r="L36" s="11" t="s">
        <v>3789</v>
      </c>
      <c r="M36" s="11" t="s">
        <v>28</v>
      </c>
      <c r="N36" s="11" t="s">
        <v>574</v>
      </c>
      <c r="O36" s="11" t="s">
        <v>7</v>
      </c>
      <c r="P36" s="11">
        <v>2030</v>
      </c>
      <c r="Q36" s="11" t="str">
        <f>IF(
   COUNTIFS($A$2:A36,A36,
             $B$2:B36,B36,
             $C$2:C36,C36,
             $D$2:D36,D36,
             $E$2:E36,E36,
             $H$2:H36,H36
             )&gt;1,
   "Doublon",
   "Correcte"
)</f>
        <v>Correcte</v>
      </c>
    </row>
    <row r="37" spans="1:17" x14ac:dyDescent="0.25">
      <c r="A37" s="11" t="s">
        <v>3792</v>
      </c>
      <c r="B37" s="11" t="s">
        <v>1153</v>
      </c>
      <c r="C37" s="11" t="s">
        <v>662</v>
      </c>
      <c r="D37" s="11" t="s">
        <v>1154</v>
      </c>
      <c r="E37" s="11">
        <v>13</v>
      </c>
      <c r="F37" s="11"/>
      <c r="G37" s="11" t="s">
        <v>664</v>
      </c>
      <c r="H37" s="14">
        <v>45915</v>
      </c>
      <c r="I37" s="12">
        <f>-Mvt_Inter_entrepot[[#This Row],[QTE]]</f>
        <v>-13</v>
      </c>
      <c r="J37" s="11" t="s">
        <v>1156</v>
      </c>
      <c r="K37" s="11" t="str">
        <f>_xlfn.TEXTBEFORE(Mvt_Inter_entrepot[[#This Row],[Num Suivis]],"-",,,1)</f>
        <v>OF230242</v>
      </c>
      <c r="L37" s="11" t="s">
        <v>3789</v>
      </c>
      <c r="M37" s="11" t="s">
        <v>28</v>
      </c>
      <c r="N37" s="26" t="s">
        <v>3790</v>
      </c>
      <c r="O37" s="11" t="s">
        <v>7</v>
      </c>
      <c r="P37" s="11">
        <v>2030</v>
      </c>
      <c r="Q37" s="11" t="str">
        <f>IF(
   COUNTIFS($A$2:A37,A37,
             $B$2:B37,B37,
             $C$2:C37,C37,
             $D$2:D37,D37,
             $E$2:E37,E37,
             $H$2:H37,H37
             )&gt;1,
   "Doublon",
   "Correcte"
)</f>
        <v>Correcte</v>
      </c>
    </row>
    <row r="38" spans="1:17" x14ac:dyDescent="0.25">
      <c r="A38" s="11" t="s">
        <v>3793</v>
      </c>
      <c r="B38" s="11" t="s">
        <v>1153</v>
      </c>
      <c r="C38" s="11" t="s">
        <v>662</v>
      </c>
      <c r="D38" s="11" t="s">
        <v>1154</v>
      </c>
      <c r="E38" s="11">
        <v>7</v>
      </c>
      <c r="F38" s="11"/>
      <c r="G38" s="11" t="s">
        <v>664</v>
      </c>
      <c r="H38" s="14">
        <v>45915</v>
      </c>
      <c r="I38" s="12">
        <f>-Mvt_Inter_entrepot[[#This Row],[QTE]]</f>
        <v>-7</v>
      </c>
      <c r="J38" s="11" t="s">
        <v>1157</v>
      </c>
      <c r="K38" s="11" t="str">
        <f>_xlfn.TEXTBEFORE(Mvt_Inter_entrepot[[#This Row],[Num Suivis]],"-",,,1)</f>
        <v>OF230243</v>
      </c>
      <c r="L38" s="11" t="s">
        <v>3789</v>
      </c>
      <c r="M38" s="11" t="s">
        <v>28</v>
      </c>
      <c r="N38" s="11" t="s">
        <v>299</v>
      </c>
      <c r="O38" s="11" t="s">
        <v>7</v>
      </c>
      <c r="P38" s="11">
        <v>2030</v>
      </c>
      <c r="Q38" s="11" t="str">
        <f>IF(
   COUNTIFS($A$2:A38,A38,
             $B$2:B38,B38,
             $C$2:C38,C38,
             $D$2:D38,D38,
             $E$2:E38,E38,
             $H$2:H38,H38
             )&gt;1,
   "Doublon",
   "Correcte"
)</f>
        <v>Correcte</v>
      </c>
    </row>
    <row r="39" spans="1:17" x14ac:dyDescent="0.25">
      <c r="A39" s="11" t="s">
        <v>2682</v>
      </c>
      <c r="B39" s="11" t="s">
        <v>1153</v>
      </c>
      <c r="C39" s="11" t="s">
        <v>662</v>
      </c>
      <c r="D39" s="11" t="s">
        <v>1154</v>
      </c>
      <c r="E39" s="11">
        <v>15</v>
      </c>
      <c r="F39" s="11"/>
      <c r="G39" s="11" t="s">
        <v>664</v>
      </c>
      <c r="H39" s="14">
        <v>45915</v>
      </c>
      <c r="I39" s="12">
        <f>-Mvt_Inter_entrepot[[#This Row],[QTE]]</f>
        <v>-15</v>
      </c>
      <c r="J39" s="11" t="s">
        <v>1158</v>
      </c>
      <c r="K39" s="11" t="str">
        <f>_xlfn.TEXTBEFORE(Mvt_Inter_entrepot[[#This Row],[Num Suivis]],"-",,,1)</f>
        <v>OF230507</v>
      </c>
      <c r="L39" s="11" t="e">
        <f>_xlfn.XLOOKUP(Mvt_Inter_entrepot[[#This Row],[Num OF]],#REF!,#REF!,"Non Trouvé")</f>
        <v>#REF!</v>
      </c>
      <c r="M39" s="11" t="e">
        <f>_xlfn.XLOOKUP(Mvt_Inter_entrepot[[#This Row],[Num OF]],#REF!,#REF!,"Non Trouvé")</f>
        <v>#REF!</v>
      </c>
      <c r="N39" s="11" t="e">
        <f>_xlfn.XLOOKUP(Mvt_Inter_entrepot[[#This Row],[Num OF]],#REF!,#REF!,"Non Trouvé")</f>
        <v>#REF!</v>
      </c>
      <c r="O39" s="11" t="e">
        <f>_xlfn.XLOOKUP(Mvt_Inter_entrepot[[#This Row],[Num OF]],#REF!,#REF!,"Non Trouvé")</f>
        <v>#REF!</v>
      </c>
      <c r="P39" s="11" t="e">
        <f>_xlfn.XLOOKUP(Mvt_Inter_entrepot[[#This Row],[Num OF]],#REF!,#REF!,"Non Trouvé")</f>
        <v>#REF!</v>
      </c>
      <c r="Q39" s="11" t="str">
        <f>IF(
   COUNTIFS($A$2:A39,A39,
             $B$2:B39,B39,
             $C$2:C39,C39,
             $D$2:D39,D39,
             $E$2:E39,E39,
             $H$2:H39,H39
             )&gt;1,
   "Doublon",
   "Correcte"
)</f>
        <v>Correcte</v>
      </c>
    </row>
    <row r="40" spans="1:17" x14ac:dyDescent="0.25">
      <c r="A40" s="11" t="s">
        <v>2683</v>
      </c>
      <c r="B40" s="11" t="s">
        <v>1153</v>
      </c>
      <c r="C40" s="11" t="s">
        <v>662</v>
      </c>
      <c r="D40" s="11" t="s">
        <v>1154</v>
      </c>
      <c r="E40" s="11">
        <v>7</v>
      </c>
      <c r="F40" s="11"/>
      <c r="G40" s="11" t="s">
        <v>664</v>
      </c>
      <c r="H40" s="14">
        <v>45915</v>
      </c>
      <c r="I40" s="12">
        <f>-Mvt_Inter_entrepot[[#This Row],[QTE]]</f>
        <v>-7</v>
      </c>
      <c r="J40" s="11" t="s">
        <v>1159</v>
      </c>
      <c r="K40" s="11" t="str">
        <f>_xlfn.TEXTBEFORE(Mvt_Inter_entrepot[[#This Row],[Num Suivis]],"-",,,1)</f>
        <v>OF230508</v>
      </c>
      <c r="L40" s="11" t="e">
        <f>_xlfn.XLOOKUP(Mvt_Inter_entrepot[[#This Row],[Num OF]],#REF!,#REF!,"Non Trouvé")</f>
        <v>#REF!</v>
      </c>
      <c r="M40" s="11" t="e">
        <f>_xlfn.XLOOKUP(Mvt_Inter_entrepot[[#This Row],[Num OF]],#REF!,#REF!,"Non Trouvé")</f>
        <v>#REF!</v>
      </c>
      <c r="N40" s="11" t="e">
        <f>_xlfn.XLOOKUP(Mvt_Inter_entrepot[[#This Row],[Num OF]],#REF!,#REF!,"Non Trouvé")</f>
        <v>#REF!</v>
      </c>
      <c r="O40" s="11" t="e">
        <f>_xlfn.XLOOKUP(Mvt_Inter_entrepot[[#This Row],[Num OF]],#REF!,#REF!,"Non Trouvé")</f>
        <v>#REF!</v>
      </c>
      <c r="P40" s="11" t="e">
        <f>_xlfn.XLOOKUP(Mvt_Inter_entrepot[[#This Row],[Num OF]],#REF!,#REF!,"Non Trouvé")</f>
        <v>#REF!</v>
      </c>
      <c r="Q40" s="11" t="str">
        <f>IF(
   COUNTIFS($A$2:A40,A40,
             $B$2:B40,B40,
             $C$2:C40,C40,
             $D$2:D40,D40,
             $E$2:E40,E40,
             $H$2:H40,H40
             )&gt;1,
   "Doublon",
   "Correcte"
)</f>
        <v>Correcte</v>
      </c>
    </row>
    <row r="41" spans="1:17" x14ac:dyDescent="0.25">
      <c r="A41" s="11" t="s">
        <v>3794</v>
      </c>
      <c r="B41" s="11" t="s">
        <v>1153</v>
      </c>
      <c r="C41" s="11" t="s">
        <v>662</v>
      </c>
      <c r="D41" s="11" t="s">
        <v>1154</v>
      </c>
      <c r="E41" s="11">
        <v>61</v>
      </c>
      <c r="F41" s="11"/>
      <c r="G41" s="11" t="s">
        <v>664</v>
      </c>
      <c r="H41" s="14">
        <v>45915</v>
      </c>
      <c r="I41" s="12">
        <f>-Mvt_Inter_entrepot[[#This Row],[QTE]]</f>
        <v>-61</v>
      </c>
      <c r="J41" s="11" t="s">
        <v>1160</v>
      </c>
      <c r="K41" s="11" t="str">
        <f>_xlfn.TEXTBEFORE(Mvt_Inter_entrepot[[#This Row],[Num Suivis]],"-",,,1)</f>
        <v>OF230509</v>
      </c>
      <c r="L41" s="11" t="s">
        <v>3789</v>
      </c>
      <c r="M41" s="11" t="s">
        <v>28</v>
      </c>
      <c r="N41" s="11" t="s">
        <v>575</v>
      </c>
      <c r="O41" s="11" t="s">
        <v>9</v>
      </c>
      <c r="P41" s="11">
        <v>1020</v>
      </c>
      <c r="Q41" s="11" t="str">
        <f>IF(
   COUNTIFS($A$2:A41,A41,
             $B$2:B41,B41,
             $C$2:C41,C41,
             $D$2:D41,D41,
             $E$2:E41,E41,
             $H$2:H41,H41
             )&gt;1,
   "Doublon",
   "Correcte"
)</f>
        <v>Correcte</v>
      </c>
    </row>
    <row r="42" spans="1:17" x14ac:dyDescent="0.25">
      <c r="A42" s="11" t="s">
        <v>2879</v>
      </c>
      <c r="B42" s="11" t="s">
        <v>1153</v>
      </c>
      <c r="C42" s="11" t="s">
        <v>662</v>
      </c>
      <c r="D42" s="11" t="s">
        <v>1154</v>
      </c>
      <c r="E42" s="11">
        <v>1</v>
      </c>
      <c r="F42" s="11"/>
      <c r="G42" s="11" t="s">
        <v>664</v>
      </c>
      <c r="H42" s="14">
        <v>45915</v>
      </c>
      <c r="I42" s="12">
        <f>-Mvt_Inter_entrepot[[#This Row],[QTE]]</f>
        <v>-1</v>
      </c>
      <c r="J42" s="11" t="s">
        <v>1161</v>
      </c>
      <c r="K42" s="11" t="str">
        <f>_xlfn.TEXTBEFORE(Mvt_Inter_entrepot[[#This Row],[Num Suivis]],"-",,,1)</f>
        <v>OF240000</v>
      </c>
      <c r="L42" s="11" t="e">
        <f>_xlfn.XLOOKUP(Mvt_Inter_entrepot[[#This Row],[Num OF]],#REF!,#REF!,"Non Trouvé")</f>
        <v>#REF!</v>
      </c>
      <c r="M42" s="11" t="e">
        <f>_xlfn.XLOOKUP(Mvt_Inter_entrepot[[#This Row],[Num OF]],#REF!,#REF!,"Non Trouvé")</f>
        <v>#REF!</v>
      </c>
      <c r="N42" s="11" t="e">
        <f>_xlfn.XLOOKUP(Mvt_Inter_entrepot[[#This Row],[Num OF]],#REF!,#REF!,"Non Trouvé")</f>
        <v>#REF!</v>
      </c>
      <c r="O42" s="11" t="e">
        <f>_xlfn.XLOOKUP(Mvt_Inter_entrepot[[#This Row],[Num OF]],#REF!,#REF!,"Non Trouvé")</f>
        <v>#REF!</v>
      </c>
      <c r="P42" s="11" t="e">
        <f>_xlfn.XLOOKUP(Mvt_Inter_entrepot[[#This Row],[Num OF]],#REF!,#REF!,"Non Trouvé")</f>
        <v>#REF!</v>
      </c>
      <c r="Q42" s="11" t="str">
        <f>IF(
   COUNTIFS($A$2:A42,A42,
             $B$2:B42,B42,
             $C$2:C42,C42,
             $D$2:D42,D42,
             $E$2:E42,E42,
             $H$2:H42,H42
             )&gt;1,
   "Doublon",
   "Correcte"
)</f>
        <v>Correcte</v>
      </c>
    </row>
    <row r="43" spans="1:17" x14ac:dyDescent="0.25">
      <c r="A43" s="11" t="s">
        <v>2880</v>
      </c>
      <c r="B43" s="11" t="s">
        <v>1153</v>
      </c>
      <c r="C43" s="11" t="s">
        <v>662</v>
      </c>
      <c r="D43" s="11" t="s">
        <v>1154</v>
      </c>
      <c r="E43" s="11">
        <v>1</v>
      </c>
      <c r="F43" s="11"/>
      <c r="G43" s="11" t="s">
        <v>664</v>
      </c>
      <c r="H43" s="14">
        <v>45915</v>
      </c>
      <c r="I43" s="12">
        <f>-Mvt_Inter_entrepot[[#This Row],[QTE]]</f>
        <v>-1</v>
      </c>
      <c r="J43" s="11" t="s">
        <v>300</v>
      </c>
      <c r="K43" s="11" t="str">
        <f>_xlfn.TEXTBEFORE(Mvt_Inter_entrepot[[#This Row],[Num Suivis]],"-",,,1)</f>
        <v>OF240001</v>
      </c>
      <c r="L43" s="11" t="e">
        <f>_xlfn.XLOOKUP(Mvt_Inter_entrepot[[#This Row],[Num OF]],#REF!,#REF!,"Non Trouvé")</f>
        <v>#REF!</v>
      </c>
      <c r="M43" s="11" t="e">
        <f>_xlfn.XLOOKUP(Mvt_Inter_entrepot[[#This Row],[Num OF]],#REF!,#REF!,"Non Trouvé")</f>
        <v>#REF!</v>
      </c>
      <c r="N43" s="11" t="e">
        <f>_xlfn.XLOOKUP(Mvt_Inter_entrepot[[#This Row],[Num OF]],#REF!,#REF!,"Non Trouvé")</f>
        <v>#REF!</v>
      </c>
      <c r="O43" s="11" t="e">
        <f>_xlfn.XLOOKUP(Mvt_Inter_entrepot[[#This Row],[Num OF]],#REF!,#REF!,"Non Trouvé")</f>
        <v>#REF!</v>
      </c>
      <c r="P43" s="11" t="e">
        <f>_xlfn.XLOOKUP(Mvt_Inter_entrepot[[#This Row],[Num OF]],#REF!,#REF!,"Non Trouvé")</f>
        <v>#REF!</v>
      </c>
      <c r="Q43" s="11" t="str">
        <f>IF(
   COUNTIFS($A$2:A43,A43,
             $B$2:B43,B43,
             $C$2:C43,C43,
             $D$2:D43,D43,
             $E$2:E43,E43,
             $H$2:H43,H43
             )&gt;1,
   "Doublon",
   "Correcte"
)</f>
        <v>Correcte</v>
      </c>
    </row>
    <row r="44" spans="1:17" x14ac:dyDescent="0.25">
      <c r="A44" s="11" t="s">
        <v>2881</v>
      </c>
      <c r="B44" s="11" t="s">
        <v>1153</v>
      </c>
      <c r="C44" s="11" t="s">
        <v>662</v>
      </c>
      <c r="D44" s="11" t="s">
        <v>1154</v>
      </c>
      <c r="E44" s="11">
        <v>1</v>
      </c>
      <c r="F44" s="11"/>
      <c r="G44" s="11" t="s">
        <v>664</v>
      </c>
      <c r="H44" s="14">
        <v>45915</v>
      </c>
      <c r="I44" s="12">
        <f>-Mvt_Inter_entrepot[[#This Row],[QTE]]</f>
        <v>-1</v>
      </c>
      <c r="J44" s="11" t="s">
        <v>301</v>
      </c>
      <c r="K44" s="11" t="str">
        <f>_xlfn.TEXTBEFORE(Mvt_Inter_entrepot[[#This Row],[Num Suivis]],"-",,,1)</f>
        <v>OF240008</v>
      </c>
      <c r="L44" s="11" t="e">
        <f>_xlfn.XLOOKUP(Mvt_Inter_entrepot[[#This Row],[Num OF]],#REF!,#REF!,"Non Trouvé")</f>
        <v>#REF!</v>
      </c>
      <c r="M44" s="11" t="e">
        <f>_xlfn.XLOOKUP(Mvt_Inter_entrepot[[#This Row],[Num OF]],#REF!,#REF!,"Non Trouvé")</f>
        <v>#REF!</v>
      </c>
      <c r="N44" s="11" t="e">
        <f>_xlfn.XLOOKUP(Mvt_Inter_entrepot[[#This Row],[Num OF]],#REF!,#REF!,"Non Trouvé")</f>
        <v>#REF!</v>
      </c>
      <c r="O44" s="11" t="e">
        <f>_xlfn.XLOOKUP(Mvt_Inter_entrepot[[#This Row],[Num OF]],#REF!,#REF!,"Non Trouvé")</f>
        <v>#REF!</v>
      </c>
      <c r="P44" s="11" t="e">
        <f>_xlfn.XLOOKUP(Mvt_Inter_entrepot[[#This Row],[Num OF]],#REF!,#REF!,"Non Trouvé")</f>
        <v>#REF!</v>
      </c>
      <c r="Q44" s="11" t="str">
        <f>IF(
   COUNTIFS($A$2:A44,A44,
             $B$2:B44,B44,
             $C$2:C44,C44,
             $D$2:D44,D44,
             $E$2:E44,E44,
             $H$2:H44,H44
             )&gt;1,
   "Doublon",
   "Correcte"
)</f>
        <v>Correcte</v>
      </c>
    </row>
    <row r="45" spans="1:17" x14ac:dyDescent="0.25">
      <c r="A45" s="11" t="s">
        <v>2882</v>
      </c>
      <c r="B45" s="11" t="s">
        <v>1153</v>
      </c>
      <c r="C45" s="11" t="s">
        <v>662</v>
      </c>
      <c r="D45" s="11" t="s">
        <v>1154</v>
      </c>
      <c r="E45" s="11">
        <v>1</v>
      </c>
      <c r="F45" s="11"/>
      <c r="G45" s="11" t="s">
        <v>664</v>
      </c>
      <c r="H45" s="14">
        <v>45915</v>
      </c>
      <c r="I45" s="12">
        <f>-Mvt_Inter_entrepot[[#This Row],[QTE]]</f>
        <v>-1</v>
      </c>
      <c r="J45" s="11" t="s">
        <v>302</v>
      </c>
      <c r="K45" s="11" t="str">
        <f>_xlfn.TEXTBEFORE(Mvt_Inter_entrepot[[#This Row],[Num Suivis]],"-",,,1)</f>
        <v>OF240017</v>
      </c>
      <c r="L45" s="11" t="e">
        <f>_xlfn.XLOOKUP(Mvt_Inter_entrepot[[#This Row],[Num OF]],#REF!,#REF!,"Non Trouvé")</f>
        <v>#REF!</v>
      </c>
      <c r="M45" s="11" t="e">
        <f>_xlfn.XLOOKUP(Mvt_Inter_entrepot[[#This Row],[Num OF]],#REF!,#REF!,"Non Trouvé")</f>
        <v>#REF!</v>
      </c>
      <c r="N45" s="11" t="e">
        <f>_xlfn.XLOOKUP(Mvt_Inter_entrepot[[#This Row],[Num OF]],#REF!,#REF!,"Non Trouvé")</f>
        <v>#REF!</v>
      </c>
      <c r="O45" s="11" t="e">
        <f>_xlfn.XLOOKUP(Mvt_Inter_entrepot[[#This Row],[Num OF]],#REF!,#REF!,"Non Trouvé")</f>
        <v>#REF!</v>
      </c>
      <c r="P45" s="11" t="e">
        <f>_xlfn.XLOOKUP(Mvt_Inter_entrepot[[#This Row],[Num OF]],#REF!,#REF!,"Non Trouvé")</f>
        <v>#REF!</v>
      </c>
      <c r="Q45" s="11" t="str">
        <f>IF(
   COUNTIFS($A$2:A45,A45,
             $B$2:B45,B45,
             $C$2:C45,C45,
             $D$2:D45,D45,
             $E$2:E45,E45,
             $H$2:H45,H45
             )&gt;1,
   "Doublon",
   "Correcte"
)</f>
        <v>Correcte</v>
      </c>
    </row>
    <row r="46" spans="1:17" x14ac:dyDescent="0.25">
      <c r="A46" s="11" t="s">
        <v>2883</v>
      </c>
      <c r="B46" s="11" t="s">
        <v>1153</v>
      </c>
      <c r="C46" s="11" t="s">
        <v>662</v>
      </c>
      <c r="D46" s="11" t="s">
        <v>1154</v>
      </c>
      <c r="E46" s="11">
        <v>13</v>
      </c>
      <c r="F46" s="11"/>
      <c r="G46" s="11" t="s">
        <v>664</v>
      </c>
      <c r="H46" s="14">
        <v>45915</v>
      </c>
      <c r="I46" s="12">
        <f>-Mvt_Inter_entrepot[[#This Row],[QTE]]</f>
        <v>-13</v>
      </c>
      <c r="J46" s="11" t="s">
        <v>118</v>
      </c>
      <c r="K46" s="11" t="str">
        <f>_xlfn.TEXTBEFORE(Mvt_Inter_entrepot[[#This Row],[Num Suivis]],"-",,,1)</f>
        <v>OF240030</v>
      </c>
      <c r="L46" s="11" t="e">
        <f>_xlfn.XLOOKUP(Mvt_Inter_entrepot[[#This Row],[Num OF]],#REF!,#REF!,"Non Trouvé")</f>
        <v>#REF!</v>
      </c>
      <c r="M46" s="11" t="e">
        <f>_xlfn.XLOOKUP(Mvt_Inter_entrepot[[#This Row],[Num OF]],#REF!,#REF!,"Non Trouvé")</f>
        <v>#REF!</v>
      </c>
      <c r="N46" s="11" t="e">
        <f>_xlfn.XLOOKUP(Mvt_Inter_entrepot[[#This Row],[Num OF]],#REF!,#REF!,"Non Trouvé")</f>
        <v>#REF!</v>
      </c>
      <c r="O46" s="11" t="e">
        <f>_xlfn.XLOOKUP(Mvt_Inter_entrepot[[#This Row],[Num OF]],#REF!,#REF!,"Non Trouvé")</f>
        <v>#REF!</v>
      </c>
      <c r="P46" s="11" t="e">
        <f>_xlfn.XLOOKUP(Mvt_Inter_entrepot[[#This Row],[Num OF]],#REF!,#REF!,"Non Trouvé")</f>
        <v>#REF!</v>
      </c>
      <c r="Q46" s="11" t="str">
        <f>IF(
   COUNTIFS($A$2:A46,A46,
             $B$2:B46,B46,
             $C$2:C46,C46,
             $D$2:D46,D46,
             $E$2:E46,E46,
             $H$2:H46,H46
             )&gt;1,
   "Doublon",
   "Correcte"
)</f>
        <v>Correcte</v>
      </c>
    </row>
    <row r="47" spans="1:17" x14ac:dyDescent="0.25">
      <c r="A47" s="11" t="s">
        <v>2884</v>
      </c>
      <c r="B47" s="11" t="s">
        <v>1153</v>
      </c>
      <c r="C47" s="11" t="s">
        <v>662</v>
      </c>
      <c r="D47" s="11" t="s">
        <v>1154</v>
      </c>
      <c r="E47" s="11">
        <v>6</v>
      </c>
      <c r="F47" s="11"/>
      <c r="G47" s="11" t="s">
        <v>664</v>
      </c>
      <c r="H47" s="14">
        <v>45915</v>
      </c>
      <c r="I47" s="12">
        <f>-Mvt_Inter_entrepot[[#This Row],[QTE]]</f>
        <v>-6</v>
      </c>
      <c r="J47" s="11" t="s">
        <v>303</v>
      </c>
      <c r="K47" s="11" t="str">
        <f>_xlfn.TEXTBEFORE(Mvt_Inter_entrepot[[#This Row],[Num Suivis]],"-",,,1)</f>
        <v>OF240087</v>
      </c>
      <c r="L47" s="11" t="e">
        <f>_xlfn.XLOOKUP(Mvt_Inter_entrepot[[#This Row],[Num OF]],#REF!,#REF!,"Non Trouvé")</f>
        <v>#REF!</v>
      </c>
      <c r="M47" s="11" t="e">
        <f>_xlfn.XLOOKUP(Mvt_Inter_entrepot[[#This Row],[Num OF]],#REF!,#REF!,"Non Trouvé")</f>
        <v>#REF!</v>
      </c>
      <c r="N47" s="11" t="e">
        <f>_xlfn.XLOOKUP(Mvt_Inter_entrepot[[#This Row],[Num OF]],#REF!,#REF!,"Non Trouvé")</f>
        <v>#REF!</v>
      </c>
      <c r="O47" s="11" t="e">
        <f>_xlfn.XLOOKUP(Mvt_Inter_entrepot[[#This Row],[Num OF]],#REF!,#REF!,"Non Trouvé")</f>
        <v>#REF!</v>
      </c>
      <c r="P47" s="11" t="e">
        <f>_xlfn.XLOOKUP(Mvt_Inter_entrepot[[#This Row],[Num OF]],#REF!,#REF!,"Non Trouvé")</f>
        <v>#REF!</v>
      </c>
      <c r="Q47" s="11" t="str">
        <f>IF(
   COUNTIFS($A$2:A47,A47,
             $B$2:B47,B47,
             $C$2:C47,C47,
             $D$2:D47,D47,
             $E$2:E47,E47,
             $H$2:H47,H47
             )&gt;1,
   "Doublon",
   "Correcte"
)</f>
        <v>Correcte</v>
      </c>
    </row>
    <row r="48" spans="1:17" x14ac:dyDescent="0.25">
      <c r="A48" s="11" t="s">
        <v>2885</v>
      </c>
      <c r="B48" s="11" t="s">
        <v>1153</v>
      </c>
      <c r="C48" s="11" t="s">
        <v>662</v>
      </c>
      <c r="D48" s="11" t="s">
        <v>1154</v>
      </c>
      <c r="E48" s="11">
        <v>22</v>
      </c>
      <c r="F48" s="11"/>
      <c r="G48" s="11" t="s">
        <v>664</v>
      </c>
      <c r="H48" s="14">
        <v>45915</v>
      </c>
      <c r="I48" s="12">
        <f>-Mvt_Inter_entrepot[[#This Row],[QTE]]</f>
        <v>-22</v>
      </c>
      <c r="J48" s="11" t="s">
        <v>304</v>
      </c>
      <c r="K48" s="11" t="str">
        <f>_xlfn.TEXTBEFORE(Mvt_Inter_entrepot[[#This Row],[Num Suivis]],"-",,,1)</f>
        <v>OF240123</v>
      </c>
      <c r="L48" s="11" t="e">
        <f>_xlfn.XLOOKUP(Mvt_Inter_entrepot[[#This Row],[Num OF]],#REF!,#REF!,"Non Trouvé")</f>
        <v>#REF!</v>
      </c>
      <c r="M48" s="11" t="e">
        <f>_xlfn.XLOOKUP(Mvt_Inter_entrepot[[#This Row],[Num OF]],#REF!,#REF!,"Non Trouvé")</f>
        <v>#REF!</v>
      </c>
      <c r="N48" s="11" t="e">
        <f>_xlfn.XLOOKUP(Mvt_Inter_entrepot[[#This Row],[Num OF]],#REF!,#REF!,"Non Trouvé")</f>
        <v>#REF!</v>
      </c>
      <c r="O48" s="11" t="e">
        <f>_xlfn.XLOOKUP(Mvt_Inter_entrepot[[#This Row],[Num OF]],#REF!,#REF!,"Non Trouvé")</f>
        <v>#REF!</v>
      </c>
      <c r="P48" s="11" t="e">
        <f>_xlfn.XLOOKUP(Mvt_Inter_entrepot[[#This Row],[Num OF]],#REF!,#REF!,"Non Trouvé")</f>
        <v>#REF!</v>
      </c>
      <c r="Q48" s="11" t="str">
        <f>IF(
   COUNTIFS($A$2:A48,A48,
             $B$2:B48,B48,
             $C$2:C48,C48,
             $D$2:D48,D48,
             $E$2:E48,E48,
             $H$2:H48,H48
             )&gt;1,
   "Doublon",
   "Correcte"
)</f>
        <v>Correcte</v>
      </c>
    </row>
    <row r="49" spans="1:17" x14ac:dyDescent="0.25">
      <c r="A49" s="11" t="s">
        <v>2886</v>
      </c>
      <c r="B49" s="11" t="s">
        <v>1153</v>
      </c>
      <c r="C49" s="11" t="s">
        <v>662</v>
      </c>
      <c r="D49" s="11" t="s">
        <v>1154</v>
      </c>
      <c r="E49" s="11">
        <v>66</v>
      </c>
      <c r="F49" s="11"/>
      <c r="G49" s="11" t="s">
        <v>664</v>
      </c>
      <c r="H49" s="14">
        <v>45915</v>
      </c>
      <c r="I49" s="12">
        <f>-Mvt_Inter_entrepot[[#This Row],[QTE]]</f>
        <v>-66</v>
      </c>
      <c r="J49" s="11" t="s">
        <v>305</v>
      </c>
      <c r="K49" s="11" t="str">
        <f>_xlfn.TEXTBEFORE(Mvt_Inter_entrepot[[#This Row],[Num Suivis]],"-",,,1)</f>
        <v>OF240129</v>
      </c>
      <c r="L49" s="11" t="e">
        <f>_xlfn.XLOOKUP(Mvt_Inter_entrepot[[#This Row],[Num OF]],#REF!,#REF!,"Non Trouvé")</f>
        <v>#REF!</v>
      </c>
      <c r="M49" s="11" t="e">
        <f>_xlfn.XLOOKUP(Mvt_Inter_entrepot[[#This Row],[Num OF]],#REF!,#REF!,"Non Trouvé")</f>
        <v>#REF!</v>
      </c>
      <c r="N49" s="11" t="e">
        <f>_xlfn.XLOOKUP(Mvt_Inter_entrepot[[#This Row],[Num OF]],#REF!,#REF!,"Non Trouvé")</f>
        <v>#REF!</v>
      </c>
      <c r="O49" s="11" t="e">
        <f>_xlfn.XLOOKUP(Mvt_Inter_entrepot[[#This Row],[Num OF]],#REF!,#REF!,"Non Trouvé")</f>
        <v>#REF!</v>
      </c>
      <c r="P49" s="11" t="e">
        <f>_xlfn.XLOOKUP(Mvt_Inter_entrepot[[#This Row],[Num OF]],#REF!,#REF!,"Non Trouvé")</f>
        <v>#REF!</v>
      </c>
      <c r="Q49" s="11" t="str">
        <f>IF(
   COUNTIFS($A$2:A49,A49,
             $B$2:B49,B49,
             $C$2:C49,C49,
             $D$2:D49,D49,
             $E$2:E49,E49,
             $H$2:H49,H49
             )&gt;1,
   "Doublon",
   "Correcte"
)</f>
        <v>Correcte</v>
      </c>
    </row>
    <row r="50" spans="1:17" x14ac:dyDescent="0.25">
      <c r="A50" s="11" t="s">
        <v>2887</v>
      </c>
      <c r="B50" s="11" t="s">
        <v>1153</v>
      </c>
      <c r="C50" s="11" t="s">
        <v>662</v>
      </c>
      <c r="D50" s="11" t="s">
        <v>1154</v>
      </c>
      <c r="E50" s="11">
        <v>4</v>
      </c>
      <c r="F50" s="11"/>
      <c r="G50" s="11" t="s">
        <v>664</v>
      </c>
      <c r="H50" s="14">
        <v>45915</v>
      </c>
      <c r="I50" s="12">
        <f>-Mvt_Inter_entrepot[[#This Row],[QTE]]</f>
        <v>-4</v>
      </c>
      <c r="J50" s="11" t="s">
        <v>306</v>
      </c>
      <c r="K50" s="11" t="str">
        <f>_xlfn.TEXTBEFORE(Mvt_Inter_entrepot[[#This Row],[Num Suivis]],"-",,,1)</f>
        <v>OF240130</v>
      </c>
      <c r="L50" s="11" t="e">
        <f>_xlfn.XLOOKUP(Mvt_Inter_entrepot[[#This Row],[Num OF]],#REF!,#REF!,"Non Trouvé")</f>
        <v>#REF!</v>
      </c>
      <c r="M50" s="11" t="e">
        <f>_xlfn.XLOOKUP(Mvt_Inter_entrepot[[#This Row],[Num OF]],#REF!,#REF!,"Non Trouvé")</f>
        <v>#REF!</v>
      </c>
      <c r="N50" s="11" t="e">
        <f>_xlfn.XLOOKUP(Mvt_Inter_entrepot[[#This Row],[Num OF]],#REF!,#REF!,"Non Trouvé")</f>
        <v>#REF!</v>
      </c>
      <c r="O50" s="11" t="e">
        <f>_xlfn.XLOOKUP(Mvt_Inter_entrepot[[#This Row],[Num OF]],#REF!,#REF!,"Non Trouvé")</f>
        <v>#REF!</v>
      </c>
      <c r="P50" s="11" t="e">
        <f>_xlfn.XLOOKUP(Mvt_Inter_entrepot[[#This Row],[Num OF]],#REF!,#REF!,"Non Trouvé")</f>
        <v>#REF!</v>
      </c>
      <c r="Q50" s="11" t="str">
        <f>IF(
   COUNTIFS($A$2:A50,A50,
             $B$2:B50,B50,
             $C$2:C50,C50,
             $D$2:D50,D50,
             $E$2:E50,E50,
             $H$2:H50,H50
             )&gt;1,
   "Doublon",
   "Correcte"
)</f>
        <v>Correcte</v>
      </c>
    </row>
    <row r="51" spans="1:17" x14ac:dyDescent="0.25">
      <c r="A51" s="11" t="s">
        <v>2888</v>
      </c>
      <c r="B51" s="11" t="s">
        <v>1153</v>
      </c>
      <c r="C51" s="11" t="s">
        <v>662</v>
      </c>
      <c r="D51" s="11" t="s">
        <v>1154</v>
      </c>
      <c r="E51" s="11">
        <v>17</v>
      </c>
      <c r="F51" s="11"/>
      <c r="G51" s="11" t="s">
        <v>664</v>
      </c>
      <c r="H51" s="14">
        <v>45915</v>
      </c>
      <c r="I51" s="12">
        <f>-Mvt_Inter_entrepot[[#This Row],[QTE]]</f>
        <v>-17</v>
      </c>
      <c r="J51" s="11" t="s">
        <v>307</v>
      </c>
      <c r="K51" s="11" t="str">
        <f>_xlfn.TEXTBEFORE(Mvt_Inter_entrepot[[#This Row],[Num Suivis]],"-",,,1)</f>
        <v>OF240135</v>
      </c>
      <c r="L51" s="11" t="e">
        <f>_xlfn.XLOOKUP(Mvt_Inter_entrepot[[#This Row],[Num OF]],#REF!,#REF!,"Non Trouvé")</f>
        <v>#REF!</v>
      </c>
      <c r="M51" s="11" t="e">
        <f>_xlfn.XLOOKUP(Mvt_Inter_entrepot[[#This Row],[Num OF]],#REF!,#REF!,"Non Trouvé")</f>
        <v>#REF!</v>
      </c>
      <c r="N51" s="11" t="e">
        <f>_xlfn.XLOOKUP(Mvt_Inter_entrepot[[#This Row],[Num OF]],#REF!,#REF!,"Non Trouvé")</f>
        <v>#REF!</v>
      </c>
      <c r="O51" s="11" t="e">
        <f>_xlfn.XLOOKUP(Mvt_Inter_entrepot[[#This Row],[Num OF]],#REF!,#REF!,"Non Trouvé")</f>
        <v>#REF!</v>
      </c>
      <c r="P51" s="11" t="e">
        <f>_xlfn.XLOOKUP(Mvt_Inter_entrepot[[#This Row],[Num OF]],#REF!,#REF!,"Non Trouvé")</f>
        <v>#REF!</v>
      </c>
      <c r="Q51" s="11" t="str">
        <f>IF(
   COUNTIFS($A$2:A51,A51,
             $B$2:B51,B51,
             $C$2:C51,C51,
             $D$2:D51,D51,
             $E$2:E51,E51,
             $H$2:H51,H51
             )&gt;1,
   "Doublon",
   "Correcte"
)</f>
        <v>Correcte</v>
      </c>
    </row>
    <row r="52" spans="1:17" x14ac:dyDescent="0.25">
      <c r="A52" s="11" t="s">
        <v>2889</v>
      </c>
      <c r="B52" s="11" t="s">
        <v>1153</v>
      </c>
      <c r="C52" s="11" t="s">
        <v>662</v>
      </c>
      <c r="D52" s="11" t="s">
        <v>1154</v>
      </c>
      <c r="E52" s="11">
        <v>17</v>
      </c>
      <c r="F52" s="11"/>
      <c r="G52" s="11" t="s">
        <v>664</v>
      </c>
      <c r="H52" s="14">
        <v>45915</v>
      </c>
      <c r="I52" s="12">
        <f>-Mvt_Inter_entrepot[[#This Row],[QTE]]</f>
        <v>-17</v>
      </c>
      <c r="J52" s="11" t="s">
        <v>308</v>
      </c>
      <c r="K52" s="11" t="str">
        <f>_xlfn.TEXTBEFORE(Mvt_Inter_entrepot[[#This Row],[Num Suivis]],"-",,,1)</f>
        <v>OF240136</v>
      </c>
      <c r="L52" s="11" t="e">
        <f>_xlfn.XLOOKUP(Mvt_Inter_entrepot[[#This Row],[Num OF]],#REF!,#REF!,"Non Trouvé")</f>
        <v>#REF!</v>
      </c>
      <c r="M52" s="11" t="e">
        <f>_xlfn.XLOOKUP(Mvt_Inter_entrepot[[#This Row],[Num OF]],#REF!,#REF!,"Non Trouvé")</f>
        <v>#REF!</v>
      </c>
      <c r="N52" s="11" t="e">
        <f>_xlfn.XLOOKUP(Mvt_Inter_entrepot[[#This Row],[Num OF]],#REF!,#REF!,"Non Trouvé")</f>
        <v>#REF!</v>
      </c>
      <c r="O52" s="11" t="e">
        <f>_xlfn.XLOOKUP(Mvt_Inter_entrepot[[#This Row],[Num OF]],#REF!,#REF!,"Non Trouvé")</f>
        <v>#REF!</v>
      </c>
      <c r="P52" s="11" t="e">
        <f>_xlfn.XLOOKUP(Mvt_Inter_entrepot[[#This Row],[Num OF]],#REF!,#REF!,"Non Trouvé")</f>
        <v>#REF!</v>
      </c>
      <c r="Q52" s="11" t="str">
        <f>IF(
   COUNTIFS($A$2:A52,A52,
             $B$2:B52,B52,
             $C$2:C52,C52,
             $D$2:D52,D52,
             $E$2:E52,E52,
             $H$2:H52,H52
             )&gt;1,
   "Doublon",
   "Correcte"
)</f>
        <v>Correcte</v>
      </c>
    </row>
    <row r="53" spans="1:17" x14ac:dyDescent="0.25">
      <c r="A53" s="11" t="s">
        <v>2890</v>
      </c>
      <c r="B53" s="11" t="s">
        <v>1153</v>
      </c>
      <c r="C53" s="11" t="s">
        <v>662</v>
      </c>
      <c r="D53" s="11" t="s">
        <v>1154</v>
      </c>
      <c r="E53" s="11">
        <v>3</v>
      </c>
      <c r="F53" s="11"/>
      <c r="G53" s="11" t="s">
        <v>664</v>
      </c>
      <c r="H53" s="14">
        <v>45915</v>
      </c>
      <c r="I53" s="12">
        <f>-Mvt_Inter_entrepot[[#This Row],[QTE]]</f>
        <v>-3</v>
      </c>
      <c r="J53" s="11" t="s">
        <v>309</v>
      </c>
      <c r="K53" s="11" t="str">
        <f>_xlfn.TEXTBEFORE(Mvt_Inter_entrepot[[#This Row],[Num Suivis]],"-",,,1)</f>
        <v>OF240138</v>
      </c>
      <c r="L53" s="11" t="e">
        <f>_xlfn.XLOOKUP(Mvt_Inter_entrepot[[#This Row],[Num OF]],#REF!,#REF!,"Non Trouvé")</f>
        <v>#REF!</v>
      </c>
      <c r="M53" s="11" t="e">
        <f>_xlfn.XLOOKUP(Mvt_Inter_entrepot[[#This Row],[Num OF]],#REF!,#REF!,"Non Trouvé")</f>
        <v>#REF!</v>
      </c>
      <c r="N53" s="11" t="e">
        <f>_xlfn.XLOOKUP(Mvt_Inter_entrepot[[#This Row],[Num OF]],#REF!,#REF!,"Non Trouvé")</f>
        <v>#REF!</v>
      </c>
      <c r="O53" s="11" t="e">
        <f>_xlfn.XLOOKUP(Mvt_Inter_entrepot[[#This Row],[Num OF]],#REF!,#REF!,"Non Trouvé")</f>
        <v>#REF!</v>
      </c>
      <c r="P53" s="11" t="e">
        <f>_xlfn.XLOOKUP(Mvt_Inter_entrepot[[#This Row],[Num OF]],#REF!,#REF!,"Non Trouvé")</f>
        <v>#REF!</v>
      </c>
      <c r="Q53" s="11" t="str">
        <f>IF(
   COUNTIFS($A$2:A53,A53,
             $B$2:B53,B53,
             $C$2:C53,C53,
             $D$2:D53,D53,
             $E$2:E53,E53,
             $H$2:H53,H53
             )&gt;1,
   "Doublon",
   "Correcte"
)</f>
        <v>Correcte</v>
      </c>
    </row>
    <row r="54" spans="1:17" x14ac:dyDescent="0.25">
      <c r="A54" s="11" t="s">
        <v>2891</v>
      </c>
      <c r="B54" s="11" t="s">
        <v>1153</v>
      </c>
      <c r="C54" s="11" t="s">
        <v>662</v>
      </c>
      <c r="D54" s="11" t="s">
        <v>1154</v>
      </c>
      <c r="E54" s="11">
        <v>5</v>
      </c>
      <c r="F54" s="11"/>
      <c r="G54" s="11" t="s">
        <v>664</v>
      </c>
      <c r="H54" s="14">
        <v>45915</v>
      </c>
      <c r="I54" s="12">
        <f>-Mvt_Inter_entrepot[[#This Row],[QTE]]</f>
        <v>-5</v>
      </c>
      <c r="J54" s="11" t="s">
        <v>310</v>
      </c>
      <c r="K54" s="11" t="str">
        <f>_xlfn.TEXTBEFORE(Mvt_Inter_entrepot[[#This Row],[Num Suivis]],"-",,,1)</f>
        <v>OF240139</v>
      </c>
      <c r="L54" s="11" t="e">
        <f>_xlfn.XLOOKUP(Mvt_Inter_entrepot[[#This Row],[Num OF]],#REF!,#REF!,"Non Trouvé")</f>
        <v>#REF!</v>
      </c>
      <c r="M54" s="11" t="e">
        <f>_xlfn.XLOOKUP(Mvt_Inter_entrepot[[#This Row],[Num OF]],#REF!,#REF!,"Non Trouvé")</f>
        <v>#REF!</v>
      </c>
      <c r="N54" s="11" t="e">
        <f>_xlfn.XLOOKUP(Mvt_Inter_entrepot[[#This Row],[Num OF]],#REF!,#REF!,"Non Trouvé")</f>
        <v>#REF!</v>
      </c>
      <c r="O54" s="11" t="e">
        <f>_xlfn.XLOOKUP(Mvt_Inter_entrepot[[#This Row],[Num OF]],#REF!,#REF!,"Non Trouvé")</f>
        <v>#REF!</v>
      </c>
      <c r="P54" s="11" t="e">
        <f>_xlfn.XLOOKUP(Mvt_Inter_entrepot[[#This Row],[Num OF]],#REF!,#REF!,"Non Trouvé")</f>
        <v>#REF!</v>
      </c>
      <c r="Q54" s="11" t="str">
        <f>IF(
   COUNTIFS($A$2:A54,A54,
             $B$2:B54,B54,
             $C$2:C54,C54,
             $D$2:D54,D54,
             $E$2:E54,E54,
             $H$2:H54,H54
             )&gt;1,
   "Doublon",
   "Correcte"
)</f>
        <v>Correcte</v>
      </c>
    </row>
    <row r="55" spans="1:17" x14ac:dyDescent="0.25">
      <c r="A55" s="11" t="s">
        <v>2892</v>
      </c>
      <c r="B55" s="11" t="s">
        <v>1153</v>
      </c>
      <c r="C55" s="11" t="s">
        <v>662</v>
      </c>
      <c r="D55" s="11" t="s">
        <v>1154</v>
      </c>
      <c r="E55" s="11">
        <v>2</v>
      </c>
      <c r="F55" s="11"/>
      <c r="G55" s="11" t="s">
        <v>664</v>
      </c>
      <c r="H55" s="14">
        <v>45915</v>
      </c>
      <c r="I55" s="12">
        <f>-Mvt_Inter_entrepot[[#This Row],[QTE]]</f>
        <v>-2</v>
      </c>
      <c r="J55" s="11" t="s">
        <v>311</v>
      </c>
      <c r="K55" s="11" t="str">
        <f>_xlfn.TEXTBEFORE(Mvt_Inter_entrepot[[#This Row],[Num Suivis]],"-",,,1)</f>
        <v>OF240161</v>
      </c>
      <c r="L55" s="11" t="e">
        <f>_xlfn.XLOOKUP(Mvt_Inter_entrepot[[#This Row],[Num OF]],#REF!,#REF!,"Non Trouvé")</f>
        <v>#REF!</v>
      </c>
      <c r="M55" s="11" t="e">
        <f>_xlfn.XLOOKUP(Mvt_Inter_entrepot[[#This Row],[Num OF]],#REF!,#REF!,"Non Trouvé")</f>
        <v>#REF!</v>
      </c>
      <c r="N55" s="11" t="e">
        <f>_xlfn.XLOOKUP(Mvt_Inter_entrepot[[#This Row],[Num OF]],#REF!,#REF!,"Non Trouvé")</f>
        <v>#REF!</v>
      </c>
      <c r="O55" s="11" t="e">
        <f>_xlfn.XLOOKUP(Mvt_Inter_entrepot[[#This Row],[Num OF]],#REF!,#REF!,"Non Trouvé")</f>
        <v>#REF!</v>
      </c>
      <c r="P55" s="11" t="e">
        <f>_xlfn.XLOOKUP(Mvt_Inter_entrepot[[#This Row],[Num OF]],#REF!,#REF!,"Non Trouvé")</f>
        <v>#REF!</v>
      </c>
      <c r="Q55" s="11" t="str">
        <f>IF(
   COUNTIFS($A$2:A55,A55,
             $B$2:B55,B55,
             $C$2:C55,C55,
             $D$2:D55,D55,
             $E$2:E55,E55,
             $H$2:H55,H55
             )&gt;1,
   "Doublon",
   "Correcte"
)</f>
        <v>Correcte</v>
      </c>
    </row>
    <row r="56" spans="1:17" x14ac:dyDescent="0.25">
      <c r="A56" s="11" t="s">
        <v>2893</v>
      </c>
      <c r="B56" s="11" t="s">
        <v>1153</v>
      </c>
      <c r="C56" s="11" t="s">
        <v>662</v>
      </c>
      <c r="D56" s="11" t="s">
        <v>1154</v>
      </c>
      <c r="E56" s="11">
        <v>5</v>
      </c>
      <c r="F56" s="11"/>
      <c r="G56" s="11" t="s">
        <v>664</v>
      </c>
      <c r="H56" s="14">
        <v>45915</v>
      </c>
      <c r="I56" s="12">
        <f>-Mvt_Inter_entrepot[[#This Row],[QTE]]</f>
        <v>-5</v>
      </c>
      <c r="J56" s="11" t="s">
        <v>312</v>
      </c>
      <c r="K56" s="11" t="str">
        <f>_xlfn.TEXTBEFORE(Mvt_Inter_entrepot[[#This Row],[Num Suivis]],"-",,,1)</f>
        <v>OF240299</v>
      </c>
      <c r="L56" s="11" t="e">
        <f>_xlfn.XLOOKUP(Mvt_Inter_entrepot[[#This Row],[Num OF]],#REF!,#REF!,"Non Trouvé")</f>
        <v>#REF!</v>
      </c>
      <c r="M56" s="11" t="e">
        <f>_xlfn.XLOOKUP(Mvt_Inter_entrepot[[#This Row],[Num OF]],#REF!,#REF!,"Non Trouvé")</f>
        <v>#REF!</v>
      </c>
      <c r="N56" s="11" t="e">
        <f>_xlfn.XLOOKUP(Mvt_Inter_entrepot[[#This Row],[Num OF]],#REF!,#REF!,"Non Trouvé")</f>
        <v>#REF!</v>
      </c>
      <c r="O56" s="11" t="e">
        <f>_xlfn.XLOOKUP(Mvt_Inter_entrepot[[#This Row],[Num OF]],#REF!,#REF!,"Non Trouvé")</f>
        <v>#REF!</v>
      </c>
      <c r="P56" s="11" t="e">
        <f>_xlfn.XLOOKUP(Mvt_Inter_entrepot[[#This Row],[Num OF]],#REF!,#REF!,"Non Trouvé")</f>
        <v>#REF!</v>
      </c>
      <c r="Q56" s="11" t="str">
        <f>IF(
   COUNTIFS($A$2:A56,A56,
             $B$2:B56,B56,
             $C$2:C56,C56,
             $D$2:D56,D56,
             $E$2:E56,E56,
             $H$2:H56,H56
             )&gt;1,
   "Doublon",
   "Correcte"
)</f>
        <v>Correcte</v>
      </c>
    </row>
    <row r="57" spans="1:17" x14ac:dyDescent="0.25">
      <c r="A57" s="11" t="s">
        <v>2894</v>
      </c>
      <c r="B57" s="11" t="s">
        <v>1153</v>
      </c>
      <c r="C57" s="11" t="s">
        <v>662</v>
      </c>
      <c r="D57" s="11" t="s">
        <v>1154</v>
      </c>
      <c r="E57" s="11">
        <v>5</v>
      </c>
      <c r="F57" s="11"/>
      <c r="G57" s="11" t="s">
        <v>664</v>
      </c>
      <c r="H57" s="14">
        <v>45915</v>
      </c>
      <c r="I57" s="12">
        <f>-Mvt_Inter_entrepot[[#This Row],[QTE]]</f>
        <v>-5</v>
      </c>
      <c r="J57" s="11" t="s">
        <v>313</v>
      </c>
      <c r="K57" s="11" t="str">
        <f>_xlfn.TEXTBEFORE(Mvt_Inter_entrepot[[#This Row],[Num Suivis]],"-",,,1)</f>
        <v>OF240308</v>
      </c>
      <c r="L57" s="11" t="e">
        <f>_xlfn.XLOOKUP(Mvt_Inter_entrepot[[#This Row],[Num OF]],#REF!,#REF!,"Non Trouvé")</f>
        <v>#REF!</v>
      </c>
      <c r="M57" s="11" t="e">
        <f>_xlfn.XLOOKUP(Mvt_Inter_entrepot[[#This Row],[Num OF]],#REF!,#REF!,"Non Trouvé")</f>
        <v>#REF!</v>
      </c>
      <c r="N57" s="11" t="e">
        <f>_xlfn.XLOOKUP(Mvt_Inter_entrepot[[#This Row],[Num OF]],#REF!,#REF!,"Non Trouvé")</f>
        <v>#REF!</v>
      </c>
      <c r="O57" s="11" t="e">
        <f>_xlfn.XLOOKUP(Mvt_Inter_entrepot[[#This Row],[Num OF]],#REF!,#REF!,"Non Trouvé")</f>
        <v>#REF!</v>
      </c>
      <c r="P57" s="11" t="e">
        <f>_xlfn.XLOOKUP(Mvt_Inter_entrepot[[#This Row],[Num OF]],#REF!,#REF!,"Non Trouvé")</f>
        <v>#REF!</v>
      </c>
      <c r="Q57" s="11" t="str">
        <f>IF(
   COUNTIFS($A$2:A57,A57,
             $B$2:B57,B57,
             $C$2:C57,C57,
             $D$2:D57,D57,
             $E$2:E57,E57,
             $H$2:H57,H57
             )&gt;1,
   "Doublon",
   "Correcte"
)</f>
        <v>Correcte</v>
      </c>
    </row>
    <row r="58" spans="1:17" x14ac:dyDescent="0.25">
      <c r="A58" s="11" t="s">
        <v>2895</v>
      </c>
      <c r="B58" s="11" t="s">
        <v>1153</v>
      </c>
      <c r="C58" s="11" t="s">
        <v>662</v>
      </c>
      <c r="D58" s="11" t="s">
        <v>1154</v>
      </c>
      <c r="E58" s="11">
        <v>10</v>
      </c>
      <c r="F58" s="11"/>
      <c r="G58" s="11" t="s">
        <v>664</v>
      </c>
      <c r="H58" s="14">
        <v>45915</v>
      </c>
      <c r="I58" s="12">
        <f>-Mvt_Inter_entrepot[[#This Row],[QTE]]</f>
        <v>-10</v>
      </c>
      <c r="J58" s="11" t="s">
        <v>314</v>
      </c>
      <c r="K58" s="11" t="str">
        <f>_xlfn.TEXTBEFORE(Mvt_Inter_entrepot[[#This Row],[Num Suivis]],"-",,,1)</f>
        <v>OF240310</v>
      </c>
      <c r="L58" s="11" t="e">
        <f>_xlfn.XLOOKUP(Mvt_Inter_entrepot[[#This Row],[Num OF]],#REF!,#REF!,"Non Trouvé")</f>
        <v>#REF!</v>
      </c>
      <c r="M58" s="11" t="e">
        <f>_xlfn.XLOOKUP(Mvt_Inter_entrepot[[#This Row],[Num OF]],#REF!,#REF!,"Non Trouvé")</f>
        <v>#REF!</v>
      </c>
      <c r="N58" s="11" t="e">
        <f>_xlfn.XLOOKUP(Mvt_Inter_entrepot[[#This Row],[Num OF]],#REF!,#REF!,"Non Trouvé")</f>
        <v>#REF!</v>
      </c>
      <c r="O58" s="11" t="e">
        <f>_xlfn.XLOOKUP(Mvt_Inter_entrepot[[#This Row],[Num OF]],#REF!,#REF!,"Non Trouvé")</f>
        <v>#REF!</v>
      </c>
      <c r="P58" s="11" t="e">
        <f>_xlfn.XLOOKUP(Mvt_Inter_entrepot[[#This Row],[Num OF]],#REF!,#REF!,"Non Trouvé")</f>
        <v>#REF!</v>
      </c>
      <c r="Q58" s="11" t="str">
        <f>IF(
   COUNTIFS($A$2:A58,A58,
             $B$2:B58,B58,
             $C$2:C58,C58,
             $D$2:D58,D58,
             $E$2:E58,E58,
             $H$2:H58,H58
             )&gt;1,
   "Doublon",
   "Correcte"
)</f>
        <v>Correcte</v>
      </c>
    </row>
    <row r="59" spans="1:17" x14ac:dyDescent="0.25">
      <c r="A59" s="11" t="s">
        <v>2896</v>
      </c>
      <c r="B59" s="11" t="s">
        <v>1153</v>
      </c>
      <c r="C59" s="11" t="s">
        <v>662</v>
      </c>
      <c r="D59" s="11" t="s">
        <v>1154</v>
      </c>
      <c r="E59" s="11">
        <v>9</v>
      </c>
      <c r="F59" s="11"/>
      <c r="G59" s="11" t="s">
        <v>664</v>
      </c>
      <c r="H59" s="14">
        <v>45915</v>
      </c>
      <c r="I59" s="12">
        <f>-Mvt_Inter_entrepot[[#This Row],[QTE]]</f>
        <v>-9</v>
      </c>
      <c r="J59" s="11" t="s">
        <v>315</v>
      </c>
      <c r="K59" s="11" t="str">
        <f>_xlfn.TEXTBEFORE(Mvt_Inter_entrepot[[#This Row],[Num Suivis]],"-",,,1)</f>
        <v>OF240470</v>
      </c>
      <c r="L59" s="11" t="e">
        <f>_xlfn.XLOOKUP(Mvt_Inter_entrepot[[#This Row],[Num OF]],#REF!,#REF!,"Non Trouvé")</f>
        <v>#REF!</v>
      </c>
      <c r="M59" s="11" t="e">
        <f>_xlfn.XLOOKUP(Mvt_Inter_entrepot[[#This Row],[Num OF]],#REF!,#REF!,"Non Trouvé")</f>
        <v>#REF!</v>
      </c>
      <c r="N59" s="11" t="e">
        <f>_xlfn.XLOOKUP(Mvt_Inter_entrepot[[#This Row],[Num OF]],#REF!,#REF!,"Non Trouvé")</f>
        <v>#REF!</v>
      </c>
      <c r="O59" s="11" t="e">
        <f>_xlfn.XLOOKUP(Mvt_Inter_entrepot[[#This Row],[Num OF]],#REF!,#REF!,"Non Trouvé")</f>
        <v>#REF!</v>
      </c>
      <c r="P59" s="11" t="e">
        <f>_xlfn.XLOOKUP(Mvt_Inter_entrepot[[#This Row],[Num OF]],#REF!,#REF!,"Non Trouvé")</f>
        <v>#REF!</v>
      </c>
      <c r="Q59" s="11" t="str">
        <f>IF(
   COUNTIFS($A$2:A59,A59,
             $B$2:B59,B59,
             $C$2:C59,C59,
             $D$2:D59,D59,
             $E$2:E59,E59,
             $H$2:H59,H59
             )&gt;1,
   "Doublon",
   "Correcte"
)</f>
        <v>Correcte</v>
      </c>
    </row>
    <row r="60" spans="1:17" x14ac:dyDescent="0.25">
      <c r="A60" s="11" t="s">
        <v>2897</v>
      </c>
      <c r="B60" s="11" t="s">
        <v>1153</v>
      </c>
      <c r="C60" s="11" t="s">
        <v>662</v>
      </c>
      <c r="D60" s="11" t="s">
        <v>1154</v>
      </c>
      <c r="E60" s="11">
        <v>3</v>
      </c>
      <c r="F60" s="11"/>
      <c r="G60" s="11" t="s">
        <v>664</v>
      </c>
      <c r="H60" s="14">
        <v>45915</v>
      </c>
      <c r="I60" s="12">
        <f>-Mvt_Inter_entrepot[[#This Row],[QTE]]</f>
        <v>-3</v>
      </c>
      <c r="J60" s="11" t="s">
        <v>316</v>
      </c>
      <c r="K60" s="11" t="str">
        <f>_xlfn.TEXTBEFORE(Mvt_Inter_entrepot[[#This Row],[Num Suivis]],"-",,,1)</f>
        <v>OF240483</v>
      </c>
      <c r="L60" s="11" t="e">
        <f>_xlfn.XLOOKUP(Mvt_Inter_entrepot[[#This Row],[Num OF]],#REF!,#REF!,"Non Trouvé")</f>
        <v>#REF!</v>
      </c>
      <c r="M60" s="11" t="e">
        <f>_xlfn.XLOOKUP(Mvt_Inter_entrepot[[#This Row],[Num OF]],#REF!,#REF!,"Non Trouvé")</f>
        <v>#REF!</v>
      </c>
      <c r="N60" s="11" t="e">
        <f>_xlfn.XLOOKUP(Mvt_Inter_entrepot[[#This Row],[Num OF]],#REF!,#REF!,"Non Trouvé")</f>
        <v>#REF!</v>
      </c>
      <c r="O60" s="11" t="e">
        <f>_xlfn.XLOOKUP(Mvt_Inter_entrepot[[#This Row],[Num OF]],#REF!,#REF!,"Non Trouvé")</f>
        <v>#REF!</v>
      </c>
      <c r="P60" s="11" t="e">
        <f>_xlfn.XLOOKUP(Mvt_Inter_entrepot[[#This Row],[Num OF]],#REF!,#REF!,"Non Trouvé")</f>
        <v>#REF!</v>
      </c>
      <c r="Q60" s="11" t="str">
        <f>IF(
   COUNTIFS($A$2:A60,A60,
             $B$2:B60,B60,
             $C$2:C60,C60,
             $D$2:D60,D60,
             $E$2:E60,E60,
             $H$2:H60,H60
             )&gt;1,
   "Doublon",
   "Correcte"
)</f>
        <v>Correcte</v>
      </c>
    </row>
    <row r="61" spans="1:17" x14ac:dyDescent="0.25">
      <c r="A61" s="11" t="s">
        <v>2898</v>
      </c>
      <c r="B61" s="11" t="s">
        <v>1153</v>
      </c>
      <c r="C61" s="11" t="s">
        <v>662</v>
      </c>
      <c r="D61" s="11" t="s">
        <v>1154</v>
      </c>
      <c r="E61" s="11">
        <v>11</v>
      </c>
      <c r="F61" s="11"/>
      <c r="G61" s="11" t="s">
        <v>664</v>
      </c>
      <c r="H61" s="14">
        <v>45915</v>
      </c>
      <c r="I61" s="12">
        <f>-Mvt_Inter_entrepot[[#This Row],[QTE]]</f>
        <v>-11</v>
      </c>
      <c r="J61" s="11" t="s">
        <v>317</v>
      </c>
      <c r="K61" s="11" t="str">
        <f>_xlfn.TEXTBEFORE(Mvt_Inter_entrepot[[#This Row],[Num Suivis]],"-",,,1)</f>
        <v>OF240636</v>
      </c>
      <c r="L61" s="11" t="e">
        <f>_xlfn.XLOOKUP(Mvt_Inter_entrepot[[#This Row],[Num OF]],#REF!,#REF!,"Non Trouvé")</f>
        <v>#REF!</v>
      </c>
      <c r="M61" s="11" t="e">
        <f>_xlfn.XLOOKUP(Mvt_Inter_entrepot[[#This Row],[Num OF]],#REF!,#REF!,"Non Trouvé")</f>
        <v>#REF!</v>
      </c>
      <c r="N61" s="11" t="e">
        <f>_xlfn.XLOOKUP(Mvt_Inter_entrepot[[#This Row],[Num OF]],#REF!,#REF!,"Non Trouvé")</f>
        <v>#REF!</v>
      </c>
      <c r="O61" s="11" t="e">
        <f>_xlfn.XLOOKUP(Mvt_Inter_entrepot[[#This Row],[Num OF]],#REF!,#REF!,"Non Trouvé")</f>
        <v>#REF!</v>
      </c>
      <c r="P61" s="11" t="e">
        <f>_xlfn.XLOOKUP(Mvt_Inter_entrepot[[#This Row],[Num OF]],#REF!,#REF!,"Non Trouvé")</f>
        <v>#REF!</v>
      </c>
      <c r="Q61" s="11" t="str">
        <f>IF(
   COUNTIFS($A$2:A61,A61,
             $B$2:B61,B61,
             $C$2:C61,C61,
             $D$2:D61,D61,
             $E$2:E61,E61,
             $H$2:H61,H61
             )&gt;1,
   "Doublon",
   "Correcte"
)</f>
        <v>Correcte</v>
      </c>
    </row>
    <row r="62" spans="1:17" x14ac:dyDescent="0.25">
      <c r="A62" s="11" t="s">
        <v>2899</v>
      </c>
      <c r="B62" s="11" t="s">
        <v>1153</v>
      </c>
      <c r="C62" s="11" t="s">
        <v>662</v>
      </c>
      <c r="D62" s="11" t="s">
        <v>1154</v>
      </c>
      <c r="E62" s="11">
        <v>40</v>
      </c>
      <c r="F62" s="11"/>
      <c r="G62" s="11" t="s">
        <v>664</v>
      </c>
      <c r="H62" s="14">
        <v>45915</v>
      </c>
      <c r="I62" s="12">
        <f>-Mvt_Inter_entrepot[[#This Row],[QTE]]</f>
        <v>-40</v>
      </c>
      <c r="J62" s="11" t="s">
        <v>119</v>
      </c>
      <c r="K62" s="11" t="str">
        <f>_xlfn.TEXTBEFORE(Mvt_Inter_entrepot[[#This Row],[Num Suivis]],"-",,,1)</f>
        <v>OF240640</v>
      </c>
      <c r="L62" s="11" t="e">
        <f>_xlfn.XLOOKUP(Mvt_Inter_entrepot[[#This Row],[Num OF]],#REF!,#REF!,"Non Trouvé")</f>
        <v>#REF!</v>
      </c>
      <c r="M62" s="11" t="e">
        <f>_xlfn.XLOOKUP(Mvt_Inter_entrepot[[#This Row],[Num OF]],#REF!,#REF!,"Non Trouvé")</f>
        <v>#REF!</v>
      </c>
      <c r="N62" s="11" t="e">
        <f>_xlfn.XLOOKUP(Mvt_Inter_entrepot[[#This Row],[Num OF]],#REF!,#REF!,"Non Trouvé")</f>
        <v>#REF!</v>
      </c>
      <c r="O62" s="11" t="e">
        <f>_xlfn.XLOOKUP(Mvt_Inter_entrepot[[#This Row],[Num OF]],#REF!,#REF!,"Non Trouvé")</f>
        <v>#REF!</v>
      </c>
      <c r="P62" s="11" t="e">
        <f>_xlfn.XLOOKUP(Mvt_Inter_entrepot[[#This Row],[Num OF]],#REF!,#REF!,"Non Trouvé")</f>
        <v>#REF!</v>
      </c>
      <c r="Q62" s="11" t="str">
        <f>IF(
   COUNTIFS($A$2:A62,A62,
             $B$2:B62,B62,
             $C$2:C62,C62,
             $D$2:D62,D62,
             $E$2:E62,E62,
             $H$2:H62,H62
             )&gt;1,
   "Doublon",
   "Correcte"
)</f>
        <v>Correcte</v>
      </c>
    </row>
    <row r="63" spans="1:17" x14ac:dyDescent="0.25">
      <c r="A63" s="11" t="s">
        <v>2900</v>
      </c>
      <c r="B63" s="11" t="s">
        <v>1153</v>
      </c>
      <c r="C63" s="11" t="s">
        <v>662</v>
      </c>
      <c r="D63" s="11" t="s">
        <v>1154</v>
      </c>
      <c r="E63" s="11">
        <v>80</v>
      </c>
      <c r="F63" s="11"/>
      <c r="G63" s="11" t="s">
        <v>664</v>
      </c>
      <c r="H63" s="14">
        <v>45915</v>
      </c>
      <c r="I63" s="12">
        <f>-Mvt_Inter_entrepot[[#This Row],[QTE]]</f>
        <v>-80</v>
      </c>
      <c r="J63" s="11" t="s">
        <v>120</v>
      </c>
      <c r="K63" s="11" t="str">
        <f>_xlfn.TEXTBEFORE(Mvt_Inter_entrepot[[#This Row],[Num Suivis]],"-",,,1)</f>
        <v>OF240641</v>
      </c>
      <c r="L63" s="11" t="e">
        <f>_xlfn.XLOOKUP(Mvt_Inter_entrepot[[#This Row],[Num OF]],#REF!,#REF!,"Non Trouvé")</f>
        <v>#REF!</v>
      </c>
      <c r="M63" s="11" t="e">
        <f>_xlfn.XLOOKUP(Mvt_Inter_entrepot[[#This Row],[Num OF]],#REF!,#REF!,"Non Trouvé")</f>
        <v>#REF!</v>
      </c>
      <c r="N63" s="11" t="e">
        <f>_xlfn.XLOOKUP(Mvt_Inter_entrepot[[#This Row],[Num OF]],#REF!,#REF!,"Non Trouvé")</f>
        <v>#REF!</v>
      </c>
      <c r="O63" s="11" t="e">
        <f>_xlfn.XLOOKUP(Mvt_Inter_entrepot[[#This Row],[Num OF]],#REF!,#REF!,"Non Trouvé")</f>
        <v>#REF!</v>
      </c>
      <c r="P63" s="11" t="e">
        <f>_xlfn.XLOOKUP(Mvt_Inter_entrepot[[#This Row],[Num OF]],#REF!,#REF!,"Non Trouvé")</f>
        <v>#REF!</v>
      </c>
      <c r="Q63" s="11" t="str">
        <f>IF(
   COUNTIFS($A$2:A63,A63,
             $B$2:B63,B63,
             $C$2:C63,C63,
             $D$2:D63,D63,
             $E$2:E63,E63,
             $H$2:H63,H63
             )&gt;1,
   "Doublon",
   "Correcte"
)</f>
        <v>Correcte</v>
      </c>
    </row>
    <row r="64" spans="1:17" x14ac:dyDescent="0.25">
      <c r="A64" s="11" t="s">
        <v>2901</v>
      </c>
      <c r="B64" s="11" t="s">
        <v>1153</v>
      </c>
      <c r="C64" s="11" t="s">
        <v>662</v>
      </c>
      <c r="D64" s="11" t="s">
        <v>1154</v>
      </c>
      <c r="E64" s="11">
        <v>17</v>
      </c>
      <c r="F64" s="11"/>
      <c r="G64" s="11" t="s">
        <v>664</v>
      </c>
      <c r="H64" s="14">
        <v>45915</v>
      </c>
      <c r="I64" s="12">
        <f>-Mvt_Inter_entrepot[[#This Row],[QTE]]</f>
        <v>-17</v>
      </c>
      <c r="J64" s="11" t="s">
        <v>121</v>
      </c>
      <c r="K64" s="11" t="str">
        <f>_xlfn.TEXTBEFORE(Mvt_Inter_entrepot[[#This Row],[Num Suivis]],"-",,,1)</f>
        <v>OF240642</v>
      </c>
      <c r="L64" s="11" t="e">
        <f>_xlfn.XLOOKUP(Mvt_Inter_entrepot[[#This Row],[Num OF]],#REF!,#REF!,"Non Trouvé")</f>
        <v>#REF!</v>
      </c>
      <c r="M64" s="11" t="e">
        <f>_xlfn.XLOOKUP(Mvt_Inter_entrepot[[#This Row],[Num OF]],#REF!,#REF!,"Non Trouvé")</f>
        <v>#REF!</v>
      </c>
      <c r="N64" s="11" t="e">
        <f>_xlfn.XLOOKUP(Mvt_Inter_entrepot[[#This Row],[Num OF]],#REF!,#REF!,"Non Trouvé")</f>
        <v>#REF!</v>
      </c>
      <c r="O64" s="11" t="e">
        <f>_xlfn.XLOOKUP(Mvt_Inter_entrepot[[#This Row],[Num OF]],#REF!,#REF!,"Non Trouvé")</f>
        <v>#REF!</v>
      </c>
      <c r="P64" s="11" t="e">
        <f>_xlfn.XLOOKUP(Mvt_Inter_entrepot[[#This Row],[Num OF]],#REF!,#REF!,"Non Trouvé")</f>
        <v>#REF!</v>
      </c>
      <c r="Q64" s="11" t="str">
        <f>IF(
   COUNTIFS($A$2:A64,A64,
             $B$2:B64,B64,
             $C$2:C64,C64,
             $D$2:D64,D64,
             $E$2:E64,E64,
             $H$2:H64,H64
             )&gt;1,
   "Doublon",
   "Correcte"
)</f>
        <v>Correcte</v>
      </c>
    </row>
    <row r="65" spans="1:17" x14ac:dyDescent="0.25">
      <c r="A65" s="11" t="s">
        <v>2902</v>
      </c>
      <c r="B65" s="11" t="s">
        <v>1153</v>
      </c>
      <c r="C65" s="11" t="s">
        <v>662</v>
      </c>
      <c r="D65" s="11" t="s">
        <v>1154</v>
      </c>
      <c r="E65" s="11">
        <v>71</v>
      </c>
      <c r="F65" s="11"/>
      <c r="G65" s="11" t="s">
        <v>664</v>
      </c>
      <c r="H65" s="14">
        <v>45915</v>
      </c>
      <c r="I65" s="12">
        <f>-Mvt_Inter_entrepot[[#This Row],[QTE]]</f>
        <v>-71</v>
      </c>
      <c r="J65" s="11" t="s">
        <v>122</v>
      </c>
      <c r="K65" s="11" t="str">
        <f>_xlfn.TEXTBEFORE(Mvt_Inter_entrepot[[#This Row],[Num Suivis]],"-",,,1)</f>
        <v>OF240643</v>
      </c>
      <c r="L65" s="11" t="e">
        <f>_xlfn.XLOOKUP(Mvt_Inter_entrepot[[#This Row],[Num OF]],#REF!,#REF!,"Non Trouvé")</f>
        <v>#REF!</v>
      </c>
      <c r="M65" s="11" t="e">
        <f>_xlfn.XLOOKUP(Mvt_Inter_entrepot[[#This Row],[Num OF]],#REF!,#REF!,"Non Trouvé")</f>
        <v>#REF!</v>
      </c>
      <c r="N65" s="11" t="e">
        <f>_xlfn.XLOOKUP(Mvt_Inter_entrepot[[#This Row],[Num OF]],#REF!,#REF!,"Non Trouvé")</f>
        <v>#REF!</v>
      </c>
      <c r="O65" s="11" t="e">
        <f>_xlfn.XLOOKUP(Mvt_Inter_entrepot[[#This Row],[Num OF]],#REF!,#REF!,"Non Trouvé")</f>
        <v>#REF!</v>
      </c>
      <c r="P65" s="11" t="e">
        <f>_xlfn.XLOOKUP(Mvt_Inter_entrepot[[#This Row],[Num OF]],#REF!,#REF!,"Non Trouvé")</f>
        <v>#REF!</v>
      </c>
      <c r="Q65" s="11" t="str">
        <f>IF(
   COUNTIFS($A$2:A65,A65,
             $B$2:B65,B65,
             $C$2:C65,C65,
             $D$2:D65,D65,
             $E$2:E65,E65,
             $H$2:H65,H65
             )&gt;1,
   "Doublon",
   "Correcte"
)</f>
        <v>Correcte</v>
      </c>
    </row>
    <row r="66" spans="1:17" x14ac:dyDescent="0.25">
      <c r="A66" s="11" t="s">
        <v>2903</v>
      </c>
      <c r="B66" s="11" t="s">
        <v>1153</v>
      </c>
      <c r="C66" s="11" t="s">
        <v>662</v>
      </c>
      <c r="D66" s="11" t="s">
        <v>1154</v>
      </c>
      <c r="E66" s="11">
        <v>77</v>
      </c>
      <c r="F66" s="11"/>
      <c r="G66" s="11" t="s">
        <v>664</v>
      </c>
      <c r="H66" s="14">
        <v>45915</v>
      </c>
      <c r="I66" s="12">
        <f>-Mvt_Inter_entrepot[[#This Row],[QTE]]</f>
        <v>-77</v>
      </c>
      <c r="J66" s="11" t="s">
        <v>123</v>
      </c>
      <c r="K66" s="11" t="str">
        <f>_xlfn.TEXTBEFORE(Mvt_Inter_entrepot[[#This Row],[Num Suivis]],"-",,,1)</f>
        <v>OF240644</v>
      </c>
      <c r="L66" s="11" t="e">
        <f>_xlfn.XLOOKUP(Mvt_Inter_entrepot[[#This Row],[Num OF]],#REF!,#REF!,"Non Trouvé")</f>
        <v>#REF!</v>
      </c>
      <c r="M66" s="11" t="e">
        <f>_xlfn.XLOOKUP(Mvt_Inter_entrepot[[#This Row],[Num OF]],#REF!,#REF!,"Non Trouvé")</f>
        <v>#REF!</v>
      </c>
      <c r="N66" s="11" t="e">
        <f>_xlfn.XLOOKUP(Mvt_Inter_entrepot[[#This Row],[Num OF]],#REF!,#REF!,"Non Trouvé")</f>
        <v>#REF!</v>
      </c>
      <c r="O66" s="11" t="e">
        <f>_xlfn.XLOOKUP(Mvt_Inter_entrepot[[#This Row],[Num OF]],#REF!,#REF!,"Non Trouvé")</f>
        <v>#REF!</v>
      </c>
      <c r="P66" s="11" t="e">
        <f>_xlfn.XLOOKUP(Mvt_Inter_entrepot[[#This Row],[Num OF]],#REF!,#REF!,"Non Trouvé")</f>
        <v>#REF!</v>
      </c>
      <c r="Q66" s="11" t="str">
        <f>IF(
   COUNTIFS($A$2:A66,A66,
             $B$2:B66,B66,
             $C$2:C66,C66,
             $D$2:D66,D66,
             $E$2:E66,E66,
             $H$2:H66,H66
             )&gt;1,
   "Doublon",
   "Correcte"
)</f>
        <v>Correcte</v>
      </c>
    </row>
    <row r="67" spans="1:17" x14ac:dyDescent="0.25">
      <c r="A67" s="11" t="s">
        <v>2904</v>
      </c>
      <c r="B67" s="11" t="s">
        <v>1153</v>
      </c>
      <c r="C67" s="11" t="s">
        <v>662</v>
      </c>
      <c r="D67" s="11" t="s">
        <v>1154</v>
      </c>
      <c r="E67" s="11">
        <v>36</v>
      </c>
      <c r="F67" s="11"/>
      <c r="G67" s="11" t="s">
        <v>664</v>
      </c>
      <c r="H67" s="14">
        <v>45915</v>
      </c>
      <c r="I67" s="12">
        <f>-Mvt_Inter_entrepot[[#This Row],[QTE]]</f>
        <v>-36</v>
      </c>
      <c r="J67" s="11" t="s">
        <v>124</v>
      </c>
      <c r="K67" s="11" t="str">
        <f>_xlfn.TEXTBEFORE(Mvt_Inter_entrepot[[#This Row],[Num Suivis]],"-",,,1)</f>
        <v>OF240645</v>
      </c>
      <c r="L67" s="11" t="e">
        <f>_xlfn.XLOOKUP(Mvt_Inter_entrepot[[#This Row],[Num OF]],#REF!,#REF!,"Non Trouvé")</f>
        <v>#REF!</v>
      </c>
      <c r="M67" s="11" t="e">
        <f>_xlfn.XLOOKUP(Mvt_Inter_entrepot[[#This Row],[Num OF]],#REF!,#REF!,"Non Trouvé")</f>
        <v>#REF!</v>
      </c>
      <c r="N67" s="11" t="e">
        <f>_xlfn.XLOOKUP(Mvt_Inter_entrepot[[#This Row],[Num OF]],#REF!,#REF!,"Non Trouvé")</f>
        <v>#REF!</v>
      </c>
      <c r="O67" s="11" t="e">
        <f>_xlfn.XLOOKUP(Mvt_Inter_entrepot[[#This Row],[Num OF]],#REF!,#REF!,"Non Trouvé")</f>
        <v>#REF!</v>
      </c>
      <c r="P67" s="11" t="e">
        <f>_xlfn.XLOOKUP(Mvt_Inter_entrepot[[#This Row],[Num OF]],#REF!,#REF!,"Non Trouvé")</f>
        <v>#REF!</v>
      </c>
      <c r="Q67" s="11" t="str">
        <f>IF(
   COUNTIFS($A$2:A67,A67,
             $B$2:B67,B67,
             $C$2:C67,C67,
             $D$2:D67,D67,
             $E$2:E67,E67,
             $H$2:H67,H67
             )&gt;1,
   "Doublon",
   "Correcte"
)</f>
        <v>Correcte</v>
      </c>
    </row>
    <row r="68" spans="1:17" x14ac:dyDescent="0.25">
      <c r="A68" s="11" t="s">
        <v>2905</v>
      </c>
      <c r="B68" s="11" t="s">
        <v>1153</v>
      </c>
      <c r="C68" s="11" t="s">
        <v>662</v>
      </c>
      <c r="D68" s="11" t="s">
        <v>1154</v>
      </c>
      <c r="E68" s="11">
        <v>15</v>
      </c>
      <c r="F68" s="11"/>
      <c r="G68" s="11" t="s">
        <v>664</v>
      </c>
      <c r="H68" s="14">
        <v>45915</v>
      </c>
      <c r="I68" s="12">
        <f>-Mvt_Inter_entrepot[[#This Row],[QTE]]</f>
        <v>-15</v>
      </c>
      <c r="J68" s="11" t="s">
        <v>125</v>
      </c>
      <c r="K68" s="11" t="str">
        <f>_xlfn.TEXTBEFORE(Mvt_Inter_entrepot[[#This Row],[Num Suivis]],"-",,,1)</f>
        <v>OF240646</v>
      </c>
      <c r="L68" s="11" t="e">
        <f>_xlfn.XLOOKUP(Mvt_Inter_entrepot[[#This Row],[Num OF]],#REF!,#REF!,"Non Trouvé")</f>
        <v>#REF!</v>
      </c>
      <c r="M68" s="11" t="e">
        <f>_xlfn.XLOOKUP(Mvt_Inter_entrepot[[#This Row],[Num OF]],#REF!,#REF!,"Non Trouvé")</f>
        <v>#REF!</v>
      </c>
      <c r="N68" s="11" t="e">
        <f>_xlfn.XLOOKUP(Mvt_Inter_entrepot[[#This Row],[Num OF]],#REF!,#REF!,"Non Trouvé")</f>
        <v>#REF!</v>
      </c>
      <c r="O68" s="11" t="e">
        <f>_xlfn.XLOOKUP(Mvt_Inter_entrepot[[#This Row],[Num OF]],#REF!,#REF!,"Non Trouvé")</f>
        <v>#REF!</v>
      </c>
      <c r="P68" s="11" t="e">
        <f>_xlfn.XLOOKUP(Mvt_Inter_entrepot[[#This Row],[Num OF]],#REF!,#REF!,"Non Trouvé")</f>
        <v>#REF!</v>
      </c>
      <c r="Q68" s="11" t="str">
        <f>IF(
   COUNTIFS($A$2:A68,A68,
             $B$2:B68,B68,
             $C$2:C68,C68,
             $D$2:D68,D68,
             $E$2:E68,E68,
             $H$2:H68,H68
             )&gt;1,
   "Doublon",
   "Correcte"
)</f>
        <v>Correcte</v>
      </c>
    </row>
    <row r="69" spans="1:17" x14ac:dyDescent="0.25">
      <c r="A69" s="11" t="s">
        <v>2906</v>
      </c>
      <c r="B69" s="11" t="s">
        <v>1153</v>
      </c>
      <c r="C69" s="11" t="s">
        <v>662</v>
      </c>
      <c r="D69" s="11" t="s">
        <v>1154</v>
      </c>
      <c r="E69" s="11">
        <v>28</v>
      </c>
      <c r="F69" s="11"/>
      <c r="G69" s="11" t="s">
        <v>664</v>
      </c>
      <c r="H69" s="14">
        <v>45915</v>
      </c>
      <c r="I69" s="12">
        <f>-Mvt_Inter_entrepot[[#This Row],[QTE]]</f>
        <v>-28</v>
      </c>
      <c r="J69" s="11" t="s">
        <v>126</v>
      </c>
      <c r="K69" s="11" t="str">
        <f>_xlfn.TEXTBEFORE(Mvt_Inter_entrepot[[#This Row],[Num Suivis]],"-",,,1)</f>
        <v>OF240647</v>
      </c>
      <c r="L69" s="11" t="e">
        <f>_xlfn.XLOOKUP(Mvt_Inter_entrepot[[#This Row],[Num OF]],#REF!,#REF!,"Non Trouvé")</f>
        <v>#REF!</v>
      </c>
      <c r="M69" s="11" t="e">
        <f>_xlfn.XLOOKUP(Mvt_Inter_entrepot[[#This Row],[Num OF]],#REF!,#REF!,"Non Trouvé")</f>
        <v>#REF!</v>
      </c>
      <c r="N69" s="11" t="e">
        <f>_xlfn.XLOOKUP(Mvt_Inter_entrepot[[#This Row],[Num OF]],#REF!,#REF!,"Non Trouvé")</f>
        <v>#REF!</v>
      </c>
      <c r="O69" s="11" t="e">
        <f>_xlfn.XLOOKUP(Mvt_Inter_entrepot[[#This Row],[Num OF]],#REF!,#REF!,"Non Trouvé")</f>
        <v>#REF!</v>
      </c>
      <c r="P69" s="11" t="e">
        <f>_xlfn.XLOOKUP(Mvt_Inter_entrepot[[#This Row],[Num OF]],#REF!,#REF!,"Non Trouvé")</f>
        <v>#REF!</v>
      </c>
      <c r="Q69" s="11" t="str">
        <f>IF(
   COUNTIFS($A$2:A69,A69,
             $B$2:B69,B69,
             $C$2:C69,C69,
             $D$2:D69,D69,
             $E$2:E69,E69,
             $H$2:H69,H69
             )&gt;1,
   "Doublon",
   "Correcte"
)</f>
        <v>Correcte</v>
      </c>
    </row>
    <row r="70" spans="1:17" x14ac:dyDescent="0.25">
      <c r="A70" s="11" t="s">
        <v>2907</v>
      </c>
      <c r="B70" s="11" t="s">
        <v>1153</v>
      </c>
      <c r="C70" s="11" t="s">
        <v>662</v>
      </c>
      <c r="D70" s="11" t="s">
        <v>1154</v>
      </c>
      <c r="E70" s="11">
        <v>1</v>
      </c>
      <c r="F70" s="11"/>
      <c r="G70" s="11" t="s">
        <v>664</v>
      </c>
      <c r="H70" s="14">
        <v>45915</v>
      </c>
      <c r="I70" s="12">
        <f>-Mvt_Inter_entrepot[[#This Row],[QTE]]</f>
        <v>-1</v>
      </c>
      <c r="J70" s="11" t="s">
        <v>127</v>
      </c>
      <c r="K70" s="11" t="str">
        <f>_xlfn.TEXTBEFORE(Mvt_Inter_entrepot[[#This Row],[Num Suivis]],"-",,,1)</f>
        <v>OF240937</v>
      </c>
      <c r="L70" s="11" t="e">
        <f>_xlfn.XLOOKUP(Mvt_Inter_entrepot[[#This Row],[Num OF]],#REF!,#REF!,"Non Trouvé")</f>
        <v>#REF!</v>
      </c>
      <c r="M70" s="11" t="e">
        <f>_xlfn.XLOOKUP(Mvt_Inter_entrepot[[#This Row],[Num OF]],#REF!,#REF!,"Non Trouvé")</f>
        <v>#REF!</v>
      </c>
      <c r="N70" s="11" t="e">
        <f>_xlfn.XLOOKUP(Mvt_Inter_entrepot[[#This Row],[Num OF]],#REF!,#REF!,"Non Trouvé")</f>
        <v>#REF!</v>
      </c>
      <c r="O70" s="11" t="e">
        <f>_xlfn.XLOOKUP(Mvt_Inter_entrepot[[#This Row],[Num OF]],#REF!,#REF!,"Non Trouvé")</f>
        <v>#REF!</v>
      </c>
      <c r="P70" s="11" t="e">
        <f>_xlfn.XLOOKUP(Mvt_Inter_entrepot[[#This Row],[Num OF]],#REF!,#REF!,"Non Trouvé")</f>
        <v>#REF!</v>
      </c>
      <c r="Q70" s="11" t="str">
        <f>IF(
   COUNTIFS($A$2:A70,A70,
             $B$2:B70,B70,
             $C$2:C70,C70,
             $D$2:D70,D70,
             $E$2:E70,E70,
             $H$2:H70,H70
             )&gt;1,
   "Doublon",
   "Correcte"
)</f>
        <v>Correcte</v>
      </c>
    </row>
    <row r="71" spans="1:17" x14ac:dyDescent="0.25">
      <c r="A71" s="11" t="s">
        <v>2908</v>
      </c>
      <c r="B71" s="11" t="s">
        <v>1153</v>
      </c>
      <c r="C71" s="11" t="s">
        <v>662</v>
      </c>
      <c r="D71" s="11" t="s">
        <v>1154</v>
      </c>
      <c r="E71" s="11">
        <v>82</v>
      </c>
      <c r="F71" s="11"/>
      <c r="G71" s="11" t="s">
        <v>664</v>
      </c>
      <c r="H71" s="14">
        <v>45915</v>
      </c>
      <c r="I71" s="12">
        <f>-Mvt_Inter_entrepot[[#This Row],[QTE]]</f>
        <v>-82</v>
      </c>
      <c r="J71" s="11" t="s">
        <v>128</v>
      </c>
      <c r="K71" s="11" t="str">
        <f>_xlfn.TEXTBEFORE(Mvt_Inter_entrepot[[#This Row],[Num Suivis]],"-",,,1)</f>
        <v>OF241198</v>
      </c>
      <c r="L71" s="11" t="e">
        <f>_xlfn.XLOOKUP(Mvt_Inter_entrepot[[#This Row],[Num OF]],#REF!,#REF!,"Non Trouvé")</f>
        <v>#REF!</v>
      </c>
      <c r="M71" s="11" t="e">
        <f>_xlfn.XLOOKUP(Mvt_Inter_entrepot[[#This Row],[Num OF]],#REF!,#REF!,"Non Trouvé")</f>
        <v>#REF!</v>
      </c>
      <c r="N71" s="11" t="e">
        <f>_xlfn.XLOOKUP(Mvt_Inter_entrepot[[#This Row],[Num OF]],#REF!,#REF!,"Non Trouvé")</f>
        <v>#REF!</v>
      </c>
      <c r="O71" s="11" t="e">
        <f>_xlfn.XLOOKUP(Mvt_Inter_entrepot[[#This Row],[Num OF]],#REF!,#REF!,"Non Trouvé")</f>
        <v>#REF!</v>
      </c>
      <c r="P71" s="11" t="e">
        <f>_xlfn.XLOOKUP(Mvt_Inter_entrepot[[#This Row],[Num OF]],#REF!,#REF!,"Non Trouvé")</f>
        <v>#REF!</v>
      </c>
      <c r="Q71" s="11" t="str">
        <f>IF(
   COUNTIFS($A$2:A71,A71,
             $B$2:B71,B71,
             $C$2:C71,C71,
             $D$2:D71,D71,
             $E$2:E71,E71,
             $H$2:H71,H71
             )&gt;1,
   "Doublon",
   "Correcte"
)</f>
        <v>Correcte</v>
      </c>
    </row>
    <row r="72" spans="1:17" x14ac:dyDescent="0.25">
      <c r="A72" s="11" t="s">
        <v>2909</v>
      </c>
      <c r="B72" s="11" t="s">
        <v>1153</v>
      </c>
      <c r="C72" s="11" t="s">
        <v>662</v>
      </c>
      <c r="D72" s="11" t="s">
        <v>1154</v>
      </c>
      <c r="E72" s="11">
        <v>73</v>
      </c>
      <c r="F72" s="11"/>
      <c r="G72" s="11" t="s">
        <v>664</v>
      </c>
      <c r="H72" s="14">
        <v>45915</v>
      </c>
      <c r="I72" s="12">
        <f>-Mvt_Inter_entrepot[[#This Row],[QTE]]</f>
        <v>-73</v>
      </c>
      <c r="J72" s="11" t="s">
        <v>129</v>
      </c>
      <c r="K72" s="11" t="str">
        <f>_xlfn.TEXTBEFORE(Mvt_Inter_entrepot[[#This Row],[Num Suivis]],"-",,,1)</f>
        <v>OF241199</v>
      </c>
      <c r="L72" s="11" t="e">
        <f>_xlfn.XLOOKUP(Mvt_Inter_entrepot[[#This Row],[Num OF]],#REF!,#REF!,"Non Trouvé")</f>
        <v>#REF!</v>
      </c>
      <c r="M72" s="11" t="e">
        <f>_xlfn.XLOOKUP(Mvt_Inter_entrepot[[#This Row],[Num OF]],#REF!,#REF!,"Non Trouvé")</f>
        <v>#REF!</v>
      </c>
      <c r="N72" s="11" t="e">
        <f>_xlfn.XLOOKUP(Mvt_Inter_entrepot[[#This Row],[Num OF]],#REF!,#REF!,"Non Trouvé")</f>
        <v>#REF!</v>
      </c>
      <c r="O72" s="11" t="e">
        <f>_xlfn.XLOOKUP(Mvt_Inter_entrepot[[#This Row],[Num OF]],#REF!,#REF!,"Non Trouvé")</f>
        <v>#REF!</v>
      </c>
      <c r="P72" s="11" t="e">
        <f>_xlfn.XLOOKUP(Mvt_Inter_entrepot[[#This Row],[Num OF]],#REF!,#REF!,"Non Trouvé")</f>
        <v>#REF!</v>
      </c>
      <c r="Q72" s="11" t="str">
        <f>IF(
   COUNTIFS($A$2:A72,A72,
             $B$2:B72,B72,
             $C$2:C72,C72,
             $D$2:D72,D72,
             $E$2:E72,E72,
             $H$2:H72,H72
             )&gt;1,
   "Doublon",
   "Correcte"
)</f>
        <v>Correcte</v>
      </c>
    </row>
    <row r="73" spans="1:17" x14ac:dyDescent="0.25">
      <c r="A73" s="11" t="s">
        <v>2910</v>
      </c>
      <c r="B73" s="11" t="s">
        <v>1153</v>
      </c>
      <c r="C73" s="11" t="s">
        <v>662</v>
      </c>
      <c r="D73" s="11" t="s">
        <v>1154</v>
      </c>
      <c r="E73" s="11">
        <v>63</v>
      </c>
      <c r="F73" s="11"/>
      <c r="G73" s="11" t="s">
        <v>664</v>
      </c>
      <c r="H73" s="14">
        <v>45915</v>
      </c>
      <c r="I73" s="12">
        <f>-Mvt_Inter_entrepot[[#This Row],[QTE]]</f>
        <v>-63</v>
      </c>
      <c r="J73" s="11" t="s">
        <v>130</v>
      </c>
      <c r="K73" s="11" t="str">
        <f>_xlfn.TEXTBEFORE(Mvt_Inter_entrepot[[#This Row],[Num Suivis]],"-",,,1)</f>
        <v>OF241207</v>
      </c>
      <c r="L73" s="11" t="e">
        <f>_xlfn.XLOOKUP(Mvt_Inter_entrepot[[#This Row],[Num OF]],#REF!,#REF!,"Non Trouvé")</f>
        <v>#REF!</v>
      </c>
      <c r="M73" s="11" t="e">
        <f>_xlfn.XLOOKUP(Mvt_Inter_entrepot[[#This Row],[Num OF]],#REF!,#REF!,"Non Trouvé")</f>
        <v>#REF!</v>
      </c>
      <c r="N73" s="11" t="e">
        <f>_xlfn.XLOOKUP(Mvt_Inter_entrepot[[#This Row],[Num OF]],#REF!,#REF!,"Non Trouvé")</f>
        <v>#REF!</v>
      </c>
      <c r="O73" s="11" t="e">
        <f>_xlfn.XLOOKUP(Mvt_Inter_entrepot[[#This Row],[Num OF]],#REF!,#REF!,"Non Trouvé")</f>
        <v>#REF!</v>
      </c>
      <c r="P73" s="11" t="e">
        <f>_xlfn.XLOOKUP(Mvt_Inter_entrepot[[#This Row],[Num OF]],#REF!,#REF!,"Non Trouvé")</f>
        <v>#REF!</v>
      </c>
      <c r="Q73" s="11" t="str">
        <f>IF(
   COUNTIFS($A$2:A73,A73,
             $B$2:B73,B73,
             $C$2:C73,C73,
             $D$2:D73,D73,
             $E$2:E73,E73,
             $H$2:H73,H73
             )&gt;1,
   "Doublon",
   "Correcte"
)</f>
        <v>Correcte</v>
      </c>
    </row>
    <row r="74" spans="1:17" x14ac:dyDescent="0.25">
      <c r="A74" s="11" t="s">
        <v>2911</v>
      </c>
      <c r="B74" s="11" t="s">
        <v>1153</v>
      </c>
      <c r="C74" s="11" t="s">
        <v>662</v>
      </c>
      <c r="D74" s="11" t="s">
        <v>1154</v>
      </c>
      <c r="E74" s="11">
        <v>16</v>
      </c>
      <c r="F74" s="11"/>
      <c r="G74" s="11" t="s">
        <v>664</v>
      </c>
      <c r="H74" s="14">
        <v>45915</v>
      </c>
      <c r="I74" s="12">
        <f>-Mvt_Inter_entrepot[[#This Row],[QTE]]</f>
        <v>-16</v>
      </c>
      <c r="J74" s="11" t="s">
        <v>131</v>
      </c>
      <c r="K74" s="11" t="str">
        <f>_xlfn.TEXTBEFORE(Mvt_Inter_entrepot[[#This Row],[Num Suivis]],"-",,,1)</f>
        <v>OF241208</v>
      </c>
      <c r="L74" s="11" t="e">
        <f>_xlfn.XLOOKUP(Mvt_Inter_entrepot[[#This Row],[Num OF]],#REF!,#REF!,"Non Trouvé")</f>
        <v>#REF!</v>
      </c>
      <c r="M74" s="11" t="e">
        <f>_xlfn.XLOOKUP(Mvt_Inter_entrepot[[#This Row],[Num OF]],#REF!,#REF!,"Non Trouvé")</f>
        <v>#REF!</v>
      </c>
      <c r="N74" s="11" t="e">
        <f>_xlfn.XLOOKUP(Mvt_Inter_entrepot[[#This Row],[Num OF]],#REF!,#REF!,"Non Trouvé")</f>
        <v>#REF!</v>
      </c>
      <c r="O74" s="11" t="e">
        <f>_xlfn.XLOOKUP(Mvt_Inter_entrepot[[#This Row],[Num OF]],#REF!,#REF!,"Non Trouvé")</f>
        <v>#REF!</v>
      </c>
      <c r="P74" s="11" t="e">
        <f>_xlfn.XLOOKUP(Mvt_Inter_entrepot[[#This Row],[Num OF]],#REF!,#REF!,"Non Trouvé")</f>
        <v>#REF!</v>
      </c>
      <c r="Q74" s="11" t="str">
        <f>IF(
   COUNTIFS($A$2:A74,A74,
             $B$2:B74,B74,
             $C$2:C74,C74,
             $D$2:D74,D74,
             $E$2:E74,E74,
             $H$2:H74,H74
             )&gt;1,
   "Doublon",
   "Correcte"
)</f>
        <v>Correcte</v>
      </c>
    </row>
    <row r="75" spans="1:17" x14ac:dyDescent="0.25">
      <c r="A75" s="11" t="s">
        <v>2912</v>
      </c>
      <c r="B75" s="11" t="s">
        <v>1153</v>
      </c>
      <c r="C75" s="11" t="s">
        <v>662</v>
      </c>
      <c r="D75" s="11" t="s">
        <v>1154</v>
      </c>
      <c r="E75" s="11">
        <v>45</v>
      </c>
      <c r="F75" s="11"/>
      <c r="G75" s="11" t="s">
        <v>664</v>
      </c>
      <c r="H75" s="14">
        <v>45915</v>
      </c>
      <c r="I75" s="12">
        <f>-Mvt_Inter_entrepot[[#This Row],[QTE]]</f>
        <v>-45</v>
      </c>
      <c r="J75" s="11" t="s">
        <v>132</v>
      </c>
      <c r="K75" s="11" t="str">
        <f>_xlfn.TEXTBEFORE(Mvt_Inter_entrepot[[#This Row],[Num Suivis]],"-",,,1)</f>
        <v>OF241251</v>
      </c>
      <c r="L75" s="11" t="e">
        <f>_xlfn.XLOOKUP(Mvt_Inter_entrepot[[#This Row],[Num OF]],#REF!,#REF!,"Non Trouvé")</f>
        <v>#REF!</v>
      </c>
      <c r="M75" s="11" t="e">
        <f>_xlfn.XLOOKUP(Mvt_Inter_entrepot[[#This Row],[Num OF]],#REF!,#REF!,"Non Trouvé")</f>
        <v>#REF!</v>
      </c>
      <c r="N75" s="11" t="e">
        <f>_xlfn.XLOOKUP(Mvt_Inter_entrepot[[#This Row],[Num OF]],#REF!,#REF!,"Non Trouvé")</f>
        <v>#REF!</v>
      </c>
      <c r="O75" s="11" t="e">
        <f>_xlfn.XLOOKUP(Mvt_Inter_entrepot[[#This Row],[Num OF]],#REF!,#REF!,"Non Trouvé")</f>
        <v>#REF!</v>
      </c>
      <c r="P75" s="11" t="e">
        <f>_xlfn.XLOOKUP(Mvt_Inter_entrepot[[#This Row],[Num OF]],#REF!,#REF!,"Non Trouvé")</f>
        <v>#REF!</v>
      </c>
      <c r="Q75" s="11" t="str">
        <f>IF(
   COUNTIFS($A$2:A75,A75,
             $B$2:B75,B75,
             $C$2:C75,C75,
             $D$2:D75,D75,
             $E$2:E75,E75,
             $H$2:H75,H75
             )&gt;1,
   "Doublon",
   "Correcte"
)</f>
        <v>Correcte</v>
      </c>
    </row>
    <row r="76" spans="1:17" x14ac:dyDescent="0.25">
      <c r="A76" s="11" t="s">
        <v>2913</v>
      </c>
      <c r="B76" s="11" t="s">
        <v>1153</v>
      </c>
      <c r="C76" s="11" t="s">
        <v>662</v>
      </c>
      <c r="D76" s="11" t="s">
        <v>1154</v>
      </c>
      <c r="E76" s="11">
        <v>65</v>
      </c>
      <c r="F76" s="11"/>
      <c r="G76" s="11" t="s">
        <v>664</v>
      </c>
      <c r="H76" s="14">
        <v>45915</v>
      </c>
      <c r="I76" s="12">
        <f>-Mvt_Inter_entrepot[[#This Row],[QTE]]</f>
        <v>-65</v>
      </c>
      <c r="J76" s="11" t="s">
        <v>133</v>
      </c>
      <c r="K76" s="11" t="str">
        <f>_xlfn.TEXTBEFORE(Mvt_Inter_entrepot[[#This Row],[Num Suivis]],"-",,,1)</f>
        <v>OF241252</v>
      </c>
      <c r="L76" s="11" t="e">
        <f>_xlfn.XLOOKUP(Mvt_Inter_entrepot[[#This Row],[Num OF]],#REF!,#REF!,"Non Trouvé")</f>
        <v>#REF!</v>
      </c>
      <c r="M76" s="11" t="e">
        <f>_xlfn.XLOOKUP(Mvt_Inter_entrepot[[#This Row],[Num OF]],#REF!,#REF!,"Non Trouvé")</f>
        <v>#REF!</v>
      </c>
      <c r="N76" s="11" t="e">
        <f>_xlfn.XLOOKUP(Mvt_Inter_entrepot[[#This Row],[Num OF]],#REF!,#REF!,"Non Trouvé")</f>
        <v>#REF!</v>
      </c>
      <c r="O76" s="11" t="e">
        <f>_xlfn.XLOOKUP(Mvt_Inter_entrepot[[#This Row],[Num OF]],#REF!,#REF!,"Non Trouvé")</f>
        <v>#REF!</v>
      </c>
      <c r="P76" s="11" t="e">
        <f>_xlfn.XLOOKUP(Mvt_Inter_entrepot[[#This Row],[Num OF]],#REF!,#REF!,"Non Trouvé")</f>
        <v>#REF!</v>
      </c>
      <c r="Q76" s="11" t="str">
        <f>IF(
   COUNTIFS($A$2:A76,A76,
             $B$2:B76,B76,
             $C$2:C76,C76,
             $D$2:D76,D76,
             $E$2:E76,E76,
             $H$2:H76,H76
             )&gt;1,
   "Doublon",
   "Correcte"
)</f>
        <v>Correcte</v>
      </c>
    </row>
    <row r="77" spans="1:17" x14ac:dyDescent="0.25">
      <c r="A77" s="11" t="s">
        <v>2914</v>
      </c>
      <c r="B77" s="11" t="s">
        <v>1153</v>
      </c>
      <c r="C77" s="11" t="s">
        <v>662</v>
      </c>
      <c r="D77" s="11" t="s">
        <v>1154</v>
      </c>
      <c r="E77" s="11">
        <v>3</v>
      </c>
      <c r="F77" s="11"/>
      <c r="G77" s="11" t="s">
        <v>664</v>
      </c>
      <c r="H77" s="14">
        <v>45915</v>
      </c>
      <c r="I77" s="12">
        <f>-Mvt_Inter_entrepot[[#This Row],[QTE]]</f>
        <v>-3</v>
      </c>
      <c r="J77" s="11" t="s">
        <v>134</v>
      </c>
      <c r="K77" s="11" t="str">
        <f>_xlfn.TEXTBEFORE(Mvt_Inter_entrepot[[#This Row],[Num Suivis]],"-",,,1)</f>
        <v>OF241253</v>
      </c>
      <c r="L77" s="11" t="e">
        <f>_xlfn.XLOOKUP(Mvt_Inter_entrepot[[#This Row],[Num OF]],#REF!,#REF!,"Non Trouvé")</f>
        <v>#REF!</v>
      </c>
      <c r="M77" s="11" t="e">
        <f>_xlfn.XLOOKUP(Mvt_Inter_entrepot[[#This Row],[Num OF]],#REF!,#REF!,"Non Trouvé")</f>
        <v>#REF!</v>
      </c>
      <c r="N77" s="11" t="e">
        <f>_xlfn.XLOOKUP(Mvt_Inter_entrepot[[#This Row],[Num OF]],#REF!,#REF!,"Non Trouvé")</f>
        <v>#REF!</v>
      </c>
      <c r="O77" s="11" t="e">
        <f>_xlfn.XLOOKUP(Mvt_Inter_entrepot[[#This Row],[Num OF]],#REF!,#REF!,"Non Trouvé")</f>
        <v>#REF!</v>
      </c>
      <c r="P77" s="11" t="e">
        <f>_xlfn.XLOOKUP(Mvt_Inter_entrepot[[#This Row],[Num OF]],#REF!,#REF!,"Non Trouvé")</f>
        <v>#REF!</v>
      </c>
      <c r="Q77" s="11" t="str">
        <f>IF(
   COUNTIFS($A$2:A77,A77,
             $B$2:B77,B77,
             $C$2:C77,C77,
             $D$2:D77,D77,
             $E$2:E77,E77,
             $H$2:H77,H77
             )&gt;1,
   "Doublon",
   "Correcte"
)</f>
        <v>Correcte</v>
      </c>
    </row>
    <row r="78" spans="1:17" x14ac:dyDescent="0.25">
      <c r="A78" s="11" t="s">
        <v>2915</v>
      </c>
      <c r="B78" s="11" t="s">
        <v>1153</v>
      </c>
      <c r="C78" s="11" t="s">
        <v>662</v>
      </c>
      <c r="D78" s="11" t="s">
        <v>1154</v>
      </c>
      <c r="E78" s="11">
        <v>25</v>
      </c>
      <c r="F78" s="11"/>
      <c r="G78" s="11" t="s">
        <v>664</v>
      </c>
      <c r="H78" s="14">
        <v>45915</v>
      </c>
      <c r="I78" s="12">
        <f>-Mvt_Inter_entrepot[[#This Row],[QTE]]</f>
        <v>-25</v>
      </c>
      <c r="J78" s="11" t="s">
        <v>135</v>
      </c>
      <c r="K78" s="11" t="str">
        <f>_xlfn.TEXTBEFORE(Mvt_Inter_entrepot[[#This Row],[Num Suivis]],"-",,,1)</f>
        <v>OF241254</v>
      </c>
      <c r="L78" s="11" t="e">
        <f>_xlfn.XLOOKUP(Mvt_Inter_entrepot[[#This Row],[Num OF]],#REF!,#REF!,"Non Trouvé")</f>
        <v>#REF!</v>
      </c>
      <c r="M78" s="11" t="e">
        <f>_xlfn.XLOOKUP(Mvt_Inter_entrepot[[#This Row],[Num OF]],#REF!,#REF!,"Non Trouvé")</f>
        <v>#REF!</v>
      </c>
      <c r="N78" s="11" t="e">
        <f>_xlfn.XLOOKUP(Mvt_Inter_entrepot[[#This Row],[Num OF]],#REF!,#REF!,"Non Trouvé")</f>
        <v>#REF!</v>
      </c>
      <c r="O78" s="11" t="e">
        <f>_xlfn.XLOOKUP(Mvt_Inter_entrepot[[#This Row],[Num OF]],#REF!,#REF!,"Non Trouvé")</f>
        <v>#REF!</v>
      </c>
      <c r="P78" s="11" t="e">
        <f>_xlfn.XLOOKUP(Mvt_Inter_entrepot[[#This Row],[Num OF]],#REF!,#REF!,"Non Trouvé")</f>
        <v>#REF!</v>
      </c>
      <c r="Q78" s="11" t="str">
        <f>IF(
   COUNTIFS($A$2:A78,A78,
             $B$2:B78,B78,
             $C$2:C78,C78,
             $D$2:D78,D78,
             $E$2:E78,E78,
             $H$2:H78,H78
             )&gt;1,
   "Doublon",
   "Correcte"
)</f>
        <v>Correcte</v>
      </c>
    </row>
    <row r="79" spans="1:17" x14ac:dyDescent="0.25">
      <c r="A79" s="11" t="s">
        <v>2916</v>
      </c>
      <c r="B79" s="11" t="s">
        <v>1153</v>
      </c>
      <c r="C79" s="11" t="s">
        <v>662</v>
      </c>
      <c r="D79" s="11" t="s">
        <v>1154</v>
      </c>
      <c r="E79" s="11">
        <v>40</v>
      </c>
      <c r="F79" s="11"/>
      <c r="G79" s="11" t="s">
        <v>664</v>
      </c>
      <c r="H79" s="14">
        <v>45915</v>
      </c>
      <c r="I79" s="12">
        <f>-Mvt_Inter_entrepot[[#This Row],[QTE]]</f>
        <v>-40</v>
      </c>
      <c r="J79" s="11" t="s">
        <v>136</v>
      </c>
      <c r="K79" s="11" t="str">
        <f>_xlfn.TEXTBEFORE(Mvt_Inter_entrepot[[#This Row],[Num Suivis]],"-",,,1)</f>
        <v>OF241255</v>
      </c>
      <c r="L79" s="11" t="e">
        <f>_xlfn.XLOOKUP(Mvt_Inter_entrepot[[#This Row],[Num OF]],#REF!,#REF!,"Non Trouvé")</f>
        <v>#REF!</v>
      </c>
      <c r="M79" s="11" t="e">
        <f>_xlfn.XLOOKUP(Mvt_Inter_entrepot[[#This Row],[Num OF]],#REF!,#REF!,"Non Trouvé")</f>
        <v>#REF!</v>
      </c>
      <c r="N79" s="11" t="e">
        <f>_xlfn.XLOOKUP(Mvt_Inter_entrepot[[#This Row],[Num OF]],#REF!,#REF!,"Non Trouvé")</f>
        <v>#REF!</v>
      </c>
      <c r="O79" s="11" t="e">
        <f>_xlfn.XLOOKUP(Mvt_Inter_entrepot[[#This Row],[Num OF]],#REF!,#REF!,"Non Trouvé")</f>
        <v>#REF!</v>
      </c>
      <c r="P79" s="11" t="e">
        <f>_xlfn.XLOOKUP(Mvt_Inter_entrepot[[#This Row],[Num OF]],#REF!,#REF!,"Non Trouvé")</f>
        <v>#REF!</v>
      </c>
      <c r="Q79" s="11" t="str">
        <f>IF(
   COUNTIFS($A$2:A79,A79,
             $B$2:B79,B79,
             $C$2:C79,C79,
             $D$2:D79,D79,
             $E$2:E79,E79,
             $H$2:H79,H79
             )&gt;1,
   "Doublon",
   "Correcte"
)</f>
        <v>Correcte</v>
      </c>
    </row>
    <row r="80" spans="1:17" x14ac:dyDescent="0.25">
      <c r="A80" s="11" t="s">
        <v>2917</v>
      </c>
      <c r="B80" s="11" t="s">
        <v>1153</v>
      </c>
      <c r="C80" s="11" t="s">
        <v>662</v>
      </c>
      <c r="D80" s="11" t="s">
        <v>1154</v>
      </c>
      <c r="E80" s="11">
        <v>35</v>
      </c>
      <c r="F80" s="11"/>
      <c r="G80" s="11" t="s">
        <v>664</v>
      </c>
      <c r="H80" s="14">
        <v>45915</v>
      </c>
      <c r="I80" s="12">
        <f>-Mvt_Inter_entrepot[[#This Row],[QTE]]</f>
        <v>-35</v>
      </c>
      <c r="J80" s="11" t="s">
        <v>137</v>
      </c>
      <c r="K80" s="11" t="str">
        <f>_xlfn.TEXTBEFORE(Mvt_Inter_entrepot[[#This Row],[Num Suivis]],"-",,,1)</f>
        <v>OF241256</v>
      </c>
      <c r="L80" s="11" t="e">
        <f>_xlfn.XLOOKUP(Mvt_Inter_entrepot[[#This Row],[Num OF]],#REF!,#REF!,"Non Trouvé")</f>
        <v>#REF!</v>
      </c>
      <c r="M80" s="11" t="e">
        <f>_xlfn.XLOOKUP(Mvt_Inter_entrepot[[#This Row],[Num OF]],#REF!,#REF!,"Non Trouvé")</f>
        <v>#REF!</v>
      </c>
      <c r="N80" s="11" t="e">
        <f>_xlfn.XLOOKUP(Mvt_Inter_entrepot[[#This Row],[Num OF]],#REF!,#REF!,"Non Trouvé")</f>
        <v>#REF!</v>
      </c>
      <c r="O80" s="11" t="e">
        <f>_xlfn.XLOOKUP(Mvt_Inter_entrepot[[#This Row],[Num OF]],#REF!,#REF!,"Non Trouvé")</f>
        <v>#REF!</v>
      </c>
      <c r="P80" s="11" t="e">
        <f>_xlfn.XLOOKUP(Mvt_Inter_entrepot[[#This Row],[Num OF]],#REF!,#REF!,"Non Trouvé")</f>
        <v>#REF!</v>
      </c>
      <c r="Q80" s="11" t="str">
        <f>IF(
   COUNTIFS($A$2:A80,A80,
             $B$2:B80,B80,
             $C$2:C80,C80,
             $D$2:D80,D80,
             $E$2:E80,E80,
             $H$2:H80,H80
             )&gt;1,
   "Doublon",
   "Correcte"
)</f>
        <v>Correcte</v>
      </c>
    </row>
    <row r="81" spans="1:17" x14ac:dyDescent="0.25">
      <c r="A81" s="11" t="s">
        <v>2918</v>
      </c>
      <c r="B81" s="11" t="s">
        <v>1153</v>
      </c>
      <c r="C81" s="11" t="s">
        <v>662</v>
      </c>
      <c r="D81" s="11" t="s">
        <v>1154</v>
      </c>
      <c r="E81" s="11">
        <v>1</v>
      </c>
      <c r="F81" s="11"/>
      <c r="G81" s="11" t="s">
        <v>664</v>
      </c>
      <c r="H81" s="14">
        <v>45915</v>
      </c>
      <c r="I81" s="12">
        <f>-Mvt_Inter_entrepot[[#This Row],[QTE]]</f>
        <v>-1</v>
      </c>
      <c r="J81" s="11" t="s">
        <v>320</v>
      </c>
      <c r="K81" s="11" t="str">
        <f>_xlfn.TEXTBEFORE(Mvt_Inter_entrepot[[#This Row],[Num Suivis]],"-",,,1)</f>
        <v>OF241311</v>
      </c>
      <c r="L81" s="11" t="e">
        <f>_xlfn.XLOOKUP(Mvt_Inter_entrepot[[#This Row],[Num OF]],#REF!,#REF!,"Non Trouvé")</f>
        <v>#REF!</v>
      </c>
      <c r="M81" s="11" t="e">
        <f>_xlfn.XLOOKUP(Mvt_Inter_entrepot[[#This Row],[Num OF]],#REF!,#REF!,"Non Trouvé")</f>
        <v>#REF!</v>
      </c>
      <c r="N81" s="11" t="e">
        <f>_xlfn.XLOOKUP(Mvt_Inter_entrepot[[#This Row],[Num OF]],#REF!,#REF!,"Non Trouvé")</f>
        <v>#REF!</v>
      </c>
      <c r="O81" s="11" t="e">
        <f>_xlfn.XLOOKUP(Mvt_Inter_entrepot[[#This Row],[Num OF]],#REF!,#REF!,"Non Trouvé")</f>
        <v>#REF!</v>
      </c>
      <c r="P81" s="11" t="e">
        <f>_xlfn.XLOOKUP(Mvt_Inter_entrepot[[#This Row],[Num OF]],#REF!,#REF!,"Non Trouvé")</f>
        <v>#REF!</v>
      </c>
      <c r="Q81" s="11" t="str">
        <f>IF(
   COUNTIFS($A$2:A81,A81,
             $B$2:B81,B81,
             $C$2:C81,C81,
             $D$2:D81,D81,
             $E$2:E81,E81,
             $H$2:H81,H81
             )&gt;1,
   "Doublon",
   "Correcte"
)</f>
        <v>Correcte</v>
      </c>
    </row>
    <row r="82" spans="1:17" x14ac:dyDescent="0.25">
      <c r="A82" s="11" t="s">
        <v>2919</v>
      </c>
      <c r="B82" s="11" t="s">
        <v>1153</v>
      </c>
      <c r="C82" s="11" t="s">
        <v>662</v>
      </c>
      <c r="D82" s="11" t="s">
        <v>1154</v>
      </c>
      <c r="E82" s="11">
        <v>1</v>
      </c>
      <c r="F82" s="11"/>
      <c r="G82" s="11" t="s">
        <v>664</v>
      </c>
      <c r="H82" s="14">
        <v>45915</v>
      </c>
      <c r="I82" s="12">
        <f>-Mvt_Inter_entrepot[[#This Row],[QTE]]</f>
        <v>-1</v>
      </c>
      <c r="J82" s="11" t="s">
        <v>322</v>
      </c>
      <c r="K82" s="11" t="str">
        <f>_xlfn.TEXTBEFORE(Mvt_Inter_entrepot[[#This Row],[Num Suivis]],"-",,,1)</f>
        <v>OF241319</v>
      </c>
      <c r="L82" s="11" t="e">
        <f>_xlfn.XLOOKUP(Mvt_Inter_entrepot[[#This Row],[Num OF]],#REF!,#REF!,"Non Trouvé")</f>
        <v>#REF!</v>
      </c>
      <c r="M82" s="11" t="e">
        <f>_xlfn.XLOOKUP(Mvt_Inter_entrepot[[#This Row],[Num OF]],#REF!,#REF!,"Non Trouvé")</f>
        <v>#REF!</v>
      </c>
      <c r="N82" s="11" t="e">
        <f>_xlfn.XLOOKUP(Mvt_Inter_entrepot[[#This Row],[Num OF]],#REF!,#REF!,"Non Trouvé")</f>
        <v>#REF!</v>
      </c>
      <c r="O82" s="11" t="e">
        <f>_xlfn.XLOOKUP(Mvt_Inter_entrepot[[#This Row],[Num OF]],#REF!,#REF!,"Non Trouvé")</f>
        <v>#REF!</v>
      </c>
      <c r="P82" s="11" t="e">
        <f>_xlfn.XLOOKUP(Mvt_Inter_entrepot[[#This Row],[Num OF]],#REF!,#REF!,"Non Trouvé")</f>
        <v>#REF!</v>
      </c>
      <c r="Q82" s="11" t="str">
        <f>IF(
   COUNTIFS($A$2:A82,A82,
             $B$2:B82,B82,
             $C$2:C82,C82,
             $D$2:D82,D82,
             $E$2:E82,E82,
             $H$2:H82,H82
             )&gt;1,
   "Doublon",
   "Correcte"
)</f>
        <v>Correcte</v>
      </c>
    </row>
    <row r="83" spans="1:17" x14ac:dyDescent="0.25">
      <c r="A83" s="11" t="s">
        <v>2920</v>
      </c>
      <c r="B83" s="11" t="s">
        <v>1153</v>
      </c>
      <c r="C83" s="11" t="s">
        <v>662</v>
      </c>
      <c r="D83" s="11" t="s">
        <v>1154</v>
      </c>
      <c r="E83" s="11">
        <v>1</v>
      </c>
      <c r="F83" s="11"/>
      <c r="G83" s="11" t="s">
        <v>664</v>
      </c>
      <c r="H83" s="14">
        <v>45915</v>
      </c>
      <c r="I83" s="12">
        <f>-Mvt_Inter_entrepot[[#This Row],[QTE]]</f>
        <v>-1</v>
      </c>
      <c r="J83" s="11" t="s">
        <v>323</v>
      </c>
      <c r="K83" s="11" t="str">
        <f>_xlfn.TEXTBEFORE(Mvt_Inter_entrepot[[#This Row],[Num Suivis]],"-",,,1)</f>
        <v>OF241325</v>
      </c>
      <c r="L83" s="11" t="e">
        <f>_xlfn.XLOOKUP(Mvt_Inter_entrepot[[#This Row],[Num OF]],#REF!,#REF!,"Non Trouvé")</f>
        <v>#REF!</v>
      </c>
      <c r="M83" s="11" t="e">
        <f>_xlfn.XLOOKUP(Mvt_Inter_entrepot[[#This Row],[Num OF]],#REF!,#REF!,"Non Trouvé")</f>
        <v>#REF!</v>
      </c>
      <c r="N83" s="11" t="e">
        <f>_xlfn.XLOOKUP(Mvt_Inter_entrepot[[#This Row],[Num OF]],#REF!,#REF!,"Non Trouvé")</f>
        <v>#REF!</v>
      </c>
      <c r="O83" s="11" t="e">
        <f>_xlfn.XLOOKUP(Mvt_Inter_entrepot[[#This Row],[Num OF]],#REF!,#REF!,"Non Trouvé")</f>
        <v>#REF!</v>
      </c>
      <c r="P83" s="11" t="e">
        <f>_xlfn.XLOOKUP(Mvt_Inter_entrepot[[#This Row],[Num OF]],#REF!,#REF!,"Non Trouvé")</f>
        <v>#REF!</v>
      </c>
      <c r="Q83" s="11" t="str">
        <f>IF(
   COUNTIFS($A$2:A83,A83,
             $B$2:B83,B83,
             $C$2:C83,C83,
             $D$2:D83,D83,
             $E$2:E83,E83,
             $H$2:H83,H83
             )&gt;1,
   "Doublon",
   "Correcte"
)</f>
        <v>Correcte</v>
      </c>
    </row>
    <row r="84" spans="1:17" x14ac:dyDescent="0.25">
      <c r="A84" s="11" t="s">
        <v>2921</v>
      </c>
      <c r="B84" s="11" t="s">
        <v>1153</v>
      </c>
      <c r="C84" s="11" t="s">
        <v>662</v>
      </c>
      <c r="D84" s="11" t="s">
        <v>1154</v>
      </c>
      <c r="E84" s="11">
        <v>139</v>
      </c>
      <c r="F84" s="11"/>
      <c r="G84" s="11" t="s">
        <v>664</v>
      </c>
      <c r="H84" s="14">
        <v>45915</v>
      </c>
      <c r="I84" s="12">
        <f>-Mvt_Inter_entrepot[[#This Row],[QTE]]</f>
        <v>-139</v>
      </c>
      <c r="J84" s="11" t="s">
        <v>324</v>
      </c>
      <c r="K84" s="11" t="str">
        <f>_xlfn.TEXTBEFORE(Mvt_Inter_entrepot[[#This Row],[Num Suivis]],"-",,,1)</f>
        <v>OF241375</v>
      </c>
      <c r="L84" s="11" t="e">
        <f>_xlfn.XLOOKUP(Mvt_Inter_entrepot[[#This Row],[Num OF]],#REF!,#REF!,"Non Trouvé")</f>
        <v>#REF!</v>
      </c>
      <c r="M84" s="11" t="e">
        <f>_xlfn.XLOOKUP(Mvt_Inter_entrepot[[#This Row],[Num OF]],#REF!,#REF!,"Non Trouvé")</f>
        <v>#REF!</v>
      </c>
      <c r="N84" s="11" t="e">
        <f>_xlfn.XLOOKUP(Mvt_Inter_entrepot[[#This Row],[Num OF]],#REF!,#REF!,"Non Trouvé")</f>
        <v>#REF!</v>
      </c>
      <c r="O84" s="11" t="e">
        <f>_xlfn.XLOOKUP(Mvt_Inter_entrepot[[#This Row],[Num OF]],#REF!,#REF!,"Non Trouvé")</f>
        <v>#REF!</v>
      </c>
      <c r="P84" s="11" t="e">
        <f>_xlfn.XLOOKUP(Mvt_Inter_entrepot[[#This Row],[Num OF]],#REF!,#REF!,"Non Trouvé")</f>
        <v>#REF!</v>
      </c>
      <c r="Q84" s="11" t="str">
        <f>IF(
   COUNTIFS($A$2:A84,A84,
             $B$2:B84,B84,
             $C$2:C84,C84,
             $D$2:D84,D84,
             $E$2:E84,E84,
             $H$2:H84,H84
             )&gt;1,
   "Doublon",
   "Correcte"
)</f>
        <v>Correcte</v>
      </c>
    </row>
    <row r="85" spans="1:17" x14ac:dyDescent="0.25">
      <c r="A85" s="11" t="s">
        <v>2922</v>
      </c>
      <c r="B85" s="11" t="s">
        <v>1153</v>
      </c>
      <c r="C85" s="11" t="s">
        <v>662</v>
      </c>
      <c r="D85" s="11" t="s">
        <v>1154</v>
      </c>
      <c r="E85" s="11">
        <v>13</v>
      </c>
      <c r="F85" s="11"/>
      <c r="G85" s="11" t="s">
        <v>664</v>
      </c>
      <c r="H85" s="14">
        <v>45915</v>
      </c>
      <c r="I85" s="12">
        <f>-Mvt_Inter_entrepot[[#This Row],[QTE]]</f>
        <v>-13</v>
      </c>
      <c r="J85" s="11" t="s">
        <v>325</v>
      </c>
      <c r="K85" s="11" t="str">
        <f>_xlfn.TEXTBEFORE(Mvt_Inter_entrepot[[#This Row],[Num Suivis]],"-",,,1)</f>
        <v>OF241376</v>
      </c>
      <c r="L85" s="11" t="e">
        <f>_xlfn.XLOOKUP(Mvt_Inter_entrepot[[#This Row],[Num OF]],#REF!,#REF!,"Non Trouvé")</f>
        <v>#REF!</v>
      </c>
      <c r="M85" s="11" t="e">
        <f>_xlfn.XLOOKUP(Mvt_Inter_entrepot[[#This Row],[Num OF]],#REF!,#REF!,"Non Trouvé")</f>
        <v>#REF!</v>
      </c>
      <c r="N85" s="11" t="e">
        <f>_xlfn.XLOOKUP(Mvt_Inter_entrepot[[#This Row],[Num OF]],#REF!,#REF!,"Non Trouvé")</f>
        <v>#REF!</v>
      </c>
      <c r="O85" s="11" t="e">
        <f>_xlfn.XLOOKUP(Mvt_Inter_entrepot[[#This Row],[Num OF]],#REF!,#REF!,"Non Trouvé")</f>
        <v>#REF!</v>
      </c>
      <c r="P85" s="11" t="e">
        <f>_xlfn.XLOOKUP(Mvt_Inter_entrepot[[#This Row],[Num OF]],#REF!,#REF!,"Non Trouvé")</f>
        <v>#REF!</v>
      </c>
      <c r="Q85" s="11" t="str">
        <f>IF(
   COUNTIFS($A$2:A85,A85,
             $B$2:B85,B85,
             $C$2:C85,C85,
             $D$2:D85,D85,
             $E$2:E85,E85,
             $H$2:H85,H85
             )&gt;1,
   "Doublon",
   "Correcte"
)</f>
        <v>Correcte</v>
      </c>
    </row>
    <row r="86" spans="1:17" x14ac:dyDescent="0.25">
      <c r="A86" s="11" t="s">
        <v>2923</v>
      </c>
      <c r="B86" s="11" t="s">
        <v>1153</v>
      </c>
      <c r="C86" s="11" t="s">
        <v>662</v>
      </c>
      <c r="D86" s="11" t="s">
        <v>1154</v>
      </c>
      <c r="E86" s="11">
        <v>3</v>
      </c>
      <c r="F86" s="11"/>
      <c r="G86" s="11" t="s">
        <v>664</v>
      </c>
      <c r="H86" s="14">
        <v>45915</v>
      </c>
      <c r="I86" s="12">
        <f>-Mvt_Inter_entrepot[[#This Row],[QTE]]</f>
        <v>-3</v>
      </c>
      <c r="J86" s="11" t="s">
        <v>326</v>
      </c>
      <c r="K86" s="11" t="str">
        <f>_xlfn.TEXTBEFORE(Mvt_Inter_entrepot[[#This Row],[Num Suivis]],"-",,,1)</f>
        <v>OF241464</v>
      </c>
      <c r="L86" s="11" t="e">
        <f>_xlfn.XLOOKUP(Mvt_Inter_entrepot[[#This Row],[Num OF]],#REF!,#REF!,"Non Trouvé")</f>
        <v>#REF!</v>
      </c>
      <c r="M86" s="11" t="e">
        <f>_xlfn.XLOOKUP(Mvt_Inter_entrepot[[#This Row],[Num OF]],#REF!,#REF!,"Non Trouvé")</f>
        <v>#REF!</v>
      </c>
      <c r="N86" s="11" t="e">
        <f>_xlfn.XLOOKUP(Mvt_Inter_entrepot[[#This Row],[Num OF]],#REF!,#REF!,"Non Trouvé")</f>
        <v>#REF!</v>
      </c>
      <c r="O86" s="11" t="e">
        <f>_xlfn.XLOOKUP(Mvt_Inter_entrepot[[#This Row],[Num OF]],#REF!,#REF!,"Non Trouvé")</f>
        <v>#REF!</v>
      </c>
      <c r="P86" s="11" t="e">
        <f>_xlfn.XLOOKUP(Mvt_Inter_entrepot[[#This Row],[Num OF]],#REF!,#REF!,"Non Trouvé")</f>
        <v>#REF!</v>
      </c>
      <c r="Q86" s="11" t="str">
        <f>IF(
   COUNTIFS($A$2:A86,A86,
             $B$2:B86,B86,
             $C$2:C86,C86,
             $D$2:D86,D86,
             $E$2:E86,E86,
             $H$2:H86,H86
             )&gt;1,
   "Doublon",
   "Correcte"
)</f>
        <v>Correcte</v>
      </c>
    </row>
    <row r="87" spans="1:17" x14ac:dyDescent="0.25">
      <c r="A87" s="11" t="s">
        <v>2924</v>
      </c>
      <c r="B87" s="11" t="s">
        <v>1153</v>
      </c>
      <c r="C87" s="11" t="s">
        <v>662</v>
      </c>
      <c r="D87" s="11" t="s">
        <v>1154</v>
      </c>
      <c r="E87" s="11">
        <v>4</v>
      </c>
      <c r="F87" s="11"/>
      <c r="G87" s="11" t="s">
        <v>664</v>
      </c>
      <c r="H87" s="14">
        <v>45915</v>
      </c>
      <c r="I87" s="12">
        <f>-Mvt_Inter_entrepot[[#This Row],[QTE]]</f>
        <v>-4</v>
      </c>
      <c r="J87" s="11" t="s">
        <v>327</v>
      </c>
      <c r="K87" s="11" t="str">
        <f>_xlfn.TEXTBEFORE(Mvt_Inter_entrepot[[#This Row],[Num Suivis]],"-",,,1)</f>
        <v>OF241536</v>
      </c>
      <c r="L87" s="11" t="e">
        <f>_xlfn.XLOOKUP(Mvt_Inter_entrepot[[#This Row],[Num OF]],#REF!,#REF!,"Non Trouvé")</f>
        <v>#REF!</v>
      </c>
      <c r="M87" s="11" t="e">
        <f>_xlfn.XLOOKUP(Mvt_Inter_entrepot[[#This Row],[Num OF]],#REF!,#REF!,"Non Trouvé")</f>
        <v>#REF!</v>
      </c>
      <c r="N87" s="11" t="e">
        <f>_xlfn.XLOOKUP(Mvt_Inter_entrepot[[#This Row],[Num OF]],#REF!,#REF!,"Non Trouvé")</f>
        <v>#REF!</v>
      </c>
      <c r="O87" s="11" t="e">
        <f>_xlfn.XLOOKUP(Mvt_Inter_entrepot[[#This Row],[Num OF]],#REF!,#REF!,"Non Trouvé")</f>
        <v>#REF!</v>
      </c>
      <c r="P87" s="11" t="e">
        <f>_xlfn.XLOOKUP(Mvt_Inter_entrepot[[#This Row],[Num OF]],#REF!,#REF!,"Non Trouvé")</f>
        <v>#REF!</v>
      </c>
      <c r="Q87" s="11" t="str">
        <f>IF(
   COUNTIFS($A$2:A87,A87,
             $B$2:B87,B87,
             $C$2:C87,C87,
             $D$2:D87,D87,
             $E$2:E87,E87,
             $H$2:H87,H87
             )&gt;1,
   "Doublon",
   "Correcte"
)</f>
        <v>Correcte</v>
      </c>
    </row>
    <row r="88" spans="1:17" x14ac:dyDescent="0.25">
      <c r="A88" s="11" t="s">
        <v>2925</v>
      </c>
      <c r="B88" s="11" t="s">
        <v>1153</v>
      </c>
      <c r="C88" s="11" t="s">
        <v>662</v>
      </c>
      <c r="D88" s="11" t="s">
        <v>1154</v>
      </c>
      <c r="E88" s="11">
        <v>1</v>
      </c>
      <c r="F88" s="11"/>
      <c r="G88" s="11" t="s">
        <v>664</v>
      </c>
      <c r="H88" s="14">
        <v>45915</v>
      </c>
      <c r="I88" s="12">
        <f>-Mvt_Inter_entrepot[[#This Row],[QTE]]</f>
        <v>-1</v>
      </c>
      <c r="J88" s="11" t="s">
        <v>138</v>
      </c>
      <c r="K88" s="11" t="str">
        <f>_xlfn.TEXTBEFORE(Mvt_Inter_entrepot[[#This Row],[Num Suivis]],"-",,,1)</f>
        <v>OF241766</v>
      </c>
      <c r="L88" s="11" t="e">
        <f>_xlfn.XLOOKUP(Mvt_Inter_entrepot[[#This Row],[Num OF]],#REF!,#REF!,"Non Trouvé")</f>
        <v>#REF!</v>
      </c>
      <c r="M88" s="11" t="e">
        <f>_xlfn.XLOOKUP(Mvt_Inter_entrepot[[#This Row],[Num OF]],#REF!,#REF!,"Non Trouvé")</f>
        <v>#REF!</v>
      </c>
      <c r="N88" s="11" t="e">
        <f>_xlfn.XLOOKUP(Mvt_Inter_entrepot[[#This Row],[Num OF]],#REF!,#REF!,"Non Trouvé")</f>
        <v>#REF!</v>
      </c>
      <c r="O88" s="11" t="e">
        <f>_xlfn.XLOOKUP(Mvt_Inter_entrepot[[#This Row],[Num OF]],#REF!,#REF!,"Non Trouvé")</f>
        <v>#REF!</v>
      </c>
      <c r="P88" s="11" t="e">
        <f>_xlfn.XLOOKUP(Mvt_Inter_entrepot[[#This Row],[Num OF]],#REF!,#REF!,"Non Trouvé")</f>
        <v>#REF!</v>
      </c>
      <c r="Q88" s="11" t="str">
        <f>IF(
   COUNTIFS($A$2:A88,A88,
             $B$2:B88,B88,
             $C$2:C88,C88,
             $D$2:D88,D88,
             $E$2:E88,E88,
             $H$2:H88,H88
             )&gt;1,
   "Doublon",
   "Correcte"
)</f>
        <v>Correcte</v>
      </c>
    </row>
    <row r="89" spans="1:17" x14ac:dyDescent="0.25">
      <c r="A89" s="11" t="s">
        <v>2926</v>
      </c>
      <c r="B89" s="11" t="s">
        <v>1153</v>
      </c>
      <c r="C89" s="11" t="s">
        <v>662</v>
      </c>
      <c r="D89" s="11" t="s">
        <v>1154</v>
      </c>
      <c r="E89" s="11">
        <v>1</v>
      </c>
      <c r="F89" s="11"/>
      <c r="G89" s="11" t="s">
        <v>664</v>
      </c>
      <c r="H89" s="14">
        <v>45915</v>
      </c>
      <c r="I89" s="12">
        <f>-Mvt_Inter_entrepot[[#This Row],[QTE]]</f>
        <v>-1</v>
      </c>
      <c r="J89" s="11" t="s">
        <v>139</v>
      </c>
      <c r="K89" s="11" t="str">
        <f>_xlfn.TEXTBEFORE(Mvt_Inter_entrepot[[#This Row],[Num Suivis]],"-",,,1)</f>
        <v>OF241768</v>
      </c>
      <c r="L89" s="11" t="e">
        <f>_xlfn.XLOOKUP(Mvt_Inter_entrepot[[#This Row],[Num OF]],#REF!,#REF!,"Non Trouvé")</f>
        <v>#REF!</v>
      </c>
      <c r="M89" s="11" t="e">
        <f>_xlfn.XLOOKUP(Mvt_Inter_entrepot[[#This Row],[Num OF]],#REF!,#REF!,"Non Trouvé")</f>
        <v>#REF!</v>
      </c>
      <c r="N89" s="11" t="e">
        <f>_xlfn.XLOOKUP(Mvt_Inter_entrepot[[#This Row],[Num OF]],#REF!,#REF!,"Non Trouvé")</f>
        <v>#REF!</v>
      </c>
      <c r="O89" s="11" t="e">
        <f>_xlfn.XLOOKUP(Mvt_Inter_entrepot[[#This Row],[Num OF]],#REF!,#REF!,"Non Trouvé")</f>
        <v>#REF!</v>
      </c>
      <c r="P89" s="11" t="e">
        <f>_xlfn.XLOOKUP(Mvt_Inter_entrepot[[#This Row],[Num OF]],#REF!,#REF!,"Non Trouvé")</f>
        <v>#REF!</v>
      </c>
      <c r="Q89" s="11" t="str">
        <f>IF(
   COUNTIFS($A$2:A89,A89,
             $B$2:B89,B89,
             $C$2:C89,C89,
             $D$2:D89,D89,
             $E$2:E89,E89,
             $H$2:H89,H89
             )&gt;1,
   "Doublon",
   "Correcte"
)</f>
        <v>Correcte</v>
      </c>
    </row>
    <row r="90" spans="1:17" x14ac:dyDescent="0.25">
      <c r="A90" s="11" t="s">
        <v>2927</v>
      </c>
      <c r="B90" s="11" t="s">
        <v>1153</v>
      </c>
      <c r="C90" s="11" t="s">
        <v>662</v>
      </c>
      <c r="D90" s="11" t="s">
        <v>1154</v>
      </c>
      <c r="E90" s="11">
        <v>2</v>
      </c>
      <c r="F90" s="11"/>
      <c r="G90" s="11" t="s">
        <v>664</v>
      </c>
      <c r="H90" s="14">
        <v>45915</v>
      </c>
      <c r="I90" s="12">
        <f>-Mvt_Inter_entrepot[[#This Row],[QTE]]</f>
        <v>-2</v>
      </c>
      <c r="J90" s="11" t="s">
        <v>140</v>
      </c>
      <c r="K90" s="11" t="str">
        <f>_xlfn.TEXTBEFORE(Mvt_Inter_entrepot[[#This Row],[Num Suivis]],"-",,,1)</f>
        <v>OF241769</v>
      </c>
      <c r="L90" s="11" t="e">
        <f>_xlfn.XLOOKUP(Mvt_Inter_entrepot[[#This Row],[Num OF]],#REF!,#REF!,"Non Trouvé")</f>
        <v>#REF!</v>
      </c>
      <c r="M90" s="11" t="e">
        <f>_xlfn.XLOOKUP(Mvt_Inter_entrepot[[#This Row],[Num OF]],#REF!,#REF!,"Non Trouvé")</f>
        <v>#REF!</v>
      </c>
      <c r="N90" s="11" t="e">
        <f>_xlfn.XLOOKUP(Mvt_Inter_entrepot[[#This Row],[Num OF]],#REF!,#REF!,"Non Trouvé")</f>
        <v>#REF!</v>
      </c>
      <c r="O90" s="11" t="e">
        <f>_xlfn.XLOOKUP(Mvt_Inter_entrepot[[#This Row],[Num OF]],#REF!,#REF!,"Non Trouvé")</f>
        <v>#REF!</v>
      </c>
      <c r="P90" s="11" t="e">
        <f>_xlfn.XLOOKUP(Mvt_Inter_entrepot[[#This Row],[Num OF]],#REF!,#REF!,"Non Trouvé")</f>
        <v>#REF!</v>
      </c>
      <c r="Q90" s="11" t="str">
        <f>IF(
   COUNTIFS($A$2:A90,A90,
             $B$2:B90,B90,
             $C$2:C90,C90,
             $D$2:D90,D90,
             $E$2:E90,E90,
             $H$2:H90,H90
             )&gt;1,
   "Doublon",
   "Correcte"
)</f>
        <v>Correcte</v>
      </c>
    </row>
    <row r="91" spans="1:17" x14ac:dyDescent="0.25">
      <c r="A91" s="11" t="s">
        <v>2928</v>
      </c>
      <c r="B91" s="11" t="s">
        <v>1153</v>
      </c>
      <c r="C91" s="11" t="s">
        <v>662</v>
      </c>
      <c r="D91" s="11" t="s">
        <v>1154</v>
      </c>
      <c r="E91" s="11">
        <v>2</v>
      </c>
      <c r="F91" s="11"/>
      <c r="G91" s="11" t="s">
        <v>664</v>
      </c>
      <c r="H91" s="14">
        <v>45915</v>
      </c>
      <c r="I91" s="12">
        <f>-Mvt_Inter_entrepot[[#This Row],[QTE]]</f>
        <v>-2</v>
      </c>
      <c r="J91" s="11" t="s">
        <v>141</v>
      </c>
      <c r="K91" s="11" t="str">
        <f>_xlfn.TEXTBEFORE(Mvt_Inter_entrepot[[#This Row],[Num Suivis]],"-",,,1)</f>
        <v>OF241770</v>
      </c>
      <c r="L91" s="11" t="e">
        <f>_xlfn.XLOOKUP(Mvt_Inter_entrepot[[#This Row],[Num OF]],#REF!,#REF!,"Non Trouvé")</f>
        <v>#REF!</v>
      </c>
      <c r="M91" s="11" t="e">
        <f>_xlfn.XLOOKUP(Mvt_Inter_entrepot[[#This Row],[Num OF]],#REF!,#REF!,"Non Trouvé")</f>
        <v>#REF!</v>
      </c>
      <c r="N91" s="11" t="e">
        <f>_xlfn.XLOOKUP(Mvt_Inter_entrepot[[#This Row],[Num OF]],#REF!,#REF!,"Non Trouvé")</f>
        <v>#REF!</v>
      </c>
      <c r="O91" s="11" t="e">
        <f>_xlfn.XLOOKUP(Mvt_Inter_entrepot[[#This Row],[Num OF]],#REF!,#REF!,"Non Trouvé")</f>
        <v>#REF!</v>
      </c>
      <c r="P91" s="11" t="e">
        <f>_xlfn.XLOOKUP(Mvt_Inter_entrepot[[#This Row],[Num OF]],#REF!,#REF!,"Non Trouvé")</f>
        <v>#REF!</v>
      </c>
      <c r="Q91" s="11" t="str">
        <f>IF(
   COUNTIFS($A$2:A91,A91,
             $B$2:B91,B91,
             $C$2:C91,C91,
             $D$2:D91,D91,
             $E$2:E91,E91,
             $H$2:H91,H91
             )&gt;1,
   "Doublon",
   "Correcte"
)</f>
        <v>Correcte</v>
      </c>
    </row>
    <row r="92" spans="1:17" x14ac:dyDescent="0.25">
      <c r="A92" s="11" t="s">
        <v>2929</v>
      </c>
      <c r="B92" s="11" t="s">
        <v>1153</v>
      </c>
      <c r="C92" s="11" t="s">
        <v>662</v>
      </c>
      <c r="D92" s="11" t="s">
        <v>1154</v>
      </c>
      <c r="E92" s="11">
        <v>3</v>
      </c>
      <c r="F92" s="11"/>
      <c r="G92" s="11" t="s">
        <v>664</v>
      </c>
      <c r="H92" s="14">
        <v>45915</v>
      </c>
      <c r="I92" s="12">
        <f>-Mvt_Inter_entrepot[[#This Row],[QTE]]</f>
        <v>-3</v>
      </c>
      <c r="J92" s="11" t="s">
        <v>142</v>
      </c>
      <c r="K92" s="11" t="str">
        <f>_xlfn.TEXTBEFORE(Mvt_Inter_entrepot[[#This Row],[Num Suivis]],"-",,,1)</f>
        <v>OF241771</v>
      </c>
      <c r="L92" s="11" t="e">
        <f>_xlfn.XLOOKUP(Mvt_Inter_entrepot[[#This Row],[Num OF]],#REF!,#REF!,"Non Trouvé")</f>
        <v>#REF!</v>
      </c>
      <c r="M92" s="11" t="e">
        <f>_xlfn.XLOOKUP(Mvt_Inter_entrepot[[#This Row],[Num OF]],#REF!,#REF!,"Non Trouvé")</f>
        <v>#REF!</v>
      </c>
      <c r="N92" s="11" t="e">
        <f>_xlfn.XLOOKUP(Mvt_Inter_entrepot[[#This Row],[Num OF]],#REF!,#REF!,"Non Trouvé")</f>
        <v>#REF!</v>
      </c>
      <c r="O92" s="11" t="e">
        <f>_xlfn.XLOOKUP(Mvt_Inter_entrepot[[#This Row],[Num OF]],#REF!,#REF!,"Non Trouvé")</f>
        <v>#REF!</v>
      </c>
      <c r="P92" s="11" t="e">
        <f>_xlfn.XLOOKUP(Mvt_Inter_entrepot[[#This Row],[Num OF]],#REF!,#REF!,"Non Trouvé")</f>
        <v>#REF!</v>
      </c>
      <c r="Q92" s="11" t="str">
        <f>IF(
   COUNTIFS($A$2:A92,A92,
             $B$2:B92,B92,
             $C$2:C92,C92,
             $D$2:D92,D92,
             $E$2:E92,E92,
             $H$2:H92,H92
             )&gt;1,
   "Doublon",
   "Correcte"
)</f>
        <v>Correcte</v>
      </c>
    </row>
    <row r="93" spans="1:17" x14ac:dyDescent="0.25">
      <c r="A93" s="11" t="s">
        <v>2930</v>
      </c>
      <c r="B93" s="11" t="s">
        <v>1153</v>
      </c>
      <c r="C93" s="11" t="s">
        <v>662</v>
      </c>
      <c r="D93" s="11" t="s">
        <v>1154</v>
      </c>
      <c r="E93" s="11">
        <v>1</v>
      </c>
      <c r="F93" s="11"/>
      <c r="G93" s="11" t="s">
        <v>664</v>
      </c>
      <c r="H93" s="14">
        <v>45915</v>
      </c>
      <c r="I93" s="12">
        <f>-Mvt_Inter_entrepot[[#This Row],[QTE]]</f>
        <v>-1</v>
      </c>
      <c r="J93" s="11" t="s">
        <v>143</v>
      </c>
      <c r="K93" s="11" t="str">
        <f>_xlfn.TEXTBEFORE(Mvt_Inter_entrepot[[#This Row],[Num Suivis]],"-",,,1)</f>
        <v>OF241778</v>
      </c>
      <c r="L93" s="11" t="e">
        <f>_xlfn.XLOOKUP(Mvt_Inter_entrepot[[#This Row],[Num OF]],#REF!,#REF!,"Non Trouvé")</f>
        <v>#REF!</v>
      </c>
      <c r="M93" s="11" t="e">
        <f>_xlfn.XLOOKUP(Mvt_Inter_entrepot[[#This Row],[Num OF]],#REF!,#REF!,"Non Trouvé")</f>
        <v>#REF!</v>
      </c>
      <c r="N93" s="11" t="e">
        <f>_xlfn.XLOOKUP(Mvt_Inter_entrepot[[#This Row],[Num OF]],#REF!,#REF!,"Non Trouvé")</f>
        <v>#REF!</v>
      </c>
      <c r="O93" s="11" t="e">
        <f>_xlfn.XLOOKUP(Mvt_Inter_entrepot[[#This Row],[Num OF]],#REF!,#REF!,"Non Trouvé")</f>
        <v>#REF!</v>
      </c>
      <c r="P93" s="11" t="e">
        <f>_xlfn.XLOOKUP(Mvt_Inter_entrepot[[#This Row],[Num OF]],#REF!,#REF!,"Non Trouvé")</f>
        <v>#REF!</v>
      </c>
      <c r="Q93" s="11" t="str">
        <f>IF(
   COUNTIFS($A$2:A93,A93,
             $B$2:B93,B93,
             $C$2:C93,C93,
             $D$2:D93,D93,
             $E$2:E93,E93,
             $H$2:H93,H93
             )&gt;1,
   "Doublon",
   "Correcte"
)</f>
        <v>Correcte</v>
      </c>
    </row>
    <row r="94" spans="1:17" x14ac:dyDescent="0.25">
      <c r="A94" s="11" t="s">
        <v>2931</v>
      </c>
      <c r="B94" s="11" t="s">
        <v>1153</v>
      </c>
      <c r="C94" s="11" t="s">
        <v>662</v>
      </c>
      <c r="D94" s="11" t="s">
        <v>1154</v>
      </c>
      <c r="E94" s="11">
        <v>1</v>
      </c>
      <c r="F94" s="11"/>
      <c r="G94" s="11" t="s">
        <v>664</v>
      </c>
      <c r="H94" s="14">
        <v>45915</v>
      </c>
      <c r="I94" s="12">
        <f>-Mvt_Inter_entrepot[[#This Row],[QTE]]</f>
        <v>-1</v>
      </c>
      <c r="J94" s="11" t="s">
        <v>144</v>
      </c>
      <c r="K94" s="11" t="str">
        <f>_xlfn.TEXTBEFORE(Mvt_Inter_entrepot[[#This Row],[Num Suivis]],"-",,,1)</f>
        <v>OF241780</v>
      </c>
      <c r="L94" s="11" t="e">
        <f>_xlfn.XLOOKUP(Mvt_Inter_entrepot[[#This Row],[Num OF]],#REF!,#REF!,"Non Trouvé")</f>
        <v>#REF!</v>
      </c>
      <c r="M94" s="11" t="e">
        <f>_xlfn.XLOOKUP(Mvt_Inter_entrepot[[#This Row],[Num OF]],#REF!,#REF!,"Non Trouvé")</f>
        <v>#REF!</v>
      </c>
      <c r="N94" s="11" t="e">
        <f>_xlfn.XLOOKUP(Mvt_Inter_entrepot[[#This Row],[Num OF]],#REF!,#REF!,"Non Trouvé")</f>
        <v>#REF!</v>
      </c>
      <c r="O94" s="11" t="e">
        <f>_xlfn.XLOOKUP(Mvt_Inter_entrepot[[#This Row],[Num OF]],#REF!,#REF!,"Non Trouvé")</f>
        <v>#REF!</v>
      </c>
      <c r="P94" s="11" t="e">
        <f>_xlfn.XLOOKUP(Mvt_Inter_entrepot[[#This Row],[Num OF]],#REF!,#REF!,"Non Trouvé")</f>
        <v>#REF!</v>
      </c>
      <c r="Q94" s="11" t="str">
        <f>IF(
   COUNTIFS($A$2:A94,A94,
             $B$2:B94,B94,
             $C$2:C94,C94,
             $D$2:D94,D94,
             $E$2:E94,E94,
             $H$2:H94,H94
             )&gt;1,
   "Doublon",
   "Correcte"
)</f>
        <v>Correcte</v>
      </c>
    </row>
    <row r="95" spans="1:17" x14ac:dyDescent="0.25">
      <c r="A95" s="11" t="s">
        <v>2932</v>
      </c>
      <c r="B95" s="11" t="s">
        <v>1153</v>
      </c>
      <c r="C95" s="11" t="s">
        <v>662</v>
      </c>
      <c r="D95" s="11" t="s">
        <v>1154</v>
      </c>
      <c r="E95" s="11">
        <v>1</v>
      </c>
      <c r="F95" s="11"/>
      <c r="G95" s="11" t="s">
        <v>664</v>
      </c>
      <c r="H95" s="14">
        <v>45915</v>
      </c>
      <c r="I95" s="12">
        <f>-Mvt_Inter_entrepot[[#This Row],[QTE]]</f>
        <v>-1</v>
      </c>
      <c r="J95" s="11" t="s">
        <v>145</v>
      </c>
      <c r="K95" s="11" t="str">
        <f>_xlfn.TEXTBEFORE(Mvt_Inter_entrepot[[#This Row],[Num Suivis]],"-",,,1)</f>
        <v>OF241794</v>
      </c>
      <c r="L95" s="11" t="e">
        <f>_xlfn.XLOOKUP(Mvt_Inter_entrepot[[#This Row],[Num OF]],#REF!,#REF!,"Non Trouvé")</f>
        <v>#REF!</v>
      </c>
      <c r="M95" s="11" t="e">
        <f>_xlfn.XLOOKUP(Mvt_Inter_entrepot[[#This Row],[Num OF]],#REF!,#REF!,"Non Trouvé")</f>
        <v>#REF!</v>
      </c>
      <c r="N95" s="11" t="e">
        <f>_xlfn.XLOOKUP(Mvt_Inter_entrepot[[#This Row],[Num OF]],#REF!,#REF!,"Non Trouvé")</f>
        <v>#REF!</v>
      </c>
      <c r="O95" s="11" t="e">
        <f>_xlfn.XLOOKUP(Mvt_Inter_entrepot[[#This Row],[Num OF]],#REF!,#REF!,"Non Trouvé")</f>
        <v>#REF!</v>
      </c>
      <c r="P95" s="11" t="e">
        <f>_xlfn.XLOOKUP(Mvt_Inter_entrepot[[#This Row],[Num OF]],#REF!,#REF!,"Non Trouvé")</f>
        <v>#REF!</v>
      </c>
      <c r="Q95" s="11" t="str">
        <f>IF(
   COUNTIFS($A$2:A95,A95,
             $B$2:B95,B95,
             $C$2:C95,C95,
             $D$2:D95,D95,
             $E$2:E95,E95,
             $H$2:H95,H95
             )&gt;1,
   "Doublon",
   "Correcte"
)</f>
        <v>Correcte</v>
      </c>
    </row>
    <row r="96" spans="1:17" x14ac:dyDescent="0.25">
      <c r="A96" s="11" t="s">
        <v>2933</v>
      </c>
      <c r="B96" s="11" t="s">
        <v>1153</v>
      </c>
      <c r="C96" s="11" t="s">
        <v>662</v>
      </c>
      <c r="D96" s="11" t="s">
        <v>1154</v>
      </c>
      <c r="E96" s="11">
        <v>2</v>
      </c>
      <c r="F96" s="11"/>
      <c r="G96" s="11" t="s">
        <v>664</v>
      </c>
      <c r="H96" s="14">
        <v>45915</v>
      </c>
      <c r="I96" s="12">
        <f>-Mvt_Inter_entrepot[[#This Row],[QTE]]</f>
        <v>-2</v>
      </c>
      <c r="J96" s="11" t="s">
        <v>328</v>
      </c>
      <c r="K96" s="11" t="str">
        <f>_xlfn.TEXTBEFORE(Mvt_Inter_entrepot[[#This Row],[Num Suivis]],"-",,,1)</f>
        <v>OF241946</v>
      </c>
      <c r="L96" s="11" t="e">
        <f>_xlfn.XLOOKUP(Mvt_Inter_entrepot[[#This Row],[Num OF]],#REF!,#REF!,"Non Trouvé")</f>
        <v>#REF!</v>
      </c>
      <c r="M96" s="11" t="e">
        <f>_xlfn.XLOOKUP(Mvt_Inter_entrepot[[#This Row],[Num OF]],#REF!,#REF!,"Non Trouvé")</f>
        <v>#REF!</v>
      </c>
      <c r="N96" s="11" t="e">
        <f>_xlfn.XLOOKUP(Mvt_Inter_entrepot[[#This Row],[Num OF]],#REF!,#REF!,"Non Trouvé")</f>
        <v>#REF!</v>
      </c>
      <c r="O96" s="11" t="e">
        <f>_xlfn.XLOOKUP(Mvt_Inter_entrepot[[#This Row],[Num OF]],#REF!,#REF!,"Non Trouvé")</f>
        <v>#REF!</v>
      </c>
      <c r="P96" s="11" t="e">
        <f>_xlfn.XLOOKUP(Mvt_Inter_entrepot[[#This Row],[Num OF]],#REF!,#REF!,"Non Trouvé")</f>
        <v>#REF!</v>
      </c>
      <c r="Q96" s="11" t="str">
        <f>IF(
   COUNTIFS($A$2:A96,A96,
             $B$2:B96,B96,
             $C$2:C96,C96,
             $D$2:D96,D96,
             $E$2:E96,E96,
             $H$2:H96,H96
             )&gt;1,
   "Doublon",
   "Correcte"
)</f>
        <v>Correcte</v>
      </c>
    </row>
    <row r="97" spans="1:17" x14ac:dyDescent="0.25">
      <c r="A97" s="11" t="s">
        <v>2934</v>
      </c>
      <c r="B97" s="11" t="s">
        <v>1153</v>
      </c>
      <c r="C97" s="11" t="s">
        <v>662</v>
      </c>
      <c r="D97" s="11" t="s">
        <v>1154</v>
      </c>
      <c r="E97" s="11">
        <v>1</v>
      </c>
      <c r="F97" s="11"/>
      <c r="G97" s="11" t="s">
        <v>664</v>
      </c>
      <c r="H97" s="14">
        <v>45915</v>
      </c>
      <c r="I97" s="12">
        <f>-Mvt_Inter_entrepot[[#This Row],[QTE]]</f>
        <v>-1</v>
      </c>
      <c r="J97" s="11" t="s">
        <v>329</v>
      </c>
      <c r="K97" s="11" t="str">
        <f>_xlfn.TEXTBEFORE(Mvt_Inter_entrepot[[#This Row],[Num Suivis]],"-",,,1)</f>
        <v>OF241947</v>
      </c>
      <c r="L97" s="11" t="e">
        <f>_xlfn.XLOOKUP(Mvt_Inter_entrepot[[#This Row],[Num OF]],#REF!,#REF!,"Non Trouvé")</f>
        <v>#REF!</v>
      </c>
      <c r="M97" s="11" t="e">
        <f>_xlfn.XLOOKUP(Mvt_Inter_entrepot[[#This Row],[Num OF]],#REF!,#REF!,"Non Trouvé")</f>
        <v>#REF!</v>
      </c>
      <c r="N97" s="11" t="e">
        <f>_xlfn.XLOOKUP(Mvt_Inter_entrepot[[#This Row],[Num OF]],#REF!,#REF!,"Non Trouvé")</f>
        <v>#REF!</v>
      </c>
      <c r="O97" s="11" t="e">
        <f>_xlfn.XLOOKUP(Mvt_Inter_entrepot[[#This Row],[Num OF]],#REF!,#REF!,"Non Trouvé")</f>
        <v>#REF!</v>
      </c>
      <c r="P97" s="11" t="e">
        <f>_xlfn.XLOOKUP(Mvt_Inter_entrepot[[#This Row],[Num OF]],#REF!,#REF!,"Non Trouvé")</f>
        <v>#REF!</v>
      </c>
      <c r="Q97" s="11" t="str">
        <f>IF(
   COUNTIFS($A$2:A97,A97,
             $B$2:B97,B97,
             $C$2:C97,C97,
             $D$2:D97,D97,
             $E$2:E97,E97,
             $H$2:H97,H97
             )&gt;1,
   "Doublon",
   "Correcte"
)</f>
        <v>Correcte</v>
      </c>
    </row>
    <row r="98" spans="1:17" x14ac:dyDescent="0.25">
      <c r="A98" s="11" t="s">
        <v>2935</v>
      </c>
      <c r="B98" s="11" t="s">
        <v>1153</v>
      </c>
      <c r="C98" s="11" t="s">
        <v>662</v>
      </c>
      <c r="D98" s="11" t="s">
        <v>1154</v>
      </c>
      <c r="E98" s="11">
        <v>1</v>
      </c>
      <c r="F98" s="11"/>
      <c r="G98" s="11" t="s">
        <v>664</v>
      </c>
      <c r="H98" s="14">
        <v>45915</v>
      </c>
      <c r="I98" s="12">
        <f>-Mvt_Inter_entrepot[[#This Row],[QTE]]</f>
        <v>-1</v>
      </c>
      <c r="J98" s="11" t="s">
        <v>330</v>
      </c>
      <c r="K98" s="11" t="str">
        <f>_xlfn.TEXTBEFORE(Mvt_Inter_entrepot[[#This Row],[Num Suivis]],"-",,,1)</f>
        <v>OF242019</v>
      </c>
      <c r="L98" s="11" t="e">
        <f>_xlfn.XLOOKUP(Mvt_Inter_entrepot[[#This Row],[Num OF]],#REF!,#REF!,"Non Trouvé")</f>
        <v>#REF!</v>
      </c>
      <c r="M98" s="11" t="e">
        <f>_xlfn.XLOOKUP(Mvt_Inter_entrepot[[#This Row],[Num OF]],#REF!,#REF!,"Non Trouvé")</f>
        <v>#REF!</v>
      </c>
      <c r="N98" s="11" t="e">
        <f>_xlfn.XLOOKUP(Mvt_Inter_entrepot[[#This Row],[Num OF]],#REF!,#REF!,"Non Trouvé")</f>
        <v>#REF!</v>
      </c>
      <c r="O98" s="11" t="e">
        <f>_xlfn.XLOOKUP(Mvt_Inter_entrepot[[#This Row],[Num OF]],#REF!,#REF!,"Non Trouvé")</f>
        <v>#REF!</v>
      </c>
      <c r="P98" s="11" t="e">
        <f>_xlfn.XLOOKUP(Mvt_Inter_entrepot[[#This Row],[Num OF]],#REF!,#REF!,"Non Trouvé")</f>
        <v>#REF!</v>
      </c>
      <c r="Q98" s="11" t="str">
        <f>IF(
   COUNTIFS($A$2:A98,A98,
             $B$2:B98,B98,
             $C$2:C98,C98,
             $D$2:D98,D98,
             $E$2:E98,E98,
             $H$2:H98,H98
             )&gt;1,
   "Doublon",
   "Correcte"
)</f>
        <v>Correcte</v>
      </c>
    </row>
    <row r="99" spans="1:17" x14ac:dyDescent="0.25">
      <c r="A99" s="11" t="s">
        <v>2936</v>
      </c>
      <c r="B99" s="11" t="s">
        <v>1153</v>
      </c>
      <c r="C99" s="11" t="s">
        <v>662</v>
      </c>
      <c r="D99" s="11" t="s">
        <v>1154</v>
      </c>
      <c r="E99" s="11">
        <v>82</v>
      </c>
      <c r="F99" s="11"/>
      <c r="G99" s="11" t="s">
        <v>664</v>
      </c>
      <c r="H99" s="14">
        <v>45915</v>
      </c>
      <c r="I99" s="12">
        <f>-Mvt_Inter_entrepot[[#This Row],[QTE]]</f>
        <v>-82</v>
      </c>
      <c r="J99" s="11" t="s">
        <v>146</v>
      </c>
      <c r="K99" s="11" t="str">
        <f>_xlfn.TEXTBEFORE(Mvt_Inter_entrepot[[#This Row],[Num Suivis]],"-",,,1)</f>
        <v>OF242087</v>
      </c>
      <c r="L99" s="11" t="e">
        <f>_xlfn.XLOOKUP(Mvt_Inter_entrepot[[#This Row],[Num OF]],#REF!,#REF!,"Non Trouvé")</f>
        <v>#REF!</v>
      </c>
      <c r="M99" s="11" t="e">
        <f>_xlfn.XLOOKUP(Mvt_Inter_entrepot[[#This Row],[Num OF]],#REF!,#REF!,"Non Trouvé")</f>
        <v>#REF!</v>
      </c>
      <c r="N99" s="11" t="e">
        <f>_xlfn.XLOOKUP(Mvt_Inter_entrepot[[#This Row],[Num OF]],#REF!,#REF!,"Non Trouvé")</f>
        <v>#REF!</v>
      </c>
      <c r="O99" s="11" t="e">
        <f>_xlfn.XLOOKUP(Mvt_Inter_entrepot[[#This Row],[Num OF]],#REF!,#REF!,"Non Trouvé")</f>
        <v>#REF!</v>
      </c>
      <c r="P99" s="11" t="e">
        <f>_xlfn.XLOOKUP(Mvt_Inter_entrepot[[#This Row],[Num OF]],#REF!,#REF!,"Non Trouvé")</f>
        <v>#REF!</v>
      </c>
      <c r="Q99" s="11" t="str">
        <f>IF(
   COUNTIFS($A$2:A99,A99,
             $B$2:B99,B99,
             $C$2:C99,C99,
             $D$2:D99,D99,
             $E$2:E99,E99,
             $H$2:H99,H99
             )&gt;1,
   "Doublon",
   "Correcte"
)</f>
        <v>Correcte</v>
      </c>
    </row>
    <row r="100" spans="1:17" x14ac:dyDescent="0.25">
      <c r="A100" s="11" t="s">
        <v>2937</v>
      </c>
      <c r="B100" s="11" t="s">
        <v>1153</v>
      </c>
      <c r="C100" s="11" t="s">
        <v>662</v>
      </c>
      <c r="D100" s="11" t="s">
        <v>1154</v>
      </c>
      <c r="E100" s="11">
        <v>66</v>
      </c>
      <c r="F100" s="11"/>
      <c r="G100" s="11" t="s">
        <v>664</v>
      </c>
      <c r="H100" s="14">
        <v>45915</v>
      </c>
      <c r="I100" s="12">
        <f>-Mvt_Inter_entrepot[[#This Row],[QTE]]</f>
        <v>-66</v>
      </c>
      <c r="J100" s="11" t="s">
        <v>147</v>
      </c>
      <c r="K100" s="11" t="str">
        <f>_xlfn.TEXTBEFORE(Mvt_Inter_entrepot[[#This Row],[Num Suivis]],"-",,,1)</f>
        <v>OF242088</v>
      </c>
      <c r="L100" s="11" t="e">
        <f>_xlfn.XLOOKUP(Mvt_Inter_entrepot[[#This Row],[Num OF]],#REF!,#REF!,"Non Trouvé")</f>
        <v>#REF!</v>
      </c>
      <c r="M100" s="11" t="e">
        <f>_xlfn.XLOOKUP(Mvt_Inter_entrepot[[#This Row],[Num OF]],#REF!,#REF!,"Non Trouvé")</f>
        <v>#REF!</v>
      </c>
      <c r="N100" s="11" t="e">
        <f>_xlfn.XLOOKUP(Mvt_Inter_entrepot[[#This Row],[Num OF]],#REF!,#REF!,"Non Trouvé")</f>
        <v>#REF!</v>
      </c>
      <c r="O100" s="11" t="e">
        <f>_xlfn.XLOOKUP(Mvt_Inter_entrepot[[#This Row],[Num OF]],#REF!,#REF!,"Non Trouvé")</f>
        <v>#REF!</v>
      </c>
      <c r="P100" s="11" t="e">
        <f>_xlfn.XLOOKUP(Mvt_Inter_entrepot[[#This Row],[Num OF]],#REF!,#REF!,"Non Trouvé")</f>
        <v>#REF!</v>
      </c>
      <c r="Q100" s="11" t="str">
        <f>IF(
   COUNTIFS($A$2:A100,A100,
             $B$2:B100,B100,
             $C$2:C100,C100,
             $D$2:D100,D100,
             $E$2:E100,E100,
             $H$2:H100,H100
             )&gt;1,
   "Doublon",
   "Correcte"
)</f>
        <v>Correcte</v>
      </c>
    </row>
    <row r="101" spans="1:17" x14ac:dyDescent="0.25">
      <c r="A101" s="11" t="s">
        <v>2938</v>
      </c>
      <c r="B101" s="11" t="s">
        <v>1153</v>
      </c>
      <c r="C101" s="11" t="s">
        <v>662</v>
      </c>
      <c r="D101" s="11" t="s">
        <v>1154</v>
      </c>
      <c r="E101" s="11">
        <v>127</v>
      </c>
      <c r="F101" s="11"/>
      <c r="G101" s="11" t="s">
        <v>664</v>
      </c>
      <c r="H101" s="14">
        <v>45915</v>
      </c>
      <c r="I101" s="12">
        <f>-Mvt_Inter_entrepot[[#This Row],[QTE]]</f>
        <v>-127</v>
      </c>
      <c r="J101" s="11" t="s">
        <v>148</v>
      </c>
      <c r="K101" s="11" t="str">
        <f>_xlfn.TEXTBEFORE(Mvt_Inter_entrepot[[#This Row],[Num Suivis]],"-",,,1)</f>
        <v>OF242089</v>
      </c>
      <c r="L101" s="11" t="e">
        <f>_xlfn.XLOOKUP(Mvt_Inter_entrepot[[#This Row],[Num OF]],#REF!,#REF!,"Non Trouvé")</f>
        <v>#REF!</v>
      </c>
      <c r="M101" s="11" t="e">
        <f>_xlfn.XLOOKUP(Mvt_Inter_entrepot[[#This Row],[Num OF]],#REF!,#REF!,"Non Trouvé")</f>
        <v>#REF!</v>
      </c>
      <c r="N101" s="11" t="e">
        <f>_xlfn.XLOOKUP(Mvt_Inter_entrepot[[#This Row],[Num OF]],#REF!,#REF!,"Non Trouvé")</f>
        <v>#REF!</v>
      </c>
      <c r="O101" s="11" t="e">
        <f>_xlfn.XLOOKUP(Mvt_Inter_entrepot[[#This Row],[Num OF]],#REF!,#REF!,"Non Trouvé")</f>
        <v>#REF!</v>
      </c>
      <c r="P101" s="11" t="e">
        <f>_xlfn.XLOOKUP(Mvt_Inter_entrepot[[#This Row],[Num OF]],#REF!,#REF!,"Non Trouvé")</f>
        <v>#REF!</v>
      </c>
      <c r="Q101" s="11" t="str">
        <f>IF(
   COUNTIFS($A$2:A101,A101,
             $B$2:B101,B101,
             $C$2:C101,C101,
             $D$2:D101,D101,
             $E$2:E101,E101,
             $H$2:H101,H101
             )&gt;1,
   "Doublon",
   "Correcte"
)</f>
        <v>Correcte</v>
      </c>
    </row>
    <row r="102" spans="1:17" x14ac:dyDescent="0.25">
      <c r="A102" s="11" t="s">
        <v>2939</v>
      </c>
      <c r="B102" s="11" t="s">
        <v>1153</v>
      </c>
      <c r="C102" s="11" t="s">
        <v>662</v>
      </c>
      <c r="D102" s="11" t="s">
        <v>1154</v>
      </c>
      <c r="E102" s="11">
        <v>119</v>
      </c>
      <c r="F102" s="11"/>
      <c r="G102" s="11" t="s">
        <v>664</v>
      </c>
      <c r="H102" s="14">
        <v>45915</v>
      </c>
      <c r="I102" s="12">
        <f>-Mvt_Inter_entrepot[[#This Row],[QTE]]</f>
        <v>-119</v>
      </c>
      <c r="J102" s="11" t="s">
        <v>149</v>
      </c>
      <c r="K102" s="11" t="str">
        <f>_xlfn.TEXTBEFORE(Mvt_Inter_entrepot[[#This Row],[Num Suivis]],"-",,,1)</f>
        <v>OF242090</v>
      </c>
      <c r="L102" s="11" t="e">
        <f>_xlfn.XLOOKUP(Mvt_Inter_entrepot[[#This Row],[Num OF]],#REF!,#REF!,"Non Trouvé")</f>
        <v>#REF!</v>
      </c>
      <c r="M102" s="11" t="e">
        <f>_xlfn.XLOOKUP(Mvt_Inter_entrepot[[#This Row],[Num OF]],#REF!,#REF!,"Non Trouvé")</f>
        <v>#REF!</v>
      </c>
      <c r="N102" s="11" t="e">
        <f>_xlfn.XLOOKUP(Mvt_Inter_entrepot[[#This Row],[Num OF]],#REF!,#REF!,"Non Trouvé")</f>
        <v>#REF!</v>
      </c>
      <c r="O102" s="11" t="e">
        <f>_xlfn.XLOOKUP(Mvt_Inter_entrepot[[#This Row],[Num OF]],#REF!,#REF!,"Non Trouvé")</f>
        <v>#REF!</v>
      </c>
      <c r="P102" s="11" t="e">
        <f>_xlfn.XLOOKUP(Mvt_Inter_entrepot[[#This Row],[Num OF]],#REF!,#REF!,"Non Trouvé")</f>
        <v>#REF!</v>
      </c>
      <c r="Q102" s="11" t="str">
        <f>IF(
   COUNTIFS($A$2:A102,A102,
             $B$2:B102,B102,
             $C$2:C102,C102,
             $D$2:D102,D102,
             $E$2:E102,E102,
             $H$2:H102,H102
             )&gt;1,
   "Doublon",
   "Correcte"
)</f>
        <v>Correcte</v>
      </c>
    </row>
    <row r="103" spans="1:17" x14ac:dyDescent="0.25">
      <c r="A103" s="11" t="s">
        <v>2940</v>
      </c>
      <c r="B103" s="11" t="s">
        <v>1153</v>
      </c>
      <c r="C103" s="11" t="s">
        <v>662</v>
      </c>
      <c r="D103" s="11" t="s">
        <v>1154</v>
      </c>
      <c r="E103" s="11">
        <v>98</v>
      </c>
      <c r="F103" s="11"/>
      <c r="G103" s="11" t="s">
        <v>664</v>
      </c>
      <c r="H103" s="14">
        <v>45915</v>
      </c>
      <c r="I103" s="12">
        <f>-Mvt_Inter_entrepot[[#This Row],[QTE]]</f>
        <v>-98</v>
      </c>
      <c r="J103" s="11" t="s">
        <v>150</v>
      </c>
      <c r="K103" s="11" t="str">
        <f>_xlfn.TEXTBEFORE(Mvt_Inter_entrepot[[#This Row],[Num Suivis]],"-",,,1)</f>
        <v>OF242091</v>
      </c>
      <c r="L103" s="11" t="e">
        <f>_xlfn.XLOOKUP(Mvt_Inter_entrepot[[#This Row],[Num OF]],#REF!,#REF!,"Non Trouvé")</f>
        <v>#REF!</v>
      </c>
      <c r="M103" s="11" t="e">
        <f>_xlfn.XLOOKUP(Mvt_Inter_entrepot[[#This Row],[Num OF]],#REF!,#REF!,"Non Trouvé")</f>
        <v>#REF!</v>
      </c>
      <c r="N103" s="11" t="e">
        <f>_xlfn.XLOOKUP(Mvt_Inter_entrepot[[#This Row],[Num OF]],#REF!,#REF!,"Non Trouvé")</f>
        <v>#REF!</v>
      </c>
      <c r="O103" s="11" t="e">
        <f>_xlfn.XLOOKUP(Mvt_Inter_entrepot[[#This Row],[Num OF]],#REF!,#REF!,"Non Trouvé")</f>
        <v>#REF!</v>
      </c>
      <c r="P103" s="11" t="e">
        <f>_xlfn.XLOOKUP(Mvt_Inter_entrepot[[#This Row],[Num OF]],#REF!,#REF!,"Non Trouvé")</f>
        <v>#REF!</v>
      </c>
      <c r="Q103" s="11" t="str">
        <f>IF(
   COUNTIFS($A$2:A103,A103,
             $B$2:B103,B103,
             $C$2:C103,C103,
             $D$2:D103,D103,
             $E$2:E103,E103,
             $H$2:H103,H103
             )&gt;1,
   "Doublon",
   "Correcte"
)</f>
        <v>Correcte</v>
      </c>
    </row>
    <row r="104" spans="1:17" x14ac:dyDescent="0.25">
      <c r="A104" s="11" t="s">
        <v>2941</v>
      </c>
      <c r="B104" s="11" t="s">
        <v>1153</v>
      </c>
      <c r="C104" s="11" t="s">
        <v>662</v>
      </c>
      <c r="D104" s="11" t="s">
        <v>1154</v>
      </c>
      <c r="E104" s="11">
        <v>60</v>
      </c>
      <c r="F104" s="11"/>
      <c r="G104" s="11" t="s">
        <v>664</v>
      </c>
      <c r="H104" s="14">
        <v>45915</v>
      </c>
      <c r="I104" s="12">
        <f>-Mvt_Inter_entrepot[[#This Row],[QTE]]</f>
        <v>-60</v>
      </c>
      <c r="J104" s="11" t="s">
        <v>151</v>
      </c>
      <c r="K104" s="11" t="str">
        <f>_xlfn.TEXTBEFORE(Mvt_Inter_entrepot[[#This Row],[Num Suivis]],"-",,,1)</f>
        <v>OF242092</v>
      </c>
      <c r="L104" s="11" t="e">
        <f>_xlfn.XLOOKUP(Mvt_Inter_entrepot[[#This Row],[Num OF]],#REF!,#REF!,"Non Trouvé")</f>
        <v>#REF!</v>
      </c>
      <c r="M104" s="11" t="e">
        <f>_xlfn.XLOOKUP(Mvt_Inter_entrepot[[#This Row],[Num OF]],#REF!,#REF!,"Non Trouvé")</f>
        <v>#REF!</v>
      </c>
      <c r="N104" s="11" t="e">
        <f>_xlfn.XLOOKUP(Mvt_Inter_entrepot[[#This Row],[Num OF]],#REF!,#REF!,"Non Trouvé")</f>
        <v>#REF!</v>
      </c>
      <c r="O104" s="11" t="e">
        <f>_xlfn.XLOOKUP(Mvt_Inter_entrepot[[#This Row],[Num OF]],#REF!,#REF!,"Non Trouvé")</f>
        <v>#REF!</v>
      </c>
      <c r="P104" s="11" t="e">
        <f>_xlfn.XLOOKUP(Mvt_Inter_entrepot[[#This Row],[Num OF]],#REF!,#REF!,"Non Trouvé")</f>
        <v>#REF!</v>
      </c>
      <c r="Q104" s="11" t="str">
        <f>IF(
   COUNTIFS($A$2:A104,A104,
             $B$2:B104,B104,
             $C$2:C104,C104,
             $D$2:D104,D104,
             $E$2:E104,E104,
             $H$2:H104,H104
             )&gt;1,
   "Doublon",
   "Correcte"
)</f>
        <v>Correcte</v>
      </c>
    </row>
    <row r="105" spans="1:17" x14ac:dyDescent="0.25">
      <c r="A105" s="11" t="s">
        <v>2942</v>
      </c>
      <c r="B105" s="11" t="s">
        <v>1153</v>
      </c>
      <c r="C105" s="11" t="s">
        <v>662</v>
      </c>
      <c r="D105" s="11" t="s">
        <v>1154</v>
      </c>
      <c r="E105" s="11">
        <v>44</v>
      </c>
      <c r="F105" s="11"/>
      <c r="G105" s="11" t="s">
        <v>664</v>
      </c>
      <c r="H105" s="14">
        <v>45915</v>
      </c>
      <c r="I105" s="12">
        <f>-Mvt_Inter_entrepot[[#This Row],[QTE]]</f>
        <v>-44</v>
      </c>
      <c r="J105" s="11" t="s">
        <v>152</v>
      </c>
      <c r="K105" s="11" t="str">
        <f>_xlfn.TEXTBEFORE(Mvt_Inter_entrepot[[#This Row],[Num Suivis]],"-",,,1)</f>
        <v>OF242093</v>
      </c>
      <c r="L105" s="11" t="e">
        <f>_xlfn.XLOOKUP(Mvt_Inter_entrepot[[#This Row],[Num OF]],#REF!,#REF!,"Non Trouvé")</f>
        <v>#REF!</v>
      </c>
      <c r="M105" s="11" t="e">
        <f>_xlfn.XLOOKUP(Mvt_Inter_entrepot[[#This Row],[Num OF]],#REF!,#REF!,"Non Trouvé")</f>
        <v>#REF!</v>
      </c>
      <c r="N105" s="11" t="e">
        <f>_xlfn.XLOOKUP(Mvt_Inter_entrepot[[#This Row],[Num OF]],#REF!,#REF!,"Non Trouvé")</f>
        <v>#REF!</v>
      </c>
      <c r="O105" s="11" t="e">
        <f>_xlfn.XLOOKUP(Mvt_Inter_entrepot[[#This Row],[Num OF]],#REF!,#REF!,"Non Trouvé")</f>
        <v>#REF!</v>
      </c>
      <c r="P105" s="11" t="e">
        <f>_xlfn.XLOOKUP(Mvt_Inter_entrepot[[#This Row],[Num OF]],#REF!,#REF!,"Non Trouvé")</f>
        <v>#REF!</v>
      </c>
      <c r="Q105" s="11" t="str">
        <f>IF(
   COUNTIFS($A$2:A105,A105,
             $B$2:B105,B105,
             $C$2:C105,C105,
             $D$2:D105,D105,
             $E$2:E105,E105,
             $H$2:H105,H105
             )&gt;1,
   "Doublon",
   "Correcte"
)</f>
        <v>Correcte</v>
      </c>
    </row>
    <row r="106" spans="1:17" x14ac:dyDescent="0.25">
      <c r="A106" s="11" t="s">
        <v>2943</v>
      </c>
      <c r="B106" s="11" t="s">
        <v>1153</v>
      </c>
      <c r="C106" s="11" t="s">
        <v>662</v>
      </c>
      <c r="D106" s="11" t="s">
        <v>1154</v>
      </c>
      <c r="E106" s="11">
        <v>52</v>
      </c>
      <c r="F106" s="11"/>
      <c r="G106" s="11" t="s">
        <v>664</v>
      </c>
      <c r="H106" s="14">
        <v>45915</v>
      </c>
      <c r="I106" s="12">
        <f>-Mvt_Inter_entrepot[[#This Row],[QTE]]</f>
        <v>-52</v>
      </c>
      <c r="J106" s="11" t="s">
        <v>153</v>
      </c>
      <c r="K106" s="11" t="str">
        <f>_xlfn.TEXTBEFORE(Mvt_Inter_entrepot[[#This Row],[Num Suivis]],"-",,,1)</f>
        <v>OF242095</v>
      </c>
      <c r="L106" s="11" t="e">
        <f>_xlfn.XLOOKUP(Mvt_Inter_entrepot[[#This Row],[Num OF]],#REF!,#REF!,"Non Trouvé")</f>
        <v>#REF!</v>
      </c>
      <c r="M106" s="11" t="e">
        <f>_xlfn.XLOOKUP(Mvt_Inter_entrepot[[#This Row],[Num OF]],#REF!,#REF!,"Non Trouvé")</f>
        <v>#REF!</v>
      </c>
      <c r="N106" s="11" t="e">
        <f>_xlfn.XLOOKUP(Mvt_Inter_entrepot[[#This Row],[Num OF]],#REF!,#REF!,"Non Trouvé")</f>
        <v>#REF!</v>
      </c>
      <c r="O106" s="11" t="e">
        <f>_xlfn.XLOOKUP(Mvt_Inter_entrepot[[#This Row],[Num OF]],#REF!,#REF!,"Non Trouvé")</f>
        <v>#REF!</v>
      </c>
      <c r="P106" s="11" t="e">
        <f>_xlfn.XLOOKUP(Mvt_Inter_entrepot[[#This Row],[Num OF]],#REF!,#REF!,"Non Trouvé")</f>
        <v>#REF!</v>
      </c>
      <c r="Q106" s="11" t="str">
        <f>IF(
   COUNTIFS($A$2:A106,A106,
             $B$2:B106,B106,
             $C$2:C106,C106,
             $D$2:D106,D106,
             $E$2:E106,E106,
             $H$2:H106,H106
             )&gt;1,
   "Doublon",
   "Correcte"
)</f>
        <v>Correcte</v>
      </c>
    </row>
    <row r="107" spans="1:17" x14ac:dyDescent="0.25">
      <c r="A107" s="11" t="s">
        <v>2944</v>
      </c>
      <c r="B107" s="11" t="s">
        <v>1153</v>
      </c>
      <c r="C107" s="11" t="s">
        <v>662</v>
      </c>
      <c r="D107" s="11" t="s">
        <v>1154</v>
      </c>
      <c r="E107" s="11">
        <v>90</v>
      </c>
      <c r="F107" s="11"/>
      <c r="G107" s="11" t="s">
        <v>664</v>
      </c>
      <c r="H107" s="14">
        <v>45915</v>
      </c>
      <c r="I107" s="12">
        <f>-Mvt_Inter_entrepot[[#This Row],[QTE]]</f>
        <v>-90</v>
      </c>
      <c r="J107" s="11" t="s">
        <v>154</v>
      </c>
      <c r="K107" s="11" t="str">
        <f>_xlfn.TEXTBEFORE(Mvt_Inter_entrepot[[#This Row],[Num Suivis]],"-",,,1)</f>
        <v>OF242096</v>
      </c>
      <c r="L107" s="11" t="e">
        <f>_xlfn.XLOOKUP(Mvt_Inter_entrepot[[#This Row],[Num OF]],#REF!,#REF!,"Non Trouvé")</f>
        <v>#REF!</v>
      </c>
      <c r="M107" s="11" t="e">
        <f>_xlfn.XLOOKUP(Mvt_Inter_entrepot[[#This Row],[Num OF]],#REF!,#REF!,"Non Trouvé")</f>
        <v>#REF!</v>
      </c>
      <c r="N107" s="11" t="e">
        <f>_xlfn.XLOOKUP(Mvt_Inter_entrepot[[#This Row],[Num OF]],#REF!,#REF!,"Non Trouvé")</f>
        <v>#REF!</v>
      </c>
      <c r="O107" s="11" t="e">
        <f>_xlfn.XLOOKUP(Mvt_Inter_entrepot[[#This Row],[Num OF]],#REF!,#REF!,"Non Trouvé")</f>
        <v>#REF!</v>
      </c>
      <c r="P107" s="11" t="e">
        <f>_xlfn.XLOOKUP(Mvt_Inter_entrepot[[#This Row],[Num OF]],#REF!,#REF!,"Non Trouvé")</f>
        <v>#REF!</v>
      </c>
      <c r="Q107" s="11" t="str">
        <f>IF(
   COUNTIFS($A$2:A107,A107,
             $B$2:B107,B107,
             $C$2:C107,C107,
             $D$2:D107,D107,
             $E$2:E107,E107,
             $H$2:H107,H107
             )&gt;1,
   "Doublon",
   "Correcte"
)</f>
        <v>Correcte</v>
      </c>
    </row>
    <row r="108" spans="1:17" x14ac:dyDescent="0.25">
      <c r="A108" s="11" t="s">
        <v>2945</v>
      </c>
      <c r="B108" s="11" t="s">
        <v>1153</v>
      </c>
      <c r="C108" s="11" t="s">
        <v>662</v>
      </c>
      <c r="D108" s="11" t="s">
        <v>1154</v>
      </c>
      <c r="E108" s="11">
        <v>29</v>
      </c>
      <c r="F108" s="11"/>
      <c r="G108" s="11" t="s">
        <v>664</v>
      </c>
      <c r="H108" s="14">
        <v>45915</v>
      </c>
      <c r="I108" s="12">
        <f>-Mvt_Inter_entrepot[[#This Row],[QTE]]</f>
        <v>-29</v>
      </c>
      <c r="J108" s="11" t="s">
        <v>155</v>
      </c>
      <c r="K108" s="11" t="str">
        <f>_xlfn.TEXTBEFORE(Mvt_Inter_entrepot[[#This Row],[Num Suivis]],"-",,,1)</f>
        <v>OF242162</v>
      </c>
      <c r="L108" s="11" t="e">
        <f>_xlfn.XLOOKUP(Mvt_Inter_entrepot[[#This Row],[Num OF]],#REF!,#REF!,"Non Trouvé")</f>
        <v>#REF!</v>
      </c>
      <c r="M108" s="11" t="e">
        <f>_xlfn.XLOOKUP(Mvt_Inter_entrepot[[#This Row],[Num OF]],#REF!,#REF!,"Non Trouvé")</f>
        <v>#REF!</v>
      </c>
      <c r="N108" s="11" t="e">
        <f>_xlfn.XLOOKUP(Mvt_Inter_entrepot[[#This Row],[Num OF]],#REF!,#REF!,"Non Trouvé")</f>
        <v>#REF!</v>
      </c>
      <c r="O108" s="11" t="e">
        <f>_xlfn.XLOOKUP(Mvt_Inter_entrepot[[#This Row],[Num OF]],#REF!,#REF!,"Non Trouvé")</f>
        <v>#REF!</v>
      </c>
      <c r="P108" s="11" t="e">
        <f>_xlfn.XLOOKUP(Mvt_Inter_entrepot[[#This Row],[Num OF]],#REF!,#REF!,"Non Trouvé")</f>
        <v>#REF!</v>
      </c>
      <c r="Q108" s="11" t="str">
        <f>IF(
   COUNTIFS($A$2:A108,A108,
             $B$2:B108,B108,
             $C$2:C108,C108,
             $D$2:D108,D108,
             $E$2:E108,E108,
             $H$2:H108,H108
             )&gt;1,
   "Doublon",
   "Correcte"
)</f>
        <v>Correcte</v>
      </c>
    </row>
    <row r="109" spans="1:17" x14ac:dyDescent="0.25">
      <c r="A109" s="11" t="s">
        <v>2946</v>
      </c>
      <c r="B109" s="11" t="s">
        <v>1153</v>
      </c>
      <c r="C109" s="11" t="s">
        <v>662</v>
      </c>
      <c r="D109" s="11" t="s">
        <v>1154</v>
      </c>
      <c r="E109" s="11">
        <v>12</v>
      </c>
      <c r="F109" s="11"/>
      <c r="G109" s="11" t="s">
        <v>664</v>
      </c>
      <c r="H109" s="14">
        <v>45915</v>
      </c>
      <c r="I109" s="12">
        <f>-Mvt_Inter_entrepot[[#This Row],[QTE]]</f>
        <v>-12</v>
      </c>
      <c r="J109" s="11" t="s">
        <v>156</v>
      </c>
      <c r="K109" s="11" t="str">
        <f>_xlfn.TEXTBEFORE(Mvt_Inter_entrepot[[#This Row],[Num Suivis]],"-",,,1)</f>
        <v>OF242167</v>
      </c>
      <c r="L109" s="11" t="e">
        <f>_xlfn.XLOOKUP(Mvt_Inter_entrepot[[#This Row],[Num OF]],#REF!,#REF!,"Non Trouvé")</f>
        <v>#REF!</v>
      </c>
      <c r="M109" s="11" t="e">
        <f>_xlfn.XLOOKUP(Mvt_Inter_entrepot[[#This Row],[Num OF]],#REF!,#REF!,"Non Trouvé")</f>
        <v>#REF!</v>
      </c>
      <c r="N109" s="11" t="e">
        <f>_xlfn.XLOOKUP(Mvt_Inter_entrepot[[#This Row],[Num OF]],#REF!,#REF!,"Non Trouvé")</f>
        <v>#REF!</v>
      </c>
      <c r="O109" s="11" t="e">
        <f>_xlfn.XLOOKUP(Mvt_Inter_entrepot[[#This Row],[Num OF]],#REF!,#REF!,"Non Trouvé")</f>
        <v>#REF!</v>
      </c>
      <c r="P109" s="11" t="e">
        <f>_xlfn.XLOOKUP(Mvt_Inter_entrepot[[#This Row],[Num OF]],#REF!,#REF!,"Non Trouvé")</f>
        <v>#REF!</v>
      </c>
      <c r="Q109" s="11" t="str">
        <f>IF(
   COUNTIFS($A$2:A109,A109,
             $B$2:B109,B109,
             $C$2:C109,C109,
             $D$2:D109,D109,
             $E$2:E109,E109,
             $H$2:H109,H109
             )&gt;1,
   "Doublon",
   "Correcte"
)</f>
        <v>Correcte</v>
      </c>
    </row>
    <row r="110" spans="1:17" x14ac:dyDescent="0.25">
      <c r="A110" s="11" t="s">
        <v>2947</v>
      </c>
      <c r="B110" s="11" t="s">
        <v>1153</v>
      </c>
      <c r="C110" s="11" t="s">
        <v>662</v>
      </c>
      <c r="D110" s="11" t="s">
        <v>1154</v>
      </c>
      <c r="E110" s="11">
        <v>1</v>
      </c>
      <c r="F110" s="11"/>
      <c r="G110" s="11" t="s">
        <v>664</v>
      </c>
      <c r="H110" s="14">
        <v>45915</v>
      </c>
      <c r="I110" s="12">
        <f>-Mvt_Inter_entrepot[[#This Row],[QTE]]</f>
        <v>-1</v>
      </c>
      <c r="J110" s="11" t="s">
        <v>157</v>
      </c>
      <c r="K110" s="11" t="str">
        <f>_xlfn.TEXTBEFORE(Mvt_Inter_entrepot[[#This Row],[Num Suivis]],"-",,,1)</f>
        <v>OF242168</v>
      </c>
      <c r="L110" s="11" t="e">
        <f>_xlfn.XLOOKUP(Mvt_Inter_entrepot[[#This Row],[Num OF]],#REF!,#REF!,"Non Trouvé")</f>
        <v>#REF!</v>
      </c>
      <c r="M110" s="11" t="e">
        <f>_xlfn.XLOOKUP(Mvt_Inter_entrepot[[#This Row],[Num OF]],#REF!,#REF!,"Non Trouvé")</f>
        <v>#REF!</v>
      </c>
      <c r="N110" s="11" t="e">
        <f>_xlfn.XLOOKUP(Mvt_Inter_entrepot[[#This Row],[Num OF]],#REF!,#REF!,"Non Trouvé")</f>
        <v>#REF!</v>
      </c>
      <c r="O110" s="11" t="e">
        <f>_xlfn.XLOOKUP(Mvt_Inter_entrepot[[#This Row],[Num OF]],#REF!,#REF!,"Non Trouvé")</f>
        <v>#REF!</v>
      </c>
      <c r="P110" s="11" t="e">
        <f>_xlfn.XLOOKUP(Mvt_Inter_entrepot[[#This Row],[Num OF]],#REF!,#REF!,"Non Trouvé")</f>
        <v>#REF!</v>
      </c>
      <c r="Q110" s="11" t="str">
        <f>IF(
   COUNTIFS($A$2:A110,A110,
             $B$2:B110,B110,
             $C$2:C110,C110,
             $D$2:D110,D110,
             $E$2:E110,E110,
             $H$2:H110,H110
             )&gt;1,
   "Doublon",
   "Correcte"
)</f>
        <v>Correcte</v>
      </c>
    </row>
    <row r="111" spans="1:17" x14ac:dyDescent="0.25">
      <c r="A111" s="11" t="s">
        <v>2948</v>
      </c>
      <c r="B111" s="11" t="s">
        <v>1153</v>
      </c>
      <c r="C111" s="11" t="s">
        <v>662</v>
      </c>
      <c r="D111" s="11" t="s">
        <v>1154</v>
      </c>
      <c r="E111" s="11">
        <v>24</v>
      </c>
      <c r="F111" s="11"/>
      <c r="G111" s="11" t="s">
        <v>664</v>
      </c>
      <c r="H111" s="14">
        <v>45915</v>
      </c>
      <c r="I111" s="12">
        <f>-Mvt_Inter_entrepot[[#This Row],[QTE]]</f>
        <v>-24</v>
      </c>
      <c r="J111" s="11" t="s">
        <v>158</v>
      </c>
      <c r="K111" s="11" t="str">
        <f>_xlfn.TEXTBEFORE(Mvt_Inter_entrepot[[#This Row],[Num Suivis]],"-",,,1)</f>
        <v>OF242170</v>
      </c>
      <c r="L111" s="11" t="e">
        <f>_xlfn.XLOOKUP(Mvt_Inter_entrepot[[#This Row],[Num OF]],#REF!,#REF!,"Non Trouvé")</f>
        <v>#REF!</v>
      </c>
      <c r="M111" s="11" t="e">
        <f>_xlfn.XLOOKUP(Mvt_Inter_entrepot[[#This Row],[Num OF]],#REF!,#REF!,"Non Trouvé")</f>
        <v>#REF!</v>
      </c>
      <c r="N111" s="11" t="e">
        <f>_xlfn.XLOOKUP(Mvt_Inter_entrepot[[#This Row],[Num OF]],#REF!,#REF!,"Non Trouvé")</f>
        <v>#REF!</v>
      </c>
      <c r="O111" s="11" t="e">
        <f>_xlfn.XLOOKUP(Mvt_Inter_entrepot[[#This Row],[Num OF]],#REF!,#REF!,"Non Trouvé")</f>
        <v>#REF!</v>
      </c>
      <c r="P111" s="11" t="e">
        <f>_xlfn.XLOOKUP(Mvt_Inter_entrepot[[#This Row],[Num OF]],#REF!,#REF!,"Non Trouvé")</f>
        <v>#REF!</v>
      </c>
      <c r="Q111" s="11" t="str">
        <f>IF(
   COUNTIFS($A$2:A111,A111,
             $B$2:B111,B111,
             $C$2:C111,C111,
             $D$2:D111,D111,
             $E$2:E111,E111,
             $H$2:H111,H111
             )&gt;1,
   "Doublon",
   "Correcte"
)</f>
        <v>Correcte</v>
      </c>
    </row>
    <row r="112" spans="1:17" x14ac:dyDescent="0.25">
      <c r="A112" s="11" t="s">
        <v>2949</v>
      </c>
      <c r="B112" s="11" t="s">
        <v>1153</v>
      </c>
      <c r="C112" s="11" t="s">
        <v>662</v>
      </c>
      <c r="D112" s="11" t="s">
        <v>1154</v>
      </c>
      <c r="E112" s="11">
        <v>9</v>
      </c>
      <c r="F112" s="11"/>
      <c r="G112" s="11" t="s">
        <v>664</v>
      </c>
      <c r="H112" s="14">
        <v>45915</v>
      </c>
      <c r="I112" s="12">
        <f>-Mvt_Inter_entrepot[[#This Row],[QTE]]</f>
        <v>-9</v>
      </c>
      <c r="J112" s="11" t="s">
        <v>159</v>
      </c>
      <c r="K112" s="11" t="str">
        <f>_xlfn.TEXTBEFORE(Mvt_Inter_entrepot[[#This Row],[Num Suivis]],"-",,,1)</f>
        <v>OF242172</v>
      </c>
      <c r="L112" s="11" t="e">
        <f>_xlfn.XLOOKUP(Mvt_Inter_entrepot[[#This Row],[Num OF]],#REF!,#REF!,"Non Trouvé")</f>
        <v>#REF!</v>
      </c>
      <c r="M112" s="11" t="e">
        <f>_xlfn.XLOOKUP(Mvt_Inter_entrepot[[#This Row],[Num OF]],#REF!,#REF!,"Non Trouvé")</f>
        <v>#REF!</v>
      </c>
      <c r="N112" s="11" t="e">
        <f>_xlfn.XLOOKUP(Mvt_Inter_entrepot[[#This Row],[Num OF]],#REF!,#REF!,"Non Trouvé")</f>
        <v>#REF!</v>
      </c>
      <c r="O112" s="11" t="e">
        <f>_xlfn.XLOOKUP(Mvt_Inter_entrepot[[#This Row],[Num OF]],#REF!,#REF!,"Non Trouvé")</f>
        <v>#REF!</v>
      </c>
      <c r="P112" s="11" t="e">
        <f>_xlfn.XLOOKUP(Mvt_Inter_entrepot[[#This Row],[Num OF]],#REF!,#REF!,"Non Trouvé")</f>
        <v>#REF!</v>
      </c>
      <c r="Q112" s="11" t="str">
        <f>IF(
   COUNTIFS($A$2:A112,A112,
             $B$2:B112,B112,
             $C$2:C112,C112,
             $D$2:D112,D112,
             $E$2:E112,E112,
             $H$2:H112,H112
             )&gt;1,
   "Doublon",
   "Correcte"
)</f>
        <v>Correcte</v>
      </c>
    </row>
    <row r="113" spans="1:17" x14ac:dyDescent="0.25">
      <c r="A113" s="11" t="s">
        <v>2950</v>
      </c>
      <c r="B113" s="11" t="s">
        <v>1153</v>
      </c>
      <c r="C113" s="11" t="s">
        <v>662</v>
      </c>
      <c r="D113" s="11" t="s">
        <v>1154</v>
      </c>
      <c r="E113" s="11">
        <v>35</v>
      </c>
      <c r="F113" s="11"/>
      <c r="G113" s="11" t="s">
        <v>664</v>
      </c>
      <c r="H113" s="14">
        <v>45915</v>
      </c>
      <c r="I113" s="12">
        <f>-Mvt_Inter_entrepot[[#This Row],[QTE]]</f>
        <v>-35</v>
      </c>
      <c r="J113" s="11" t="s">
        <v>160</v>
      </c>
      <c r="K113" s="11" t="str">
        <f>_xlfn.TEXTBEFORE(Mvt_Inter_entrepot[[#This Row],[Num Suivis]],"-",,,1)</f>
        <v>OF242173</v>
      </c>
      <c r="L113" s="11" t="e">
        <f>_xlfn.XLOOKUP(Mvt_Inter_entrepot[[#This Row],[Num OF]],#REF!,#REF!,"Non Trouvé")</f>
        <v>#REF!</v>
      </c>
      <c r="M113" s="11" t="e">
        <f>_xlfn.XLOOKUP(Mvt_Inter_entrepot[[#This Row],[Num OF]],#REF!,#REF!,"Non Trouvé")</f>
        <v>#REF!</v>
      </c>
      <c r="N113" s="11" t="e">
        <f>_xlfn.XLOOKUP(Mvt_Inter_entrepot[[#This Row],[Num OF]],#REF!,#REF!,"Non Trouvé")</f>
        <v>#REF!</v>
      </c>
      <c r="O113" s="11" t="e">
        <f>_xlfn.XLOOKUP(Mvt_Inter_entrepot[[#This Row],[Num OF]],#REF!,#REF!,"Non Trouvé")</f>
        <v>#REF!</v>
      </c>
      <c r="P113" s="11" t="e">
        <f>_xlfn.XLOOKUP(Mvt_Inter_entrepot[[#This Row],[Num OF]],#REF!,#REF!,"Non Trouvé")</f>
        <v>#REF!</v>
      </c>
      <c r="Q113" s="11" t="str">
        <f>IF(
   COUNTIFS($A$2:A113,A113,
             $B$2:B113,B113,
             $C$2:C113,C113,
             $D$2:D113,D113,
             $E$2:E113,E113,
             $H$2:H113,H113
             )&gt;1,
   "Doublon",
   "Correcte"
)</f>
        <v>Correcte</v>
      </c>
    </row>
    <row r="114" spans="1:17" x14ac:dyDescent="0.25">
      <c r="A114" s="11" t="s">
        <v>2951</v>
      </c>
      <c r="B114" s="11" t="s">
        <v>1153</v>
      </c>
      <c r="C114" s="11" t="s">
        <v>662</v>
      </c>
      <c r="D114" s="11" t="s">
        <v>1154</v>
      </c>
      <c r="E114" s="11">
        <v>28</v>
      </c>
      <c r="F114" s="11"/>
      <c r="G114" s="11" t="s">
        <v>664</v>
      </c>
      <c r="H114" s="14">
        <v>45915</v>
      </c>
      <c r="I114" s="12">
        <f>-Mvt_Inter_entrepot[[#This Row],[QTE]]</f>
        <v>-28</v>
      </c>
      <c r="J114" s="11" t="s">
        <v>161</v>
      </c>
      <c r="K114" s="11" t="str">
        <f>_xlfn.TEXTBEFORE(Mvt_Inter_entrepot[[#This Row],[Num Suivis]],"-",,,1)</f>
        <v>OF242174</v>
      </c>
      <c r="L114" s="11" t="e">
        <f>_xlfn.XLOOKUP(Mvt_Inter_entrepot[[#This Row],[Num OF]],#REF!,#REF!,"Non Trouvé")</f>
        <v>#REF!</v>
      </c>
      <c r="M114" s="11" t="e">
        <f>_xlfn.XLOOKUP(Mvt_Inter_entrepot[[#This Row],[Num OF]],#REF!,#REF!,"Non Trouvé")</f>
        <v>#REF!</v>
      </c>
      <c r="N114" s="11" t="e">
        <f>_xlfn.XLOOKUP(Mvt_Inter_entrepot[[#This Row],[Num OF]],#REF!,#REF!,"Non Trouvé")</f>
        <v>#REF!</v>
      </c>
      <c r="O114" s="11" t="e">
        <f>_xlfn.XLOOKUP(Mvt_Inter_entrepot[[#This Row],[Num OF]],#REF!,#REF!,"Non Trouvé")</f>
        <v>#REF!</v>
      </c>
      <c r="P114" s="11" t="e">
        <f>_xlfn.XLOOKUP(Mvt_Inter_entrepot[[#This Row],[Num OF]],#REF!,#REF!,"Non Trouvé")</f>
        <v>#REF!</v>
      </c>
      <c r="Q114" s="11" t="str">
        <f>IF(
   COUNTIFS($A$2:A114,A114,
             $B$2:B114,B114,
             $C$2:C114,C114,
             $D$2:D114,D114,
             $E$2:E114,E114,
             $H$2:H114,H114
             )&gt;1,
   "Doublon",
   "Correcte"
)</f>
        <v>Correcte</v>
      </c>
    </row>
    <row r="115" spans="1:17" x14ac:dyDescent="0.25">
      <c r="A115" s="11" t="s">
        <v>2952</v>
      </c>
      <c r="B115" s="11" t="s">
        <v>1153</v>
      </c>
      <c r="C115" s="11" t="s">
        <v>662</v>
      </c>
      <c r="D115" s="11" t="s">
        <v>1154</v>
      </c>
      <c r="E115" s="11">
        <v>61</v>
      </c>
      <c r="F115" s="11"/>
      <c r="G115" s="11" t="s">
        <v>664</v>
      </c>
      <c r="H115" s="14">
        <v>45915</v>
      </c>
      <c r="I115" s="12">
        <f>-Mvt_Inter_entrepot[[#This Row],[QTE]]</f>
        <v>-61</v>
      </c>
      <c r="J115" s="11" t="s">
        <v>162</v>
      </c>
      <c r="K115" s="11" t="str">
        <f>_xlfn.TEXTBEFORE(Mvt_Inter_entrepot[[#This Row],[Num Suivis]],"-",,,1)</f>
        <v>OF242176</v>
      </c>
      <c r="L115" s="11" t="e">
        <f>_xlfn.XLOOKUP(Mvt_Inter_entrepot[[#This Row],[Num OF]],#REF!,#REF!,"Non Trouvé")</f>
        <v>#REF!</v>
      </c>
      <c r="M115" s="11" t="e">
        <f>_xlfn.XLOOKUP(Mvt_Inter_entrepot[[#This Row],[Num OF]],#REF!,#REF!,"Non Trouvé")</f>
        <v>#REF!</v>
      </c>
      <c r="N115" s="11" t="e">
        <f>_xlfn.XLOOKUP(Mvt_Inter_entrepot[[#This Row],[Num OF]],#REF!,#REF!,"Non Trouvé")</f>
        <v>#REF!</v>
      </c>
      <c r="O115" s="11" t="e">
        <f>_xlfn.XLOOKUP(Mvt_Inter_entrepot[[#This Row],[Num OF]],#REF!,#REF!,"Non Trouvé")</f>
        <v>#REF!</v>
      </c>
      <c r="P115" s="11" t="e">
        <f>_xlfn.XLOOKUP(Mvt_Inter_entrepot[[#This Row],[Num OF]],#REF!,#REF!,"Non Trouvé")</f>
        <v>#REF!</v>
      </c>
      <c r="Q115" s="11" t="str">
        <f>IF(
   COUNTIFS($A$2:A115,A115,
             $B$2:B115,B115,
             $C$2:C115,C115,
             $D$2:D115,D115,
             $E$2:E115,E115,
             $H$2:H115,H115
             )&gt;1,
   "Doublon",
   "Correcte"
)</f>
        <v>Correcte</v>
      </c>
    </row>
    <row r="116" spans="1:17" x14ac:dyDescent="0.25">
      <c r="A116" s="11" t="s">
        <v>2953</v>
      </c>
      <c r="B116" s="11" t="s">
        <v>1153</v>
      </c>
      <c r="C116" s="11" t="s">
        <v>662</v>
      </c>
      <c r="D116" s="11" t="s">
        <v>1154</v>
      </c>
      <c r="E116" s="11">
        <v>51</v>
      </c>
      <c r="F116" s="11"/>
      <c r="G116" s="11" t="s">
        <v>664</v>
      </c>
      <c r="H116" s="14">
        <v>45915</v>
      </c>
      <c r="I116" s="12">
        <f>-Mvt_Inter_entrepot[[#This Row],[QTE]]</f>
        <v>-51</v>
      </c>
      <c r="J116" s="11" t="s">
        <v>163</v>
      </c>
      <c r="K116" s="11" t="str">
        <f>_xlfn.TEXTBEFORE(Mvt_Inter_entrepot[[#This Row],[Num Suivis]],"-",,,1)</f>
        <v>OF242177</v>
      </c>
      <c r="L116" s="11" t="e">
        <f>_xlfn.XLOOKUP(Mvt_Inter_entrepot[[#This Row],[Num OF]],#REF!,#REF!,"Non Trouvé")</f>
        <v>#REF!</v>
      </c>
      <c r="M116" s="11" t="e">
        <f>_xlfn.XLOOKUP(Mvt_Inter_entrepot[[#This Row],[Num OF]],#REF!,#REF!,"Non Trouvé")</f>
        <v>#REF!</v>
      </c>
      <c r="N116" s="11" t="e">
        <f>_xlfn.XLOOKUP(Mvt_Inter_entrepot[[#This Row],[Num OF]],#REF!,#REF!,"Non Trouvé")</f>
        <v>#REF!</v>
      </c>
      <c r="O116" s="11" t="e">
        <f>_xlfn.XLOOKUP(Mvt_Inter_entrepot[[#This Row],[Num OF]],#REF!,#REF!,"Non Trouvé")</f>
        <v>#REF!</v>
      </c>
      <c r="P116" s="11" t="e">
        <f>_xlfn.XLOOKUP(Mvt_Inter_entrepot[[#This Row],[Num OF]],#REF!,#REF!,"Non Trouvé")</f>
        <v>#REF!</v>
      </c>
      <c r="Q116" s="11" t="str">
        <f>IF(
   COUNTIFS($A$2:A116,A116,
             $B$2:B116,B116,
             $C$2:C116,C116,
             $D$2:D116,D116,
             $E$2:E116,E116,
             $H$2:H116,H116
             )&gt;1,
   "Doublon",
   "Correcte"
)</f>
        <v>Correcte</v>
      </c>
    </row>
    <row r="117" spans="1:17" x14ac:dyDescent="0.25">
      <c r="A117" s="11" t="s">
        <v>2954</v>
      </c>
      <c r="B117" s="11" t="s">
        <v>1153</v>
      </c>
      <c r="C117" s="11" t="s">
        <v>662</v>
      </c>
      <c r="D117" s="11" t="s">
        <v>1154</v>
      </c>
      <c r="E117" s="11">
        <v>20</v>
      </c>
      <c r="F117" s="11"/>
      <c r="G117" s="11" t="s">
        <v>664</v>
      </c>
      <c r="H117" s="14">
        <v>45915</v>
      </c>
      <c r="I117" s="12">
        <f>-Mvt_Inter_entrepot[[#This Row],[QTE]]</f>
        <v>-20</v>
      </c>
      <c r="J117" s="11" t="s">
        <v>164</v>
      </c>
      <c r="K117" s="11" t="str">
        <f>_xlfn.TEXTBEFORE(Mvt_Inter_entrepot[[#This Row],[Num Suivis]],"-",,,1)</f>
        <v>OF242178</v>
      </c>
      <c r="L117" s="11" t="e">
        <f>_xlfn.XLOOKUP(Mvt_Inter_entrepot[[#This Row],[Num OF]],#REF!,#REF!,"Non Trouvé")</f>
        <v>#REF!</v>
      </c>
      <c r="M117" s="11" t="e">
        <f>_xlfn.XLOOKUP(Mvt_Inter_entrepot[[#This Row],[Num OF]],#REF!,#REF!,"Non Trouvé")</f>
        <v>#REF!</v>
      </c>
      <c r="N117" s="11" t="e">
        <f>_xlfn.XLOOKUP(Mvt_Inter_entrepot[[#This Row],[Num OF]],#REF!,#REF!,"Non Trouvé")</f>
        <v>#REF!</v>
      </c>
      <c r="O117" s="11" t="e">
        <f>_xlfn.XLOOKUP(Mvt_Inter_entrepot[[#This Row],[Num OF]],#REF!,#REF!,"Non Trouvé")</f>
        <v>#REF!</v>
      </c>
      <c r="P117" s="11" t="e">
        <f>_xlfn.XLOOKUP(Mvt_Inter_entrepot[[#This Row],[Num OF]],#REF!,#REF!,"Non Trouvé")</f>
        <v>#REF!</v>
      </c>
      <c r="Q117" s="11" t="str">
        <f>IF(
   COUNTIFS($A$2:A117,A117,
             $B$2:B117,B117,
             $C$2:C117,C117,
             $D$2:D117,D117,
             $E$2:E117,E117,
             $H$2:H117,H117
             )&gt;1,
   "Doublon",
   "Correcte"
)</f>
        <v>Correcte</v>
      </c>
    </row>
    <row r="118" spans="1:17" x14ac:dyDescent="0.25">
      <c r="A118" s="11" t="s">
        <v>2955</v>
      </c>
      <c r="B118" s="11" t="s">
        <v>1153</v>
      </c>
      <c r="C118" s="11" t="s">
        <v>662</v>
      </c>
      <c r="D118" s="11" t="s">
        <v>1154</v>
      </c>
      <c r="E118" s="11">
        <v>20</v>
      </c>
      <c r="F118" s="11"/>
      <c r="G118" s="11" t="s">
        <v>664</v>
      </c>
      <c r="H118" s="14">
        <v>45915</v>
      </c>
      <c r="I118" s="12">
        <f>-Mvt_Inter_entrepot[[#This Row],[QTE]]</f>
        <v>-20</v>
      </c>
      <c r="J118" s="11" t="s">
        <v>165</v>
      </c>
      <c r="K118" s="11" t="str">
        <f>_xlfn.TEXTBEFORE(Mvt_Inter_entrepot[[#This Row],[Num Suivis]],"-",,,1)</f>
        <v>OF242179</v>
      </c>
      <c r="L118" s="11" t="e">
        <f>_xlfn.XLOOKUP(Mvt_Inter_entrepot[[#This Row],[Num OF]],#REF!,#REF!,"Non Trouvé")</f>
        <v>#REF!</v>
      </c>
      <c r="M118" s="11" t="e">
        <f>_xlfn.XLOOKUP(Mvt_Inter_entrepot[[#This Row],[Num OF]],#REF!,#REF!,"Non Trouvé")</f>
        <v>#REF!</v>
      </c>
      <c r="N118" s="11" t="e">
        <f>_xlfn.XLOOKUP(Mvt_Inter_entrepot[[#This Row],[Num OF]],#REF!,#REF!,"Non Trouvé")</f>
        <v>#REF!</v>
      </c>
      <c r="O118" s="11" t="e">
        <f>_xlfn.XLOOKUP(Mvt_Inter_entrepot[[#This Row],[Num OF]],#REF!,#REF!,"Non Trouvé")</f>
        <v>#REF!</v>
      </c>
      <c r="P118" s="11" t="e">
        <f>_xlfn.XLOOKUP(Mvt_Inter_entrepot[[#This Row],[Num OF]],#REF!,#REF!,"Non Trouvé")</f>
        <v>#REF!</v>
      </c>
      <c r="Q118" s="11" t="str">
        <f>IF(
   COUNTIFS($A$2:A118,A118,
             $B$2:B118,B118,
             $C$2:C118,C118,
             $D$2:D118,D118,
             $E$2:E118,E118,
             $H$2:H118,H118
             )&gt;1,
   "Doublon",
   "Correcte"
)</f>
        <v>Correcte</v>
      </c>
    </row>
    <row r="119" spans="1:17" x14ac:dyDescent="0.25">
      <c r="A119" s="11" t="s">
        <v>2956</v>
      </c>
      <c r="B119" s="11" t="s">
        <v>1153</v>
      </c>
      <c r="C119" s="11" t="s">
        <v>662</v>
      </c>
      <c r="D119" s="11" t="s">
        <v>1154</v>
      </c>
      <c r="E119" s="11">
        <v>54</v>
      </c>
      <c r="F119" s="11"/>
      <c r="G119" s="11" t="s">
        <v>664</v>
      </c>
      <c r="H119" s="14">
        <v>45915</v>
      </c>
      <c r="I119" s="12">
        <f>-Mvt_Inter_entrepot[[#This Row],[QTE]]</f>
        <v>-54</v>
      </c>
      <c r="J119" s="11" t="s">
        <v>166</v>
      </c>
      <c r="K119" s="11" t="str">
        <f>_xlfn.TEXTBEFORE(Mvt_Inter_entrepot[[#This Row],[Num Suivis]],"-",,,1)</f>
        <v>OF242180</v>
      </c>
      <c r="L119" s="11" t="e">
        <f>_xlfn.XLOOKUP(Mvt_Inter_entrepot[[#This Row],[Num OF]],#REF!,#REF!,"Non Trouvé")</f>
        <v>#REF!</v>
      </c>
      <c r="M119" s="11" t="e">
        <f>_xlfn.XLOOKUP(Mvt_Inter_entrepot[[#This Row],[Num OF]],#REF!,#REF!,"Non Trouvé")</f>
        <v>#REF!</v>
      </c>
      <c r="N119" s="11" t="e">
        <f>_xlfn.XLOOKUP(Mvt_Inter_entrepot[[#This Row],[Num OF]],#REF!,#REF!,"Non Trouvé")</f>
        <v>#REF!</v>
      </c>
      <c r="O119" s="11" t="e">
        <f>_xlfn.XLOOKUP(Mvt_Inter_entrepot[[#This Row],[Num OF]],#REF!,#REF!,"Non Trouvé")</f>
        <v>#REF!</v>
      </c>
      <c r="P119" s="11" t="e">
        <f>_xlfn.XLOOKUP(Mvt_Inter_entrepot[[#This Row],[Num OF]],#REF!,#REF!,"Non Trouvé")</f>
        <v>#REF!</v>
      </c>
      <c r="Q119" s="11" t="str">
        <f>IF(
   COUNTIFS($A$2:A119,A119,
             $B$2:B119,B119,
             $C$2:C119,C119,
             $D$2:D119,D119,
             $E$2:E119,E119,
             $H$2:H119,H119
             )&gt;1,
   "Doublon",
   "Correcte"
)</f>
        <v>Correcte</v>
      </c>
    </row>
    <row r="120" spans="1:17" x14ac:dyDescent="0.25">
      <c r="A120" s="11" t="s">
        <v>2957</v>
      </c>
      <c r="B120" s="11" t="s">
        <v>1153</v>
      </c>
      <c r="C120" s="11" t="s">
        <v>662</v>
      </c>
      <c r="D120" s="11" t="s">
        <v>1154</v>
      </c>
      <c r="E120" s="11">
        <v>24</v>
      </c>
      <c r="F120" s="11"/>
      <c r="G120" s="11" t="s">
        <v>664</v>
      </c>
      <c r="H120" s="14">
        <v>45915</v>
      </c>
      <c r="I120" s="12">
        <f>-Mvt_Inter_entrepot[[#This Row],[QTE]]</f>
        <v>-24</v>
      </c>
      <c r="J120" s="11" t="s">
        <v>167</v>
      </c>
      <c r="K120" s="11" t="str">
        <f>_xlfn.TEXTBEFORE(Mvt_Inter_entrepot[[#This Row],[Num Suivis]],"-",,,1)</f>
        <v>OF242181</v>
      </c>
      <c r="L120" s="11" t="e">
        <f>_xlfn.XLOOKUP(Mvt_Inter_entrepot[[#This Row],[Num OF]],#REF!,#REF!,"Non Trouvé")</f>
        <v>#REF!</v>
      </c>
      <c r="M120" s="11" t="e">
        <f>_xlfn.XLOOKUP(Mvt_Inter_entrepot[[#This Row],[Num OF]],#REF!,#REF!,"Non Trouvé")</f>
        <v>#REF!</v>
      </c>
      <c r="N120" s="11" t="e">
        <f>_xlfn.XLOOKUP(Mvt_Inter_entrepot[[#This Row],[Num OF]],#REF!,#REF!,"Non Trouvé")</f>
        <v>#REF!</v>
      </c>
      <c r="O120" s="11" t="e">
        <f>_xlfn.XLOOKUP(Mvt_Inter_entrepot[[#This Row],[Num OF]],#REF!,#REF!,"Non Trouvé")</f>
        <v>#REF!</v>
      </c>
      <c r="P120" s="11" t="e">
        <f>_xlfn.XLOOKUP(Mvt_Inter_entrepot[[#This Row],[Num OF]],#REF!,#REF!,"Non Trouvé")</f>
        <v>#REF!</v>
      </c>
      <c r="Q120" s="11" t="str">
        <f>IF(
   COUNTIFS($A$2:A120,A120,
             $B$2:B120,B120,
             $C$2:C120,C120,
             $D$2:D120,D120,
             $E$2:E120,E120,
             $H$2:H120,H120
             )&gt;1,
   "Doublon",
   "Correcte"
)</f>
        <v>Correcte</v>
      </c>
    </row>
    <row r="121" spans="1:17" x14ac:dyDescent="0.25">
      <c r="A121" s="11" t="s">
        <v>2958</v>
      </c>
      <c r="B121" s="11" t="s">
        <v>1153</v>
      </c>
      <c r="C121" s="11" t="s">
        <v>662</v>
      </c>
      <c r="D121" s="11" t="s">
        <v>1154</v>
      </c>
      <c r="E121" s="11">
        <v>20</v>
      </c>
      <c r="F121" s="11"/>
      <c r="G121" s="11" t="s">
        <v>664</v>
      </c>
      <c r="H121" s="14">
        <v>45915</v>
      </c>
      <c r="I121" s="12">
        <f>-Mvt_Inter_entrepot[[#This Row],[QTE]]</f>
        <v>-20</v>
      </c>
      <c r="J121" s="11" t="s">
        <v>168</v>
      </c>
      <c r="K121" s="11" t="str">
        <f>_xlfn.TEXTBEFORE(Mvt_Inter_entrepot[[#This Row],[Num Suivis]],"-",,,1)</f>
        <v>OF242182</v>
      </c>
      <c r="L121" s="11" t="e">
        <f>_xlfn.XLOOKUP(Mvt_Inter_entrepot[[#This Row],[Num OF]],#REF!,#REF!,"Non Trouvé")</f>
        <v>#REF!</v>
      </c>
      <c r="M121" s="11" t="e">
        <f>_xlfn.XLOOKUP(Mvt_Inter_entrepot[[#This Row],[Num OF]],#REF!,#REF!,"Non Trouvé")</f>
        <v>#REF!</v>
      </c>
      <c r="N121" s="11" t="e">
        <f>_xlfn.XLOOKUP(Mvt_Inter_entrepot[[#This Row],[Num OF]],#REF!,#REF!,"Non Trouvé")</f>
        <v>#REF!</v>
      </c>
      <c r="O121" s="11" t="e">
        <f>_xlfn.XLOOKUP(Mvt_Inter_entrepot[[#This Row],[Num OF]],#REF!,#REF!,"Non Trouvé")</f>
        <v>#REF!</v>
      </c>
      <c r="P121" s="11" t="e">
        <f>_xlfn.XLOOKUP(Mvt_Inter_entrepot[[#This Row],[Num OF]],#REF!,#REF!,"Non Trouvé")</f>
        <v>#REF!</v>
      </c>
      <c r="Q121" s="11" t="str">
        <f>IF(
   COUNTIFS($A$2:A121,A121,
             $B$2:B121,B121,
             $C$2:C121,C121,
             $D$2:D121,D121,
             $E$2:E121,E121,
             $H$2:H121,H121
             )&gt;1,
   "Doublon",
   "Correcte"
)</f>
        <v>Correcte</v>
      </c>
    </row>
    <row r="122" spans="1:17" x14ac:dyDescent="0.25">
      <c r="A122" s="11" t="s">
        <v>2959</v>
      </c>
      <c r="B122" s="11" t="s">
        <v>1153</v>
      </c>
      <c r="C122" s="11" t="s">
        <v>662</v>
      </c>
      <c r="D122" s="11" t="s">
        <v>1154</v>
      </c>
      <c r="E122" s="11">
        <v>15</v>
      </c>
      <c r="F122" s="11"/>
      <c r="G122" s="11" t="s">
        <v>664</v>
      </c>
      <c r="H122" s="14">
        <v>45915</v>
      </c>
      <c r="I122" s="12">
        <f>-Mvt_Inter_entrepot[[#This Row],[QTE]]</f>
        <v>-15</v>
      </c>
      <c r="J122" s="11" t="s">
        <v>169</v>
      </c>
      <c r="K122" s="11" t="str">
        <f>_xlfn.TEXTBEFORE(Mvt_Inter_entrepot[[#This Row],[Num Suivis]],"-",,,1)</f>
        <v>OF242183</v>
      </c>
      <c r="L122" s="11" t="e">
        <f>_xlfn.XLOOKUP(Mvt_Inter_entrepot[[#This Row],[Num OF]],#REF!,#REF!,"Non Trouvé")</f>
        <v>#REF!</v>
      </c>
      <c r="M122" s="11" t="e">
        <f>_xlfn.XLOOKUP(Mvt_Inter_entrepot[[#This Row],[Num OF]],#REF!,#REF!,"Non Trouvé")</f>
        <v>#REF!</v>
      </c>
      <c r="N122" s="11" t="e">
        <f>_xlfn.XLOOKUP(Mvt_Inter_entrepot[[#This Row],[Num OF]],#REF!,#REF!,"Non Trouvé")</f>
        <v>#REF!</v>
      </c>
      <c r="O122" s="11" t="e">
        <f>_xlfn.XLOOKUP(Mvt_Inter_entrepot[[#This Row],[Num OF]],#REF!,#REF!,"Non Trouvé")</f>
        <v>#REF!</v>
      </c>
      <c r="P122" s="11" t="e">
        <f>_xlfn.XLOOKUP(Mvt_Inter_entrepot[[#This Row],[Num OF]],#REF!,#REF!,"Non Trouvé")</f>
        <v>#REF!</v>
      </c>
      <c r="Q122" s="11" t="str">
        <f>IF(
   COUNTIFS($A$2:A122,A122,
             $B$2:B122,B122,
             $C$2:C122,C122,
             $D$2:D122,D122,
             $E$2:E122,E122,
             $H$2:H122,H122
             )&gt;1,
   "Doublon",
   "Correcte"
)</f>
        <v>Correcte</v>
      </c>
    </row>
    <row r="123" spans="1:17" x14ac:dyDescent="0.25">
      <c r="A123" s="11" t="s">
        <v>2960</v>
      </c>
      <c r="B123" s="11" t="s">
        <v>1153</v>
      </c>
      <c r="C123" s="11" t="s">
        <v>662</v>
      </c>
      <c r="D123" s="11" t="s">
        <v>1154</v>
      </c>
      <c r="E123" s="11">
        <v>20</v>
      </c>
      <c r="F123" s="11"/>
      <c r="G123" s="11" t="s">
        <v>664</v>
      </c>
      <c r="H123" s="14">
        <v>45915</v>
      </c>
      <c r="I123" s="12">
        <f>-Mvt_Inter_entrepot[[#This Row],[QTE]]</f>
        <v>-20</v>
      </c>
      <c r="J123" s="11" t="s">
        <v>170</v>
      </c>
      <c r="K123" s="11" t="str">
        <f>_xlfn.TEXTBEFORE(Mvt_Inter_entrepot[[#This Row],[Num Suivis]],"-",,,1)</f>
        <v>OF242184</v>
      </c>
      <c r="L123" s="11" t="e">
        <f>_xlfn.XLOOKUP(Mvt_Inter_entrepot[[#This Row],[Num OF]],#REF!,#REF!,"Non Trouvé")</f>
        <v>#REF!</v>
      </c>
      <c r="M123" s="11" t="e">
        <f>_xlfn.XLOOKUP(Mvt_Inter_entrepot[[#This Row],[Num OF]],#REF!,#REF!,"Non Trouvé")</f>
        <v>#REF!</v>
      </c>
      <c r="N123" s="11" t="e">
        <f>_xlfn.XLOOKUP(Mvt_Inter_entrepot[[#This Row],[Num OF]],#REF!,#REF!,"Non Trouvé")</f>
        <v>#REF!</v>
      </c>
      <c r="O123" s="11" t="e">
        <f>_xlfn.XLOOKUP(Mvt_Inter_entrepot[[#This Row],[Num OF]],#REF!,#REF!,"Non Trouvé")</f>
        <v>#REF!</v>
      </c>
      <c r="P123" s="11" t="e">
        <f>_xlfn.XLOOKUP(Mvt_Inter_entrepot[[#This Row],[Num OF]],#REF!,#REF!,"Non Trouvé")</f>
        <v>#REF!</v>
      </c>
      <c r="Q123" s="11" t="str">
        <f>IF(
   COUNTIFS($A$2:A123,A123,
             $B$2:B123,B123,
             $C$2:C123,C123,
             $D$2:D123,D123,
             $E$2:E123,E123,
             $H$2:H123,H123
             )&gt;1,
   "Doublon",
   "Correcte"
)</f>
        <v>Correcte</v>
      </c>
    </row>
    <row r="124" spans="1:17" x14ac:dyDescent="0.25">
      <c r="A124" s="11" t="s">
        <v>2961</v>
      </c>
      <c r="B124" s="11" t="s">
        <v>1153</v>
      </c>
      <c r="C124" s="11" t="s">
        <v>662</v>
      </c>
      <c r="D124" s="11" t="s">
        <v>1154</v>
      </c>
      <c r="E124" s="11">
        <v>19</v>
      </c>
      <c r="F124" s="11"/>
      <c r="G124" s="11" t="s">
        <v>664</v>
      </c>
      <c r="H124" s="14">
        <v>45915</v>
      </c>
      <c r="I124" s="12">
        <f>-Mvt_Inter_entrepot[[#This Row],[QTE]]</f>
        <v>-19</v>
      </c>
      <c r="J124" s="11" t="s">
        <v>171</v>
      </c>
      <c r="K124" s="11" t="str">
        <f>_xlfn.TEXTBEFORE(Mvt_Inter_entrepot[[#This Row],[Num Suivis]],"-",,,1)</f>
        <v>OF242185</v>
      </c>
      <c r="L124" s="11" t="e">
        <f>_xlfn.XLOOKUP(Mvt_Inter_entrepot[[#This Row],[Num OF]],#REF!,#REF!,"Non Trouvé")</f>
        <v>#REF!</v>
      </c>
      <c r="M124" s="11" t="e">
        <f>_xlfn.XLOOKUP(Mvt_Inter_entrepot[[#This Row],[Num OF]],#REF!,#REF!,"Non Trouvé")</f>
        <v>#REF!</v>
      </c>
      <c r="N124" s="11" t="e">
        <f>_xlfn.XLOOKUP(Mvt_Inter_entrepot[[#This Row],[Num OF]],#REF!,#REF!,"Non Trouvé")</f>
        <v>#REF!</v>
      </c>
      <c r="O124" s="11" t="e">
        <f>_xlfn.XLOOKUP(Mvt_Inter_entrepot[[#This Row],[Num OF]],#REF!,#REF!,"Non Trouvé")</f>
        <v>#REF!</v>
      </c>
      <c r="P124" s="11" t="e">
        <f>_xlfn.XLOOKUP(Mvt_Inter_entrepot[[#This Row],[Num OF]],#REF!,#REF!,"Non Trouvé")</f>
        <v>#REF!</v>
      </c>
      <c r="Q124" s="11" t="str">
        <f>IF(
   COUNTIFS($A$2:A124,A124,
             $B$2:B124,B124,
             $C$2:C124,C124,
             $D$2:D124,D124,
             $E$2:E124,E124,
             $H$2:H124,H124
             )&gt;1,
   "Doublon",
   "Correcte"
)</f>
        <v>Correcte</v>
      </c>
    </row>
    <row r="125" spans="1:17" x14ac:dyDescent="0.25">
      <c r="A125" s="11" t="s">
        <v>2962</v>
      </c>
      <c r="B125" s="11" t="s">
        <v>1153</v>
      </c>
      <c r="C125" s="11" t="s">
        <v>662</v>
      </c>
      <c r="D125" s="11" t="s">
        <v>1154</v>
      </c>
      <c r="E125" s="11">
        <v>92</v>
      </c>
      <c r="F125" s="11"/>
      <c r="G125" s="11" t="s">
        <v>664</v>
      </c>
      <c r="H125" s="14">
        <v>45915</v>
      </c>
      <c r="I125" s="12">
        <f>-Mvt_Inter_entrepot[[#This Row],[QTE]]</f>
        <v>-92</v>
      </c>
      <c r="J125" s="11" t="s">
        <v>331</v>
      </c>
      <c r="K125" s="11" t="str">
        <f>_xlfn.TEXTBEFORE(Mvt_Inter_entrepot[[#This Row],[Num Suivis]],"-",,,1)</f>
        <v>OF242252</v>
      </c>
      <c r="L125" s="11" t="e">
        <f>_xlfn.XLOOKUP(Mvt_Inter_entrepot[[#This Row],[Num OF]],#REF!,#REF!,"Non Trouvé")</f>
        <v>#REF!</v>
      </c>
      <c r="M125" s="11" t="e">
        <f>_xlfn.XLOOKUP(Mvt_Inter_entrepot[[#This Row],[Num OF]],#REF!,#REF!,"Non Trouvé")</f>
        <v>#REF!</v>
      </c>
      <c r="N125" s="11" t="e">
        <f>_xlfn.XLOOKUP(Mvt_Inter_entrepot[[#This Row],[Num OF]],#REF!,#REF!,"Non Trouvé")</f>
        <v>#REF!</v>
      </c>
      <c r="O125" s="11" t="e">
        <f>_xlfn.XLOOKUP(Mvt_Inter_entrepot[[#This Row],[Num OF]],#REF!,#REF!,"Non Trouvé")</f>
        <v>#REF!</v>
      </c>
      <c r="P125" s="11" t="e">
        <f>_xlfn.XLOOKUP(Mvt_Inter_entrepot[[#This Row],[Num OF]],#REF!,#REF!,"Non Trouvé")</f>
        <v>#REF!</v>
      </c>
      <c r="Q125" s="11" t="str">
        <f>IF(
   COUNTIFS($A$2:A125,A125,
             $B$2:B125,B125,
             $C$2:C125,C125,
             $D$2:D125,D125,
             $E$2:E125,E125,
             $H$2:H125,H125
             )&gt;1,
   "Doublon",
   "Correcte"
)</f>
        <v>Correcte</v>
      </c>
    </row>
    <row r="126" spans="1:17" x14ac:dyDescent="0.25">
      <c r="A126" s="11" t="s">
        <v>2963</v>
      </c>
      <c r="B126" s="11" t="s">
        <v>1153</v>
      </c>
      <c r="C126" s="11" t="s">
        <v>662</v>
      </c>
      <c r="D126" s="11" t="s">
        <v>1154</v>
      </c>
      <c r="E126" s="11">
        <v>88</v>
      </c>
      <c r="F126" s="11"/>
      <c r="G126" s="11" t="s">
        <v>664</v>
      </c>
      <c r="H126" s="14">
        <v>45915</v>
      </c>
      <c r="I126" s="12">
        <f>-Mvt_Inter_entrepot[[#This Row],[QTE]]</f>
        <v>-88</v>
      </c>
      <c r="J126" s="11" t="s">
        <v>333</v>
      </c>
      <c r="K126" s="11" t="str">
        <f>_xlfn.TEXTBEFORE(Mvt_Inter_entrepot[[#This Row],[Num Suivis]],"-",,,1)</f>
        <v>OF242321</v>
      </c>
      <c r="L126" s="11" t="e">
        <f>_xlfn.XLOOKUP(Mvt_Inter_entrepot[[#This Row],[Num OF]],#REF!,#REF!,"Non Trouvé")</f>
        <v>#REF!</v>
      </c>
      <c r="M126" s="11" t="e">
        <f>_xlfn.XLOOKUP(Mvt_Inter_entrepot[[#This Row],[Num OF]],#REF!,#REF!,"Non Trouvé")</f>
        <v>#REF!</v>
      </c>
      <c r="N126" s="11" t="e">
        <f>_xlfn.XLOOKUP(Mvt_Inter_entrepot[[#This Row],[Num OF]],#REF!,#REF!,"Non Trouvé")</f>
        <v>#REF!</v>
      </c>
      <c r="O126" s="11" t="e">
        <f>_xlfn.XLOOKUP(Mvt_Inter_entrepot[[#This Row],[Num OF]],#REF!,#REF!,"Non Trouvé")</f>
        <v>#REF!</v>
      </c>
      <c r="P126" s="11" t="e">
        <f>_xlfn.XLOOKUP(Mvt_Inter_entrepot[[#This Row],[Num OF]],#REF!,#REF!,"Non Trouvé")</f>
        <v>#REF!</v>
      </c>
      <c r="Q126" s="11" t="str">
        <f>IF(
   COUNTIFS($A$2:A126,A126,
             $B$2:B126,B126,
             $C$2:C126,C126,
             $D$2:D126,D126,
             $E$2:E126,E126,
             $H$2:H126,H126
             )&gt;1,
   "Doublon",
   "Correcte"
)</f>
        <v>Correcte</v>
      </c>
    </row>
    <row r="127" spans="1:17" x14ac:dyDescent="0.25">
      <c r="A127" s="11" t="s">
        <v>2964</v>
      </c>
      <c r="B127" s="11" t="s">
        <v>1153</v>
      </c>
      <c r="C127" s="11" t="s">
        <v>662</v>
      </c>
      <c r="D127" s="11" t="s">
        <v>1154</v>
      </c>
      <c r="E127" s="11">
        <v>85</v>
      </c>
      <c r="F127" s="11"/>
      <c r="G127" s="11" t="s">
        <v>664</v>
      </c>
      <c r="H127" s="14">
        <v>45915</v>
      </c>
      <c r="I127" s="12">
        <f>-Mvt_Inter_entrepot[[#This Row],[QTE]]</f>
        <v>-85</v>
      </c>
      <c r="J127" s="11" t="s">
        <v>334</v>
      </c>
      <c r="K127" s="11" t="str">
        <f>_xlfn.TEXTBEFORE(Mvt_Inter_entrepot[[#This Row],[Num Suivis]],"-",,,1)</f>
        <v>OF242322</v>
      </c>
      <c r="L127" s="11" t="e">
        <f>_xlfn.XLOOKUP(Mvt_Inter_entrepot[[#This Row],[Num OF]],#REF!,#REF!,"Non Trouvé")</f>
        <v>#REF!</v>
      </c>
      <c r="M127" s="11" t="e">
        <f>_xlfn.XLOOKUP(Mvt_Inter_entrepot[[#This Row],[Num OF]],#REF!,#REF!,"Non Trouvé")</f>
        <v>#REF!</v>
      </c>
      <c r="N127" s="11" t="e">
        <f>_xlfn.XLOOKUP(Mvt_Inter_entrepot[[#This Row],[Num OF]],#REF!,#REF!,"Non Trouvé")</f>
        <v>#REF!</v>
      </c>
      <c r="O127" s="11" t="e">
        <f>_xlfn.XLOOKUP(Mvt_Inter_entrepot[[#This Row],[Num OF]],#REF!,#REF!,"Non Trouvé")</f>
        <v>#REF!</v>
      </c>
      <c r="P127" s="11" t="e">
        <f>_xlfn.XLOOKUP(Mvt_Inter_entrepot[[#This Row],[Num OF]],#REF!,#REF!,"Non Trouvé")</f>
        <v>#REF!</v>
      </c>
      <c r="Q127" s="11" t="str">
        <f>IF(
   COUNTIFS($A$2:A127,A127,
             $B$2:B127,B127,
             $C$2:C127,C127,
             $D$2:D127,D127,
             $E$2:E127,E127,
             $H$2:H127,H127
             )&gt;1,
   "Doublon",
   "Correcte"
)</f>
        <v>Correcte</v>
      </c>
    </row>
    <row r="128" spans="1:17" x14ac:dyDescent="0.25">
      <c r="A128" s="11" t="s">
        <v>2965</v>
      </c>
      <c r="B128" s="11" t="s">
        <v>1153</v>
      </c>
      <c r="C128" s="11" t="s">
        <v>662</v>
      </c>
      <c r="D128" s="11" t="s">
        <v>1154</v>
      </c>
      <c r="E128" s="11">
        <v>1</v>
      </c>
      <c r="F128" s="11"/>
      <c r="G128" s="11" t="s">
        <v>664</v>
      </c>
      <c r="H128" s="14">
        <v>45915</v>
      </c>
      <c r="I128" s="12">
        <f>-Mvt_Inter_entrepot[[#This Row],[QTE]]</f>
        <v>-1</v>
      </c>
      <c r="J128" s="11" t="s">
        <v>335</v>
      </c>
      <c r="K128" s="11" t="str">
        <f>_xlfn.TEXTBEFORE(Mvt_Inter_entrepot[[#This Row],[Num Suivis]],"-",,,1)</f>
        <v>OF242331</v>
      </c>
      <c r="L128" s="11" t="e">
        <f>_xlfn.XLOOKUP(Mvt_Inter_entrepot[[#This Row],[Num OF]],#REF!,#REF!,"Non Trouvé")</f>
        <v>#REF!</v>
      </c>
      <c r="M128" s="11" t="e">
        <f>_xlfn.XLOOKUP(Mvt_Inter_entrepot[[#This Row],[Num OF]],#REF!,#REF!,"Non Trouvé")</f>
        <v>#REF!</v>
      </c>
      <c r="N128" s="11" t="e">
        <f>_xlfn.XLOOKUP(Mvt_Inter_entrepot[[#This Row],[Num OF]],#REF!,#REF!,"Non Trouvé")</f>
        <v>#REF!</v>
      </c>
      <c r="O128" s="11" t="e">
        <f>_xlfn.XLOOKUP(Mvt_Inter_entrepot[[#This Row],[Num OF]],#REF!,#REF!,"Non Trouvé")</f>
        <v>#REF!</v>
      </c>
      <c r="P128" s="11" t="e">
        <f>_xlfn.XLOOKUP(Mvt_Inter_entrepot[[#This Row],[Num OF]],#REF!,#REF!,"Non Trouvé")</f>
        <v>#REF!</v>
      </c>
      <c r="Q128" s="11" t="str">
        <f>IF(
   COUNTIFS($A$2:A128,A128,
             $B$2:B128,B128,
             $C$2:C128,C128,
             $D$2:D128,D128,
             $E$2:E128,E128,
             $H$2:H128,H128
             )&gt;1,
   "Doublon",
   "Correcte"
)</f>
        <v>Correcte</v>
      </c>
    </row>
    <row r="129" spans="1:17" x14ac:dyDescent="0.25">
      <c r="A129" s="11" t="s">
        <v>2966</v>
      </c>
      <c r="B129" s="11" t="s">
        <v>1153</v>
      </c>
      <c r="C129" s="11" t="s">
        <v>662</v>
      </c>
      <c r="D129" s="11" t="s">
        <v>1154</v>
      </c>
      <c r="E129" s="11">
        <v>2</v>
      </c>
      <c r="F129" s="11"/>
      <c r="G129" s="11" t="s">
        <v>664</v>
      </c>
      <c r="H129" s="14">
        <v>45915</v>
      </c>
      <c r="I129" s="12">
        <f>-Mvt_Inter_entrepot[[#This Row],[QTE]]</f>
        <v>-2</v>
      </c>
      <c r="J129" s="11" t="s">
        <v>336</v>
      </c>
      <c r="K129" s="11" t="str">
        <f>_xlfn.TEXTBEFORE(Mvt_Inter_entrepot[[#This Row],[Num Suivis]],"-",,,1)</f>
        <v>OF242335</v>
      </c>
      <c r="L129" s="11" t="e">
        <f>_xlfn.XLOOKUP(Mvt_Inter_entrepot[[#This Row],[Num OF]],#REF!,#REF!,"Non Trouvé")</f>
        <v>#REF!</v>
      </c>
      <c r="M129" s="11" t="e">
        <f>_xlfn.XLOOKUP(Mvt_Inter_entrepot[[#This Row],[Num OF]],#REF!,#REF!,"Non Trouvé")</f>
        <v>#REF!</v>
      </c>
      <c r="N129" s="11" t="e">
        <f>_xlfn.XLOOKUP(Mvt_Inter_entrepot[[#This Row],[Num OF]],#REF!,#REF!,"Non Trouvé")</f>
        <v>#REF!</v>
      </c>
      <c r="O129" s="11" t="e">
        <f>_xlfn.XLOOKUP(Mvt_Inter_entrepot[[#This Row],[Num OF]],#REF!,#REF!,"Non Trouvé")</f>
        <v>#REF!</v>
      </c>
      <c r="P129" s="11" t="e">
        <f>_xlfn.XLOOKUP(Mvt_Inter_entrepot[[#This Row],[Num OF]],#REF!,#REF!,"Non Trouvé")</f>
        <v>#REF!</v>
      </c>
      <c r="Q129" s="11" t="str">
        <f>IF(
   COUNTIFS($A$2:A129,A129,
             $B$2:B129,B129,
             $C$2:C129,C129,
             $D$2:D129,D129,
             $E$2:E129,E129,
             $H$2:H129,H129
             )&gt;1,
   "Doublon",
   "Correcte"
)</f>
        <v>Correcte</v>
      </c>
    </row>
    <row r="130" spans="1:17" x14ac:dyDescent="0.25">
      <c r="A130" s="11" t="s">
        <v>2967</v>
      </c>
      <c r="B130" s="11" t="s">
        <v>1153</v>
      </c>
      <c r="C130" s="11" t="s">
        <v>662</v>
      </c>
      <c r="D130" s="11" t="s">
        <v>1154</v>
      </c>
      <c r="E130" s="11">
        <v>4</v>
      </c>
      <c r="F130" s="11"/>
      <c r="G130" s="11" t="s">
        <v>664</v>
      </c>
      <c r="H130" s="14">
        <v>45915</v>
      </c>
      <c r="I130" s="12">
        <f>-Mvt_Inter_entrepot[[#This Row],[QTE]]</f>
        <v>-4</v>
      </c>
      <c r="J130" s="11" t="s">
        <v>337</v>
      </c>
      <c r="K130" s="11" t="str">
        <f>_xlfn.TEXTBEFORE(Mvt_Inter_entrepot[[#This Row],[Num Suivis]],"-",,,1)</f>
        <v>OF242337</v>
      </c>
      <c r="L130" s="11" t="e">
        <f>_xlfn.XLOOKUP(Mvt_Inter_entrepot[[#This Row],[Num OF]],#REF!,#REF!,"Non Trouvé")</f>
        <v>#REF!</v>
      </c>
      <c r="M130" s="11" t="e">
        <f>_xlfn.XLOOKUP(Mvt_Inter_entrepot[[#This Row],[Num OF]],#REF!,#REF!,"Non Trouvé")</f>
        <v>#REF!</v>
      </c>
      <c r="N130" s="11" t="e">
        <f>_xlfn.XLOOKUP(Mvt_Inter_entrepot[[#This Row],[Num OF]],#REF!,#REF!,"Non Trouvé")</f>
        <v>#REF!</v>
      </c>
      <c r="O130" s="11" t="e">
        <f>_xlfn.XLOOKUP(Mvt_Inter_entrepot[[#This Row],[Num OF]],#REF!,#REF!,"Non Trouvé")</f>
        <v>#REF!</v>
      </c>
      <c r="P130" s="11" t="e">
        <f>_xlfn.XLOOKUP(Mvt_Inter_entrepot[[#This Row],[Num OF]],#REF!,#REF!,"Non Trouvé")</f>
        <v>#REF!</v>
      </c>
      <c r="Q130" s="11" t="str">
        <f>IF(
   COUNTIFS($A$2:A130,A130,
             $B$2:B130,B130,
             $C$2:C130,C130,
             $D$2:D130,D130,
             $E$2:E130,E130,
             $H$2:H130,H130
             )&gt;1,
   "Doublon",
   "Correcte"
)</f>
        <v>Correcte</v>
      </c>
    </row>
    <row r="131" spans="1:17" x14ac:dyDescent="0.25">
      <c r="A131" s="11" t="s">
        <v>2968</v>
      </c>
      <c r="B131" s="11" t="s">
        <v>1153</v>
      </c>
      <c r="C131" s="11" t="s">
        <v>662</v>
      </c>
      <c r="D131" s="11" t="s">
        <v>1154</v>
      </c>
      <c r="E131" s="11">
        <v>33</v>
      </c>
      <c r="F131" s="11"/>
      <c r="G131" s="11" t="s">
        <v>664</v>
      </c>
      <c r="H131" s="14">
        <v>45915</v>
      </c>
      <c r="I131" s="12">
        <f>-Mvt_Inter_entrepot[[#This Row],[QTE]]</f>
        <v>-33</v>
      </c>
      <c r="J131" s="11" t="s">
        <v>338</v>
      </c>
      <c r="K131" s="11" t="str">
        <f>_xlfn.TEXTBEFORE(Mvt_Inter_entrepot[[#This Row],[Num Suivis]],"-",,,1)</f>
        <v>OF242339</v>
      </c>
      <c r="L131" s="11" t="e">
        <f>_xlfn.XLOOKUP(Mvt_Inter_entrepot[[#This Row],[Num OF]],#REF!,#REF!,"Non Trouvé")</f>
        <v>#REF!</v>
      </c>
      <c r="M131" s="11" t="e">
        <f>_xlfn.XLOOKUP(Mvt_Inter_entrepot[[#This Row],[Num OF]],#REF!,#REF!,"Non Trouvé")</f>
        <v>#REF!</v>
      </c>
      <c r="N131" s="11" t="e">
        <f>_xlfn.XLOOKUP(Mvt_Inter_entrepot[[#This Row],[Num OF]],#REF!,#REF!,"Non Trouvé")</f>
        <v>#REF!</v>
      </c>
      <c r="O131" s="11" t="e">
        <f>_xlfn.XLOOKUP(Mvt_Inter_entrepot[[#This Row],[Num OF]],#REF!,#REF!,"Non Trouvé")</f>
        <v>#REF!</v>
      </c>
      <c r="P131" s="11" t="e">
        <f>_xlfn.XLOOKUP(Mvt_Inter_entrepot[[#This Row],[Num OF]],#REF!,#REF!,"Non Trouvé")</f>
        <v>#REF!</v>
      </c>
      <c r="Q131" s="11" t="str">
        <f>IF(
   COUNTIFS($A$2:A131,A131,
             $B$2:B131,B131,
             $C$2:C131,C131,
             $D$2:D131,D131,
             $E$2:E131,E131,
             $H$2:H131,H131
             )&gt;1,
   "Doublon",
   "Correcte"
)</f>
        <v>Correcte</v>
      </c>
    </row>
    <row r="132" spans="1:17" x14ac:dyDescent="0.25">
      <c r="A132" s="11" t="s">
        <v>2969</v>
      </c>
      <c r="B132" s="11" t="s">
        <v>1153</v>
      </c>
      <c r="C132" s="11" t="s">
        <v>662</v>
      </c>
      <c r="D132" s="11" t="s">
        <v>1154</v>
      </c>
      <c r="E132" s="11">
        <v>1</v>
      </c>
      <c r="F132" s="11"/>
      <c r="G132" s="11" t="s">
        <v>664</v>
      </c>
      <c r="H132" s="14">
        <v>45915</v>
      </c>
      <c r="I132" s="12">
        <f>-Mvt_Inter_entrepot[[#This Row],[QTE]]</f>
        <v>-1</v>
      </c>
      <c r="J132" s="11" t="s">
        <v>339</v>
      </c>
      <c r="K132" s="11" t="str">
        <f>_xlfn.TEXTBEFORE(Mvt_Inter_entrepot[[#This Row],[Num Suivis]],"-",,,1)</f>
        <v>OF242352</v>
      </c>
      <c r="L132" s="11" t="e">
        <f>_xlfn.XLOOKUP(Mvt_Inter_entrepot[[#This Row],[Num OF]],#REF!,#REF!,"Non Trouvé")</f>
        <v>#REF!</v>
      </c>
      <c r="M132" s="11" t="e">
        <f>_xlfn.XLOOKUP(Mvt_Inter_entrepot[[#This Row],[Num OF]],#REF!,#REF!,"Non Trouvé")</f>
        <v>#REF!</v>
      </c>
      <c r="N132" s="11" t="e">
        <f>_xlfn.XLOOKUP(Mvt_Inter_entrepot[[#This Row],[Num OF]],#REF!,#REF!,"Non Trouvé")</f>
        <v>#REF!</v>
      </c>
      <c r="O132" s="11" t="e">
        <f>_xlfn.XLOOKUP(Mvt_Inter_entrepot[[#This Row],[Num OF]],#REF!,#REF!,"Non Trouvé")</f>
        <v>#REF!</v>
      </c>
      <c r="P132" s="11" t="e">
        <f>_xlfn.XLOOKUP(Mvt_Inter_entrepot[[#This Row],[Num OF]],#REF!,#REF!,"Non Trouvé")</f>
        <v>#REF!</v>
      </c>
      <c r="Q132" s="11" t="str">
        <f>IF(
   COUNTIFS($A$2:A132,A132,
             $B$2:B132,B132,
             $C$2:C132,C132,
             $D$2:D132,D132,
             $E$2:E132,E132,
             $H$2:H132,H132
             )&gt;1,
   "Doublon",
   "Correcte"
)</f>
        <v>Correcte</v>
      </c>
    </row>
    <row r="133" spans="1:17" x14ac:dyDescent="0.25">
      <c r="A133" s="11" t="s">
        <v>2970</v>
      </c>
      <c r="B133" s="11" t="s">
        <v>1153</v>
      </c>
      <c r="C133" s="11" t="s">
        <v>662</v>
      </c>
      <c r="D133" s="11" t="s">
        <v>1154</v>
      </c>
      <c r="E133" s="11">
        <v>2</v>
      </c>
      <c r="F133" s="11"/>
      <c r="G133" s="11" t="s">
        <v>664</v>
      </c>
      <c r="H133" s="14">
        <v>45915</v>
      </c>
      <c r="I133" s="12">
        <f>-Mvt_Inter_entrepot[[#This Row],[QTE]]</f>
        <v>-2</v>
      </c>
      <c r="J133" s="11" t="s">
        <v>340</v>
      </c>
      <c r="K133" s="11" t="str">
        <f>_xlfn.TEXTBEFORE(Mvt_Inter_entrepot[[#This Row],[Num Suivis]],"-",,,1)</f>
        <v>OF242389</v>
      </c>
      <c r="L133" s="11" t="e">
        <f>_xlfn.XLOOKUP(Mvt_Inter_entrepot[[#This Row],[Num OF]],#REF!,#REF!,"Non Trouvé")</f>
        <v>#REF!</v>
      </c>
      <c r="M133" s="11" t="e">
        <f>_xlfn.XLOOKUP(Mvt_Inter_entrepot[[#This Row],[Num OF]],#REF!,#REF!,"Non Trouvé")</f>
        <v>#REF!</v>
      </c>
      <c r="N133" s="11" t="e">
        <f>_xlfn.XLOOKUP(Mvt_Inter_entrepot[[#This Row],[Num OF]],#REF!,#REF!,"Non Trouvé")</f>
        <v>#REF!</v>
      </c>
      <c r="O133" s="11" t="e">
        <f>_xlfn.XLOOKUP(Mvt_Inter_entrepot[[#This Row],[Num OF]],#REF!,#REF!,"Non Trouvé")</f>
        <v>#REF!</v>
      </c>
      <c r="P133" s="11" t="e">
        <f>_xlfn.XLOOKUP(Mvt_Inter_entrepot[[#This Row],[Num OF]],#REF!,#REF!,"Non Trouvé")</f>
        <v>#REF!</v>
      </c>
      <c r="Q133" s="11" t="str">
        <f>IF(
   COUNTIFS($A$2:A133,A133,
             $B$2:B133,B133,
             $C$2:C133,C133,
             $D$2:D133,D133,
             $E$2:E133,E133,
             $H$2:H133,H133
             )&gt;1,
   "Doublon",
   "Correcte"
)</f>
        <v>Correcte</v>
      </c>
    </row>
    <row r="134" spans="1:17" x14ac:dyDescent="0.25">
      <c r="A134" s="11" t="s">
        <v>2971</v>
      </c>
      <c r="B134" s="11" t="s">
        <v>1153</v>
      </c>
      <c r="C134" s="11" t="s">
        <v>662</v>
      </c>
      <c r="D134" s="11" t="s">
        <v>1154</v>
      </c>
      <c r="E134" s="11">
        <v>2</v>
      </c>
      <c r="F134" s="11"/>
      <c r="G134" s="11" t="s">
        <v>664</v>
      </c>
      <c r="H134" s="14">
        <v>45915</v>
      </c>
      <c r="I134" s="12">
        <f>-Mvt_Inter_entrepot[[#This Row],[QTE]]</f>
        <v>-2</v>
      </c>
      <c r="J134" s="11" t="s">
        <v>341</v>
      </c>
      <c r="K134" s="11" t="str">
        <f>_xlfn.TEXTBEFORE(Mvt_Inter_entrepot[[#This Row],[Num Suivis]],"-",,,1)</f>
        <v>OF242390</v>
      </c>
      <c r="L134" s="11" t="e">
        <f>_xlfn.XLOOKUP(Mvt_Inter_entrepot[[#This Row],[Num OF]],#REF!,#REF!,"Non Trouvé")</f>
        <v>#REF!</v>
      </c>
      <c r="M134" s="11" t="e">
        <f>_xlfn.XLOOKUP(Mvt_Inter_entrepot[[#This Row],[Num OF]],#REF!,#REF!,"Non Trouvé")</f>
        <v>#REF!</v>
      </c>
      <c r="N134" s="11" t="e">
        <f>_xlfn.XLOOKUP(Mvt_Inter_entrepot[[#This Row],[Num OF]],#REF!,#REF!,"Non Trouvé")</f>
        <v>#REF!</v>
      </c>
      <c r="O134" s="11" t="e">
        <f>_xlfn.XLOOKUP(Mvt_Inter_entrepot[[#This Row],[Num OF]],#REF!,#REF!,"Non Trouvé")</f>
        <v>#REF!</v>
      </c>
      <c r="P134" s="11" t="e">
        <f>_xlfn.XLOOKUP(Mvt_Inter_entrepot[[#This Row],[Num OF]],#REF!,#REF!,"Non Trouvé")</f>
        <v>#REF!</v>
      </c>
      <c r="Q134" s="11" t="str">
        <f>IF(
   COUNTIFS($A$2:A134,A134,
             $B$2:B134,B134,
             $C$2:C134,C134,
             $D$2:D134,D134,
             $E$2:E134,E134,
             $H$2:H134,H134
             )&gt;1,
   "Doublon",
   "Correcte"
)</f>
        <v>Correcte</v>
      </c>
    </row>
    <row r="135" spans="1:17" x14ac:dyDescent="0.25">
      <c r="A135" s="11" t="s">
        <v>2972</v>
      </c>
      <c r="B135" s="11" t="s">
        <v>1153</v>
      </c>
      <c r="C135" s="11" t="s">
        <v>662</v>
      </c>
      <c r="D135" s="11" t="s">
        <v>1154</v>
      </c>
      <c r="E135" s="11">
        <v>1</v>
      </c>
      <c r="F135" s="11"/>
      <c r="G135" s="11" t="s">
        <v>664</v>
      </c>
      <c r="H135" s="14">
        <v>45915</v>
      </c>
      <c r="I135" s="12">
        <f>-Mvt_Inter_entrepot[[#This Row],[QTE]]</f>
        <v>-1</v>
      </c>
      <c r="J135" s="11" t="s">
        <v>342</v>
      </c>
      <c r="K135" s="11" t="str">
        <f>_xlfn.TEXTBEFORE(Mvt_Inter_entrepot[[#This Row],[Num Suivis]],"-",,,1)</f>
        <v>OF242391</v>
      </c>
      <c r="L135" s="11" t="e">
        <f>_xlfn.XLOOKUP(Mvt_Inter_entrepot[[#This Row],[Num OF]],#REF!,#REF!,"Non Trouvé")</f>
        <v>#REF!</v>
      </c>
      <c r="M135" s="11" t="e">
        <f>_xlfn.XLOOKUP(Mvt_Inter_entrepot[[#This Row],[Num OF]],#REF!,#REF!,"Non Trouvé")</f>
        <v>#REF!</v>
      </c>
      <c r="N135" s="11" t="e">
        <f>_xlfn.XLOOKUP(Mvt_Inter_entrepot[[#This Row],[Num OF]],#REF!,#REF!,"Non Trouvé")</f>
        <v>#REF!</v>
      </c>
      <c r="O135" s="11" t="e">
        <f>_xlfn.XLOOKUP(Mvt_Inter_entrepot[[#This Row],[Num OF]],#REF!,#REF!,"Non Trouvé")</f>
        <v>#REF!</v>
      </c>
      <c r="P135" s="11" t="e">
        <f>_xlfn.XLOOKUP(Mvt_Inter_entrepot[[#This Row],[Num OF]],#REF!,#REF!,"Non Trouvé")</f>
        <v>#REF!</v>
      </c>
      <c r="Q135" s="11" t="str">
        <f>IF(
   COUNTIFS($A$2:A135,A135,
             $B$2:B135,B135,
             $C$2:C135,C135,
             $D$2:D135,D135,
             $E$2:E135,E135,
             $H$2:H135,H135
             )&gt;1,
   "Doublon",
   "Correcte"
)</f>
        <v>Correcte</v>
      </c>
    </row>
    <row r="136" spans="1:17" x14ac:dyDescent="0.25">
      <c r="A136" s="11" t="s">
        <v>2973</v>
      </c>
      <c r="B136" s="11" t="s">
        <v>1153</v>
      </c>
      <c r="C136" s="11" t="s">
        <v>662</v>
      </c>
      <c r="D136" s="11" t="s">
        <v>1154</v>
      </c>
      <c r="E136" s="11">
        <v>1</v>
      </c>
      <c r="F136" s="11"/>
      <c r="G136" s="11" t="s">
        <v>664</v>
      </c>
      <c r="H136" s="14">
        <v>45915</v>
      </c>
      <c r="I136" s="12">
        <f>-Mvt_Inter_entrepot[[#This Row],[QTE]]</f>
        <v>-1</v>
      </c>
      <c r="J136" s="11" t="s">
        <v>343</v>
      </c>
      <c r="K136" s="11" t="str">
        <f>_xlfn.TEXTBEFORE(Mvt_Inter_entrepot[[#This Row],[Num Suivis]],"-",,,1)</f>
        <v>OF242394</v>
      </c>
      <c r="L136" s="11" t="e">
        <f>_xlfn.XLOOKUP(Mvt_Inter_entrepot[[#This Row],[Num OF]],#REF!,#REF!,"Non Trouvé")</f>
        <v>#REF!</v>
      </c>
      <c r="M136" s="11" t="e">
        <f>_xlfn.XLOOKUP(Mvt_Inter_entrepot[[#This Row],[Num OF]],#REF!,#REF!,"Non Trouvé")</f>
        <v>#REF!</v>
      </c>
      <c r="N136" s="11" t="e">
        <f>_xlfn.XLOOKUP(Mvt_Inter_entrepot[[#This Row],[Num OF]],#REF!,#REF!,"Non Trouvé")</f>
        <v>#REF!</v>
      </c>
      <c r="O136" s="11" t="e">
        <f>_xlfn.XLOOKUP(Mvt_Inter_entrepot[[#This Row],[Num OF]],#REF!,#REF!,"Non Trouvé")</f>
        <v>#REF!</v>
      </c>
      <c r="P136" s="11" t="e">
        <f>_xlfn.XLOOKUP(Mvt_Inter_entrepot[[#This Row],[Num OF]],#REF!,#REF!,"Non Trouvé")</f>
        <v>#REF!</v>
      </c>
      <c r="Q136" s="11" t="str">
        <f>IF(
   COUNTIFS($A$2:A136,A136,
             $B$2:B136,B136,
             $C$2:C136,C136,
             $D$2:D136,D136,
             $E$2:E136,E136,
             $H$2:H136,H136
             )&gt;1,
   "Doublon",
   "Correcte"
)</f>
        <v>Correcte</v>
      </c>
    </row>
    <row r="137" spans="1:17" x14ac:dyDescent="0.25">
      <c r="A137" s="11" t="s">
        <v>2974</v>
      </c>
      <c r="B137" s="11" t="s">
        <v>1153</v>
      </c>
      <c r="C137" s="11" t="s">
        <v>662</v>
      </c>
      <c r="D137" s="11" t="s">
        <v>1154</v>
      </c>
      <c r="E137" s="11">
        <v>2</v>
      </c>
      <c r="F137" s="11"/>
      <c r="G137" s="11" t="s">
        <v>664</v>
      </c>
      <c r="H137" s="14">
        <v>45915</v>
      </c>
      <c r="I137" s="12">
        <f>-Mvt_Inter_entrepot[[#This Row],[QTE]]</f>
        <v>-2</v>
      </c>
      <c r="J137" s="11" t="s">
        <v>344</v>
      </c>
      <c r="K137" s="11" t="str">
        <f>_xlfn.TEXTBEFORE(Mvt_Inter_entrepot[[#This Row],[Num Suivis]],"-",,,1)</f>
        <v>OF242395</v>
      </c>
      <c r="L137" s="11" t="e">
        <f>_xlfn.XLOOKUP(Mvt_Inter_entrepot[[#This Row],[Num OF]],#REF!,#REF!,"Non Trouvé")</f>
        <v>#REF!</v>
      </c>
      <c r="M137" s="11" t="e">
        <f>_xlfn.XLOOKUP(Mvt_Inter_entrepot[[#This Row],[Num OF]],#REF!,#REF!,"Non Trouvé")</f>
        <v>#REF!</v>
      </c>
      <c r="N137" s="11" t="e">
        <f>_xlfn.XLOOKUP(Mvt_Inter_entrepot[[#This Row],[Num OF]],#REF!,#REF!,"Non Trouvé")</f>
        <v>#REF!</v>
      </c>
      <c r="O137" s="11" t="e">
        <f>_xlfn.XLOOKUP(Mvt_Inter_entrepot[[#This Row],[Num OF]],#REF!,#REF!,"Non Trouvé")</f>
        <v>#REF!</v>
      </c>
      <c r="P137" s="11" t="e">
        <f>_xlfn.XLOOKUP(Mvt_Inter_entrepot[[#This Row],[Num OF]],#REF!,#REF!,"Non Trouvé")</f>
        <v>#REF!</v>
      </c>
      <c r="Q137" s="11" t="str">
        <f>IF(
   COUNTIFS($A$2:A137,A137,
             $B$2:B137,B137,
             $C$2:C137,C137,
             $D$2:D137,D137,
             $E$2:E137,E137,
             $H$2:H137,H137
             )&gt;1,
   "Doublon",
   "Correcte"
)</f>
        <v>Correcte</v>
      </c>
    </row>
    <row r="138" spans="1:17" x14ac:dyDescent="0.25">
      <c r="A138" s="11" t="s">
        <v>2975</v>
      </c>
      <c r="B138" s="11" t="s">
        <v>1153</v>
      </c>
      <c r="C138" s="11" t="s">
        <v>662</v>
      </c>
      <c r="D138" s="11" t="s">
        <v>1154</v>
      </c>
      <c r="E138" s="11">
        <v>1</v>
      </c>
      <c r="F138" s="11"/>
      <c r="G138" s="11" t="s">
        <v>664</v>
      </c>
      <c r="H138" s="14">
        <v>45915</v>
      </c>
      <c r="I138" s="12">
        <f>-Mvt_Inter_entrepot[[#This Row],[QTE]]</f>
        <v>-1</v>
      </c>
      <c r="J138" s="11" t="s">
        <v>345</v>
      </c>
      <c r="K138" s="11" t="str">
        <f>_xlfn.TEXTBEFORE(Mvt_Inter_entrepot[[#This Row],[Num Suivis]],"-",,,1)</f>
        <v>OF242396</v>
      </c>
      <c r="L138" s="11" t="e">
        <f>_xlfn.XLOOKUP(Mvt_Inter_entrepot[[#This Row],[Num OF]],#REF!,#REF!,"Non Trouvé")</f>
        <v>#REF!</v>
      </c>
      <c r="M138" s="11" t="e">
        <f>_xlfn.XLOOKUP(Mvt_Inter_entrepot[[#This Row],[Num OF]],#REF!,#REF!,"Non Trouvé")</f>
        <v>#REF!</v>
      </c>
      <c r="N138" s="11" t="e">
        <f>_xlfn.XLOOKUP(Mvt_Inter_entrepot[[#This Row],[Num OF]],#REF!,#REF!,"Non Trouvé")</f>
        <v>#REF!</v>
      </c>
      <c r="O138" s="11" t="e">
        <f>_xlfn.XLOOKUP(Mvt_Inter_entrepot[[#This Row],[Num OF]],#REF!,#REF!,"Non Trouvé")</f>
        <v>#REF!</v>
      </c>
      <c r="P138" s="11" t="e">
        <f>_xlfn.XLOOKUP(Mvt_Inter_entrepot[[#This Row],[Num OF]],#REF!,#REF!,"Non Trouvé")</f>
        <v>#REF!</v>
      </c>
      <c r="Q138" s="11" t="str">
        <f>IF(
   COUNTIFS($A$2:A138,A138,
             $B$2:B138,B138,
             $C$2:C138,C138,
             $D$2:D138,D138,
             $E$2:E138,E138,
             $H$2:H138,H138
             )&gt;1,
   "Doublon",
   "Correcte"
)</f>
        <v>Correcte</v>
      </c>
    </row>
    <row r="139" spans="1:17" x14ac:dyDescent="0.25">
      <c r="A139" s="11" t="s">
        <v>2976</v>
      </c>
      <c r="B139" s="11" t="s">
        <v>1153</v>
      </c>
      <c r="C139" s="11" t="s">
        <v>662</v>
      </c>
      <c r="D139" s="11" t="s">
        <v>1154</v>
      </c>
      <c r="E139" s="11">
        <v>1</v>
      </c>
      <c r="F139" s="11"/>
      <c r="G139" s="11" t="s">
        <v>664</v>
      </c>
      <c r="H139" s="14">
        <v>45915</v>
      </c>
      <c r="I139" s="12">
        <f>-Mvt_Inter_entrepot[[#This Row],[QTE]]</f>
        <v>-1</v>
      </c>
      <c r="J139" s="11" t="s">
        <v>346</v>
      </c>
      <c r="K139" s="11" t="str">
        <f>_xlfn.TEXTBEFORE(Mvt_Inter_entrepot[[#This Row],[Num Suivis]],"-",,,1)</f>
        <v>OF242397</v>
      </c>
      <c r="L139" s="11" t="e">
        <f>_xlfn.XLOOKUP(Mvt_Inter_entrepot[[#This Row],[Num OF]],#REF!,#REF!,"Non Trouvé")</f>
        <v>#REF!</v>
      </c>
      <c r="M139" s="11" t="e">
        <f>_xlfn.XLOOKUP(Mvt_Inter_entrepot[[#This Row],[Num OF]],#REF!,#REF!,"Non Trouvé")</f>
        <v>#REF!</v>
      </c>
      <c r="N139" s="11" t="e">
        <f>_xlfn.XLOOKUP(Mvt_Inter_entrepot[[#This Row],[Num OF]],#REF!,#REF!,"Non Trouvé")</f>
        <v>#REF!</v>
      </c>
      <c r="O139" s="11" t="e">
        <f>_xlfn.XLOOKUP(Mvt_Inter_entrepot[[#This Row],[Num OF]],#REF!,#REF!,"Non Trouvé")</f>
        <v>#REF!</v>
      </c>
      <c r="P139" s="11" t="e">
        <f>_xlfn.XLOOKUP(Mvt_Inter_entrepot[[#This Row],[Num OF]],#REF!,#REF!,"Non Trouvé")</f>
        <v>#REF!</v>
      </c>
      <c r="Q139" s="11" t="str">
        <f>IF(
   COUNTIFS($A$2:A139,A139,
             $B$2:B139,B139,
             $C$2:C139,C139,
             $D$2:D139,D139,
             $E$2:E139,E139,
             $H$2:H139,H139
             )&gt;1,
   "Doublon",
   "Correcte"
)</f>
        <v>Correcte</v>
      </c>
    </row>
    <row r="140" spans="1:17" x14ac:dyDescent="0.25">
      <c r="A140" s="11" t="s">
        <v>2977</v>
      </c>
      <c r="B140" s="11" t="s">
        <v>1153</v>
      </c>
      <c r="C140" s="11" t="s">
        <v>662</v>
      </c>
      <c r="D140" s="11" t="s">
        <v>1154</v>
      </c>
      <c r="E140" s="11">
        <v>1</v>
      </c>
      <c r="F140" s="11"/>
      <c r="G140" s="11" t="s">
        <v>664</v>
      </c>
      <c r="H140" s="14">
        <v>45915</v>
      </c>
      <c r="I140" s="12">
        <f>-Mvt_Inter_entrepot[[#This Row],[QTE]]</f>
        <v>-1</v>
      </c>
      <c r="J140" s="11" t="s">
        <v>347</v>
      </c>
      <c r="K140" s="11" t="str">
        <f>_xlfn.TEXTBEFORE(Mvt_Inter_entrepot[[#This Row],[Num Suivis]],"-",,,1)</f>
        <v>OF242398</v>
      </c>
      <c r="L140" s="11" t="e">
        <f>_xlfn.XLOOKUP(Mvt_Inter_entrepot[[#This Row],[Num OF]],#REF!,#REF!,"Non Trouvé")</f>
        <v>#REF!</v>
      </c>
      <c r="M140" s="11" t="e">
        <f>_xlfn.XLOOKUP(Mvt_Inter_entrepot[[#This Row],[Num OF]],#REF!,#REF!,"Non Trouvé")</f>
        <v>#REF!</v>
      </c>
      <c r="N140" s="11" t="e">
        <f>_xlfn.XLOOKUP(Mvt_Inter_entrepot[[#This Row],[Num OF]],#REF!,#REF!,"Non Trouvé")</f>
        <v>#REF!</v>
      </c>
      <c r="O140" s="11" t="e">
        <f>_xlfn.XLOOKUP(Mvt_Inter_entrepot[[#This Row],[Num OF]],#REF!,#REF!,"Non Trouvé")</f>
        <v>#REF!</v>
      </c>
      <c r="P140" s="11" t="e">
        <f>_xlfn.XLOOKUP(Mvt_Inter_entrepot[[#This Row],[Num OF]],#REF!,#REF!,"Non Trouvé")</f>
        <v>#REF!</v>
      </c>
      <c r="Q140" s="11" t="str">
        <f>IF(
   COUNTIFS($A$2:A140,A140,
             $B$2:B140,B140,
             $C$2:C140,C140,
             $D$2:D140,D140,
             $E$2:E140,E140,
             $H$2:H140,H140
             )&gt;1,
   "Doublon",
   "Correcte"
)</f>
        <v>Correcte</v>
      </c>
    </row>
    <row r="141" spans="1:17" x14ac:dyDescent="0.25">
      <c r="A141" s="11" t="s">
        <v>2978</v>
      </c>
      <c r="B141" s="11" t="s">
        <v>1153</v>
      </c>
      <c r="C141" s="11" t="s">
        <v>662</v>
      </c>
      <c r="D141" s="11" t="s">
        <v>1154</v>
      </c>
      <c r="E141" s="11">
        <v>1</v>
      </c>
      <c r="F141" s="11"/>
      <c r="G141" s="11" t="s">
        <v>664</v>
      </c>
      <c r="H141" s="14">
        <v>45915</v>
      </c>
      <c r="I141" s="12">
        <f>-Mvt_Inter_entrepot[[#This Row],[QTE]]</f>
        <v>-1</v>
      </c>
      <c r="J141" s="11" t="s">
        <v>348</v>
      </c>
      <c r="K141" s="11" t="str">
        <f>_xlfn.TEXTBEFORE(Mvt_Inter_entrepot[[#This Row],[Num Suivis]],"-",,,1)</f>
        <v>OF242399</v>
      </c>
      <c r="L141" s="11" t="e">
        <f>_xlfn.XLOOKUP(Mvt_Inter_entrepot[[#This Row],[Num OF]],#REF!,#REF!,"Non Trouvé")</f>
        <v>#REF!</v>
      </c>
      <c r="M141" s="11" t="e">
        <f>_xlfn.XLOOKUP(Mvt_Inter_entrepot[[#This Row],[Num OF]],#REF!,#REF!,"Non Trouvé")</f>
        <v>#REF!</v>
      </c>
      <c r="N141" s="11" t="e">
        <f>_xlfn.XLOOKUP(Mvt_Inter_entrepot[[#This Row],[Num OF]],#REF!,#REF!,"Non Trouvé")</f>
        <v>#REF!</v>
      </c>
      <c r="O141" s="11" t="e">
        <f>_xlfn.XLOOKUP(Mvt_Inter_entrepot[[#This Row],[Num OF]],#REF!,#REF!,"Non Trouvé")</f>
        <v>#REF!</v>
      </c>
      <c r="P141" s="11" t="e">
        <f>_xlfn.XLOOKUP(Mvt_Inter_entrepot[[#This Row],[Num OF]],#REF!,#REF!,"Non Trouvé")</f>
        <v>#REF!</v>
      </c>
      <c r="Q141" s="11" t="str">
        <f>IF(
   COUNTIFS($A$2:A141,A141,
             $B$2:B141,B141,
             $C$2:C141,C141,
             $D$2:D141,D141,
             $E$2:E141,E141,
             $H$2:H141,H141
             )&gt;1,
   "Doublon",
   "Correcte"
)</f>
        <v>Correcte</v>
      </c>
    </row>
    <row r="142" spans="1:17" x14ac:dyDescent="0.25">
      <c r="A142" s="11" t="s">
        <v>2979</v>
      </c>
      <c r="B142" s="11" t="s">
        <v>1153</v>
      </c>
      <c r="C142" s="11" t="s">
        <v>662</v>
      </c>
      <c r="D142" s="11" t="s">
        <v>1154</v>
      </c>
      <c r="E142" s="11">
        <v>1</v>
      </c>
      <c r="F142" s="11"/>
      <c r="G142" s="11" t="s">
        <v>664</v>
      </c>
      <c r="H142" s="14">
        <v>45915</v>
      </c>
      <c r="I142" s="12">
        <f>-Mvt_Inter_entrepot[[#This Row],[QTE]]</f>
        <v>-1</v>
      </c>
      <c r="J142" s="11" t="s">
        <v>349</v>
      </c>
      <c r="K142" s="11" t="str">
        <f>_xlfn.TEXTBEFORE(Mvt_Inter_entrepot[[#This Row],[Num Suivis]],"-",,,1)</f>
        <v>OF242400</v>
      </c>
      <c r="L142" s="11" t="e">
        <f>_xlfn.XLOOKUP(Mvt_Inter_entrepot[[#This Row],[Num OF]],#REF!,#REF!,"Non Trouvé")</f>
        <v>#REF!</v>
      </c>
      <c r="M142" s="11" t="e">
        <f>_xlfn.XLOOKUP(Mvt_Inter_entrepot[[#This Row],[Num OF]],#REF!,#REF!,"Non Trouvé")</f>
        <v>#REF!</v>
      </c>
      <c r="N142" s="11" t="e">
        <f>_xlfn.XLOOKUP(Mvt_Inter_entrepot[[#This Row],[Num OF]],#REF!,#REF!,"Non Trouvé")</f>
        <v>#REF!</v>
      </c>
      <c r="O142" s="11" t="e">
        <f>_xlfn.XLOOKUP(Mvt_Inter_entrepot[[#This Row],[Num OF]],#REF!,#REF!,"Non Trouvé")</f>
        <v>#REF!</v>
      </c>
      <c r="P142" s="11" t="e">
        <f>_xlfn.XLOOKUP(Mvt_Inter_entrepot[[#This Row],[Num OF]],#REF!,#REF!,"Non Trouvé")</f>
        <v>#REF!</v>
      </c>
      <c r="Q142" s="11" t="str">
        <f>IF(
   COUNTIFS($A$2:A142,A142,
             $B$2:B142,B142,
             $C$2:C142,C142,
             $D$2:D142,D142,
             $E$2:E142,E142,
             $H$2:H142,H142
             )&gt;1,
   "Doublon",
   "Correcte"
)</f>
        <v>Correcte</v>
      </c>
    </row>
    <row r="143" spans="1:17" x14ac:dyDescent="0.25">
      <c r="A143" s="11" t="s">
        <v>2980</v>
      </c>
      <c r="B143" s="11" t="s">
        <v>1153</v>
      </c>
      <c r="C143" s="11" t="s">
        <v>662</v>
      </c>
      <c r="D143" s="11" t="s">
        <v>1154</v>
      </c>
      <c r="E143" s="11">
        <v>1</v>
      </c>
      <c r="F143" s="11"/>
      <c r="G143" s="11" t="s">
        <v>664</v>
      </c>
      <c r="H143" s="14">
        <v>45915</v>
      </c>
      <c r="I143" s="12">
        <f>-Mvt_Inter_entrepot[[#This Row],[QTE]]</f>
        <v>-1</v>
      </c>
      <c r="J143" s="11" t="s">
        <v>350</v>
      </c>
      <c r="K143" s="11" t="str">
        <f>_xlfn.TEXTBEFORE(Mvt_Inter_entrepot[[#This Row],[Num Suivis]],"-",,,1)</f>
        <v>OF242401</v>
      </c>
      <c r="L143" s="11" t="e">
        <f>_xlfn.XLOOKUP(Mvt_Inter_entrepot[[#This Row],[Num OF]],#REF!,#REF!,"Non Trouvé")</f>
        <v>#REF!</v>
      </c>
      <c r="M143" s="11" t="e">
        <f>_xlfn.XLOOKUP(Mvt_Inter_entrepot[[#This Row],[Num OF]],#REF!,#REF!,"Non Trouvé")</f>
        <v>#REF!</v>
      </c>
      <c r="N143" s="11" t="e">
        <f>_xlfn.XLOOKUP(Mvt_Inter_entrepot[[#This Row],[Num OF]],#REF!,#REF!,"Non Trouvé")</f>
        <v>#REF!</v>
      </c>
      <c r="O143" s="11" t="e">
        <f>_xlfn.XLOOKUP(Mvt_Inter_entrepot[[#This Row],[Num OF]],#REF!,#REF!,"Non Trouvé")</f>
        <v>#REF!</v>
      </c>
      <c r="P143" s="11" t="e">
        <f>_xlfn.XLOOKUP(Mvt_Inter_entrepot[[#This Row],[Num OF]],#REF!,#REF!,"Non Trouvé")</f>
        <v>#REF!</v>
      </c>
      <c r="Q143" s="11" t="str">
        <f>IF(
   COUNTIFS($A$2:A143,A143,
             $B$2:B143,B143,
             $C$2:C143,C143,
             $D$2:D143,D143,
             $E$2:E143,E143,
             $H$2:H143,H143
             )&gt;1,
   "Doublon",
   "Correcte"
)</f>
        <v>Correcte</v>
      </c>
    </row>
    <row r="144" spans="1:17" x14ac:dyDescent="0.25">
      <c r="A144" s="11" t="s">
        <v>2981</v>
      </c>
      <c r="B144" s="11" t="s">
        <v>1153</v>
      </c>
      <c r="C144" s="11" t="s">
        <v>662</v>
      </c>
      <c r="D144" s="11" t="s">
        <v>1154</v>
      </c>
      <c r="E144" s="11">
        <v>1</v>
      </c>
      <c r="F144" s="11"/>
      <c r="G144" s="11" t="s">
        <v>664</v>
      </c>
      <c r="H144" s="14">
        <v>45915</v>
      </c>
      <c r="I144" s="12">
        <f>-Mvt_Inter_entrepot[[#This Row],[QTE]]</f>
        <v>-1</v>
      </c>
      <c r="J144" s="11" t="s">
        <v>351</v>
      </c>
      <c r="K144" s="11" t="str">
        <f>_xlfn.TEXTBEFORE(Mvt_Inter_entrepot[[#This Row],[Num Suivis]],"-",,,1)</f>
        <v>OF242416</v>
      </c>
      <c r="L144" s="11" t="e">
        <f>_xlfn.XLOOKUP(Mvt_Inter_entrepot[[#This Row],[Num OF]],#REF!,#REF!,"Non Trouvé")</f>
        <v>#REF!</v>
      </c>
      <c r="M144" s="11" t="e">
        <f>_xlfn.XLOOKUP(Mvt_Inter_entrepot[[#This Row],[Num OF]],#REF!,#REF!,"Non Trouvé")</f>
        <v>#REF!</v>
      </c>
      <c r="N144" s="11" t="e">
        <f>_xlfn.XLOOKUP(Mvt_Inter_entrepot[[#This Row],[Num OF]],#REF!,#REF!,"Non Trouvé")</f>
        <v>#REF!</v>
      </c>
      <c r="O144" s="11" t="e">
        <f>_xlfn.XLOOKUP(Mvt_Inter_entrepot[[#This Row],[Num OF]],#REF!,#REF!,"Non Trouvé")</f>
        <v>#REF!</v>
      </c>
      <c r="P144" s="11" t="e">
        <f>_xlfn.XLOOKUP(Mvt_Inter_entrepot[[#This Row],[Num OF]],#REF!,#REF!,"Non Trouvé")</f>
        <v>#REF!</v>
      </c>
      <c r="Q144" s="11" t="str">
        <f>IF(
   COUNTIFS($A$2:A144,A144,
             $B$2:B144,B144,
             $C$2:C144,C144,
             $D$2:D144,D144,
             $E$2:E144,E144,
             $H$2:H144,H144
             )&gt;1,
   "Doublon",
   "Correcte"
)</f>
        <v>Correcte</v>
      </c>
    </row>
    <row r="145" spans="1:17" x14ac:dyDescent="0.25">
      <c r="A145" s="11" t="s">
        <v>2982</v>
      </c>
      <c r="B145" s="11" t="s">
        <v>1153</v>
      </c>
      <c r="C145" s="11" t="s">
        <v>662</v>
      </c>
      <c r="D145" s="11" t="s">
        <v>1154</v>
      </c>
      <c r="E145" s="11">
        <v>1</v>
      </c>
      <c r="F145" s="11"/>
      <c r="G145" s="11" t="s">
        <v>664</v>
      </c>
      <c r="H145" s="14">
        <v>45915</v>
      </c>
      <c r="I145" s="12">
        <f>-Mvt_Inter_entrepot[[#This Row],[QTE]]</f>
        <v>-1</v>
      </c>
      <c r="J145" s="11" t="s">
        <v>352</v>
      </c>
      <c r="K145" s="11" t="str">
        <f>_xlfn.TEXTBEFORE(Mvt_Inter_entrepot[[#This Row],[Num Suivis]],"-",,,1)</f>
        <v>OF242426</v>
      </c>
      <c r="L145" s="11" t="e">
        <f>_xlfn.XLOOKUP(Mvt_Inter_entrepot[[#This Row],[Num OF]],#REF!,#REF!,"Non Trouvé")</f>
        <v>#REF!</v>
      </c>
      <c r="M145" s="11" t="e">
        <f>_xlfn.XLOOKUP(Mvt_Inter_entrepot[[#This Row],[Num OF]],#REF!,#REF!,"Non Trouvé")</f>
        <v>#REF!</v>
      </c>
      <c r="N145" s="11" t="e">
        <f>_xlfn.XLOOKUP(Mvt_Inter_entrepot[[#This Row],[Num OF]],#REF!,#REF!,"Non Trouvé")</f>
        <v>#REF!</v>
      </c>
      <c r="O145" s="11" t="e">
        <f>_xlfn.XLOOKUP(Mvt_Inter_entrepot[[#This Row],[Num OF]],#REF!,#REF!,"Non Trouvé")</f>
        <v>#REF!</v>
      </c>
      <c r="P145" s="11" t="e">
        <f>_xlfn.XLOOKUP(Mvt_Inter_entrepot[[#This Row],[Num OF]],#REF!,#REF!,"Non Trouvé")</f>
        <v>#REF!</v>
      </c>
      <c r="Q145" s="11" t="str">
        <f>IF(
   COUNTIFS($A$2:A145,A145,
             $B$2:B145,B145,
             $C$2:C145,C145,
             $D$2:D145,D145,
             $E$2:E145,E145,
             $H$2:H145,H145
             )&gt;1,
   "Doublon",
   "Correcte"
)</f>
        <v>Correcte</v>
      </c>
    </row>
    <row r="146" spans="1:17" x14ac:dyDescent="0.25">
      <c r="A146" s="11" t="s">
        <v>2983</v>
      </c>
      <c r="B146" s="11" t="s">
        <v>1153</v>
      </c>
      <c r="C146" s="11" t="s">
        <v>662</v>
      </c>
      <c r="D146" s="11" t="s">
        <v>1154</v>
      </c>
      <c r="E146" s="11">
        <v>5</v>
      </c>
      <c r="F146" s="11"/>
      <c r="G146" s="11" t="s">
        <v>664</v>
      </c>
      <c r="H146" s="14">
        <v>45915</v>
      </c>
      <c r="I146" s="12">
        <f>-Mvt_Inter_entrepot[[#This Row],[QTE]]</f>
        <v>-5</v>
      </c>
      <c r="J146" s="11" t="s">
        <v>353</v>
      </c>
      <c r="K146" s="11" t="str">
        <f>_xlfn.TEXTBEFORE(Mvt_Inter_entrepot[[#This Row],[Num Suivis]],"-",,,1)</f>
        <v>OF242457</v>
      </c>
      <c r="L146" s="11" t="e">
        <f>_xlfn.XLOOKUP(Mvt_Inter_entrepot[[#This Row],[Num OF]],#REF!,#REF!,"Non Trouvé")</f>
        <v>#REF!</v>
      </c>
      <c r="M146" s="11" t="e">
        <f>_xlfn.XLOOKUP(Mvt_Inter_entrepot[[#This Row],[Num OF]],#REF!,#REF!,"Non Trouvé")</f>
        <v>#REF!</v>
      </c>
      <c r="N146" s="11" t="e">
        <f>_xlfn.XLOOKUP(Mvt_Inter_entrepot[[#This Row],[Num OF]],#REF!,#REF!,"Non Trouvé")</f>
        <v>#REF!</v>
      </c>
      <c r="O146" s="11" t="e">
        <f>_xlfn.XLOOKUP(Mvt_Inter_entrepot[[#This Row],[Num OF]],#REF!,#REF!,"Non Trouvé")</f>
        <v>#REF!</v>
      </c>
      <c r="P146" s="11" t="e">
        <f>_xlfn.XLOOKUP(Mvt_Inter_entrepot[[#This Row],[Num OF]],#REF!,#REF!,"Non Trouvé")</f>
        <v>#REF!</v>
      </c>
      <c r="Q146" s="11" t="str">
        <f>IF(
   COUNTIFS($A$2:A146,A146,
             $B$2:B146,B146,
             $C$2:C146,C146,
             $D$2:D146,D146,
             $E$2:E146,E146,
             $H$2:H146,H146
             )&gt;1,
   "Doublon",
   "Correcte"
)</f>
        <v>Correcte</v>
      </c>
    </row>
    <row r="147" spans="1:17" x14ac:dyDescent="0.25">
      <c r="A147" s="11" t="s">
        <v>2984</v>
      </c>
      <c r="B147" s="11" t="s">
        <v>1153</v>
      </c>
      <c r="C147" s="11" t="s">
        <v>662</v>
      </c>
      <c r="D147" s="11" t="s">
        <v>1154</v>
      </c>
      <c r="E147" s="11">
        <v>12</v>
      </c>
      <c r="F147" s="11"/>
      <c r="G147" s="11" t="s">
        <v>664</v>
      </c>
      <c r="H147" s="14">
        <v>45915</v>
      </c>
      <c r="I147" s="12">
        <f>-Mvt_Inter_entrepot[[#This Row],[QTE]]</f>
        <v>-12</v>
      </c>
      <c r="J147" s="11" t="s">
        <v>354</v>
      </c>
      <c r="K147" s="11" t="str">
        <f>_xlfn.TEXTBEFORE(Mvt_Inter_entrepot[[#This Row],[Num Suivis]],"-",,,1)</f>
        <v>OF242480</v>
      </c>
      <c r="L147" s="11" t="e">
        <f>_xlfn.XLOOKUP(Mvt_Inter_entrepot[[#This Row],[Num OF]],#REF!,#REF!,"Non Trouvé")</f>
        <v>#REF!</v>
      </c>
      <c r="M147" s="11" t="e">
        <f>_xlfn.XLOOKUP(Mvt_Inter_entrepot[[#This Row],[Num OF]],#REF!,#REF!,"Non Trouvé")</f>
        <v>#REF!</v>
      </c>
      <c r="N147" s="11" t="e">
        <f>_xlfn.XLOOKUP(Mvt_Inter_entrepot[[#This Row],[Num OF]],#REF!,#REF!,"Non Trouvé")</f>
        <v>#REF!</v>
      </c>
      <c r="O147" s="11" t="e">
        <f>_xlfn.XLOOKUP(Mvt_Inter_entrepot[[#This Row],[Num OF]],#REF!,#REF!,"Non Trouvé")</f>
        <v>#REF!</v>
      </c>
      <c r="P147" s="11" t="e">
        <f>_xlfn.XLOOKUP(Mvt_Inter_entrepot[[#This Row],[Num OF]],#REF!,#REF!,"Non Trouvé")</f>
        <v>#REF!</v>
      </c>
      <c r="Q147" s="11" t="str">
        <f>IF(
   COUNTIFS($A$2:A147,A147,
             $B$2:B147,B147,
             $C$2:C147,C147,
             $D$2:D147,D147,
             $E$2:E147,E147,
             $H$2:H147,H147
             )&gt;1,
   "Doublon",
   "Correcte"
)</f>
        <v>Correcte</v>
      </c>
    </row>
    <row r="148" spans="1:17" x14ac:dyDescent="0.25">
      <c r="A148" s="11" t="s">
        <v>2985</v>
      </c>
      <c r="B148" s="11" t="s">
        <v>1153</v>
      </c>
      <c r="C148" s="11" t="s">
        <v>662</v>
      </c>
      <c r="D148" s="11" t="s">
        <v>1154</v>
      </c>
      <c r="E148" s="11">
        <v>19</v>
      </c>
      <c r="F148" s="11"/>
      <c r="G148" s="11" t="s">
        <v>664</v>
      </c>
      <c r="H148" s="14">
        <v>45915</v>
      </c>
      <c r="I148" s="12">
        <f>-Mvt_Inter_entrepot[[#This Row],[QTE]]</f>
        <v>-19</v>
      </c>
      <c r="J148" s="11" t="s">
        <v>355</v>
      </c>
      <c r="K148" s="11" t="str">
        <f>_xlfn.TEXTBEFORE(Mvt_Inter_entrepot[[#This Row],[Num Suivis]],"-",,,1)</f>
        <v>OF242481</v>
      </c>
      <c r="L148" s="11" t="e">
        <f>_xlfn.XLOOKUP(Mvt_Inter_entrepot[[#This Row],[Num OF]],#REF!,#REF!,"Non Trouvé")</f>
        <v>#REF!</v>
      </c>
      <c r="M148" s="11" t="e">
        <f>_xlfn.XLOOKUP(Mvt_Inter_entrepot[[#This Row],[Num OF]],#REF!,#REF!,"Non Trouvé")</f>
        <v>#REF!</v>
      </c>
      <c r="N148" s="11" t="e">
        <f>_xlfn.XLOOKUP(Mvt_Inter_entrepot[[#This Row],[Num OF]],#REF!,#REF!,"Non Trouvé")</f>
        <v>#REF!</v>
      </c>
      <c r="O148" s="11" t="e">
        <f>_xlfn.XLOOKUP(Mvt_Inter_entrepot[[#This Row],[Num OF]],#REF!,#REF!,"Non Trouvé")</f>
        <v>#REF!</v>
      </c>
      <c r="P148" s="11" t="e">
        <f>_xlfn.XLOOKUP(Mvt_Inter_entrepot[[#This Row],[Num OF]],#REF!,#REF!,"Non Trouvé")</f>
        <v>#REF!</v>
      </c>
      <c r="Q148" s="11" t="str">
        <f>IF(
   COUNTIFS($A$2:A148,A148,
             $B$2:B148,B148,
             $C$2:C148,C148,
             $D$2:D148,D148,
             $E$2:E148,E148,
             $H$2:H148,H148
             )&gt;1,
   "Doublon",
   "Correcte"
)</f>
        <v>Correcte</v>
      </c>
    </row>
    <row r="149" spans="1:17" x14ac:dyDescent="0.25">
      <c r="A149" s="11" t="s">
        <v>2986</v>
      </c>
      <c r="B149" s="11" t="s">
        <v>1153</v>
      </c>
      <c r="C149" s="11" t="s">
        <v>662</v>
      </c>
      <c r="D149" s="11" t="s">
        <v>1154</v>
      </c>
      <c r="E149" s="11">
        <v>4</v>
      </c>
      <c r="F149" s="11"/>
      <c r="G149" s="11" t="s">
        <v>664</v>
      </c>
      <c r="H149" s="14">
        <v>45915</v>
      </c>
      <c r="I149" s="12">
        <f>-Mvt_Inter_entrepot[[#This Row],[QTE]]</f>
        <v>-4</v>
      </c>
      <c r="J149" s="11" t="s">
        <v>356</v>
      </c>
      <c r="K149" s="11" t="str">
        <f>_xlfn.TEXTBEFORE(Mvt_Inter_entrepot[[#This Row],[Num Suivis]],"-",,,1)</f>
        <v>OF242482</v>
      </c>
      <c r="L149" s="11" t="e">
        <f>_xlfn.XLOOKUP(Mvt_Inter_entrepot[[#This Row],[Num OF]],#REF!,#REF!,"Non Trouvé")</f>
        <v>#REF!</v>
      </c>
      <c r="M149" s="11" t="e">
        <f>_xlfn.XLOOKUP(Mvt_Inter_entrepot[[#This Row],[Num OF]],#REF!,#REF!,"Non Trouvé")</f>
        <v>#REF!</v>
      </c>
      <c r="N149" s="11" t="e">
        <f>_xlfn.XLOOKUP(Mvt_Inter_entrepot[[#This Row],[Num OF]],#REF!,#REF!,"Non Trouvé")</f>
        <v>#REF!</v>
      </c>
      <c r="O149" s="11" t="e">
        <f>_xlfn.XLOOKUP(Mvt_Inter_entrepot[[#This Row],[Num OF]],#REF!,#REF!,"Non Trouvé")</f>
        <v>#REF!</v>
      </c>
      <c r="P149" s="11" t="e">
        <f>_xlfn.XLOOKUP(Mvt_Inter_entrepot[[#This Row],[Num OF]],#REF!,#REF!,"Non Trouvé")</f>
        <v>#REF!</v>
      </c>
      <c r="Q149" s="11" t="str">
        <f>IF(
   COUNTIFS($A$2:A149,A149,
             $B$2:B149,B149,
             $C$2:C149,C149,
             $D$2:D149,D149,
             $E$2:E149,E149,
             $H$2:H149,H149
             )&gt;1,
   "Doublon",
   "Correcte"
)</f>
        <v>Correcte</v>
      </c>
    </row>
    <row r="150" spans="1:17" x14ac:dyDescent="0.25">
      <c r="A150" s="11" t="s">
        <v>2986</v>
      </c>
      <c r="B150" s="11" t="s">
        <v>1153</v>
      </c>
      <c r="C150" s="11" t="s">
        <v>662</v>
      </c>
      <c r="D150" s="11" t="s">
        <v>1154</v>
      </c>
      <c r="E150" s="11">
        <v>5</v>
      </c>
      <c r="F150" s="11"/>
      <c r="G150" s="11" t="s">
        <v>664</v>
      </c>
      <c r="H150" s="14">
        <v>45915</v>
      </c>
      <c r="I150" s="12">
        <f>-Mvt_Inter_entrepot[[#This Row],[QTE]]</f>
        <v>-5</v>
      </c>
      <c r="J150" s="11" t="s">
        <v>356</v>
      </c>
      <c r="K150" s="11" t="str">
        <f>_xlfn.TEXTBEFORE(Mvt_Inter_entrepot[[#This Row],[Num Suivis]],"-",,,1)</f>
        <v>OF242482</v>
      </c>
      <c r="L150" s="11" t="e">
        <f>_xlfn.XLOOKUP(Mvt_Inter_entrepot[[#This Row],[Num OF]],#REF!,#REF!,"Non Trouvé")</f>
        <v>#REF!</v>
      </c>
      <c r="M150" s="11" t="e">
        <f>_xlfn.XLOOKUP(Mvt_Inter_entrepot[[#This Row],[Num OF]],#REF!,#REF!,"Non Trouvé")</f>
        <v>#REF!</v>
      </c>
      <c r="N150" s="11" t="e">
        <f>_xlfn.XLOOKUP(Mvt_Inter_entrepot[[#This Row],[Num OF]],#REF!,#REF!,"Non Trouvé")</f>
        <v>#REF!</v>
      </c>
      <c r="O150" s="11" t="e">
        <f>_xlfn.XLOOKUP(Mvt_Inter_entrepot[[#This Row],[Num OF]],#REF!,#REF!,"Non Trouvé")</f>
        <v>#REF!</v>
      </c>
      <c r="P150" s="11" t="e">
        <f>_xlfn.XLOOKUP(Mvt_Inter_entrepot[[#This Row],[Num OF]],#REF!,#REF!,"Non Trouvé")</f>
        <v>#REF!</v>
      </c>
      <c r="Q150" s="11" t="str">
        <f>IF(
   COUNTIFS($A$2:A150,A150,
             $B$2:B150,B150,
             $C$2:C150,C150,
             $D$2:D150,D150,
             $E$2:E150,E150,
             $H$2:H150,H150
             )&gt;1,
   "Doublon",
   "Correcte"
)</f>
        <v>Correcte</v>
      </c>
    </row>
    <row r="151" spans="1:17" x14ac:dyDescent="0.25">
      <c r="A151" s="11" t="s">
        <v>2987</v>
      </c>
      <c r="B151" s="11" t="s">
        <v>1153</v>
      </c>
      <c r="C151" s="11" t="s">
        <v>662</v>
      </c>
      <c r="D151" s="11" t="s">
        <v>1154</v>
      </c>
      <c r="E151" s="11">
        <v>43</v>
      </c>
      <c r="F151" s="11"/>
      <c r="G151" s="11" t="s">
        <v>664</v>
      </c>
      <c r="H151" s="14">
        <v>45915</v>
      </c>
      <c r="I151" s="12">
        <f>-Mvt_Inter_entrepot[[#This Row],[QTE]]</f>
        <v>-43</v>
      </c>
      <c r="J151" s="11" t="s">
        <v>357</v>
      </c>
      <c r="K151" s="11" t="str">
        <f>_xlfn.TEXTBEFORE(Mvt_Inter_entrepot[[#This Row],[Num Suivis]],"-",,,1)</f>
        <v>OF242483</v>
      </c>
      <c r="L151" s="11" t="e">
        <f>_xlfn.XLOOKUP(Mvt_Inter_entrepot[[#This Row],[Num OF]],#REF!,#REF!,"Non Trouvé")</f>
        <v>#REF!</v>
      </c>
      <c r="M151" s="11" t="e">
        <f>_xlfn.XLOOKUP(Mvt_Inter_entrepot[[#This Row],[Num OF]],#REF!,#REF!,"Non Trouvé")</f>
        <v>#REF!</v>
      </c>
      <c r="N151" s="11" t="e">
        <f>_xlfn.XLOOKUP(Mvt_Inter_entrepot[[#This Row],[Num OF]],#REF!,#REF!,"Non Trouvé")</f>
        <v>#REF!</v>
      </c>
      <c r="O151" s="11" t="e">
        <f>_xlfn.XLOOKUP(Mvt_Inter_entrepot[[#This Row],[Num OF]],#REF!,#REF!,"Non Trouvé")</f>
        <v>#REF!</v>
      </c>
      <c r="P151" s="11" t="e">
        <f>_xlfn.XLOOKUP(Mvt_Inter_entrepot[[#This Row],[Num OF]],#REF!,#REF!,"Non Trouvé")</f>
        <v>#REF!</v>
      </c>
      <c r="Q151" s="11" t="str">
        <f>IF(
   COUNTIFS($A$2:A151,A151,
             $B$2:B151,B151,
             $C$2:C151,C151,
             $D$2:D151,D151,
             $E$2:E151,E151,
             $H$2:H151,H151
             )&gt;1,
   "Doublon",
   "Correcte"
)</f>
        <v>Correcte</v>
      </c>
    </row>
    <row r="152" spans="1:17" x14ac:dyDescent="0.25">
      <c r="A152" s="11" t="s">
        <v>2987</v>
      </c>
      <c r="B152" s="11" t="s">
        <v>1153</v>
      </c>
      <c r="C152" s="11" t="s">
        <v>662</v>
      </c>
      <c r="D152" s="11" t="s">
        <v>1154</v>
      </c>
      <c r="E152" s="11">
        <v>4</v>
      </c>
      <c r="F152" s="11"/>
      <c r="G152" s="11" t="s">
        <v>664</v>
      </c>
      <c r="H152" s="14">
        <v>45915</v>
      </c>
      <c r="I152" s="12">
        <f>-Mvt_Inter_entrepot[[#This Row],[QTE]]</f>
        <v>-4</v>
      </c>
      <c r="J152" s="11" t="s">
        <v>357</v>
      </c>
      <c r="K152" s="11" t="str">
        <f>_xlfn.TEXTBEFORE(Mvt_Inter_entrepot[[#This Row],[Num Suivis]],"-",,,1)</f>
        <v>OF242483</v>
      </c>
      <c r="L152" s="11" t="e">
        <f>_xlfn.XLOOKUP(Mvt_Inter_entrepot[[#This Row],[Num OF]],#REF!,#REF!,"Non Trouvé")</f>
        <v>#REF!</v>
      </c>
      <c r="M152" s="11" t="e">
        <f>_xlfn.XLOOKUP(Mvt_Inter_entrepot[[#This Row],[Num OF]],#REF!,#REF!,"Non Trouvé")</f>
        <v>#REF!</v>
      </c>
      <c r="N152" s="11" t="e">
        <f>_xlfn.XLOOKUP(Mvt_Inter_entrepot[[#This Row],[Num OF]],#REF!,#REF!,"Non Trouvé")</f>
        <v>#REF!</v>
      </c>
      <c r="O152" s="11" t="e">
        <f>_xlfn.XLOOKUP(Mvt_Inter_entrepot[[#This Row],[Num OF]],#REF!,#REF!,"Non Trouvé")</f>
        <v>#REF!</v>
      </c>
      <c r="P152" s="11" t="e">
        <f>_xlfn.XLOOKUP(Mvt_Inter_entrepot[[#This Row],[Num OF]],#REF!,#REF!,"Non Trouvé")</f>
        <v>#REF!</v>
      </c>
      <c r="Q152" s="11" t="str">
        <f>IF(
   COUNTIFS($A$2:A152,A152,
             $B$2:B152,B152,
             $C$2:C152,C152,
             $D$2:D152,D152,
             $E$2:E152,E152,
             $H$2:H152,H152
             )&gt;1,
   "Doublon",
   "Correcte"
)</f>
        <v>Correcte</v>
      </c>
    </row>
    <row r="153" spans="1:17" x14ac:dyDescent="0.25">
      <c r="A153" s="11" t="s">
        <v>2988</v>
      </c>
      <c r="B153" s="11" t="s">
        <v>1153</v>
      </c>
      <c r="C153" s="11" t="s">
        <v>662</v>
      </c>
      <c r="D153" s="11" t="s">
        <v>1154</v>
      </c>
      <c r="E153" s="11">
        <v>34</v>
      </c>
      <c r="F153" s="11"/>
      <c r="G153" s="11" t="s">
        <v>664</v>
      </c>
      <c r="H153" s="14">
        <v>45915</v>
      </c>
      <c r="I153" s="12">
        <f>-Mvt_Inter_entrepot[[#This Row],[QTE]]</f>
        <v>-34</v>
      </c>
      <c r="J153" s="11" t="s">
        <v>358</v>
      </c>
      <c r="K153" s="11" t="str">
        <f>_xlfn.TEXTBEFORE(Mvt_Inter_entrepot[[#This Row],[Num Suivis]],"-",,,1)</f>
        <v>OF242484</v>
      </c>
      <c r="L153" s="11" t="e">
        <f>_xlfn.XLOOKUP(Mvt_Inter_entrepot[[#This Row],[Num OF]],#REF!,#REF!,"Non Trouvé")</f>
        <v>#REF!</v>
      </c>
      <c r="M153" s="11" t="e">
        <f>_xlfn.XLOOKUP(Mvt_Inter_entrepot[[#This Row],[Num OF]],#REF!,#REF!,"Non Trouvé")</f>
        <v>#REF!</v>
      </c>
      <c r="N153" s="11" t="e">
        <f>_xlfn.XLOOKUP(Mvt_Inter_entrepot[[#This Row],[Num OF]],#REF!,#REF!,"Non Trouvé")</f>
        <v>#REF!</v>
      </c>
      <c r="O153" s="11" t="e">
        <f>_xlfn.XLOOKUP(Mvt_Inter_entrepot[[#This Row],[Num OF]],#REF!,#REF!,"Non Trouvé")</f>
        <v>#REF!</v>
      </c>
      <c r="P153" s="11" t="e">
        <f>_xlfn.XLOOKUP(Mvt_Inter_entrepot[[#This Row],[Num OF]],#REF!,#REF!,"Non Trouvé")</f>
        <v>#REF!</v>
      </c>
      <c r="Q153" s="11" t="str">
        <f>IF(
   COUNTIFS($A$2:A153,A153,
             $B$2:B153,B153,
             $C$2:C153,C153,
             $D$2:D153,D153,
             $E$2:E153,E153,
             $H$2:H153,H153
             )&gt;1,
   "Doublon",
   "Correcte"
)</f>
        <v>Correcte</v>
      </c>
    </row>
    <row r="154" spans="1:17" x14ac:dyDescent="0.25">
      <c r="A154" s="11" t="s">
        <v>2989</v>
      </c>
      <c r="B154" s="11" t="s">
        <v>1153</v>
      </c>
      <c r="C154" s="11" t="s">
        <v>662</v>
      </c>
      <c r="D154" s="11" t="s">
        <v>1154</v>
      </c>
      <c r="E154" s="11">
        <v>26</v>
      </c>
      <c r="F154" s="11"/>
      <c r="G154" s="11" t="s">
        <v>664</v>
      </c>
      <c r="H154" s="14">
        <v>45915</v>
      </c>
      <c r="I154" s="12">
        <f>-Mvt_Inter_entrepot[[#This Row],[QTE]]</f>
        <v>-26</v>
      </c>
      <c r="J154" s="11" t="s">
        <v>359</v>
      </c>
      <c r="K154" s="11" t="str">
        <f>_xlfn.TEXTBEFORE(Mvt_Inter_entrepot[[#This Row],[Num Suivis]],"-",,,1)</f>
        <v>OF242485</v>
      </c>
      <c r="L154" s="11" t="e">
        <f>_xlfn.XLOOKUP(Mvt_Inter_entrepot[[#This Row],[Num OF]],#REF!,#REF!,"Non Trouvé")</f>
        <v>#REF!</v>
      </c>
      <c r="M154" s="11" t="e">
        <f>_xlfn.XLOOKUP(Mvt_Inter_entrepot[[#This Row],[Num OF]],#REF!,#REF!,"Non Trouvé")</f>
        <v>#REF!</v>
      </c>
      <c r="N154" s="11" t="e">
        <f>_xlfn.XLOOKUP(Mvt_Inter_entrepot[[#This Row],[Num OF]],#REF!,#REF!,"Non Trouvé")</f>
        <v>#REF!</v>
      </c>
      <c r="O154" s="11" t="e">
        <f>_xlfn.XLOOKUP(Mvt_Inter_entrepot[[#This Row],[Num OF]],#REF!,#REF!,"Non Trouvé")</f>
        <v>#REF!</v>
      </c>
      <c r="P154" s="11" t="e">
        <f>_xlfn.XLOOKUP(Mvt_Inter_entrepot[[#This Row],[Num OF]],#REF!,#REF!,"Non Trouvé")</f>
        <v>#REF!</v>
      </c>
      <c r="Q154" s="11" t="str">
        <f>IF(
   COUNTIFS($A$2:A154,A154,
             $B$2:B154,B154,
             $C$2:C154,C154,
             $D$2:D154,D154,
             $E$2:E154,E154,
             $H$2:H154,H154
             )&gt;1,
   "Doublon",
   "Correcte"
)</f>
        <v>Correcte</v>
      </c>
    </row>
    <row r="155" spans="1:17" x14ac:dyDescent="0.25">
      <c r="A155" s="11" t="s">
        <v>2990</v>
      </c>
      <c r="B155" s="11" t="s">
        <v>1153</v>
      </c>
      <c r="C155" s="11" t="s">
        <v>662</v>
      </c>
      <c r="D155" s="11" t="s">
        <v>1154</v>
      </c>
      <c r="E155" s="11">
        <v>19</v>
      </c>
      <c r="F155" s="11"/>
      <c r="G155" s="11" t="s">
        <v>664</v>
      </c>
      <c r="H155" s="14">
        <v>45915</v>
      </c>
      <c r="I155" s="12">
        <f>-Mvt_Inter_entrepot[[#This Row],[QTE]]</f>
        <v>-19</v>
      </c>
      <c r="J155" s="11" t="s">
        <v>360</v>
      </c>
      <c r="K155" s="11" t="str">
        <f>_xlfn.TEXTBEFORE(Mvt_Inter_entrepot[[#This Row],[Num Suivis]],"-",,,1)</f>
        <v>OF242486</v>
      </c>
      <c r="L155" s="11" t="e">
        <f>_xlfn.XLOOKUP(Mvt_Inter_entrepot[[#This Row],[Num OF]],#REF!,#REF!,"Non Trouvé")</f>
        <v>#REF!</v>
      </c>
      <c r="M155" s="11" t="e">
        <f>_xlfn.XLOOKUP(Mvt_Inter_entrepot[[#This Row],[Num OF]],#REF!,#REF!,"Non Trouvé")</f>
        <v>#REF!</v>
      </c>
      <c r="N155" s="11" t="e">
        <f>_xlfn.XLOOKUP(Mvt_Inter_entrepot[[#This Row],[Num OF]],#REF!,#REF!,"Non Trouvé")</f>
        <v>#REF!</v>
      </c>
      <c r="O155" s="11" t="e">
        <f>_xlfn.XLOOKUP(Mvt_Inter_entrepot[[#This Row],[Num OF]],#REF!,#REF!,"Non Trouvé")</f>
        <v>#REF!</v>
      </c>
      <c r="P155" s="11" t="e">
        <f>_xlfn.XLOOKUP(Mvt_Inter_entrepot[[#This Row],[Num OF]],#REF!,#REF!,"Non Trouvé")</f>
        <v>#REF!</v>
      </c>
      <c r="Q155" s="11" t="str">
        <f>IF(
   COUNTIFS($A$2:A155,A155,
             $B$2:B155,B155,
             $C$2:C155,C155,
             $D$2:D155,D155,
             $E$2:E155,E155,
             $H$2:H155,H155
             )&gt;1,
   "Doublon",
   "Correcte"
)</f>
        <v>Correcte</v>
      </c>
    </row>
    <row r="156" spans="1:17" x14ac:dyDescent="0.25">
      <c r="A156" s="11" t="s">
        <v>2991</v>
      </c>
      <c r="B156" s="11" t="s">
        <v>1153</v>
      </c>
      <c r="C156" s="11" t="s">
        <v>662</v>
      </c>
      <c r="D156" s="11" t="s">
        <v>1154</v>
      </c>
      <c r="E156" s="11">
        <v>7</v>
      </c>
      <c r="F156" s="11"/>
      <c r="G156" s="11" t="s">
        <v>664</v>
      </c>
      <c r="H156" s="14">
        <v>45915</v>
      </c>
      <c r="I156" s="12">
        <f>-Mvt_Inter_entrepot[[#This Row],[QTE]]</f>
        <v>-7</v>
      </c>
      <c r="J156" s="11" t="s">
        <v>361</v>
      </c>
      <c r="K156" s="11" t="str">
        <f>_xlfn.TEXTBEFORE(Mvt_Inter_entrepot[[#This Row],[Num Suivis]],"-",,,1)</f>
        <v>OF242487</v>
      </c>
      <c r="L156" s="11" t="e">
        <f>_xlfn.XLOOKUP(Mvt_Inter_entrepot[[#This Row],[Num OF]],#REF!,#REF!,"Non Trouvé")</f>
        <v>#REF!</v>
      </c>
      <c r="M156" s="11" t="e">
        <f>_xlfn.XLOOKUP(Mvt_Inter_entrepot[[#This Row],[Num OF]],#REF!,#REF!,"Non Trouvé")</f>
        <v>#REF!</v>
      </c>
      <c r="N156" s="11" t="e">
        <f>_xlfn.XLOOKUP(Mvt_Inter_entrepot[[#This Row],[Num OF]],#REF!,#REF!,"Non Trouvé")</f>
        <v>#REF!</v>
      </c>
      <c r="O156" s="11" t="e">
        <f>_xlfn.XLOOKUP(Mvt_Inter_entrepot[[#This Row],[Num OF]],#REF!,#REF!,"Non Trouvé")</f>
        <v>#REF!</v>
      </c>
      <c r="P156" s="11" t="e">
        <f>_xlfn.XLOOKUP(Mvt_Inter_entrepot[[#This Row],[Num OF]],#REF!,#REF!,"Non Trouvé")</f>
        <v>#REF!</v>
      </c>
      <c r="Q156" s="11" t="str">
        <f>IF(
   COUNTIFS($A$2:A156,A156,
             $B$2:B156,B156,
             $C$2:C156,C156,
             $D$2:D156,D156,
             $E$2:E156,E156,
             $H$2:H156,H156
             )&gt;1,
   "Doublon",
   "Correcte"
)</f>
        <v>Correcte</v>
      </c>
    </row>
    <row r="157" spans="1:17" x14ac:dyDescent="0.25">
      <c r="A157" s="11" t="s">
        <v>2991</v>
      </c>
      <c r="B157" s="11" t="s">
        <v>1153</v>
      </c>
      <c r="C157" s="11" t="s">
        <v>662</v>
      </c>
      <c r="D157" s="11" t="s">
        <v>1154</v>
      </c>
      <c r="E157" s="11">
        <v>15</v>
      </c>
      <c r="F157" s="11"/>
      <c r="G157" s="11" t="s">
        <v>664</v>
      </c>
      <c r="H157" s="14">
        <v>45915</v>
      </c>
      <c r="I157" s="12">
        <f>-Mvt_Inter_entrepot[[#This Row],[QTE]]</f>
        <v>-15</v>
      </c>
      <c r="J157" s="11" t="s">
        <v>361</v>
      </c>
      <c r="K157" s="11" t="str">
        <f>_xlfn.TEXTBEFORE(Mvt_Inter_entrepot[[#This Row],[Num Suivis]],"-",,,1)</f>
        <v>OF242487</v>
      </c>
      <c r="L157" s="11" t="e">
        <f>_xlfn.XLOOKUP(Mvt_Inter_entrepot[[#This Row],[Num OF]],#REF!,#REF!,"Non Trouvé")</f>
        <v>#REF!</v>
      </c>
      <c r="M157" s="11" t="e">
        <f>_xlfn.XLOOKUP(Mvt_Inter_entrepot[[#This Row],[Num OF]],#REF!,#REF!,"Non Trouvé")</f>
        <v>#REF!</v>
      </c>
      <c r="N157" s="11" t="e">
        <f>_xlfn.XLOOKUP(Mvt_Inter_entrepot[[#This Row],[Num OF]],#REF!,#REF!,"Non Trouvé")</f>
        <v>#REF!</v>
      </c>
      <c r="O157" s="11" t="e">
        <f>_xlfn.XLOOKUP(Mvt_Inter_entrepot[[#This Row],[Num OF]],#REF!,#REF!,"Non Trouvé")</f>
        <v>#REF!</v>
      </c>
      <c r="P157" s="11" t="e">
        <f>_xlfn.XLOOKUP(Mvt_Inter_entrepot[[#This Row],[Num OF]],#REF!,#REF!,"Non Trouvé")</f>
        <v>#REF!</v>
      </c>
      <c r="Q157" s="11" t="str">
        <f>IF(
   COUNTIFS($A$2:A157,A157,
             $B$2:B157,B157,
             $C$2:C157,C157,
             $D$2:D157,D157,
             $E$2:E157,E157,
             $H$2:H157,H157
             )&gt;1,
   "Doublon",
   "Correcte"
)</f>
        <v>Correcte</v>
      </c>
    </row>
    <row r="158" spans="1:17" x14ac:dyDescent="0.25">
      <c r="A158" s="11" t="s">
        <v>2992</v>
      </c>
      <c r="B158" s="11" t="s">
        <v>1153</v>
      </c>
      <c r="C158" s="11" t="s">
        <v>662</v>
      </c>
      <c r="D158" s="11" t="s">
        <v>1154</v>
      </c>
      <c r="E158" s="11">
        <v>38</v>
      </c>
      <c r="F158" s="11"/>
      <c r="G158" s="11" t="s">
        <v>664</v>
      </c>
      <c r="H158" s="14">
        <v>45915</v>
      </c>
      <c r="I158" s="12">
        <f>-Mvt_Inter_entrepot[[#This Row],[QTE]]</f>
        <v>-38</v>
      </c>
      <c r="J158" s="11" t="s">
        <v>362</v>
      </c>
      <c r="K158" s="11" t="str">
        <f>_xlfn.TEXTBEFORE(Mvt_Inter_entrepot[[#This Row],[Num Suivis]],"-",,,1)</f>
        <v>OF242490</v>
      </c>
      <c r="L158" s="11" t="e">
        <f>_xlfn.XLOOKUP(Mvt_Inter_entrepot[[#This Row],[Num OF]],#REF!,#REF!,"Non Trouvé")</f>
        <v>#REF!</v>
      </c>
      <c r="M158" s="11" t="e">
        <f>_xlfn.XLOOKUP(Mvt_Inter_entrepot[[#This Row],[Num OF]],#REF!,#REF!,"Non Trouvé")</f>
        <v>#REF!</v>
      </c>
      <c r="N158" s="11" t="e">
        <f>_xlfn.XLOOKUP(Mvt_Inter_entrepot[[#This Row],[Num OF]],#REF!,#REF!,"Non Trouvé")</f>
        <v>#REF!</v>
      </c>
      <c r="O158" s="11" t="e">
        <f>_xlfn.XLOOKUP(Mvt_Inter_entrepot[[#This Row],[Num OF]],#REF!,#REF!,"Non Trouvé")</f>
        <v>#REF!</v>
      </c>
      <c r="P158" s="11" t="e">
        <f>_xlfn.XLOOKUP(Mvt_Inter_entrepot[[#This Row],[Num OF]],#REF!,#REF!,"Non Trouvé")</f>
        <v>#REF!</v>
      </c>
      <c r="Q158" s="11" t="str">
        <f>IF(
   COUNTIFS($A$2:A158,A158,
             $B$2:B158,B158,
             $C$2:C158,C158,
             $D$2:D158,D158,
             $E$2:E158,E158,
             $H$2:H158,H158
             )&gt;1,
   "Doublon",
   "Correcte"
)</f>
        <v>Correcte</v>
      </c>
    </row>
    <row r="159" spans="1:17" x14ac:dyDescent="0.25">
      <c r="A159" s="11" t="s">
        <v>2993</v>
      </c>
      <c r="B159" s="11" t="s">
        <v>1153</v>
      </c>
      <c r="C159" s="11" t="s">
        <v>662</v>
      </c>
      <c r="D159" s="11" t="s">
        <v>1154</v>
      </c>
      <c r="E159" s="11">
        <v>5</v>
      </c>
      <c r="F159" s="11"/>
      <c r="G159" s="11" t="s">
        <v>664</v>
      </c>
      <c r="H159" s="14">
        <v>45915</v>
      </c>
      <c r="I159" s="12">
        <f>-Mvt_Inter_entrepot[[#This Row],[QTE]]</f>
        <v>-5</v>
      </c>
      <c r="J159" s="11" t="s">
        <v>363</v>
      </c>
      <c r="K159" s="11" t="str">
        <f>_xlfn.TEXTBEFORE(Mvt_Inter_entrepot[[#This Row],[Num Suivis]],"-",,,1)</f>
        <v>OF242492</v>
      </c>
      <c r="L159" s="11" t="e">
        <f>_xlfn.XLOOKUP(Mvt_Inter_entrepot[[#This Row],[Num OF]],#REF!,#REF!,"Non Trouvé")</f>
        <v>#REF!</v>
      </c>
      <c r="M159" s="11" t="e">
        <f>_xlfn.XLOOKUP(Mvt_Inter_entrepot[[#This Row],[Num OF]],#REF!,#REF!,"Non Trouvé")</f>
        <v>#REF!</v>
      </c>
      <c r="N159" s="11" t="e">
        <f>_xlfn.XLOOKUP(Mvt_Inter_entrepot[[#This Row],[Num OF]],#REF!,#REF!,"Non Trouvé")</f>
        <v>#REF!</v>
      </c>
      <c r="O159" s="11" t="e">
        <f>_xlfn.XLOOKUP(Mvt_Inter_entrepot[[#This Row],[Num OF]],#REF!,#REF!,"Non Trouvé")</f>
        <v>#REF!</v>
      </c>
      <c r="P159" s="11" t="e">
        <f>_xlfn.XLOOKUP(Mvt_Inter_entrepot[[#This Row],[Num OF]],#REF!,#REF!,"Non Trouvé")</f>
        <v>#REF!</v>
      </c>
      <c r="Q159" s="11" t="str">
        <f>IF(
   COUNTIFS($A$2:A159,A159,
             $B$2:B159,B159,
             $C$2:C159,C159,
             $D$2:D159,D159,
             $E$2:E159,E159,
             $H$2:H159,H159
             )&gt;1,
   "Doublon",
   "Correcte"
)</f>
        <v>Correcte</v>
      </c>
    </row>
    <row r="160" spans="1:17" x14ac:dyDescent="0.25">
      <c r="A160" s="11" t="s">
        <v>2994</v>
      </c>
      <c r="B160" s="11" t="s">
        <v>1153</v>
      </c>
      <c r="C160" s="11" t="s">
        <v>662</v>
      </c>
      <c r="D160" s="11" t="s">
        <v>1154</v>
      </c>
      <c r="E160" s="11">
        <v>10</v>
      </c>
      <c r="F160" s="11"/>
      <c r="G160" s="11" t="s">
        <v>664</v>
      </c>
      <c r="H160" s="14">
        <v>45915</v>
      </c>
      <c r="I160" s="12">
        <f>-Mvt_Inter_entrepot[[#This Row],[QTE]]</f>
        <v>-10</v>
      </c>
      <c r="J160" s="11" t="s">
        <v>364</v>
      </c>
      <c r="K160" s="11" t="str">
        <f>_xlfn.TEXTBEFORE(Mvt_Inter_entrepot[[#This Row],[Num Suivis]],"-",,,1)</f>
        <v>OF242493</v>
      </c>
      <c r="L160" s="11" t="e">
        <f>_xlfn.XLOOKUP(Mvt_Inter_entrepot[[#This Row],[Num OF]],#REF!,#REF!,"Non Trouvé")</f>
        <v>#REF!</v>
      </c>
      <c r="M160" s="11" t="e">
        <f>_xlfn.XLOOKUP(Mvt_Inter_entrepot[[#This Row],[Num OF]],#REF!,#REF!,"Non Trouvé")</f>
        <v>#REF!</v>
      </c>
      <c r="N160" s="11" t="e">
        <f>_xlfn.XLOOKUP(Mvt_Inter_entrepot[[#This Row],[Num OF]],#REF!,#REF!,"Non Trouvé")</f>
        <v>#REF!</v>
      </c>
      <c r="O160" s="11" t="e">
        <f>_xlfn.XLOOKUP(Mvt_Inter_entrepot[[#This Row],[Num OF]],#REF!,#REF!,"Non Trouvé")</f>
        <v>#REF!</v>
      </c>
      <c r="P160" s="11" t="e">
        <f>_xlfn.XLOOKUP(Mvt_Inter_entrepot[[#This Row],[Num OF]],#REF!,#REF!,"Non Trouvé")</f>
        <v>#REF!</v>
      </c>
      <c r="Q160" s="11" t="str">
        <f>IF(
   COUNTIFS($A$2:A160,A160,
             $B$2:B160,B160,
             $C$2:C160,C160,
             $D$2:D160,D160,
             $E$2:E160,E160,
             $H$2:H160,H160
             )&gt;1,
   "Doublon",
   "Correcte"
)</f>
        <v>Correcte</v>
      </c>
    </row>
    <row r="161" spans="1:17" x14ac:dyDescent="0.25">
      <c r="A161" s="11" t="s">
        <v>2995</v>
      </c>
      <c r="B161" s="11" t="s">
        <v>1153</v>
      </c>
      <c r="C161" s="11" t="s">
        <v>662</v>
      </c>
      <c r="D161" s="11" t="s">
        <v>1154</v>
      </c>
      <c r="E161" s="11">
        <v>10</v>
      </c>
      <c r="F161" s="11"/>
      <c r="G161" s="11" t="s">
        <v>664</v>
      </c>
      <c r="H161" s="14">
        <v>45915</v>
      </c>
      <c r="I161" s="12">
        <f>-Mvt_Inter_entrepot[[#This Row],[QTE]]</f>
        <v>-10</v>
      </c>
      <c r="J161" s="11" t="s">
        <v>365</v>
      </c>
      <c r="K161" s="11" t="str">
        <f>_xlfn.TEXTBEFORE(Mvt_Inter_entrepot[[#This Row],[Num Suivis]],"-",,,1)</f>
        <v>OF242494</v>
      </c>
      <c r="L161" s="11" t="e">
        <f>_xlfn.XLOOKUP(Mvt_Inter_entrepot[[#This Row],[Num OF]],#REF!,#REF!,"Non Trouvé")</f>
        <v>#REF!</v>
      </c>
      <c r="M161" s="11" t="e">
        <f>_xlfn.XLOOKUP(Mvt_Inter_entrepot[[#This Row],[Num OF]],#REF!,#REF!,"Non Trouvé")</f>
        <v>#REF!</v>
      </c>
      <c r="N161" s="11" t="e">
        <f>_xlfn.XLOOKUP(Mvt_Inter_entrepot[[#This Row],[Num OF]],#REF!,#REF!,"Non Trouvé")</f>
        <v>#REF!</v>
      </c>
      <c r="O161" s="11" t="e">
        <f>_xlfn.XLOOKUP(Mvt_Inter_entrepot[[#This Row],[Num OF]],#REF!,#REF!,"Non Trouvé")</f>
        <v>#REF!</v>
      </c>
      <c r="P161" s="11" t="e">
        <f>_xlfn.XLOOKUP(Mvt_Inter_entrepot[[#This Row],[Num OF]],#REF!,#REF!,"Non Trouvé")</f>
        <v>#REF!</v>
      </c>
      <c r="Q161" s="11" t="str">
        <f>IF(
   COUNTIFS($A$2:A161,A161,
             $B$2:B161,B161,
             $C$2:C161,C161,
             $D$2:D161,D161,
             $E$2:E161,E161,
             $H$2:H161,H161
             )&gt;1,
   "Doublon",
   "Correcte"
)</f>
        <v>Correcte</v>
      </c>
    </row>
    <row r="162" spans="1:17" x14ac:dyDescent="0.25">
      <c r="A162" s="11" t="s">
        <v>2996</v>
      </c>
      <c r="B162" s="11" t="s">
        <v>1153</v>
      </c>
      <c r="C162" s="11" t="s">
        <v>662</v>
      </c>
      <c r="D162" s="11" t="s">
        <v>1154</v>
      </c>
      <c r="E162" s="11">
        <v>14</v>
      </c>
      <c r="F162" s="11"/>
      <c r="G162" s="11" t="s">
        <v>664</v>
      </c>
      <c r="H162" s="14">
        <v>45915</v>
      </c>
      <c r="I162" s="12">
        <f>-Mvt_Inter_entrepot[[#This Row],[QTE]]</f>
        <v>-14</v>
      </c>
      <c r="J162" s="11" t="s">
        <v>366</v>
      </c>
      <c r="K162" s="11" t="str">
        <f>_xlfn.TEXTBEFORE(Mvt_Inter_entrepot[[#This Row],[Num Suivis]],"-",,,1)</f>
        <v>OF242495</v>
      </c>
      <c r="L162" s="11" t="e">
        <f>_xlfn.XLOOKUP(Mvt_Inter_entrepot[[#This Row],[Num OF]],#REF!,#REF!,"Non Trouvé")</f>
        <v>#REF!</v>
      </c>
      <c r="M162" s="11" t="e">
        <f>_xlfn.XLOOKUP(Mvt_Inter_entrepot[[#This Row],[Num OF]],#REF!,#REF!,"Non Trouvé")</f>
        <v>#REF!</v>
      </c>
      <c r="N162" s="11" t="e">
        <f>_xlfn.XLOOKUP(Mvt_Inter_entrepot[[#This Row],[Num OF]],#REF!,#REF!,"Non Trouvé")</f>
        <v>#REF!</v>
      </c>
      <c r="O162" s="11" t="e">
        <f>_xlfn.XLOOKUP(Mvt_Inter_entrepot[[#This Row],[Num OF]],#REF!,#REF!,"Non Trouvé")</f>
        <v>#REF!</v>
      </c>
      <c r="P162" s="11" t="e">
        <f>_xlfn.XLOOKUP(Mvt_Inter_entrepot[[#This Row],[Num OF]],#REF!,#REF!,"Non Trouvé")</f>
        <v>#REF!</v>
      </c>
      <c r="Q162" s="11" t="str">
        <f>IF(
   COUNTIFS($A$2:A162,A162,
             $B$2:B162,B162,
             $C$2:C162,C162,
             $D$2:D162,D162,
             $E$2:E162,E162,
             $H$2:H162,H162
             )&gt;1,
   "Doublon",
   "Correcte"
)</f>
        <v>Correcte</v>
      </c>
    </row>
    <row r="163" spans="1:17" x14ac:dyDescent="0.25">
      <c r="A163" s="11" t="s">
        <v>2997</v>
      </c>
      <c r="B163" s="11" t="s">
        <v>1153</v>
      </c>
      <c r="C163" s="11" t="s">
        <v>662</v>
      </c>
      <c r="D163" s="11" t="s">
        <v>1154</v>
      </c>
      <c r="E163" s="11">
        <v>10</v>
      </c>
      <c r="F163" s="11"/>
      <c r="G163" s="11" t="s">
        <v>664</v>
      </c>
      <c r="H163" s="14">
        <v>45915</v>
      </c>
      <c r="I163" s="12">
        <f>-Mvt_Inter_entrepot[[#This Row],[QTE]]</f>
        <v>-10</v>
      </c>
      <c r="J163" s="11" t="s">
        <v>367</v>
      </c>
      <c r="K163" s="11" t="str">
        <f>_xlfn.TEXTBEFORE(Mvt_Inter_entrepot[[#This Row],[Num Suivis]],"-",,,1)</f>
        <v>OF242496</v>
      </c>
      <c r="L163" s="11" t="e">
        <f>_xlfn.XLOOKUP(Mvt_Inter_entrepot[[#This Row],[Num OF]],#REF!,#REF!,"Non Trouvé")</f>
        <v>#REF!</v>
      </c>
      <c r="M163" s="11" t="e">
        <f>_xlfn.XLOOKUP(Mvt_Inter_entrepot[[#This Row],[Num OF]],#REF!,#REF!,"Non Trouvé")</f>
        <v>#REF!</v>
      </c>
      <c r="N163" s="11" t="e">
        <f>_xlfn.XLOOKUP(Mvt_Inter_entrepot[[#This Row],[Num OF]],#REF!,#REF!,"Non Trouvé")</f>
        <v>#REF!</v>
      </c>
      <c r="O163" s="11" t="e">
        <f>_xlfn.XLOOKUP(Mvt_Inter_entrepot[[#This Row],[Num OF]],#REF!,#REF!,"Non Trouvé")</f>
        <v>#REF!</v>
      </c>
      <c r="P163" s="11" t="e">
        <f>_xlfn.XLOOKUP(Mvt_Inter_entrepot[[#This Row],[Num OF]],#REF!,#REF!,"Non Trouvé")</f>
        <v>#REF!</v>
      </c>
      <c r="Q163" s="11" t="str">
        <f>IF(
   COUNTIFS($A$2:A163,A163,
             $B$2:B163,B163,
             $C$2:C163,C163,
             $D$2:D163,D163,
             $E$2:E163,E163,
             $H$2:H163,H163
             )&gt;1,
   "Doublon",
   "Correcte"
)</f>
        <v>Correcte</v>
      </c>
    </row>
    <row r="164" spans="1:17" x14ac:dyDescent="0.25">
      <c r="A164" s="11" t="s">
        <v>2998</v>
      </c>
      <c r="B164" s="11" t="s">
        <v>1153</v>
      </c>
      <c r="C164" s="11" t="s">
        <v>662</v>
      </c>
      <c r="D164" s="11" t="s">
        <v>1154</v>
      </c>
      <c r="E164" s="11">
        <v>3</v>
      </c>
      <c r="F164" s="11"/>
      <c r="G164" s="11" t="s">
        <v>664</v>
      </c>
      <c r="H164" s="14">
        <v>45915</v>
      </c>
      <c r="I164" s="12">
        <f>-Mvt_Inter_entrepot[[#This Row],[QTE]]</f>
        <v>-3</v>
      </c>
      <c r="J164" s="11" t="s">
        <v>368</v>
      </c>
      <c r="K164" s="11" t="str">
        <f>_xlfn.TEXTBEFORE(Mvt_Inter_entrepot[[#This Row],[Num Suivis]],"-",,,1)</f>
        <v>OF242497</v>
      </c>
      <c r="L164" s="11" t="e">
        <f>_xlfn.XLOOKUP(Mvt_Inter_entrepot[[#This Row],[Num OF]],#REF!,#REF!,"Non Trouvé")</f>
        <v>#REF!</v>
      </c>
      <c r="M164" s="11" t="e">
        <f>_xlfn.XLOOKUP(Mvt_Inter_entrepot[[#This Row],[Num OF]],#REF!,#REF!,"Non Trouvé")</f>
        <v>#REF!</v>
      </c>
      <c r="N164" s="11" t="e">
        <f>_xlfn.XLOOKUP(Mvt_Inter_entrepot[[#This Row],[Num OF]],#REF!,#REF!,"Non Trouvé")</f>
        <v>#REF!</v>
      </c>
      <c r="O164" s="11" t="e">
        <f>_xlfn.XLOOKUP(Mvt_Inter_entrepot[[#This Row],[Num OF]],#REF!,#REF!,"Non Trouvé")</f>
        <v>#REF!</v>
      </c>
      <c r="P164" s="11" t="e">
        <f>_xlfn.XLOOKUP(Mvt_Inter_entrepot[[#This Row],[Num OF]],#REF!,#REF!,"Non Trouvé")</f>
        <v>#REF!</v>
      </c>
      <c r="Q164" s="11" t="str">
        <f>IF(
   COUNTIFS($A$2:A164,A164,
             $B$2:B164,B164,
             $C$2:C164,C164,
             $D$2:D164,D164,
             $E$2:E164,E164,
             $H$2:H164,H164
             )&gt;1,
   "Doublon",
   "Correcte"
)</f>
        <v>Correcte</v>
      </c>
    </row>
    <row r="165" spans="1:17" x14ac:dyDescent="0.25">
      <c r="A165" s="11" t="s">
        <v>2998</v>
      </c>
      <c r="B165" s="11" t="s">
        <v>1153</v>
      </c>
      <c r="C165" s="11" t="s">
        <v>662</v>
      </c>
      <c r="D165" s="11" t="s">
        <v>1154</v>
      </c>
      <c r="E165" s="11">
        <v>4</v>
      </c>
      <c r="F165" s="11"/>
      <c r="G165" s="11" t="s">
        <v>664</v>
      </c>
      <c r="H165" s="14">
        <v>45915</v>
      </c>
      <c r="I165" s="12">
        <f>-Mvt_Inter_entrepot[[#This Row],[QTE]]</f>
        <v>-4</v>
      </c>
      <c r="J165" s="11" t="s">
        <v>368</v>
      </c>
      <c r="K165" s="11" t="str">
        <f>_xlfn.TEXTBEFORE(Mvt_Inter_entrepot[[#This Row],[Num Suivis]],"-",,,1)</f>
        <v>OF242497</v>
      </c>
      <c r="L165" s="11" t="e">
        <f>_xlfn.XLOOKUP(Mvt_Inter_entrepot[[#This Row],[Num OF]],#REF!,#REF!,"Non Trouvé")</f>
        <v>#REF!</v>
      </c>
      <c r="M165" s="11" t="e">
        <f>_xlfn.XLOOKUP(Mvt_Inter_entrepot[[#This Row],[Num OF]],#REF!,#REF!,"Non Trouvé")</f>
        <v>#REF!</v>
      </c>
      <c r="N165" s="11" t="e">
        <f>_xlfn.XLOOKUP(Mvt_Inter_entrepot[[#This Row],[Num OF]],#REF!,#REF!,"Non Trouvé")</f>
        <v>#REF!</v>
      </c>
      <c r="O165" s="11" t="e">
        <f>_xlfn.XLOOKUP(Mvt_Inter_entrepot[[#This Row],[Num OF]],#REF!,#REF!,"Non Trouvé")</f>
        <v>#REF!</v>
      </c>
      <c r="P165" s="11" t="e">
        <f>_xlfn.XLOOKUP(Mvt_Inter_entrepot[[#This Row],[Num OF]],#REF!,#REF!,"Non Trouvé")</f>
        <v>#REF!</v>
      </c>
      <c r="Q165" s="11" t="str">
        <f>IF(
   COUNTIFS($A$2:A165,A165,
             $B$2:B165,B165,
             $C$2:C165,C165,
             $D$2:D165,D165,
             $E$2:E165,E165,
             $H$2:H165,H165
             )&gt;1,
   "Doublon",
   "Correcte"
)</f>
        <v>Correcte</v>
      </c>
    </row>
    <row r="166" spans="1:17" x14ac:dyDescent="0.25">
      <c r="A166" s="11" t="s">
        <v>2999</v>
      </c>
      <c r="B166" s="11" t="s">
        <v>1153</v>
      </c>
      <c r="C166" s="11" t="s">
        <v>662</v>
      </c>
      <c r="D166" s="11" t="s">
        <v>1154</v>
      </c>
      <c r="E166" s="11">
        <v>2</v>
      </c>
      <c r="F166" s="11"/>
      <c r="G166" s="11" t="s">
        <v>664</v>
      </c>
      <c r="H166" s="14">
        <v>45915</v>
      </c>
      <c r="I166" s="12">
        <f>-Mvt_Inter_entrepot[[#This Row],[QTE]]</f>
        <v>-2</v>
      </c>
      <c r="J166" s="11" t="s">
        <v>369</v>
      </c>
      <c r="K166" s="11" t="str">
        <f>_xlfn.TEXTBEFORE(Mvt_Inter_entrepot[[#This Row],[Num Suivis]],"-",,,1)</f>
        <v>OF242667</v>
      </c>
      <c r="L166" s="11" t="e">
        <f>_xlfn.XLOOKUP(Mvt_Inter_entrepot[[#This Row],[Num OF]],#REF!,#REF!,"Non Trouvé")</f>
        <v>#REF!</v>
      </c>
      <c r="M166" s="11" t="e">
        <f>_xlfn.XLOOKUP(Mvt_Inter_entrepot[[#This Row],[Num OF]],#REF!,#REF!,"Non Trouvé")</f>
        <v>#REF!</v>
      </c>
      <c r="N166" s="11" t="e">
        <f>_xlfn.XLOOKUP(Mvt_Inter_entrepot[[#This Row],[Num OF]],#REF!,#REF!,"Non Trouvé")</f>
        <v>#REF!</v>
      </c>
      <c r="O166" s="11" t="e">
        <f>_xlfn.XLOOKUP(Mvt_Inter_entrepot[[#This Row],[Num OF]],#REF!,#REF!,"Non Trouvé")</f>
        <v>#REF!</v>
      </c>
      <c r="P166" s="11" t="e">
        <f>_xlfn.XLOOKUP(Mvt_Inter_entrepot[[#This Row],[Num OF]],#REF!,#REF!,"Non Trouvé")</f>
        <v>#REF!</v>
      </c>
      <c r="Q166" s="11" t="str">
        <f>IF(
   COUNTIFS($A$2:A166,A166,
             $B$2:B166,B166,
             $C$2:C166,C166,
             $D$2:D166,D166,
             $E$2:E166,E166,
             $H$2:H166,H166
             )&gt;1,
   "Doublon",
   "Correcte"
)</f>
        <v>Correcte</v>
      </c>
    </row>
    <row r="167" spans="1:17" x14ac:dyDescent="0.25">
      <c r="A167" s="11" t="s">
        <v>3000</v>
      </c>
      <c r="B167" s="11" t="s">
        <v>1153</v>
      </c>
      <c r="C167" s="11" t="s">
        <v>662</v>
      </c>
      <c r="D167" s="11" t="s">
        <v>1154</v>
      </c>
      <c r="E167" s="11">
        <v>10</v>
      </c>
      <c r="F167" s="11"/>
      <c r="G167" s="11" t="s">
        <v>664</v>
      </c>
      <c r="H167" s="14">
        <v>45915</v>
      </c>
      <c r="I167" s="12">
        <f>-Mvt_Inter_entrepot[[#This Row],[QTE]]</f>
        <v>-10</v>
      </c>
      <c r="J167" s="11" t="s">
        <v>370</v>
      </c>
      <c r="K167" s="11" t="str">
        <f>_xlfn.TEXTBEFORE(Mvt_Inter_entrepot[[#This Row],[Num Suivis]],"-",,,1)</f>
        <v>OF242675</v>
      </c>
      <c r="L167" s="11" t="e">
        <f>_xlfn.XLOOKUP(Mvt_Inter_entrepot[[#This Row],[Num OF]],#REF!,#REF!,"Non Trouvé")</f>
        <v>#REF!</v>
      </c>
      <c r="M167" s="11" t="e">
        <f>_xlfn.XLOOKUP(Mvt_Inter_entrepot[[#This Row],[Num OF]],#REF!,#REF!,"Non Trouvé")</f>
        <v>#REF!</v>
      </c>
      <c r="N167" s="11" t="e">
        <f>_xlfn.XLOOKUP(Mvt_Inter_entrepot[[#This Row],[Num OF]],#REF!,#REF!,"Non Trouvé")</f>
        <v>#REF!</v>
      </c>
      <c r="O167" s="11" t="e">
        <f>_xlfn.XLOOKUP(Mvt_Inter_entrepot[[#This Row],[Num OF]],#REF!,#REF!,"Non Trouvé")</f>
        <v>#REF!</v>
      </c>
      <c r="P167" s="11" t="e">
        <f>_xlfn.XLOOKUP(Mvt_Inter_entrepot[[#This Row],[Num OF]],#REF!,#REF!,"Non Trouvé")</f>
        <v>#REF!</v>
      </c>
      <c r="Q167" s="11" t="str">
        <f>IF(
   COUNTIFS($A$2:A167,A167,
             $B$2:B167,B167,
             $C$2:C167,C167,
             $D$2:D167,D167,
             $E$2:E167,E167,
             $H$2:H167,H167
             )&gt;1,
   "Doublon",
   "Correcte"
)</f>
        <v>Correcte</v>
      </c>
    </row>
    <row r="168" spans="1:17" x14ac:dyDescent="0.25">
      <c r="A168" s="11" t="s">
        <v>3000</v>
      </c>
      <c r="B168" s="11" t="s">
        <v>1153</v>
      </c>
      <c r="C168" s="11" t="s">
        <v>662</v>
      </c>
      <c r="D168" s="11" t="s">
        <v>1154</v>
      </c>
      <c r="E168" s="11">
        <v>3</v>
      </c>
      <c r="F168" s="11"/>
      <c r="G168" s="11" t="s">
        <v>664</v>
      </c>
      <c r="H168" s="14">
        <v>45915</v>
      </c>
      <c r="I168" s="12">
        <f>-Mvt_Inter_entrepot[[#This Row],[QTE]]</f>
        <v>-3</v>
      </c>
      <c r="J168" s="11" t="s">
        <v>370</v>
      </c>
      <c r="K168" s="11" t="str">
        <f>_xlfn.TEXTBEFORE(Mvt_Inter_entrepot[[#This Row],[Num Suivis]],"-",,,1)</f>
        <v>OF242675</v>
      </c>
      <c r="L168" s="11" t="e">
        <f>_xlfn.XLOOKUP(Mvt_Inter_entrepot[[#This Row],[Num OF]],#REF!,#REF!,"Non Trouvé")</f>
        <v>#REF!</v>
      </c>
      <c r="M168" s="11" t="e">
        <f>_xlfn.XLOOKUP(Mvt_Inter_entrepot[[#This Row],[Num OF]],#REF!,#REF!,"Non Trouvé")</f>
        <v>#REF!</v>
      </c>
      <c r="N168" s="11" t="e">
        <f>_xlfn.XLOOKUP(Mvt_Inter_entrepot[[#This Row],[Num OF]],#REF!,#REF!,"Non Trouvé")</f>
        <v>#REF!</v>
      </c>
      <c r="O168" s="11" t="e">
        <f>_xlfn.XLOOKUP(Mvt_Inter_entrepot[[#This Row],[Num OF]],#REF!,#REF!,"Non Trouvé")</f>
        <v>#REF!</v>
      </c>
      <c r="P168" s="11" t="e">
        <f>_xlfn.XLOOKUP(Mvt_Inter_entrepot[[#This Row],[Num OF]],#REF!,#REF!,"Non Trouvé")</f>
        <v>#REF!</v>
      </c>
      <c r="Q168" s="11" t="str">
        <f>IF(
   COUNTIFS($A$2:A168,A168,
             $B$2:B168,B168,
             $C$2:C168,C168,
             $D$2:D168,D168,
             $E$2:E168,E168,
             $H$2:H168,H168
             )&gt;1,
   "Doublon",
   "Correcte"
)</f>
        <v>Correcte</v>
      </c>
    </row>
    <row r="169" spans="1:17" x14ac:dyDescent="0.25">
      <c r="A169" s="11" t="s">
        <v>3001</v>
      </c>
      <c r="B169" s="11" t="s">
        <v>1153</v>
      </c>
      <c r="C169" s="11" t="s">
        <v>662</v>
      </c>
      <c r="D169" s="11" t="s">
        <v>1154</v>
      </c>
      <c r="E169" s="11">
        <v>1</v>
      </c>
      <c r="F169" s="11"/>
      <c r="G169" s="11" t="s">
        <v>664</v>
      </c>
      <c r="H169" s="14">
        <v>45915</v>
      </c>
      <c r="I169" s="12">
        <f>-Mvt_Inter_entrepot[[#This Row],[QTE]]</f>
        <v>-1</v>
      </c>
      <c r="J169" s="11" t="s">
        <v>371</v>
      </c>
      <c r="K169" s="11" t="str">
        <f>_xlfn.TEXTBEFORE(Mvt_Inter_entrepot[[#This Row],[Num Suivis]],"-",,,1)</f>
        <v>OF242679</v>
      </c>
      <c r="L169" s="11" t="e">
        <f>_xlfn.XLOOKUP(Mvt_Inter_entrepot[[#This Row],[Num OF]],#REF!,#REF!,"Non Trouvé")</f>
        <v>#REF!</v>
      </c>
      <c r="M169" s="11" t="e">
        <f>_xlfn.XLOOKUP(Mvt_Inter_entrepot[[#This Row],[Num OF]],#REF!,#REF!,"Non Trouvé")</f>
        <v>#REF!</v>
      </c>
      <c r="N169" s="11" t="e">
        <f>_xlfn.XLOOKUP(Mvt_Inter_entrepot[[#This Row],[Num OF]],#REF!,#REF!,"Non Trouvé")</f>
        <v>#REF!</v>
      </c>
      <c r="O169" s="11" t="e">
        <f>_xlfn.XLOOKUP(Mvt_Inter_entrepot[[#This Row],[Num OF]],#REF!,#REF!,"Non Trouvé")</f>
        <v>#REF!</v>
      </c>
      <c r="P169" s="11" t="e">
        <f>_xlfn.XLOOKUP(Mvt_Inter_entrepot[[#This Row],[Num OF]],#REF!,#REF!,"Non Trouvé")</f>
        <v>#REF!</v>
      </c>
      <c r="Q169" s="11" t="str">
        <f>IF(
   COUNTIFS($A$2:A169,A169,
             $B$2:B169,B169,
             $C$2:C169,C169,
             $D$2:D169,D169,
             $E$2:E169,E169,
             $H$2:H169,H169
             )&gt;1,
   "Doublon",
   "Correcte"
)</f>
        <v>Correcte</v>
      </c>
    </row>
    <row r="170" spans="1:17" x14ac:dyDescent="0.25">
      <c r="A170" s="11" t="s">
        <v>3002</v>
      </c>
      <c r="B170" s="11" t="s">
        <v>1153</v>
      </c>
      <c r="C170" s="11" t="s">
        <v>662</v>
      </c>
      <c r="D170" s="11" t="s">
        <v>1154</v>
      </c>
      <c r="E170" s="11">
        <v>1</v>
      </c>
      <c r="F170" s="11"/>
      <c r="G170" s="11" t="s">
        <v>664</v>
      </c>
      <c r="H170" s="14">
        <v>45915</v>
      </c>
      <c r="I170" s="12">
        <f>-Mvt_Inter_entrepot[[#This Row],[QTE]]</f>
        <v>-1</v>
      </c>
      <c r="J170" s="11" t="s">
        <v>372</v>
      </c>
      <c r="K170" s="11" t="str">
        <f>_xlfn.TEXTBEFORE(Mvt_Inter_entrepot[[#This Row],[Num Suivis]],"-",,,1)</f>
        <v>OF242732</v>
      </c>
      <c r="L170" s="11" t="e">
        <f>_xlfn.XLOOKUP(Mvt_Inter_entrepot[[#This Row],[Num OF]],#REF!,#REF!,"Non Trouvé")</f>
        <v>#REF!</v>
      </c>
      <c r="M170" s="11" t="e">
        <f>_xlfn.XLOOKUP(Mvt_Inter_entrepot[[#This Row],[Num OF]],#REF!,#REF!,"Non Trouvé")</f>
        <v>#REF!</v>
      </c>
      <c r="N170" s="11" t="e">
        <f>_xlfn.XLOOKUP(Mvt_Inter_entrepot[[#This Row],[Num OF]],#REF!,#REF!,"Non Trouvé")</f>
        <v>#REF!</v>
      </c>
      <c r="O170" s="11" t="e">
        <f>_xlfn.XLOOKUP(Mvt_Inter_entrepot[[#This Row],[Num OF]],#REF!,#REF!,"Non Trouvé")</f>
        <v>#REF!</v>
      </c>
      <c r="P170" s="11" t="e">
        <f>_xlfn.XLOOKUP(Mvt_Inter_entrepot[[#This Row],[Num OF]],#REF!,#REF!,"Non Trouvé")</f>
        <v>#REF!</v>
      </c>
      <c r="Q170" s="11" t="str">
        <f>IF(
   COUNTIFS($A$2:A170,A170,
             $B$2:B170,B170,
             $C$2:C170,C170,
             $D$2:D170,D170,
             $E$2:E170,E170,
             $H$2:H170,H170
             )&gt;1,
   "Doublon",
   "Correcte"
)</f>
        <v>Correcte</v>
      </c>
    </row>
    <row r="171" spans="1:17" x14ac:dyDescent="0.25">
      <c r="A171" s="11" t="s">
        <v>3003</v>
      </c>
      <c r="B171" s="11" t="s">
        <v>1153</v>
      </c>
      <c r="C171" s="11" t="s">
        <v>662</v>
      </c>
      <c r="D171" s="11" t="s">
        <v>1154</v>
      </c>
      <c r="E171" s="11">
        <v>3</v>
      </c>
      <c r="F171" s="11"/>
      <c r="G171" s="11" t="s">
        <v>664</v>
      </c>
      <c r="H171" s="14">
        <v>45915</v>
      </c>
      <c r="I171" s="12">
        <f>-Mvt_Inter_entrepot[[#This Row],[QTE]]</f>
        <v>-3</v>
      </c>
      <c r="J171" s="11" t="s">
        <v>373</v>
      </c>
      <c r="K171" s="11" t="str">
        <f>_xlfn.TEXTBEFORE(Mvt_Inter_entrepot[[#This Row],[Num Suivis]],"-",,,1)</f>
        <v>OF242736</v>
      </c>
      <c r="L171" s="11" t="e">
        <f>_xlfn.XLOOKUP(Mvt_Inter_entrepot[[#This Row],[Num OF]],#REF!,#REF!,"Non Trouvé")</f>
        <v>#REF!</v>
      </c>
      <c r="M171" s="11" t="e">
        <f>_xlfn.XLOOKUP(Mvt_Inter_entrepot[[#This Row],[Num OF]],#REF!,#REF!,"Non Trouvé")</f>
        <v>#REF!</v>
      </c>
      <c r="N171" s="11" t="e">
        <f>_xlfn.XLOOKUP(Mvt_Inter_entrepot[[#This Row],[Num OF]],#REF!,#REF!,"Non Trouvé")</f>
        <v>#REF!</v>
      </c>
      <c r="O171" s="11" t="e">
        <f>_xlfn.XLOOKUP(Mvt_Inter_entrepot[[#This Row],[Num OF]],#REF!,#REF!,"Non Trouvé")</f>
        <v>#REF!</v>
      </c>
      <c r="P171" s="11" t="e">
        <f>_xlfn.XLOOKUP(Mvt_Inter_entrepot[[#This Row],[Num OF]],#REF!,#REF!,"Non Trouvé")</f>
        <v>#REF!</v>
      </c>
      <c r="Q171" s="11" t="str">
        <f>IF(
   COUNTIFS($A$2:A171,A171,
             $B$2:B171,B171,
             $C$2:C171,C171,
             $D$2:D171,D171,
             $E$2:E171,E171,
             $H$2:H171,H171
             )&gt;1,
   "Doublon",
   "Correcte"
)</f>
        <v>Correcte</v>
      </c>
    </row>
    <row r="172" spans="1:17" x14ac:dyDescent="0.25">
      <c r="A172" s="11" t="s">
        <v>3003</v>
      </c>
      <c r="B172" s="11" t="s">
        <v>1153</v>
      </c>
      <c r="C172" s="11" t="s">
        <v>662</v>
      </c>
      <c r="D172" s="11" t="s">
        <v>1154</v>
      </c>
      <c r="E172" s="11">
        <v>1</v>
      </c>
      <c r="F172" s="11"/>
      <c r="G172" s="11" t="s">
        <v>664</v>
      </c>
      <c r="H172" s="14">
        <v>45915</v>
      </c>
      <c r="I172" s="12">
        <f>-Mvt_Inter_entrepot[[#This Row],[QTE]]</f>
        <v>-1</v>
      </c>
      <c r="J172" s="11" t="s">
        <v>373</v>
      </c>
      <c r="K172" s="11" t="str">
        <f>_xlfn.TEXTBEFORE(Mvt_Inter_entrepot[[#This Row],[Num Suivis]],"-",,,1)</f>
        <v>OF242736</v>
      </c>
      <c r="L172" s="11" t="e">
        <f>_xlfn.XLOOKUP(Mvt_Inter_entrepot[[#This Row],[Num OF]],#REF!,#REF!,"Non Trouvé")</f>
        <v>#REF!</v>
      </c>
      <c r="M172" s="11" t="e">
        <f>_xlfn.XLOOKUP(Mvt_Inter_entrepot[[#This Row],[Num OF]],#REF!,#REF!,"Non Trouvé")</f>
        <v>#REF!</v>
      </c>
      <c r="N172" s="11" t="e">
        <f>_xlfn.XLOOKUP(Mvt_Inter_entrepot[[#This Row],[Num OF]],#REF!,#REF!,"Non Trouvé")</f>
        <v>#REF!</v>
      </c>
      <c r="O172" s="11" t="e">
        <f>_xlfn.XLOOKUP(Mvt_Inter_entrepot[[#This Row],[Num OF]],#REF!,#REF!,"Non Trouvé")</f>
        <v>#REF!</v>
      </c>
      <c r="P172" s="11" t="e">
        <f>_xlfn.XLOOKUP(Mvt_Inter_entrepot[[#This Row],[Num OF]],#REF!,#REF!,"Non Trouvé")</f>
        <v>#REF!</v>
      </c>
      <c r="Q172" s="11" t="str">
        <f>IF(
   COUNTIFS($A$2:A172,A172,
             $B$2:B172,B172,
             $C$2:C172,C172,
             $D$2:D172,D172,
             $E$2:E172,E172,
             $H$2:H172,H172
             )&gt;1,
   "Doublon",
   "Correcte"
)</f>
        <v>Correcte</v>
      </c>
    </row>
    <row r="173" spans="1:17" x14ac:dyDescent="0.25">
      <c r="A173" s="11" t="s">
        <v>3004</v>
      </c>
      <c r="B173" s="11" t="s">
        <v>1153</v>
      </c>
      <c r="C173" s="11" t="s">
        <v>662</v>
      </c>
      <c r="D173" s="11" t="s">
        <v>1154</v>
      </c>
      <c r="E173" s="11">
        <v>5</v>
      </c>
      <c r="F173" s="11"/>
      <c r="G173" s="11" t="s">
        <v>664</v>
      </c>
      <c r="H173" s="14">
        <v>45915</v>
      </c>
      <c r="I173" s="12">
        <f>-Mvt_Inter_entrepot[[#This Row],[QTE]]</f>
        <v>-5</v>
      </c>
      <c r="J173" s="11" t="s">
        <v>375</v>
      </c>
      <c r="K173" s="11" t="str">
        <f>_xlfn.TEXTBEFORE(Mvt_Inter_entrepot[[#This Row],[Num Suivis]],"-",,,1)</f>
        <v>OF242748</v>
      </c>
      <c r="L173" s="11" t="e">
        <f>_xlfn.XLOOKUP(Mvt_Inter_entrepot[[#This Row],[Num OF]],#REF!,#REF!,"Non Trouvé")</f>
        <v>#REF!</v>
      </c>
      <c r="M173" s="11" t="e">
        <f>_xlfn.XLOOKUP(Mvt_Inter_entrepot[[#This Row],[Num OF]],#REF!,#REF!,"Non Trouvé")</f>
        <v>#REF!</v>
      </c>
      <c r="N173" s="11" t="e">
        <f>_xlfn.XLOOKUP(Mvt_Inter_entrepot[[#This Row],[Num OF]],#REF!,#REF!,"Non Trouvé")</f>
        <v>#REF!</v>
      </c>
      <c r="O173" s="11" t="e">
        <f>_xlfn.XLOOKUP(Mvt_Inter_entrepot[[#This Row],[Num OF]],#REF!,#REF!,"Non Trouvé")</f>
        <v>#REF!</v>
      </c>
      <c r="P173" s="11" t="e">
        <f>_xlfn.XLOOKUP(Mvt_Inter_entrepot[[#This Row],[Num OF]],#REF!,#REF!,"Non Trouvé")</f>
        <v>#REF!</v>
      </c>
      <c r="Q173" s="11" t="str">
        <f>IF(
   COUNTIFS($A$2:A173,A173,
             $B$2:B173,B173,
             $C$2:C173,C173,
             $D$2:D173,D173,
             $E$2:E173,E173,
             $H$2:H173,H173
             )&gt;1,
   "Doublon",
   "Correcte"
)</f>
        <v>Correcte</v>
      </c>
    </row>
    <row r="174" spans="1:17" x14ac:dyDescent="0.25">
      <c r="A174" s="11" t="s">
        <v>3005</v>
      </c>
      <c r="B174" s="11" t="s">
        <v>1153</v>
      </c>
      <c r="C174" s="11" t="s">
        <v>662</v>
      </c>
      <c r="D174" s="11" t="s">
        <v>1154</v>
      </c>
      <c r="E174" s="11">
        <v>1</v>
      </c>
      <c r="F174" s="11"/>
      <c r="G174" s="11" t="s">
        <v>664</v>
      </c>
      <c r="H174" s="14">
        <v>45915</v>
      </c>
      <c r="I174" s="12">
        <f>-Mvt_Inter_entrepot[[#This Row],[QTE]]</f>
        <v>-1</v>
      </c>
      <c r="J174" s="11" t="s">
        <v>378</v>
      </c>
      <c r="K174" s="11" t="str">
        <f>_xlfn.TEXTBEFORE(Mvt_Inter_entrepot[[#This Row],[Num Suivis]],"-",,,1)</f>
        <v>OF242766</v>
      </c>
      <c r="L174" s="11" t="e">
        <f>_xlfn.XLOOKUP(Mvt_Inter_entrepot[[#This Row],[Num OF]],#REF!,#REF!,"Non Trouvé")</f>
        <v>#REF!</v>
      </c>
      <c r="M174" s="11" t="e">
        <f>_xlfn.XLOOKUP(Mvt_Inter_entrepot[[#This Row],[Num OF]],#REF!,#REF!,"Non Trouvé")</f>
        <v>#REF!</v>
      </c>
      <c r="N174" s="11" t="e">
        <f>_xlfn.XLOOKUP(Mvt_Inter_entrepot[[#This Row],[Num OF]],#REF!,#REF!,"Non Trouvé")</f>
        <v>#REF!</v>
      </c>
      <c r="O174" s="11" t="e">
        <f>_xlfn.XLOOKUP(Mvt_Inter_entrepot[[#This Row],[Num OF]],#REF!,#REF!,"Non Trouvé")</f>
        <v>#REF!</v>
      </c>
      <c r="P174" s="11" t="e">
        <f>_xlfn.XLOOKUP(Mvt_Inter_entrepot[[#This Row],[Num OF]],#REF!,#REF!,"Non Trouvé")</f>
        <v>#REF!</v>
      </c>
      <c r="Q174" s="11" t="str">
        <f>IF(
   COUNTIFS($A$2:A174,A174,
             $B$2:B174,B174,
             $C$2:C174,C174,
             $D$2:D174,D174,
             $E$2:E174,E174,
             $H$2:H174,H174
             )&gt;1,
   "Doublon",
   "Correcte"
)</f>
        <v>Correcte</v>
      </c>
    </row>
    <row r="175" spans="1:17" x14ac:dyDescent="0.25">
      <c r="A175" s="11" t="s">
        <v>3006</v>
      </c>
      <c r="B175" s="11" t="s">
        <v>1153</v>
      </c>
      <c r="C175" s="11" t="s">
        <v>662</v>
      </c>
      <c r="D175" s="11" t="s">
        <v>1154</v>
      </c>
      <c r="E175" s="11">
        <v>1</v>
      </c>
      <c r="F175" s="11"/>
      <c r="G175" s="11" t="s">
        <v>664</v>
      </c>
      <c r="H175" s="14">
        <v>45915</v>
      </c>
      <c r="I175" s="12">
        <f>-Mvt_Inter_entrepot[[#This Row],[QTE]]</f>
        <v>-1</v>
      </c>
      <c r="J175" s="11" t="s">
        <v>379</v>
      </c>
      <c r="K175" s="11" t="str">
        <f>_xlfn.TEXTBEFORE(Mvt_Inter_entrepot[[#This Row],[Num Suivis]],"-",,,1)</f>
        <v>OF242848</v>
      </c>
      <c r="L175" s="11" t="e">
        <f>_xlfn.XLOOKUP(Mvt_Inter_entrepot[[#This Row],[Num OF]],#REF!,#REF!,"Non Trouvé")</f>
        <v>#REF!</v>
      </c>
      <c r="M175" s="11" t="e">
        <f>_xlfn.XLOOKUP(Mvt_Inter_entrepot[[#This Row],[Num OF]],#REF!,#REF!,"Non Trouvé")</f>
        <v>#REF!</v>
      </c>
      <c r="N175" s="11" t="e">
        <f>_xlfn.XLOOKUP(Mvt_Inter_entrepot[[#This Row],[Num OF]],#REF!,#REF!,"Non Trouvé")</f>
        <v>#REF!</v>
      </c>
      <c r="O175" s="11" t="e">
        <f>_xlfn.XLOOKUP(Mvt_Inter_entrepot[[#This Row],[Num OF]],#REF!,#REF!,"Non Trouvé")</f>
        <v>#REF!</v>
      </c>
      <c r="P175" s="11" t="e">
        <f>_xlfn.XLOOKUP(Mvt_Inter_entrepot[[#This Row],[Num OF]],#REF!,#REF!,"Non Trouvé")</f>
        <v>#REF!</v>
      </c>
      <c r="Q175" s="11" t="str">
        <f>IF(
   COUNTIFS($A$2:A175,A175,
             $B$2:B175,B175,
             $C$2:C175,C175,
             $D$2:D175,D175,
             $E$2:E175,E175,
             $H$2:H175,H175
             )&gt;1,
   "Doublon",
   "Correcte"
)</f>
        <v>Correcte</v>
      </c>
    </row>
    <row r="176" spans="1:17" x14ac:dyDescent="0.25">
      <c r="A176" s="11" t="s">
        <v>3007</v>
      </c>
      <c r="B176" s="11" t="s">
        <v>1153</v>
      </c>
      <c r="C176" s="11" t="s">
        <v>662</v>
      </c>
      <c r="D176" s="11" t="s">
        <v>1154</v>
      </c>
      <c r="E176" s="11">
        <v>3</v>
      </c>
      <c r="F176" s="11"/>
      <c r="G176" s="11" t="s">
        <v>664</v>
      </c>
      <c r="H176" s="14">
        <v>45915</v>
      </c>
      <c r="I176" s="12">
        <f>-Mvt_Inter_entrepot[[#This Row],[QTE]]</f>
        <v>-3</v>
      </c>
      <c r="J176" s="11" t="s">
        <v>380</v>
      </c>
      <c r="K176" s="11" t="str">
        <f>_xlfn.TEXTBEFORE(Mvt_Inter_entrepot[[#This Row],[Num Suivis]],"-",,,1)</f>
        <v>OF242850</v>
      </c>
      <c r="L176" s="11" t="e">
        <f>_xlfn.XLOOKUP(Mvt_Inter_entrepot[[#This Row],[Num OF]],#REF!,#REF!,"Non Trouvé")</f>
        <v>#REF!</v>
      </c>
      <c r="M176" s="11" t="e">
        <f>_xlfn.XLOOKUP(Mvt_Inter_entrepot[[#This Row],[Num OF]],#REF!,#REF!,"Non Trouvé")</f>
        <v>#REF!</v>
      </c>
      <c r="N176" s="11" t="e">
        <f>_xlfn.XLOOKUP(Mvt_Inter_entrepot[[#This Row],[Num OF]],#REF!,#REF!,"Non Trouvé")</f>
        <v>#REF!</v>
      </c>
      <c r="O176" s="11" t="e">
        <f>_xlfn.XLOOKUP(Mvt_Inter_entrepot[[#This Row],[Num OF]],#REF!,#REF!,"Non Trouvé")</f>
        <v>#REF!</v>
      </c>
      <c r="P176" s="11" t="e">
        <f>_xlfn.XLOOKUP(Mvt_Inter_entrepot[[#This Row],[Num OF]],#REF!,#REF!,"Non Trouvé")</f>
        <v>#REF!</v>
      </c>
      <c r="Q176" s="11" t="str">
        <f>IF(
   COUNTIFS($A$2:A176,A176,
             $B$2:B176,B176,
             $C$2:C176,C176,
             $D$2:D176,D176,
             $E$2:E176,E176,
             $H$2:H176,H176
             )&gt;1,
   "Doublon",
   "Correcte"
)</f>
        <v>Correcte</v>
      </c>
    </row>
    <row r="177" spans="1:17" x14ac:dyDescent="0.25">
      <c r="A177" s="11" t="s">
        <v>3008</v>
      </c>
      <c r="B177" s="11" t="s">
        <v>1153</v>
      </c>
      <c r="C177" s="11" t="s">
        <v>662</v>
      </c>
      <c r="D177" s="11" t="s">
        <v>1154</v>
      </c>
      <c r="E177" s="11">
        <v>1</v>
      </c>
      <c r="F177" s="11"/>
      <c r="G177" s="11" t="s">
        <v>664</v>
      </c>
      <c r="H177" s="14">
        <v>45915</v>
      </c>
      <c r="I177" s="12">
        <f>-Mvt_Inter_entrepot[[#This Row],[QTE]]</f>
        <v>-1</v>
      </c>
      <c r="J177" s="11" t="s">
        <v>381</v>
      </c>
      <c r="K177" s="11" t="str">
        <f>_xlfn.TEXTBEFORE(Mvt_Inter_entrepot[[#This Row],[Num Suivis]],"-",,,1)</f>
        <v>OF242852</v>
      </c>
      <c r="L177" s="11" t="e">
        <f>_xlfn.XLOOKUP(Mvt_Inter_entrepot[[#This Row],[Num OF]],#REF!,#REF!,"Non Trouvé")</f>
        <v>#REF!</v>
      </c>
      <c r="M177" s="11" t="e">
        <f>_xlfn.XLOOKUP(Mvt_Inter_entrepot[[#This Row],[Num OF]],#REF!,#REF!,"Non Trouvé")</f>
        <v>#REF!</v>
      </c>
      <c r="N177" s="11" t="e">
        <f>_xlfn.XLOOKUP(Mvt_Inter_entrepot[[#This Row],[Num OF]],#REF!,#REF!,"Non Trouvé")</f>
        <v>#REF!</v>
      </c>
      <c r="O177" s="11" t="e">
        <f>_xlfn.XLOOKUP(Mvt_Inter_entrepot[[#This Row],[Num OF]],#REF!,#REF!,"Non Trouvé")</f>
        <v>#REF!</v>
      </c>
      <c r="P177" s="11" t="e">
        <f>_xlfn.XLOOKUP(Mvt_Inter_entrepot[[#This Row],[Num OF]],#REF!,#REF!,"Non Trouvé")</f>
        <v>#REF!</v>
      </c>
      <c r="Q177" s="11" t="str">
        <f>IF(
   COUNTIFS($A$2:A177,A177,
             $B$2:B177,B177,
             $C$2:C177,C177,
             $D$2:D177,D177,
             $E$2:E177,E177,
             $H$2:H177,H177
             )&gt;1,
   "Doublon",
   "Correcte"
)</f>
        <v>Correcte</v>
      </c>
    </row>
    <row r="178" spans="1:17" x14ac:dyDescent="0.25">
      <c r="A178" s="11" t="s">
        <v>3009</v>
      </c>
      <c r="B178" s="11" t="s">
        <v>1153</v>
      </c>
      <c r="C178" s="11" t="s">
        <v>662</v>
      </c>
      <c r="D178" s="11" t="s">
        <v>1154</v>
      </c>
      <c r="E178" s="11">
        <v>1</v>
      </c>
      <c r="F178" s="11"/>
      <c r="G178" s="11" t="s">
        <v>664</v>
      </c>
      <c r="H178" s="14">
        <v>45915</v>
      </c>
      <c r="I178" s="12">
        <f>-Mvt_Inter_entrepot[[#This Row],[QTE]]</f>
        <v>-1</v>
      </c>
      <c r="J178" s="11" t="s">
        <v>382</v>
      </c>
      <c r="K178" s="11" t="str">
        <f>_xlfn.TEXTBEFORE(Mvt_Inter_entrepot[[#This Row],[Num Suivis]],"-",,,1)</f>
        <v>OF242888</v>
      </c>
      <c r="L178" s="11" t="e">
        <f>_xlfn.XLOOKUP(Mvt_Inter_entrepot[[#This Row],[Num OF]],#REF!,#REF!,"Non Trouvé")</f>
        <v>#REF!</v>
      </c>
      <c r="M178" s="11" t="e">
        <f>_xlfn.XLOOKUP(Mvt_Inter_entrepot[[#This Row],[Num OF]],#REF!,#REF!,"Non Trouvé")</f>
        <v>#REF!</v>
      </c>
      <c r="N178" s="11" t="e">
        <f>_xlfn.XLOOKUP(Mvt_Inter_entrepot[[#This Row],[Num OF]],#REF!,#REF!,"Non Trouvé")</f>
        <v>#REF!</v>
      </c>
      <c r="O178" s="11" t="e">
        <f>_xlfn.XLOOKUP(Mvt_Inter_entrepot[[#This Row],[Num OF]],#REF!,#REF!,"Non Trouvé")</f>
        <v>#REF!</v>
      </c>
      <c r="P178" s="11" t="e">
        <f>_xlfn.XLOOKUP(Mvt_Inter_entrepot[[#This Row],[Num OF]],#REF!,#REF!,"Non Trouvé")</f>
        <v>#REF!</v>
      </c>
      <c r="Q178" s="11" t="str">
        <f>IF(
   COUNTIFS($A$2:A178,A178,
             $B$2:B178,B178,
             $C$2:C178,C178,
             $D$2:D178,D178,
             $E$2:E178,E178,
             $H$2:H178,H178
             )&gt;1,
   "Doublon",
   "Correcte"
)</f>
        <v>Correcte</v>
      </c>
    </row>
    <row r="179" spans="1:17" x14ac:dyDescent="0.25">
      <c r="A179" s="11" t="s">
        <v>3010</v>
      </c>
      <c r="B179" s="11" t="s">
        <v>1153</v>
      </c>
      <c r="C179" s="11" t="s">
        <v>662</v>
      </c>
      <c r="D179" s="11" t="s">
        <v>1154</v>
      </c>
      <c r="E179" s="11">
        <v>1</v>
      </c>
      <c r="F179" s="11"/>
      <c r="G179" s="11" t="s">
        <v>664</v>
      </c>
      <c r="H179" s="14">
        <v>45915</v>
      </c>
      <c r="I179" s="12">
        <f>-Mvt_Inter_entrepot[[#This Row],[QTE]]</f>
        <v>-1</v>
      </c>
      <c r="J179" s="11" t="s">
        <v>383</v>
      </c>
      <c r="K179" s="11" t="str">
        <f>_xlfn.TEXTBEFORE(Mvt_Inter_entrepot[[#This Row],[Num Suivis]],"-",,,1)</f>
        <v>OF242904</v>
      </c>
      <c r="L179" s="11" t="e">
        <f>_xlfn.XLOOKUP(Mvt_Inter_entrepot[[#This Row],[Num OF]],#REF!,#REF!,"Non Trouvé")</f>
        <v>#REF!</v>
      </c>
      <c r="M179" s="11" t="e">
        <f>_xlfn.XLOOKUP(Mvt_Inter_entrepot[[#This Row],[Num OF]],#REF!,#REF!,"Non Trouvé")</f>
        <v>#REF!</v>
      </c>
      <c r="N179" s="11" t="e">
        <f>_xlfn.XLOOKUP(Mvt_Inter_entrepot[[#This Row],[Num OF]],#REF!,#REF!,"Non Trouvé")</f>
        <v>#REF!</v>
      </c>
      <c r="O179" s="11" t="e">
        <f>_xlfn.XLOOKUP(Mvt_Inter_entrepot[[#This Row],[Num OF]],#REF!,#REF!,"Non Trouvé")</f>
        <v>#REF!</v>
      </c>
      <c r="P179" s="11" t="e">
        <f>_xlfn.XLOOKUP(Mvt_Inter_entrepot[[#This Row],[Num OF]],#REF!,#REF!,"Non Trouvé")</f>
        <v>#REF!</v>
      </c>
      <c r="Q179" s="11" t="str">
        <f>IF(
   COUNTIFS($A$2:A179,A179,
             $B$2:B179,B179,
             $C$2:C179,C179,
             $D$2:D179,D179,
             $E$2:E179,E179,
             $H$2:H179,H179
             )&gt;1,
   "Doublon",
   "Correcte"
)</f>
        <v>Correcte</v>
      </c>
    </row>
    <row r="180" spans="1:17" x14ac:dyDescent="0.25">
      <c r="A180" s="11" t="s">
        <v>3011</v>
      </c>
      <c r="B180" s="11" t="s">
        <v>1153</v>
      </c>
      <c r="C180" s="11" t="s">
        <v>662</v>
      </c>
      <c r="D180" s="11" t="s">
        <v>1154</v>
      </c>
      <c r="E180" s="11">
        <v>1</v>
      </c>
      <c r="F180" s="11"/>
      <c r="G180" s="11" t="s">
        <v>664</v>
      </c>
      <c r="H180" s="14">
        <v>45915</v>
      </c>
      <c r="I180" s="12">
        <f>-Mvt_Inter_entrepot[[#This Row],[QTE]]</f>
        <v>-1</v>
      </c>
      <c r="J180" s="11" t="s">
        <v>384</v>
      </c>
      <c r="K180" s="11" t="str">
        <f>_xlfn.TEXTBEFORE(Mvt_Inter_entrepot[[#This Row],[Num Suivis]],"-",,,1)</f>
        <v>OF242905</v>
      </c>
      <c r="L180" s="11" t="e">
        <f>_xlfn.XLOOKUP(Mvt_Inter_entrepot[[#This Row],[Num OF]],#REF!,#REF!,"Non Trouvé")</f>
        <v>#REF!</v>
      </c>
      <c r="M180" s="11" t="e">
        <f>_xlfn.XLOOKUP(Mvt_Inter_entrepot[[#This Row],[Num OF]],#REF!,#REF!,"Non Trouvé")</f>
        <v>#REF!</v>
      </c>
      <c r="N180" s="11" t="e">
        <f>_xlfn.XLOOKUP(Mvt_Inter_entrepot[[#This Row],[Num OF]],#REF!,#REF!,"Non Trouvé")</f>
        <v>#REF!</v>
      </c>
      <c r="O180" s="11" t="e">
        <f>_xlfn.XLOOKUP(Mvt_Inter_entrepot[[#This Row],[Num OF]],#REF!,#REF!,"Non Trouvé")</f>
        <v>#REF!</v>
      </c>
      <c r="P180" s="11" t="e">
        <f>_xlfn.XLOOKUP(Mvt_Inter_entrepot[[#This Row],[Num OF]],#REF!,#REF!,"Non Trouvé")</f>
        <v>#REF!</v>
      </c>
      <c r="Q180" s="11" t="str">
        <f>IF(
   COUNTIFS($A$2:A180,A180,
             $B$2:B180,B180,
             $C$2:C180,C180,
             $D$2:D180,D180,
             $E$2:E180,E180,
             $H$2:H180,H180
             )&gt;1,
   "Doublon",
   "Correcte"
)</f>
        <v>Correcte</v>
      </c>
    </row>
    <row r="181" spans="1:17" x14ac:dyDescent="0.25">
      <c r="A181" s="11" t="s">
        <v>3012</v>
      </c>
      <c r="B181" s="11" t="s">
        <v>1153</v>
      </c>
      <c r="C181" s="11" t="s">
        <v>662</v>
      </c>
      <c r="D181" s="11" t="s">
        <v>1154</v>
      </c>
      <c r="E181" s="11">
        <v>2</v>
      </c>
      <c r="F181" s="11"/>
      <c r="G181" s="11" t="s">
        <v>664</v>
      </c>
      <c r="H181" s="14">
        <v>45915</v>
      </c>
      <c r="I181" s="12">
        <f>-Mvt_Inter_entrepot[[#This Row],[QTE]]</f>
        <v>-2</v>
      </c>
      <c r="J181" s="11" t="s">
        <v>385</v>
      </c>
      <c r="K181" s="11" t="str">
        <f>_xlfn.TEXTBEFORE(Mvt_Inter_entrepot[[#This Row],[Num Suivis]],"-",,,1)</f>
        <v>OF242908</v>
      </c>
      <c r="L181" s="11" t="e">
        <f>_xlfn.XLOOKUP(Mvt_Inter_entrepot[[#This Row],[Num OF]],#REF!,#REF!,"Non Trouvé")</f>
        <v>#REF!</v>
      </c>
      <c r="M181" s="11" t="e">
        <f>_xlfn.XLOOKUP(Mvt_Inter_entrepot[[#This Row],[Num OF]],#REF!,#REF!,"Non Trouvé")</f>
        <v>#REF!</v>
      </c>
      <c r="N181" s="11" t="e">
        <f>_xlfn.XLOOKUP(Mvt_Inter_entrepot[[#This Row],[Num OF]],#REF!,#REF!,"Non Trouvé")</f>
        <v>#REF!</v>
      </c>
      <c r="O181" s="11" t="e">
        <f>_xlfn.XLOOKUP(Mvt_Inter_entrepot[[#This Row],[Num OF]],#REF!,#REF!,"Non Trouvé")</f>
        <v>#REF!</v>
      </c>
      <c r="P181" s="11" t="e">
        <f>_xlfn.XLOOKUP(Mvt_Inter_entrepot[[#This Row],[Num OF]],#REF!,#REF!,"Non Trouvé")</f>
        <v>#REF!</v>
      </c>
      <c r="Q181" s="11" t="str">
        <f>IF(
   COUNTIFS($A$2:A181,A181,
             $B$2:B181,B181,
             $C$2:C181,C181,
             $D$2:D181,D181,
             $E$2:E181,E181,
             $H$2:H181,H181
             )&gt;1,
   "Doublon",
   "Correcte"
)</f>
        <v>Correcte</v>
      </c>
    </row>
    <row r="182" spans="1:17" x14ac:dyDescent="0.25">
      <c r="A182" s="11" t="s">
        <v>3013</v>
      </c>
      <c r="B182" s="11" t="s">
        <v>1153</v>
      </c>
      <c r="C182" s="11" t="s">
        <v>662</v>
      </c>
      <c r="D182" s="11" t="s">
        <v>1154</v>
      </c>
      <c r="E182" s="11">
        <v>1</v>
      </c>
      <c r="F182" s="11"/>
      <c r="G182" s="11" t="s">
        <v>664</v>
      </c>
      <c r="H182" s="14">
        <v>45915</v>
      </c>
      <c r="I182" s="12">
        <f>-Mvt_Inter_entrepot[[#This Row],[QTE]]</f>
        <v>-1</v>
      </c>
      <c r="J182" s="11" t="s">
        <v>386</v>
      </c>
      <c r="K182" s="11" t="str">
        <f>_xlfn.TEXTBEFORE(Mvt_Inter_entrepot[[#This Row],[Num Suivis]],"-",,,1)</f>
        <v>OF242916</v>
      </c>
      <c r="L182" s="11" t="e">
        <f>_xlfn.XLOOKUP(Mvt_Inter_entrepot[[#This Row],[Num OF]],#REF!,#REF!,"Non Trouvé")</f>
        <v>#REF!</v>
      </c>
      <c r="M182" s="11" t="e">
        <f>_xlfn.XLOOKUP(Mvt_Inter_entrepot[[#This Row],[Num OF]],#REF!,#REF!,"Non Trouvé")</f>
        <v>#REF!</v>
      </c>
      <c r="N182" s="11" t="e">
        <f>_xlfn.XLOOKUP(Mvt_Inter_entrepot[[#This Row],[Num OF]],#REF!,#REF!,"Non Trouvé")</f>
        <v>#REF!</v>
      </c>
      <c r="O182" s="11" t="e">
        <f>_xlfn.XLOOKUP(Mvt_Inter_entrepot[[#This Row],[Num OF]],#REF!,#REF!,"Non Trouvé")</f>
        <v>#REF!</v>
      </c>
      <c r="P182" s="11" t="e">
        <f>_xlfn.XLOOKUP(Mvt_Inter_entrepot[[#This Row],[Num OF]],#REF!,#REF!,"Non Trouvé")</f>
        <v>#REF!</v>
      </c>
      <c r="Q182" s="11" t="str">
        <f>IF(
   COUNTIFS($A$2:A182,A182,
             $B$2:B182,B182,
             $C$2:C182,C182,
             $D$2:D182,D182,
             $E$2:E182,E182,
             $H$2:H182,H182
             )&gt;1,
   "Doublon",
   "Correcte"
)</f>
        <v>Correcte</v>
      </c>
    </row>
    <row r="183" spans="1:17" x14ac:dyDescent="0.25">
      <c r="A183" s="11" t="s">
        <v>3014</v>
      </c>
      <c r="B183" s="11" t="s">
        <v>1153</v>
      </c>
      <c r="C183" s="11" t="s">
        <v>662</v>
      </c>
      <c r="D183" s="11" t="s">
        <v>1154</v>
      </c>
      <c r="E183" s="11">
        <v>3</v>
      </c>
      <c r="F183" s="11"/>
      <c r="G183" s="11" t="s">
        <v>664</v>
      </c>
      <c r="H183" s="14">
        <v>45915</v>
      </c>
      <c r="I183" s="12">
        <f>-Mvt_Inter_entrepot[[#This Row],[QTE]]</f>
        <v>-3</v>
      </c>
      <c r="J183" s="11" t="s">
        <v>387</v>
      </c>
      <c r="K183" s="11" t="str">
        <f>_xlfn.TEXTBEFORE(Mvt_Inter_entrepot[[#This Row],[Num Suivis]],"-",,,1)</f>
        <v>OF242939</v>
      </c>
      <c r="L183" s="11" t="e">
        <f>_xlfn.XLOOKUP(Mvt_Inter_entrepot[[#This Row],[Num OF]],#REF!,#REF!,"Non Trouvé")</f>
        <v>#REF!</v>
      </c>
      <c r="M183" s="11" t="e">
        <f>_xlfn.XLOOKUP(Mvt_Inter_entrepot[[#This Row],[Num OF]],#REF!,#REF!,"Non Trouvé")</f>
        <v>#REF!</v>
      </c>
      <c r="N183" s="11" t="e">
        <f>_xlfn.XLOOKUP(Mvt_Inter_entrepot[[#This Row],[Num OF]],#REF!,#REF!,"Non Trouvé")</f>
        <v>#REF!</v>
      </c>
      <c r="O183" s="11" t="e">
        <f>_xlfn.XLOOKUP(Mvt_Inter_entrepot[[#This Row],[Num OF]],#REF!,#REF!,"Non Trouvé")</f>
        <v>#REF!</v>
      </c>
      <c r="P183" s="11" t="e">
        <f>_xlfn.XLOOKUP(Mvt_Inter_entrepot[[#This Row],[Num OF]],#REF!,#REF!,"Non Trouvé")</f>
        <v>#REF!</v>
      </c>
      <c r="Q183" s="11" t="str">
        <f>IF(
   COUNTIFS($A$2:A183,A183,
             $B$2:B183,B183,
             $C$2:C183,C183,
             $D$2:D183,D183,
             $E$2:E183,E183,
             $H$2:H183,H183
             )&gt;1,
   "Doublon",
   "Correcte"
)</f>
        <v>Correcte</v>
      </c>
    </row>
    <row r="184" spans="1:17" x14ac:dyDescent="0.25">
      <c r="A184" s="11" t="s">
        <v>3015</v>
      </c>
      <c r="B184" s="11" t="s">
        <v>1153</v>
      </c>
      <c r="C184" s="11" t="s">
        <v>662</v>
      </c>
      <c r="D184" s="11" t="s">
        <v>1154</v>
      </c>
      <c r="E184" s="11">
        <v>2</v>
      </c>
      <c r="F184" s="11"/>
      <c r="G184" s="11" t="s">
        <v>664</v>
      </c>
      <c r="H184" s="14">
        <v>45915</v>
      </c>
      <c r="I184" s="12">
        <f>-Mvt_Inter_entrepot[[#This Row],[QTE]]</f>
        <v>-2</v>
      </c>
      <c r="J184" s="11" t="s">
        <v>389</v>
      </c>
      <c r="K184" s="11" t="str">
        <f>_xlfn.TEXTBEFORE(Mvt_Inter_entrepot[[#This Row],[Num Suivis]],"-",,,1)</f>
        <v>OF243018</v>
      </c>
      <c r="L184" s="11" t="e">
        <f>_xlfn.XLOOKUP(Mvt_Inter_entrepot[[#This Row],[Num OF]],#REF!,#REF!,"Non Trouvé")</f>
        <v>#REF!</v>
      </c>
      <c r="M184" s="11" t="e">
        <f>_xlfn.XLOOKUP(Mvt_Inter_entrepot[[#This Row],[Num OF]],#REF!,#REF!,"Non Trouvé")</f>
        <v>#REF!</v>
      </c>
      <c r="N184" s="11" t="e">
        <f>_xlfn.XLOOKUP(Mvt_Inter_entrepot[[#This Row],[Num OF]],#REF!,#REF!,"Non Trouvé")</f>
        <v>#REF!</v>
      </c>
      <c r="O184" s="11" t="e">
        <f>_xlfn.XLOOKUP(Mvt_Inter_entrepot[[#This Row],[Num OF]],#REF!,#REF!,"Non Trouvé")</f>
        <v>#REF!</v>
      </c>
      <c r="P184" s="11" t="e">
        <f>_xlfn.XLOOKUP(Mvt_Inter_entrepot[[#This Row],[Num OF]],#REF!,#REF!,"Non Trouvé")</f>
        <v>#REF!</v>
      </c>
      <c r="Q184" s="11" t="str">
        <f>IF(
   COUNTIFS($A$2:A184,A184,
             $B$2:B184,B184,
             $C$2:C184,C184,
             $D$2:D184,D184,
             $E$2:E184,E184,
             $H$2:H184,H184
             )&gt;1,
   "Doublon",
   "Correcte"
)</f>
        <v>Correcte</v>
      </c>
    </row>
    <row r="185" spans="1:17" x14ac:dyDescent="0.25">
      <c r="A185" s="11" t="s">
        <v>3016</v>
      </c>
      <c r="B185" s="11" t="s">
        <v>1153</v>
      </c>
      <c r="C185" s="11" t="s">
        <v>662</v>
      </c>
      <c r="D185" s="11" t="s">
        <v>1154</v>
      </c>
      <c r="E185" s="11">
        <v>1</v>
      </c>
      <c r="F185" s="11"/>
      <c r="G185" s="11" t="s">
        <v>664</v>
      </c>
      <c r="H185" s="14">
        <v>45915</v>
      </c>
      <c r="I185" s="12">
        <f>-Mvt_Inter_entrepot[[#This Row],[QTE]]</f>
        <v>-1</v>
      </c>
      <c r="J185" s="11" t="s">
        <v>390</v>
      </c>
      <c r="K185" s="11" t="str">
        <f>_xlfn.TEXTBEFORE(Mvt_Inter_entrepot[[#This Row],[Num Suivis]],"-",,,1)</f>
        <v>OF243019</v>
      </c>
      <c r="L185" s="11" t="e">
        <f>_xlfn.XLOOKUP(Mvt_Inter_entrepot[[#This Row],[Num OF]],#REF!,#REF!,"Non Trouvé")</f>
        <v>#REF!</v>
      </c>
      <c r="M185" s="11" t="e">
        <f>_xlfn.XLOOKUP(Mvt_Inter_entrepot[[#This Row],[Num OF]],#REF!,#REF!,"Non Trouvé")</f>
        <v>#REF!</v>
      </c>
      <c r="N185" s="11" t="e">
        <f>_xlfn.XLOOKUP(Mvt_Inter_entrepot[[#This Row],[Num OF]],#REF!,#REF!,"Non Trouvé")</f>
        <v>#REF!</v>
      </c>
      <c r="O185" s="11" t="e">
        <f>_xlfn.XLOOKUP(Mvt_Inter_entrepot[[#This Row],[Num OF]],#REF!,#REF!,"Non Trouvé")</f>
        <v>#REF!</v>
      </c>
      <c r="P185" s="11" t="e">
        <f>_xlfn.XLOOKUP(Mvt_Inter_entrepot[[#This Row],[Num OF]],#REF!,#REF!,"Non Trouvé")</f>
        <v>#REF!</v>
      </c>
      <c r="Q185" s="11" t="str">
        <f>IF(
   COUNTIFS($A$2:A185,A185,
             $B$2:B185,B185,
             $C$2:C185,C185,
             $D$2:D185,D185,
             $E$2:E185,E185,
             $H$2:H185,H185
             )&gt;1,
   "Doublon",
   "Correcte"
)</f>
        <v>Correcte</v>
      </c>
    </row>
    <row r="186" spans="1:17" x14ac:dyDescent="0.25">
      <c r="A186" s="11" t="s">
        <v>3017</v>
      </c>
      <c r="B186" s="11" t="s">
        <v>1153</v>
      </c>
      <c r="C186" s="11" t="s">
        <v>662</v>
      </c>
      <c r="D186" s="11" t="s">
        <v>1154</v>
      </c>
      <c r="E186" s="11">
        <v>4</v>
      </c>
      <c r="F186" s="11"/>
      <c r="G186" s="11" t="s">
        <v>664</v>
      </c>
      <c r="H186" s="14">
        <v>45915</v>
      </c>
      <c r="I186" s="12">
        <f>-Mvt_Inter_entrepot[[#This Row],[QTE]]</f>
        <v>-4</v>
      </c>
      <c r="J186" s="11" t="s">
        <v>391</v>
      </c>
      <c r="K186" s="11" t="str">
        <f>_xlfn.TEXTBEFORE(Mvt_Inter_entrepot[[#This Row],[Num Suivis]],"-",,,1)</f>
        <v>OF243026</v>
      </c>
      <c r="L186" s="11" t="e">
        <f>_xlfn.XLOOKUP(Mvt_Inter_entrepot[[#This Row],[Num OF]],#REF!,#REF!,"Non Trouvé")</f>
        <v>#REF!</v>
      </c>
      <c r="M186" s="11" t="e">
        <f>_xlfn.XLOOKUP(Mvt_Inter_entrepot[[#This Row],[Num OF]],#REF!,#REF!,"Non Trouvé")</f>
        <v>#REF!</v>
      </c>
      <c r="N186" s="11" t="e">
        <f>_xlfn.XLOOKUP(Mvt_Inter_entrepot[[#This Row],[Num OF]],#REF!,#REF!,"Non Trouvé")</f>
        <v>#REF!</v>
      </c>
      <c r="O186" s="11" t="e">
        <f>_xlfn.XLOOKUP(Mvt_Inter_entrepot[[#This Row],[Num OF]],#REF!,#REF!,"Non Trouvé")</f>
        <v>#REF!</v>
      </c>
      <c r="P186" s="11" t="e">
        <f>_xlfn.XLOOKUP(Mvt_Inter_entrepot[[#This Row],[Num OF]],#REF!,#REF!,"Non Trouvé")</f>
        <v>#REF!</v>
      </c>
      <c r="Q186" s="11" t="str">
        <f>IF(
   COUNTIFS($A$2:A186,A186,
             $B$2:B186,B186,
             $C$2:C186,C186,
             $D$2:D186,D186,
             $E$2:E186,E186,
             $H$2:H186,H186
             )&gt;1,
   "Doublon",
   "Correcte"
)</f>
        <v>Correcte</v>
      </c>
    </row>
    <row r="187" spans="1:17" x14ac:dyDescent="0.25">
      <c r="A187" s="11" t="s">
        <v>3018</v>
      </c>
      <c r="B187" s="11" t="s">
        <v>1153</v>
      </c>
      <c r="C187" s="11" t="s">
        <v>662</v>
      </c>
      <c r="D187" s="11" t="s">
        <v>1154</v>
      </c>
      <c r="E187" s="11">
        <v>1</v>
      </c>
      <c r="F187" s="11"/>
      <c r="G187" s="11" t="s">
        <v>664</v>
      </c>
      <c r="H187" s="14">
        <v>45915</v>
      </c>
      <c r="I187" s="12">
        <f>-Mvt_Inter_entrepot[[#This Row],[QTE]]</f>
        <v>-1</v>
      </c>
      <c r="J187" s="11" t="s">
        <v>392</v>
      </c>
      <c r="K187" s="11" t="str">
        <f>_xlfn.TEXTBEFORE(Mvt_Inter_entrepot[[#This Row],[Num Suivis]],"-",,,1)</f>
        <v>OF243040</v>
      </c>
      <c r="L187" s="11" t="e">
        <f>_xlfn.XLOOKUP(Mvt_Inter_entrepot[[#This Row],[Num OF]],#REF!,#REF!,"Non Trouvé")</f>
        <v>#REF!</v>
      </c>
      <c r="M187" s="11" t="e">
        <f>_xlfn.XLOOKUP(Mvt_Inter_entrepot[[#This Row],[Num OF]],#REF!,#REF!,"Non Trouvé")</f>
        <v>#REF!</v>
      </c>
      <c r="N187" s="11" t="e">
        <f>_xlfn.XLOOKUP(Mvt_Inter_entrepot[[#This Row],[Num OF]],#REF!,#REF!,"Non Trouvé")</f>
        <v>#REF!</v>
      </c>
      <c r="O187" s="11" t="e">
        <f>_xlfn.XLOOKUP(Mvt_Inter_entrepot[[#This Row],[Num OF]],#REF!,#REF!,"Non Trouvé")</f>
        <v>#REF!</v>
      </c>
      <c r="P187" s="11" t="e">
        <f>_xlfn.XLOOKUP(Mvt_Inter_entrepot[[#This Row],[Num OF]],#REF!,#REF!,"Non Trouvé")</f>
        <v>#REF!</v>
      </c>
      <c r="Q187" s="11" t="str">
        <f>IF(
   COUNTIFS($A$2:A187,A187,
             $B$2:B187,B187,
             $C$2:C187,C187,
             $D$2:D187,D187,
             $E$2:E187,E187,
             $H$2:H187,H187
             )&gt;1,
   "Doublon",
   "Correcte"
)</f>
        <v>Correcte</v>
      </c>
    </row>
    <row r="188" spans="1:17" x14ac:dyDescent="0.25">
      <c r="A188" s="11" t="s">
        <v>3019</v>
      </c>
      <c r="B188" s="11" t="s">
        <v>1153</v>
      </c>
      <c r="C188" s="11" t="s">
        <v>662</v>
      </c>
      <c r="D188" s="11" t="s">
        <v>1154</v>
      </c>
      <c r="E188" s="11">
        <v>1</v>
      </c>
      <c r="F188" s="11"/>
      <c r="G188" s="11" t="s">
        <v>664</v>
      </c>
      <c r="H188" s="14">
        <v>45915</v>
      </c>
      <c r="I188" s="12">
        <f>-Mvt_Inter_entrepot[[#This Row],[QTE]]</f>
        <v>-1</v>
      </c>
      <c r="J188" s="11" t="s">
        <v>393</v>
      </c>
      <c r="K188" s="11" t="str">
        <f>_xlfn.TEXTBEFORE(Mvt_Inter_entrepot[[#This Row],[Num Suivis]],"-",,,1)</f>
        <v>OF243094</v>
      </c>
      <c r="L188" s="11" t="e">
        <f>_xlfn.XLOOKUP(Mvt_Inter_entrepot[[#This Row],[Num OF]],#REF!,#REF!,"Non Trouvé")</f>
        <v>#REF!</v>
      </c>
      <c r="M188" s="11" t="e">
        <f>_xlfn.XLOOKUP(Mvt_Inter_entrepot[[#This Row],[Num OF]],#REF!,#REF!,"Non Trouvé")</f>
        <v>#REF!</v>
      </c>
      <c r="N188" s="11" t="e">
        <f>_xlfn.XLOOKUP(Mvt_Inter_entrepot[[#This Row],[Num OF]],#REF!,#REF!,"Non Trouvé")</f>
        <v>#REF!</v>
      </c>
      <c r="O188" s="11" t="e">
        <f>_xlfn.XLOOKUP(Mvt_Inter_entrepot[[#This Row],[Num OF]],#REF!,#REF!,"Non Trouvé")</f>
        <v>#REF!</v>
      </c>
      <c r="P188" s="11" t="e">
        <f>_xlfn.XLOOKUP(Mvt_Inter_entrepot[[#This Row],[Num OF]],#REF!,#REF!,"Non Trouvé")</f>
        <v>#REF!</v>
      </c>
      <c r="Q188" s="11" t="str">
        <f>IF(
   COUNTIFS($A$2:A188,A188,
             $B$2:B188,B188,
             $C$2:C188,C188,
             $D$2:D188,D188,
             $E$2:E188,E188,
             $H$2:H188,H188
             )&gt;1,
   "Doublon",
   "Correcte"
)</f>
        <v>Correcte</v>
      </c>
    </row>
    <row r="189" spans="1:17" x14ac:dyDescent="0.25">
      <c r="A189" s="11" t="s">
        <v>3020</v>
      </c>
      <c r="B189" s="11" t="s">
        <v>1153</v>
      </c>
      <c r="C189" s="11" t="s">
        <v>662</v>
      </c>
      <c r="D189" s="11" t="s">
        <v>1154</v>
      </c>
      <c r="E189" s="11">
        <v>1</v>
      </c>
      <c r="F189" s="11"/>
      <c r="G189" s="11" t="s">
        <v>664</v>
      </c>
      <c r="H189" s="14">
        <v>45915</v>
      </c>
      <c r="I189" s="12">
        <f>-Mvt_Inter_entrepot[[#This Row],[QTE]]</f>
        <v>-1</v>
      </c>
      <c r="J189" s="11" t="s">
        <v>394</v>
      </c>
      <c r="K189" s="11" t="str">
        <f>_xlfn.TEXTBEFORE(Mvt_Inter_entrepot[[#This Row],[Num Suivis]],"-",,,1)</f>
        <v>OF243161</v>
      </c>
      <c r="L189" s="11" t="e">
        <f>_xlfn.XLOOKUP(Mvt_Inter_entrepot[[#This Row],[Num OF]],#REF!,#REF!,"Non Trouvé")</f>
        <v>#REF!</v>
      </c>
      <c r="M189" s="11" t="e">
        <f>_xlfn.XLOOKUP(Mvt_Inter_entrepot[[#This Row],[Num OF]],#REF!,#REF!,"Non Trouvé")</f>
        <v>#REF!</v>
      </c>
      <c r="N189" s="11" t="e">
        <f>_xlfn.XLOOKUP(Mvt_Inter_entrepot[[#This Row],[Num OF]],#REF!,#REF!,"Non Trouvé")</f>
        <v>#REF!</v>
      </c>
      <c r="O189" s="11" t="e">
        <f>_xlfn.XLOOKUP(Mvt_Inter_entrepot[[#This Row],[Num OF]],#REF!,#REF!,"Non Trouvé")</f>
        <v>#REF!</v>
      </c>
      <c r="P189" s="11" t="e">
        <f>_xlfn.XLOOKUP(Mvt_Inter_entrepot[[#This Row],[Num OF]],#REF!,#REF!,"Non Trouvé")</f>
        <v>#REF!</v>
      </c>
      <c r="Q189" s="11" t="str">
        <f>IF(
   COUNTIFS($A$2:A189,A189,
             $B$2:B189,B189,
             $C$2:C189,C189,
             $D$2:D189,D189,
             $E$2:E189,E189,
             $H$2:H189,H189
             )&gt;1,
   "Doublon",
   "Correcte"
)</f>
        <v>Correcte</v>
      </c>
    </row>
    <row r="190" spans="1:17" x14ac:dyDescent="0.25">
      <c r="A190" s="11" t="s">
        <v>3021</v>
      </c>
      <c r="B190" s="11" t="s">
        <v>1153</v>
      </c>
      <c r="C190" s="11" t="s">
        <v>662</v>
      </c>
      <c r="D190" s="11" t="s">
        <v>1154</v>
      </c>
      <c r="E190" s="11">
        <v>1</v>
      </c>
      <c r="F190" s="11"/>
      <c r="G190" s="11" t="s">
        <v>664</v>
      </c>
      <c r="H190" s="14">
        <v>45915</v>
      </c>
      <c r="I190" s="12">
        <f>-Mvt_Inter_entrepot[[#This Row],[QTE]]</f>
        <v>-1</v>
      </c>
      <c r="J190" s="11" t="s">
        <v>395</v>
      </c>
      <c r="K190" s="11" t="str">
        <f>_xlfn.TEXTBEFORE(Mvt_Inter_entrepot[[#This Row],[Num Suivis]],"-",,,1)</f>
        <v>OF243164</v>
      </c>
      <c r="L190" s="11" t="e">
        <f>_xlfn.XLOOKUP(Mvt_Inter_entrepot[[#This Row],[Num OF]],#REF!,#REF!,"Non Trouvé")</f>
        <v>#REF!</v>
      </c>
      <c r="M190" s="11" t="e">
        <f>_xlfn.XLOOKUP(Mvt_Inter_entrepot[[#This Row],[Num OF]],#REF!,#REF!,"Non Trouvé")</f>
        <v>#REF!</v>
      </c>
      <c r="N190" s="11" t="e">
        <f>_xlfn.XLOOKUP(Mvt_Inter_entrepot[[#This Row],[Num OF]],#REF!,#REF!,"Non Trouvé")</f>
        <v>#REF!</v>
      </c>
      <c r="O190" s="11" t="e">
        <f>_xlfn.XLOOKUP(Mvt_Inter_entrepot[[#This Row],[Num OF]],#REF!,#REF!,"Non Trouvé")</f>
        <v>#REF!</v>
      </c>
      <c r="P190" s="11" t="e">
        <f>_xlfn.XLOOKUP(Mvt_Inter_entrepot[[#This Row],[Num OF]],#REF!,#REF!,"Non Trouvé")</f>
        <v>#REF!</v>
      </c>
      <c r="Q190" s="11" t="str">
        <f>IF(
   COUNTIFS($A$2:A190,A190,
             $B$2:B190,B190,
             $C$2:C190,C190,
             $D$2:D190,D190,
             $E$2:E190,E190,
             $H$2:H190,H190
             )&gt;1,
   "Doublon",
   "Correcte"
)</f>
        <v>Correcte</v>
      </c>
    </row>
    <row r="191" spans="1:17" x14ac:dyDescent="0.25">
      <c r="A191" s="11" t="s">
        <v>3022</v>
      </c>
      <c r="B191" s="11" t="s">
        <v>1153</v>
      </c>
      <c r="C191" s="11" t="s">
        <v>662</v>
      </c>
      <c r="D191" s="11" t="s">
        <v>1154</v>
      </c>
      <c r="E191" s="11">
        <v>8</v>
      </c>
      <c r="F191" s="11"/>
      <c r="G191" s="11" t="s">
        <v>664</v>
      </c>
      <c r="H191" s="14">
        <v>45915</v>
      </c>
      <c r="I191" s="12">
        <f>-Mvt_Inter_entrepot[[#This Row],[QTE]]</f>
        <v>-8</v>
      </c>
      <c r="J191" s="11" t="s">
        <v>396</v>
      </c>
      <c r="K191" s="11" t="str">
        <f>_xlfn.TEXTBEFORE(Mvt_Inter_entrepot[[#This Row],[Num Suivis]],"-",,,1)</f>
        <v>OF243165</v>
      </c>
      <c r="L191" s="11" t="e">
        <f>_xlfn.XLOOKUP(Mvt_Inter_entrepot[[#This Row],[Num OF]],#REF!,#REF!,"Non Trouvé")</f>
        <v>#REF!</v>
      </c>
      <c r="M191" s="11" t="e">
        <f>_xlfn.XLOOKUP(Mvt_Inter_entrepot[[#This Row],[Num OF]],#REF!,#REF!,"Non Trouvé")</f>
        <v>#REF!</v>
      </c>
      <c r="N191" s="11" t="e">
        <f>_xlfn.XLOOKUP(Mvt_Inter_entrepot[[#This Row],[Num OF]],#REF!,#REF!,"Non Trouvé")</f>
        <v>#REF!</v>
      </c>
      <c r="O191" s="11" t="e">
        <f>_xlfn.XLOOKUP(Mvt_Inter_entrepot[[#This Row],[Num OF]],#REF!,#REF!,"Non Trouvé")</f>
        <v>#REF!</v>
      </c>
      <c r="P191" s="11" t="e">
        <f>_xlfn.XLOOKUP(Mvt_Inter_entrepot[[#This Row],[Num OF]],#REF!,#REF!,"Non Trouvé")</f>
        <v>#REF!</v>
      </c>
      <c r="Q191" s="11" t="str">
        <f>IF(
   COUNTIFS($A$2:A191,A191,
             $B$2:B191,B191,
             $C$2:C191,C191,
             $D$2:D191,D191,
             $E$2:E191,E191,
             $H$2:H191,H191
             )&gt;1,
   "Doublon",
   "Correcte"
)</f>
        <v>Correcte</v>
      </c>
    </row>
    <row r="192" spans="1:17" x14ac:dyDescent="0.25">
      <c r="A192" s="11" t="s">
        <v>3023</v>
      </c>
      <c r="B192" s="11" t="s">
        <v>1153</v>
      </c>
      <c r="C192" s="11" t="s">
        <v>662</v>
      </c>
      <c r="D192" s="11" t="s">
        <v>1154</v>
      </c>
      <c r="E192" s="11">
        <v>2</v>
      </c>
      <c r="F192" s="11"/>
      <c r="G192" s="11" t="s">
        <v>664</v>
      </c>
      <c r="H192" s="14">
        <v>45915</v>
      </c>
      <c r="I192" s="12">
        <f>-Mvt_Inter_entrepot[[#This Row],[QTE]]</f>
        <v>-2</v>
      </c>
      <c r="J192" s="11" t="s">
        <v>397</v>
      </c>
      <c r="K192" s="11" t="str">
        <f>_xlfn.TEXTBEFORE(Mvt_Inter_entrepot[[#This Row],[Num Suivis]],"-",,,1)</f>
        <v>OF243168</v>
      </c>
      <c r="L192" s="11" t="e">
        <f>_xlfn.XLOOKUP(Mvt_Inter_entrepot[[#This Row],[Num OF]],#REF!,#REF!,"Non Trouvé")</f>
        <v>#REF!</v>
      </c>
      <c r="M192" s="11" t="e">
        <f>_xlfn.XLOOKUP(Mvt_Inter_entrepot[[#This Row],[Num OF]],#REF!,#REF!,"Non Trouvé")</f>
        <v>#REF!</v>
      </c>
      <c r="N192" s="11" t="e">
        <f>_xlfn.XLOOKUP(Mvt_Inter_entrepot[[#This Row],[Num OF]],#REF!,#REF!,"Non Trouvé")</f>
        <v>#REF!</v>
      </c>
      <c r="O192" s="11" t="e">
        <f>_xlfn.XLOOKUP(Mvt_Inter_entrepot[[#This Row],[Num OF]],#REF!,#REF!,"Non Trouvé")</f>
        <v>#REF!</v>
      </c>
      <c r="P192" s="11" t="e">
        <f>_xlfn.XLOOKUP(Mvt_Inter_entrepot[[#This Row],[Num OF]],#REF!,#REF!,"Non Trouvé")</f>
        <v>#REF!</v>
      </c>
      <c r="Q192" s="11" t="str">
        <f>IF(
   COUNTIFS($A$2:A192,A192,
             $B$2:B192,B192,
             $C$2:C192,C192,
             $D$2:D192,D192,
             $E$2:E192,E192,
             $H$2:H192,H192
             )&gt;1,
   "Doublon",
   "Correcte"
)</f>
        <v>Correcte</v>
      </c>
    </row>
    <row r="193" spans="1:17" x14ac:dyDescent="0.25">
      <c r="A193" s="11" t="s">
        <v>3024</v>
      </c>
      <c r="B193" s="11" t="s">
        <v>1153</v>
      </c>
      <c r="C193" s="11" t="s">
        <v>662</v>
      </c>
      <c r="D193" s="11" t="s">
        <v>1154</v>
      </c>
      <c r="E193" s="11">
        <v>1</v>
      </c>
      <c r="F193" s="11"/>
      <c r="G193" s="11" t="s">
        <v>664</v>
      </c>
      <c r="H193" s="14">
        <v>45915</v>
      </c>
      <c r="I193" s="12">
        <f>-Mvt_Inter_entrepot[[#This Row],[QTE]]</f>
        <v>-1</v>
      </c>
      <c r="J193" s="11" t="s">
        <v>398</v>
      </c>
      <c r="K193" s="11" t="str">
        <f>_xlfn.TEXTBEFORE(Mvt_Inter_entrepot[[#This Row],[Num Suivis]],"-",,,1)</f>
        <v>OF243173</v>
      </c>
      <c r="L193" s="11" t="e">
        <f>_xlfn.XLOOKUP(Mvt_Inter_entrepot[[#This Row],[Num OF]],#REF!,#REF!,"Non Trouvé")</f>
        <v>#REF!</v>
      </c>
      <c r="M193" s="11" t="e">
        <f>_xlfn.XLOOKUP(Mvt_Inter_entrepot[[#This Row],[Num OF]],#REF!,#REF!,"Non Trouvé")</f>
        <v>#REF!</v>
      </c>
      <c r="N193" s="11" t="e">
        <f>_xlfn.XLOOKUP(Mvt_Inter_entrepot[[#This Row],[Num OF]],#REF!,#REF!,"Non Trouvé")</f>
        <v>#REF!</v>
      </c>
      <c r="O193" s="11" t="e">
        <f>_xlfn.XLOOKUP(Mvt_Inter_entrepot[[#This Row],[Num OF]],#REF!,#REF!,"Non Trouvé")</f>
        <v>#REF!</v>
      </c>
      <c r="P193" s="11" t="e">
        <f>_xlfn.XLOOKUP(Mvt_Inter_entrepot[[#This Row],[Num OF]],#REF!,#REF!,"Non Trouvé")</f>
        <v>#REF!</v>
      </c>
      <c r="Q193" s="11" t="str">
        <f>IF(
   COUNTIFS($A$2:A193,A193,
             $B$2:B193,B193,
             $C$2:C193,C193,
             $D$2:D193,D193,
             $E$2:E193,E193,
             $H$2:H193,H193
             )&gt;1,
   "Doublon",
   "Correcte"
)</f>
        <v>Correcte</v>
      </c>
    </row>
    <row r="194" spans="1:17" x14ac:dyDescent="0.25">
      <c r="A194" s="11" t="s">
        <v>3025</v>
      </c>
      <c r="B194" s="11" t="s">
        <v>1153</v>
      </c>
      <c r="C194" s="11" t="s">
        <v>662</v>
      </c>
      <c r="D194" s="11" t="s">
        <v>1154</v>
      </c>
      <c r="E194" s="11">
        <v>16</v>
      </c>
      <c r="F194" s="11"/>
      <c r="G194" s="11" t="s">
        <v>664</v>
      </c>
      <c r="H194" s="14">
        <v>45915</v>
      </c>
      <c r="I194" s="12">
        <f>-Mvt_Inter_entrepot[[#This Row],[QTE]]</f>
        <v>-16</v>
      </c>
      <c r="J194" s="11" t="s">
        <v>172</v>
      </c>
      <c r="K194" s="11" t="str">
        <f>_xlfn.TEXTBEFORE(Mvt_Inter_entrepot[[#This Row],[Num Suivis]],"-",,,1)</f>
        <v>OF243178</v>
      </c>
      <c r="L194" s="11" t="e">
        <f>_xlfn.XLOOKUP(Mvt_Inter_entrepot[[#This Row],[Num OF]],#REF!,#REF!,"Non Trouvé")</f>
        <v>#REF!</v>
      </c>
      <c r="M194" s="11" t="e">
        <f>_xlfn.XLOOKUP(Mvt_Inter_entrepot[[#This Row],[Num OF]],#REF!,#REF!,"Non Trouvé")</f>
        <v>#REF!</v>
      </c>
      <c r="N194" s="11" t="e">
        <f>_xlfn.XLOOKUP(Mvt_Inter_entrepot[[#This Row],[Num OF]],#REF!,#REF!,"Non Trouvé")</f>
        <v>#REF!</v>
      </c>
      <c r="O194" s="11" t="e">
        <f>_xlfn.XLOOKUP(Mvt_Inter_entrepot[[#This Row],[Num OF]],#REF!,#REF!,"Non Trouvé")</f>
        <v>#REF!</v>
      </c>
      <c r="P194" s="11" t="e">
        <f>_xlfn.XLOOKUP(Mvt_Inter_entrepot[[#This Row],[Num OF]],#REF!,#REF!,"Non Trouvé")</f>
        <v>#REF!</v>
      </c>
      <c r="Q194" s="11" t="str">
        <f>IF(
   COUNTIFS($A$2:A194,A194,
             $B$2:B194,B194,
             $C$2:C194,C194,
             $D$2:D194,D194,
             $E$2:E194,E194,
             $H$2:H194,H194
             )&gt;1,
   "Doublon",
   "Correcte"
)</f>
        <v>Correcte</v>
      </c>
    </row>
    <row r="195" spans="1:17" x14ac:dyDescent="0.25">
      <c r="A195" s="11" t="s">
        <v>3026</v>
      </c>
      <c r="B195" s="11" t="s">
        <v>1153</v>
      </c>
      <c r="C195" s="11" t="s">
        <v>662</v>
      </c>
      <c r="D195" s="11" t="s">
        <v>1154</v>
      </c>
      <c r="E195" s="11">
        <v>35</v>
      </c>
      <c r="F195" s="11"/>
      <c r="G195" s="11" t="s">
        <v>664</v>
      </c>
      <c r="H195" s="14">
        <v>45915</v>
      </c>
      <c r="I195" s="12">
        <f>-Mvt_Inter_entrepot[[#This Row],[QTE]]</f>
        <v>-35</v>
      </c>
      <c r="J195" s="11" t="s">
        <v>173</v>
      </c>
      <c r="K195" s="11" t="str">
        <f>_xlfn.TEXTBEFORE(Mvt_Inter_entrepot[[#This Row],[Num Suivis]],"-",,,1)</f>
        <v>OF243179</v>
      </c>
      <c r="L195" s="11" t="e">
        <f>_xlfn.XLOOKUP(Mvt_Inter_entrepot[[#This Row],[Num OF]],#REF!,#REF!,"Non Trouvé")</f>
        <v>#REF!</v>
      </c>
      <c r="M195" s="11" t="e">
        <f>_xlfn.XLOOKUP(Mvt_Inter_entrepot[[#This Row],[Num OF]],#REF!,#REF!,"Non Trouvé")</f>
        <v>#REF!</v>
      </c>
      <c r="N195" s="11" t="e">
        <f>_xlfn.XLOOKUP(Mvt_Inter_entrepot[[#This Row],[Num OF]],#REF!,#REF!,"Non Trouvé")</f>
        <v>#REF!</v>
      </c>
      <c r="O195" s="11" t="e">
        <f>_xlfn.XLOOKUP(Mvt_Inter_entrepot[[#This Row],[Num OF]],#REF!,#REF!,"Non Trouvé")</f>
        <v>#REF!</v>
      </c>
      <c r="P195" s="11" t="e">
        <f>_xlfn.XLOOKUP(Mvt_Inter_entrepot[[#This Row],[Num OF]],#REF!,#REF!,"Non Trouvé")</f>
        <v>#REF!</v>
      </c>
      <c r="Q195" s="11" t="str">
        <f>IF(
   COUNTIFS($A$2:A195,A195,
             $B$2:B195,B195,
             $C$2:C195,C195,
             $D$2:D195,D195,
             $E$2:E195,E195,
             $H$2:H195,H195
             )&gt;1,
   "Doublon",
   "Correcte"
)</f>
        <v>Correcte</v>
      </c>
    </row>
    <row r="196" spans="1:17" x14ac:dyDescent="0.25">
      <c r="A196" s="11" t="s">
        <v>3027</v>
      </c>
      <c r="B196" s="11" t="s">
        <v>1153</v>
      </c>
      <c r="C196" s="11" t="s">
        <v>662</v>
      </c>
      <c r="D196" s="11" t="s">
        <v>1154</v>
      </c>
      <c r="E196" s="11">
        <v>2</v>
      </c>
      <c r="F196" s="11"/>
      <c r="G196" s="11" t="s">
        <v>664</v>
      </c>
      <c r="H196" s="14">
        <v>45915</v>
      </c>
      <c r="I196" s="12">
        <f>-Mvt_Inter_entrepot[[#This Row],[QTE]]</f>
        <v>-2</v>
      </c>
      <c r="J196" s="11" t="s">
        <v>399</v>
      </c>
      <c r="K196" s="11" t="str">
        <f>_xlfn.TEXTBEFORE(Mvt_Inter_entrepot[[#This Row],[Num Suivis]],"-",,,1)</f>
        <v>OF243281</v>
      </c>
      <c r="L196" s="11" t="e">
        <f>_xlfn.XLOOKUP(Mvt_Inter_entrepot[[#This Row],[Num OF]],#REF!,#REF!,"Non Trouvé")</f>
        <v>#REF!</v>
      </c>
      <c r="M196" s="11" t="e">
        <f>_xlfn.XLOOKUP(Mvt_Inter_entrepot[[#This Row],[Num OF]],#REF!,#REF!,"Non Trouvé")</f>
        <v>#REF!</v>
      </c>
      <c r="N196" s="11" t="e">
        <f>_xlfn.XLOOKUP(Mvt_Inter_entrepot[[#This Row],[Num OF]],#REF!,#REF!,"Non Trouvé")</f>
        <v>#REF!</v>
      </c>
      <c r="O196" s="11" t="e">
        <f>_xlfn.XLOOKUP(Mvt_Inter_entrepot[[#This Row],[Num OF]],#REF!,#REF!,"Non Trouvé")</f>
        <v>#REF!</v>
      </c>
      <c r="P196" s="11" t="e">
        <f>_xlfn.XLOOKUP(Mvt_Inter_entrepot[[#This Row],[Num OF]],#REF!,#REF!,"Non Trouvé")</f>
        <v>#REF!</v>
      </c>
      <c r="Q196" s="11" t="str">
        <f>IF(
   COUNTIFS($A$2:A196,A196,
             $B$2:B196,B196,
             $C$2:C196,C196,
             $D$2:D196,D196,
             $E$2:E196,E196,
             $H$2:H196,H196
             )&gt;1,
   "Doublon",
   "Correcte"
)</f>
        <v>Correcte</v>
      </c>
    </row>
    <row r="197" spans="1:17" x14ac:dyDescent="0.25">
      <c r="A197" s="11" t="s">
        <v>3028</v>
      </c>
      <c r="B197" s="11" t="s">
        <v>1153</v>
      </c>
      <c r="C197" s="11" t="s">
        <v>662</v>
      </c>
      <c r="D197" s="11" t="s">
        <v>1154</v>
      </c>
      <c r="E197" s="11">
        <v>2</v>
      </c>
      <c r="F197" s="11"/>
      <c r="G197" s="11" t="s">
        <v>664</v>
      </c>
      <c r="H197" s="14">
        <v>45915</v>
      </c>
      <c r="I197" s="12">
        <f>-Mvt_Inter_entrepot[[#This Row],[QTE]]</f>
        <v>-2</v>
      </c>
      <c r="J197" s="11" t="s">
        <v>404</v>
      </c>
      <c r="K197" s="11" t="str">
        <f>_xlfn.TEXTBEFORE(Mvt_Inter_entrepot[[#This Row],[Num Suivis]],"-",,,1)</f>
        <v>OF243331</v>
      </c>
      <c r="L197" s="11" t="e">
        <f>_xlfn.XLOOKUP(Mvt_Inter_entrepot[[#This Row],[Num OF]],#REF!,#REF!,"Non Trouvé")</f>
        <v>#REF!</v>
      </c>
      <c r="M197" s="11" t="e">
        <f>_xlfn.XLOOKUP(Mvt_Inter_entrepot[[#This Row],[Num OF]],#REF!,#REF!,"Non Trouvé")</f>
        <v>#REF!</v>
      </c>
      <c r="N197" s="11" t="e">
        <f>_xlfn.XLOOKUP(Mvt_Inter_entrepot[[#This Row],[Num OF]],#REF!,#REF!,"Non Trouvé")</f>
        <v>#REF!</v>
      </c>
      <c r="O197" s="11" t="e">
        <f>_xlfn.XLOOKUP(Mvt_Inter_entrepot[[#This Row],[Num OF]],#REF!,#REF!,"Non Trouvé")</f>
        <v>#REF!</v>
      </c>
      <c r="P197" s="11" t="e">
        <f>_xlfn.XLOOKUP(Mvt_Inter_entrepot[[#This Row],[Num OF]],#REF!,#REF!,"Non Trouvé")</f>
        <v>#REF!</v>
      </c>
      <c r="Q197" s="11" t="str">
        <f>IF(
   COUNTIFS($A$2:A197,A197,
             $B$2:B197,B197,
             $C$2:C197,C197,
             $D$2:D197,D197,
             $E$2:E197,E197,
             $H$2:H197,H197
             )&gt;1,
   "Doublon",
   "Correcte"
)</f>
        <v>Correcte</v>
      </c>
    </row>
    <row r="198" spans="1:17" x14ac:dyDescent="0.25">
      <c r="A198" s="11" t="s">
        <v>3029</v>
      </c>
      <c r="B198" s="11" t="s">
        <v>1153</v>
      </c>
      <c r="C198" s="11" t="s">
        <v>662</v>
      </c>
      <c r="D198" s="11" t="s">
        <v>1154</v>
      </c>
      <c r="E198" s="11">
        <v>1</v>
      </c>
      <c r="F198" s="11"/>
      <c r="G198" s="11" t="s">
        <v>664</v>
      </c>
      <c r="H198" s="14">
        <v>45915</v>
      </c>
      <c r="I198" s="12">
        <f>-Mvt_Inter_entrepot[[#This Row],[QTE]]</f>
        <v>-1</v>
      </c>
      <c r="J198" s="11" t="s">
        <v>405</v>
      </c>
      <c r="K198" s="11" t="str">
        <f>_xlfn.TEXTBEFORE(Mvt_Inter_entrepot[[#This Row],[Num Suivis]],"-",,,1)</f>
        <v>OF243332</v>
      </c>
      <c r="L198" s="11" t="e">
        <f>_xlfn.XLOOKUP(Mvt_Inter_entrepot[[#This Row],[Num OF]],#REF!,#REF!,"Non Trouvé")</f>
        <v>#REF!</v>
      </c>
      <c r="M198" s="11" t="e">
        <f>_xlfn.XLOOKUP(Mvt_Inter_entrepot[[#This Row],[Num OF]],#REF!,#REF!,"Non Trouvé")</f>
        <v>#REF!</v>
      </c>
      <c r="N198" s="11" t="e">
        <f>_xlfn.XLOOKUP(Mvt_Inter_entrepot[[#This Row],[Num OF]],#REF!,#REF!,"Non Trouvé")</f>
        <v>#REF!</v>
      </c>
      <c r="O198" s="11" t="e">
        <f>_xlfn.XLOOKUP(Mvt_Inter_entrepot[[#This Row],[Num OF]],#REF!,#REF!,"Non Trouvé")</f>
        <v>#REF!</v>
      </c>
      <c r="P198" s="11" t="e">
        <f>_xlfn.XLOOKUP(Mvt_Inter_entrepot[[#This Row],[Num OF]],#REF!,#REF!,"Non Trouvé")</f>
        <v>#REF!</v>
      </c>
      <c r="Q198" s="11" t="str">
        <f>IF(
   COUNTIFS($A$2:A198,A198,
             $B$2:B198,B198,
             $C$2:C198,C198,
             $D$2:D198,D198,
             $E$2:E198,E198,
             $H$2:H198,H198
             )&gt;1,
   "Doublon",
   "Correcte"
)</f>
        <v>Correcte</v>
      </c>
    </row>
    <row r="199" spans="1:17" x14ac:dyDescent="0.25">
      <c r="A199" s="11" t="s">
        <v>3030</v>
      </c>
      <c r="B199" s="11" t="s">
        <v>1153</v>
      </c>
      <c r="C199" s="11" t="s">
        <v>662</v>
      </c>
      <c r="D199" s="11" t="s">
        <v>1154</v>
      </c>
      <c r="E199" s="11">
        <v>1</v>
      </c>
      <c r="F199" s="11"/>
      <c r="G199" s="11" t="s">
        <v>664</v>
      </c>
      <c r="H199" s="14">
        <v>45915</v>
      </c>
      <c r="I199" s="12">
        <f>-Mvt_Inter_entrepot[[#This Row],[QTE]]</f>
        <v>-1</v>
      </c>
      <c r="J199" s="11" t="s">
        <v>406</v>
      </c>
      <c r="K199" s="11" t="str">
        <f>_xlfn.TEXTBEFORE(Mvt_Inter_entrepot[[#This Row],[Num Suivis]],"-",,,1)</f>
        <v>OF243339</v>
      </c>
      <c r="L199" s="11" t="e">
        <f>_xlfn.XLOOKUP(Mvt_Inter_entrepot[[#This Row],[Num OF]],#REF!,#REF!,"Non Trouvé")</f>
        <v>#REF!</v>
      </c>
      <c r="M199" s="11" t="e">
        <f>_xlfn.XLOOKUP(Mvt_Inter_entrepot[[#This Row],[Num OF]],#REF!,#REF!,"Non Trouvé")</f>
        <v>#REF!</v>
      </c>
      <c r="N199" s="11" t="e">
        <f>_xlfn.XLOOKUP(Mvt_Inter_entrepot[[#This Row],[Num OF]],#REF!,#REF!,"Non Trouvé")</f>
        <v>#REF!</v>
      </c>
      <c r="O199" s="11" t="e">
        <f>_xlfn.XLOOKUP(Mvt_Inter_entrepot[[#This Row],[Num OF]],#REF!,#REF!,"Non Trouvé")</f>
        <v>#REF!</v>
      </c>
      <c r="P199" s="11" t="e">
        <f>_xlfn.XLOOKUP(Mvt_Inter_entrepot[[#This Row],[Num OF]],#REF!,#REF!,"Non Trouvé")</f>
        <v>#REF!</v>
      </c>
      <c r="Q199" s="11" t="str">
        <f>IF(
   COUNTIFS($A$2:A199,A199,
             $B$2:B199,B199,
             $C$2:C199,C199,
             $D$2:D199,D199,
             $E$2:E199,E199,
             $H$2:H199,H199
             )&gt;1,
   "Doublon",
   "Correcte"
)</f>
        <v>Correcte</v>
      </c>
    </row>
    <row r="200" spans="1:17" x14ac:dyDescent="0.25">
      <c r="A200" s="11" t="s">
        <v>3031</v>
      </c>
      <c r="B200" s="11" t="s">
        <v>1153</v>
      </c>
      <c r="C200" s="11" t="s">
        <v>662</v>
      </c>
      <c r="D200" s="11" t="s">
        <v>1154</v>
      </c>
      <c r="E200" s="11">
        <v>1</v>
      </c>
      <c r="F200" s="11"/>
      <c r="G200" s="11" t="s">
        <v>664</v>
      </c>
      <c r="H200" s="14">
        <v>45915</v>
      </c>
      <c r="I200" s="12">
        <f>-Mvt_Inter_entrepot[[#This Row],[QTE]]</f>
        <v>-1</v>
      </c>
      <c r="J200" s="11" t="s">
        <v>407</v>
      </c>
      <c r="K200" s="11" t="str">
        <f>_xlfn.TEXTBEFORE(Mvt_Inter_entrepot[[#This Row],[Num Suivis]],"-",,,1)</f>
        <v>OF243346</v>
      </c>
      <c r="L200" s="11" t="e">
        <f>_xlfn.XLOOKUP(Mvt_Inter_entrepot[[#This Row],[Num OF]],#REF!,#REF!,"Non Trouvé")</f>
        <v>#REF!</v>
      </c>
      <c r="M200" s="11" t="e">
        <f>_xlfn.XLOOKUP(Mvt_Inter_entrepot[[#This Row],[Num OF]],#REF!,#REF!,"Non Trouvé")</f>
        <v>#REF!</v>
      </c>
      <c r="N200" s="11" t="e">
        <f>_xlfn.XLOOKUP(Mvt_Inter_entrepot[[#This Row],[Num OF]],#REF!,#REF!,"Non Trouvé")</f>
        <v>#REF!</v>
      </c>
      <c r="O200" s="11" t="e">
        <f>_xlfn.XLOOKUP(Mvt_Inter_entrepot[[#This Row],[Num OF]],#REF!,#REF!,"Non Trouvé")</f>
        <v>#REF!</v>
      </c>
      <c r="P200" s="11" t="e">
        <f>_xlfn.XLOOKUP(Mvt_Inter_entrepot[[#This Row],[Num OF]],#REF!,#REF!,"Non Trouvé")</f>
        <v>#REF!</v>
      </c>
      <c r="Q200" s="11" t="str">
        <f>IF(
   COUNTIFS($A$2:A200,A200,
             $B$2:B200,B200,
             $C$2:C200,C200,
             $D$2:D200,D200,
             $E$2:E200,E200,
             $H$2:H200,H200
             )&gt;1,
   "Doublon",
   "Correcte"
)</f>
        <v>Correcte</v>
      </c>
    </row>
    <row r="201" spans="1:17" x14ac:dyDescent="0.25">
      <c r="A201" s="11" t="s">
        <v>3032</v>
      </c>
      <c r="B201" s="11" t="s">
        <v>1153</v>
      </c>
      <c r="C201" s="11" t="s">
        <v>662</v>
      </c>
      <c r="D201" s="11" t="s">
        <v>1154</v>
      </c>
      <c r="E201" s="11">
        <v>1</v>
      </c>
      <c r="F201" s="11"/>
      <c r="G201" s="11" t="s">
        <v>664</v>
      </c>
      <c r="H201" s="14">
        <v>45915</v>
      </c>
      <c r="I201" s="12">
        <f>-Mvt_Inter_entrepot[[#This Row],[QTE]]</f>
        <v>-1</v>
      </c>
      <c r="J201" s="11" t="s">
        <v>408</v>
      </c>
      <c r="K201" s="11" t="str">
        <f>_xlfn.TEXTBEFORE(Mvt_Inter_entrepot[[#This Row],[Num Suivis]],"-",,,1)</f>
        <v>OF243349</v>
      </c>
      <c r="L201" s="11" t="e">
        <f>_xlfn.XLOOKUP(Mvt_Inter_entrepot[[#This Row],[Num OF]],#REF!,#REF!,"Non Trouvé")</f>
        <v>#REF!</v>
      </c>
      <c r="M201" s="11" t="e">
        <f>_xlfn.XLOOKUP(Mvt_Inter_entrepot[[#This Row],[Num OF]],#REF!,#REF!,"Non Trouvé")</f>
        <v>#REF!</v>
      </c>
      <c r="N201" s="11" t="e">
        <f>_xlfn.XLOOKUP(Mvt_Inter_entrepot[[#This Row],[Num OF]],#REF!,#REF!,"Non Trouvé")</f>
        <v>#REF!</v>
      </c>
      <c r="O201" s="11" t="e">
        <f>_xlfn.XLOOKUP(Mvt_Inter_entrepot[[#This Row],[Num OF]],#REF!,#REF!,"Non Trouvé")</f>
        <v>#REF!</v>
      </c>
      <c r="P201" s="11" t="e">
        <f>_xlfn.XLOOKUP(Mvt_Inter_entrepot[[#This Row],[Num OF]],#REF!,#REF!,"Non Trouvé")</f>
        <v>#REF!</v>
      </c>
      <c r="Q201" s="11" t="str">
        <f>IF(
   COUNTIFS($A$2:A201,A201,
             $B$2:B201,B201,
             $C$2:C201,C201,
             $D$2:D201,D201,
             $E$2:E201,E201,
             $H$2:H201,H201
             )&gt;1,
   "Doublon",
   "Correcte"
)</f>
        <v>Correcte</v>
      </c>
    </row>
    <row r="202" spans="1:17" x14ac:dyDescent="0.25">
      <c r="A202" s="11" t="s">
        <v>3033</v>
      </c>
      <c r="B202" s="11" t="s">
        <v>1153</v>
      </c>
      <c r="C202" s="11" t="s">
        <v>662</v>
      </c>
      <c r="D202" s="11" t="s">
        <v>1154</v>
      </c>
      <c r="E202" s="11">
        <v>1</v>
      </c>
      <c r="F202" s="11"/>
      <c r="G202" s="11" t="s">
        <v>664</v>
      </c>
      <c r="H202" s="14">
        <v>45915</v>
      </c>
      <c r="I202" s="12">
        <f>-Mvt_Inter_entrepot[[#This Row],[QTE]]</f>
        <v>-1</v>
      </c>
      <c r="J202" s="11" t="s">
        <v>409</v>
      </c>
      <c r="K202" s="11" t="str">
        <f>_xlfn.TEXTBEFORE(Mvt_Inter_entrepot[[#This Row],[Num Suivis]],"-",,,1)</f>
        <v>OF243350</v>
      </c>
      <c r="L202" s="11" t="e">
        <f>_xlfn.XLOOKUP(Mvt_Inter_entrepot[[#This Row],[Num OF]],#REF!,#REF!,"Non Trouvé")</f>
        <v>#REF!</v>
      </c>
      <c r="M202" s="11" t="e">
        <f>_xlfn.XLOOKUP(Mvt_Inter_entrepot[[#This Row],[Num OF]],#REF!,#REF!,"Non Trouvé")</f>
        <v>#REF!</v>
      </c>
      <c r="N202" s="11" t="e">
        <f>_xlfn.XLOOKUP(Mvt_Inter_entrepot[[#This Row],[Num OF]],#REF!,#REF!,"Non Trouvé")</f>
        <v>#REF!</v>
      </c>
      <c r="O202" s="11" t="e">
        <f>_xlfn.XLOOKUP(Mvt_Inter_entrepot[[#This Row],[Num OF]],#REF!,#REF!,"Non Trouvé")</f>
        <v>#REF!</v>
      </c>
      <c r="P202" s="11" t="e">
        <f>_xlfn.XLOOKUP(Mvt_Inter_entrepot[[#This Row],[Num OF]],#REF!,#REF!,"Non Trouvé")</f>
        <v>#REF!</v>
      </c>
      <c r="Q202" s="11" t="str">
        <f>IF(
   COUNTIFS($A$2:A202,A202,
             $B$2:B202,B202,
             $C$2:C202,C202,
             $D$2:D202,D202,
             $E$2:E202,E202,
             $H$2:H202,H202
             )&gt;1,
   "Doublon",
   "Correcte"
)</f>
        <v>Correcte</v>
      </c>
    </row>
    <row r="203" spans="1:17" x14ac:dyDescent="0.25">
      <c r="A203" s="11" t="s">
        <v>3034</v>
      </c>
      <c r="B203" s="11" t="s">
        <v>1153</v>
      </c>
      <c r="C203" s="11" t="s">
        <v>662</v>
      </c>
      <c r="D203" s="11" t="s">
        <v>1154</v>
      </c>
      <c r="E203" s="11">
        <v>1</v>
      </c>
      <c r="F203" s="11"/>
      <c r="G203" s="11" t="s">
        <v>664</v>
      </c>
      <c r="H203" s="14">
        <v>45915</v>
      </c>
      <c r="I203" s="12">
        <f>-Mvt_Inter_entrepot[[#This Row],[QTE]]</f>
        <v>-1</v>
      </c>
      <c r="J203" s="11" t="s">
        <v>410</v>
      </c>
      <c r="K203" s="11" t="str">
        <f>_xlfn.TEXTBEFORE(Mvt_Inter_entrepot[[#This Row],[Num Suivis]],"-",,,1)</f>
        <v>OF243355</v>
      </c>
      <c r="L203" s="11" t="e">
        <f>_xlfn.XLOOKUP(Mvt_Inter_entrepot[[#This Row],[Num OF]],#REF!,#REF!,"Non Trouvé")</f>
        <v>#REF!</v>
      </c>
      <c r="M203" s="11" t="e">
        <f>_xlfn.XLOOKUP(Mvt_Inter_entrepot[[#This Row],[Num OF]],#REF!,#REF!,"Non Trouvé")</f>
        <v>#REF!</v>
      </c>
      <c r="N203" s="11" t="e">
        <f>_xlfn.XLOOKUP(Mvt_Inter_entrepot[[#This Row],[Num OF]],#REF!,#REF!,"Non Trouvé")</f>
        <v>#REF!</v>
      </c>
      <c r="O203" s="11" t="e">
        <f>_xlfn.XLOOKUP(Mvt_Inter_entrepot[[#This Row],[Num OF]],#REF!,#REF!,"Non Trouvé")</f>
        <v>#REF!</v>
      </c>
      <c r="P203" s="11" t="e">
        <f>_xlfn.XLOOKUP(Mvt_Inter_entrepot[[#This Row],[Num OF]],#REF!,#REF!,"Non Trouvé")</f>
        <v>#REF!</v>
      </c>
      <c r="Q203" s="11" t="str">
        <f>IF(
   COUNTIFS($A$2:A203,A203,
             $B$2:B203,B203,
             $C$2:C203,C203,
             $D$2:D203,D203,
             $E$2:E203,E203,
             $H$2:H203,H203
             )&gt;1,
   "Doublon",
   "Correcte"
)</f>
        <v>Correcte</v>
      </c>
    </row>
    <row r="204" spans="1:17" x14ac:dyDescent="0.25">
      <c r="A204" s="11" t="s">
        <v>3035</v>
      </c>
      <c r="B204" s="11" t="s">
        <v>1153</v>
      </c>
      <c r="C204" s="11" t="s">
        <v>662</v>
      </c>
      <c r="D204" s="11" t="s">
        <v>1154</v>
      </c>
      <c r="E204" s="11">
        <v>6</v>
      </c>
      <c r="F204" s="11"/>
      <c r="G204" s="11" t="s">
        <v>664</v>
      </c>
      <c r="H204" s="14">
        <v>45915</v>
      </c>
      <c r="I204" s="12">
        <f>-Mvt_Inter_entrepot[[#This Row],[QTE]]</f>
        <v>-6</v>
      </c>
      <c r="J204" s="11" t="s">
        <v>411</v>
      </c>
      <c r="K204" s="11" t="str">
        <f>_xlfn.TEXTBEFORE(Mvt_Inter_entrepot[[#This Row],[Num Suivis]],"-",,,1)</f>
        <v>OF243383</v>
      </c>
      <c r="L204" s="11" t="e">
        <f>_xlfn.XLOOKUP(Mvt_Inter_entrepot[[#This Row],[Num OF]],#REF!,#REF!,"Non Trouvé")</f>
        <v>#REF!</v>
      </c>
      <c r="M204" s="11" t="e">
        <f>_xlfn.XLOOKUP(Mvt_Inter_entrepot[[#This Row],[Num OF]],#REF!,#REF!,"Non Trouvé")</f>
        <v>#REF!</v>
      </c>
      <c r="N204" s="11" t="e">
        <f>_xlfn.XLOOKUP(Mvt_Inter_entrepot[[#This Row],[Num OF]],#REF!,#REF!,"Non Trouvé")</f>
        <v>#REF!</v>
      </c>
      <c r="O204" s="11" t="e">
        <f>_xlfn.XLOOKUP(Mvt_Inter_entrepot[[#This Row],[Num OF]],#REF!,#REF!,"Non Trouvé")</f>
        <v>#REF!</v>
      </c>
      <c r="P204" s="11" t="e">
        <f>_xlfn.XLOOKUP(Mvt_Inter_entrepot[[#This Row],[Num OF]],#REF!,#REF!,"Non Trouvé")</f>
        <v>#REF!</v>
      </c>
      <c r="Q204" s="11" t="str">
        <f>IF(
   COUNTIFS($A$2:A204,A204,
             $B$2:B204,B204,
             $C$2:C204,C204,
             $D$2:D204,D204,
             $E$2:E204,E204,
             $H$2:H204,H204
             )&gt;1,
   "Doublon",
   "Correcte"
)</f>
        <v>Correcte</v>
      </c>
    </row>
    <row r="205" spans="1:17" x14ac:dyDescent="0.25">
      <c r="A205" s="11" t="s">
        <v>3036</v>
      </c>
      <c r="B205" s="11" t="s">
        <v>1153</v>
      </c>
      <c r="C205" s="11" t="s">
        <v>662</v>
      </c>
      <c r="D205" s="11" t="s">
        <v>1154</v>
      </c>
      <c r="E205" s="11">
        <v>1</v>
      </c>
      <c r="F205" s="11"/>
      <c r="G205" s="11" t="s">
        <v>664</v>
      </c>
      <c r="H205" s="14">
        <v>45915</v>
      </c>
      <c r="I205" s="12">
        <f>-Mvt_Inter_entrepot[[#This Row],[QTE]]</f>
        <v>-1</v>
      </c>
      <c r="J205" s="11" t="s">
        <v>412</v>
      </c>
      <c r="K205" s="11" t="str">
        <f>_xlfn.TEXTBEFORE(Mvt_Inter_entrepot[[#This Row],[Num Suivis]],"-",,,1)</f>
        <v>OF243425</v>
      </c>
      <c r="L205" s="11" t="e">
        <f>_xlfn.XLOOKUP(Mvt_Inter_entrepot[[#This Row],[Num OF]],#REF!,#REF!,"Non Trouvé")</f>
        <v>#REF!</v>
      </c>
      <c r="M205" s="11" t="e">
        <f>_xlfn.XLOOKUP(Mvt_Inter_entrepot[[#This Row],[Num OF]],#REF!,#REF!,"Non Trouvé")</f>
        <v>#REF!</v>
      </c>
      <c r="N205" s="11" t="e">
        <f>_xlfn.XLOOKUP(Mvt_Inter_entrepot[[#This Row],[Num OF]],#REF!,#REF!,"Non Trouvé")</f>
        <v>#REF!</v>
      </c>
      <c r="O205" s="11" t="e">
        <f>_xlfn.XLOOKUP(Mvt_Inter_entrepot[[#This Row],[Num OF]],#REF!,#REF!,"Non Trouvé")</f>
        <v>#REF!</v>
      </c>
      <c r="P205" s="11" t="e">
        <f>_xlfn.XLOOKUP(Mvt_Inter_entrepot[[#This Row],[Num OF]],#REF!,#REF!,"Non Trouvé")</f>
        <v>#REF!</v>
      </c>
      <c r="Q205" s="11" t="str">
        <f>IF(
   COUNTIFS($A$2:A205,A205,
             $B$2:B205,B205,
             $C$2:C205,C205,
             $D$2:D205,D205,
             $E$2:E205,E205,
             $H$2:H205,H205
             )&gt;1,
   "Doublon",
   "Correcte"
)</f>
        <v>Correcte</v>
      </c>
    </row>
    <row r="206" spans="1:17" x14ac:dyDescent="0.25">
      <c r="A206" s="11" t="s">
        <v>3037</v>
      </c>
      <c r="B206" s="11" t="s">
        <v>1153</v>
      </c>
      <c r="C206" s="11" t="s">
        <v>662</v>
      </c>
      <c r="D206" s="11" t="s">
        <v>1154</v>
      </c>
      <c r="E206" s="11">
        <v>1</v>
      </c>
      <c r="F206" s="11"/>
      <c r="G206" s="11" t="s">
        <v>664</v>
      </c>
      <c r="H206" s="14">
        <v>45915</v>
      </c>
      <c r="I206" s="12">
        <f>-Mvt_Inter_entrepot[[#This Row],[QTE]]</f>
        <v>-1</v>
      </c>
      <c r="J206" s="11" t="s">
        <v>413</v>
      </c>
      <c r="K206" s="11" t="str">
        <f>_xlfn.TEXTBEFORE(Mvt_Inter_entrepot[[#This Row],[Num Suivis]],"-",,,1)</f>
        <v>OF243820</v>
      </c>
      <c r="L206" s="11" t="e">
        <f>_xlfn.XLOOKUP(Mvt_Inter_entrepot[[#This Row],[Num OF]],#REF!,#REF!,"Non Trouvé")</f>
        <v>#REF!</v>
      </c>
      <c r="M206" s="11" t="e">
        <f>_xlfn.XLOOKUP(Mvt_Inter_entrepot[[#This Row],[Num OF]],#REF!,#REF!,"Non Trouvé")</f>
        <v>#REF!</v>
      </c>
      <c r="N206" s="11" t="e">
        <f>_xlfn.XLOOKUP(Mvt_Inter_entrepot[[#This Row],[Num OF]],#REF!,#REF!,"Non Trouvé")</f>
        <v>#REF!</v>
      </c>
      <c r="O206" s="11" t="e">
        <f>_xlfn.XLOOKUP(Mvt_Inter_entrepot[[#This Row],[Num OF]],#REF!,#REF!,"Non Trouvé")</f>
        <v>#REF!</v>
      </c>
      <c r="P206" s="11" t="e">
        <f>_xlfn.XLOOKUP(Mvt_Inter_entrepot[[#This Row],[Num OF]],#REF!,#REF!,"Non Trouvé")</f>
        <v>#REF!</v>
      </c>
      <c r="Q206" s="11" t="str">
        <f>IF(
   COUNTIFS($A$2:A206,A206,
             $B$2:B206,B206,
             $C$2:C206,C206,
             $D$2:D206,D206,
             $E$2:E206,E206,
             $H$2:H206,H206
             )&gt;1,
   "Doublon",
   "Correcte"
)</f>
        <v>Correcte</v>
      </c>
    </row>
    <row r="207" spans="1:17" x14ac:dyDescent="0.25">
      <c r="A207" s="11" t="s">
        <v>3038</v>
      </c>
      <c r="B207" s="11" t="s">
        <v>1153</v>
      </c>
      <c r="C207" s="11" t="s">
        <v>662</v>
      </c>
      <c r="D207" s="11" t="s">
        <v>1154</v>
      </c>
      <c r="E207" s="11">
        <v>4</v>
      </c>
      <c r="F207" s="11"/>
      <c r="G207" s="11" t="s">
        <v>664</v>
      </c>
      <c r="H207" s="14">
        <v>45915</v>
      </c>
      <c r="I207" s="12">
        <f>-Mvt_Inter_entrepot[[#This Row],[QTE]]</f>
        <v>-4</v>
      </c>
      <c r="J207" s="11" t="s">
        <v>415</v>
      </c>
      <c r="K207" s="11" t="str">
        <f>_xlfn.TEXTBEFORE(Mvt_Inter_entrepot[[#This Row],[Num Suivis]],"-",,,1)</f>
        <v>OF243895</v>
      </c>
      <c r="L207" s="11" t="e">
        <f>_xlfn.XLOOKUP(Mvt_Inter_entrepot[[#This Row],[Num OF]],#REF!,#REF!,"Non Trouvé")</f>
        <v>#REF!</v>
      </c>
      <c r="M207" s="11" t="e">
        <f>_xlfn.XLOOKUP(Mvt_Inter_entrepot[[#This Row],[Num OF]],#REF!,#REF!,"Non Trouvé")</f>
        <v>#REF!</v>
      </c>
      <c r="N207" s="11" t="e">
        <f>_xlfn.XLOOKUP(Mvt_Inter_entrepot[[#This Row],[Num OF]],#REF!,#REF!,"Non Trouvé")</f>
        <v>#REF!</v>
      </c>
      <c r="O207" s="11" t="e">
        <f>_xlfn.XLOOKUP(Mvt_Inter_entrepot[[#This Row],[Num OF]],#REF!,#REF!,"Non Trouvé")</f>
        <v>#REF!</v>
      </c>
      <c r="P207" s="11" t="e">
        <f>_xlfn.XLOOKUP(Mvt_Inter_entrepot[[#This Row],[Num OF]],#REF!,#REF!,"Non Trouvé")</f>
        <v>#REF!</v>
      </c>
      <c r="Q207" s="11" t="str">
        <f>IF(
   COUNTIFS($A$2:A207,A207,
             $B$2:B207,B207,
             $C$2:C207,C207,
             $D$2:D207,D207,
             $E$2:E207,E207,
             $H$2:H207,H207
             )&gt;1,
   "Doublon",
   "Correcte"
)</f>
        <v>Correcte</v>
      </c>
    </row>
    <row r="208" spans="1:17" x14ac:dyDescent="0.25">
      <c r="A208" s="11" t="s">
        <v>3039</v>
      </c>
      <c r="B208" s="11" t="s">
        <v>1153</v>
      </c>
      <c r="C208" s="11" t="s">
        <v>662</v>
      </c>
      <c r="D208" s="11" t="s">
        <v>1154</v>
      </c>
      <c r="E208" s="11">
        <v>2</v>
      </c>
      <c r="F208" s="11"/>
      <c r="G208" s="11" t="s">
        <v>664</v>
      </c>
      <c r="H208" s="14">
        <v>45915</v>
      </c>
      <c r="I208" s="12">
        <f>-Mvt_Inter_entrepot[[#This Row],[QTE]]</f>
        <v>-2</v>
      </c>
      <c r="J208" s="11" t="s">
        <v>416</v>
      </c>
      <c r="K208" s="11" t="str">
        <f>_xlfn.TEXTBEFORE(Mvt_Inter_entrepot[[#This Row],[Num Suivis]],"-",,,1)</f>
        <v>OF243927</v>
      </c>
      <c r="L208" s="11" t="e">
        <f>_xlfn.XLOOKUP(Mvt_Inter_entrepot[[#This Row],[Num OF]],#REF!,#REF!,"Non Trouvé")</f>
        <v>#REF!</v>
      </c>
      <c r="M208" s="11" t="e">
        <f>_xlfn.XLOOKUP(Mvt_Inter_entrepot[[#This Row],[Num OF]],#REF!,#REF!,"Non Trouvé")</f>
        <v>#REF!</v>
      </c>
      <c r="N208" s="11" t="e">
        <f>_xlfn.XLOOKUP(Mvt_Inter_entrepot[[#This Row],[Num OF]],#REF!,#REF!,"Non Trouvé")</f>
        <v>#REF!</v>
      </c>
      <c r="O208" s="11" t="e">
        <f>_xlfn.XLOOKUP(Mvt_Inter_entrepot[[#This Row],[Num OF]],#REF!,#REF!,"Non Trouvé")</f>
        <v>#REF!</v>
      </c>
      <c r="P208" s="11" t="e">
        <f>_xlfn.XLOOKUP(Mvt_Inter_entrepot[[#This Row],[Num OF]],#REF!,#REF!,"Non Trouvé")</f>
        <v>#REF!</v>
      </c>
      <c r="Q208" s="11" t="str">
        <f>IF(
   COUNTIFS($A$2:A208,A208,
             $B$2:B208,B208,
             $C$2:C208,C208,
             $D$2:D208,D208,
             $E$2:E208,E208,
             $H$2:H208,H208
             )&gt;1,
   "Doublon",
   "Correcte"
)</f>
        <v>Correcte</v>
      </c>
    </row>
    <row r="209" spans="1:17" x14ac:dyDescent="0.25">
      <c r="A209" s="11" t="s">
        <v>3040</v>
      </c>
      <c r="B209" s="11" t="s">
        <v>1153</v>
      </c>
      <c r="C209" s="11" t="s">
        <v>662</v>
      </c>
      <c r="D209" s="11" t="s">
        <v>1154</v>
      </c>
      <c r="E209" s="11">
        <v>4</v>
      </c>
      <c r="F209" s="11"/>
      <c r="G209" s="11" t="s">
        <v>664</v>
      </c>
      <c r="H209" s="14">
        <v>45915</v>
      </c>
      <c r="I209" s="12">
        <f>-Mvt_Inter_entrepot[[#This Row],[QTE]]</f>
        <v>-4</v>
      </c>
      <c r="J209" s="11" t="s">
        <v>420</v>
      </c>
      <c r="K209" s="11" t="str">
        <f>_xlfn.TEXTBEFORE(Mvt_Inter_entrepot[[#This Row],[Num Suivis]],"-",,,1)</f>
        <v>OF243984</v>
      </c>
      <c r="L209" s="11" t="e">
        <f>_xlfn.XLOOKUP(Mvt_Inter_entrepot[[#This Row],[Num OF]],#REF!,#REF!,"Non Trouvé")</f>
        <v>#REF!</v>
      </c>
      <c r="M209" s="11" t="e">
        <f>_xlfn.XLOOKUP(Mvt_Inter_entrepot[[#This Row],[Num OF]],#REF!,#REF!,"Non Trouvé")</f>
        <v>#REF!</v>
      </c>
      <c r="N209" s="11" t="e">
        <f>_xlfn.XLOOKUP(Mvt_Inter_entrepot[[#This Row],[Num OF]],#REF!,#REF!,"Non Trouvé")</f>
        <v>#REF!</v>
      </c>
      <c r="O209" s="11" t="e">
        <f>_xlfn.XLOOKUP(Mvt_Inter_entrepot[[#This Row],[Num OF]],#REF!,#REF!,"Non Trouvé")</f>
        <v>#REF!</v>
      </c>
      <c r="P209" s="11" t="e">
        <f>_xlfn.XLOOKUP(Mvt_Inter_entrepot[[#This Row],[Num OF]],#REF!,#REF!,"Non Trouvé")</f>
        <v>#REF!</v>
      </c>
      <c r="Q209" s="11" t="str">
        <f>IF(
   COUNTIFS($A$2:A209,A209,
             $B$2:B209,B209,
             $C$2:C209,C209,
             $D$2:D209,D209,
             $E$2:E209,E209,
             $H$2:H209,H209
             )&gt;1,
   "Doublon",
   "Correcte"
)</f>
        <v>Correcte</v>
      </c>
    </row>
    <row r="210" spans="1:17" x14ac:dyDescent="0.25">
      <c r="A210" s="11" t="s">
        <v>3041</v>
      </c>
      <c r="B210" s="11" t="s">
        <v>1153</v>
      </c>
      <c r="C210" s="11" t="s">
        <v>662</v>
      </c>
      <c r="D210" s="11" t="s">
        <v>1154</v>
      </c>
      <c r="E210" s="11">
        <v>26</v>
      </c>
      <c r="F210" s="11"/>
      <c r="G210" s="11" t="s">
        <v>664</v>
      </c>
      <c r="H210" s="14">
        <v>45915</v>
      </c>
      <c r="I210" s="12">
        <f>-Mvt_Inter_entrepot[[#This Row],[QTE]]</f>
        <v>-26</v>
      </c>
      <c r="J210" s="11" t="s">
        <v>438</v>
      </c>
      <c r="K210" s="11" t="str">
        <f>_xlfn.TEXTBEFORE(Mvt_Inter_entrepot[[#This Row],[Num Suivis]],"-",,,1)</f>
        <v>OF244179</v>
      </c>
      <c r="L210" s="11" t="e">
        <f>_xlfn.XLOOKUP(Mvt_Inter_entrepot[[#This Row],[Num OF]],#REF!,#REF!,"Non Trouvé")</f>
        <v>#REF!</v>
      </c>
      <c r="M210" s="11" t="e">
        <f>_xlfn.XLOOKUP(Mvt_Inter_entrepot[[#This Row],[Num OF]],#REF!,#REF!,"Non Trouvé")</f>
        <v>#REF!</v>
      </c>
      <c r="N210" s="11" t="e">
        <f>_xlfn.XLOOKUP(Mvt_Inter_entrepot[[#This Row],[Num OF]],#REF!,#REF!,"Non Trouvé")</f>
        <v>#REF!</v>
      </c>
      <c r="O210" s="11" t="e">
        <f>_xlfn.XLOOKUP(Mvt_Inter_entrepot[[#This Row],[Num OF]],#REF!,#REF!,"Non Trouvé")</f>
        <v>#REF!</v>
      </c>
      <c r="P210" s="11" t="e">
        <f>_xlfn.XLOOKUP(Mvt_Inter_entrepot[[#This Row],[Num OF]],#REF!,#REF!,"Non Trouvé")</f>
        <v>#REF!</v>
      </c>
      <c r="Q210" s="11" t="str">
        <f>IF(
   COUNTIFS($A$2:A210,A210,
             $B$2:B210,B210,
             $C$2:C210,C210,
             $D$2:D210,D210,
             $E$2:E210,E210,
             $H$2:H210,H210
             )&gt;1,
   "Doublon",
   "Correcte"
)</f>
        <v>Correcte</v>
      </c>
    </row>
    <row r="211" spans="1:17" x14ac:dyDescent="0.25">
      <c r="A211" s="11" t="s">
        <v>3041</v>
      </c>
      <c r="B211" s="11" t="s">
        <v>1153</v>
      </c>
      <c r="C211" s="11" t="s">
        <v>662</v>
      </c>
      <c r="D211" s="11" t="s">
        <v>1154</v>
      </c>
      <c r="E211" s="11">
        <v>9</v>
      </c>
      <c r="F211" s="11"/>
      <c r="G211" s="11" t="s">
        <v>664</v>
      </c>
      <c r="H211" s="14">
        <v>45915</v>
      </c>
      <c r="I211" s="12">
        <f>-Mvt_Inter_entrepot[[#This Row],[QTE]]</f>
        <v>-9</v>
      </c>
      <c r="J211" s="11" t="s">
        <v>438</v>
      </c>
      <c r="K211" s="11" t="str">
        <f>_xlfn.TEXTBEFORE(Mvt_Inter_entrepot[[#This Row],[Num Suivis]],"-",,,1)</f>
        <v>OF244179</v>
      </c>
      <c r="L211" s="11" t="e">
        <f>_xlfn.XLOOKUP(Mvt_Inter_entrepot[[#This Row],[Num OF]],#REF!,#REF!,"Non Trouvé")</f>
        <v>#REF!</v>
      </c>
      <c r="M211" s="11" t="e">
        <f>_xlfn.XLOOKUP(Mvt_Inter_entrepot[[#This Row],[Num OF]],#REF!,#REF!,"Non Trouvé")</f>
        <v>#REF!</v>
      </c>
      <c r="N211" s="11" t="e">
        <f>_xlfn.XLOOKUP(Mvt_Inter_entrepot[[#This Row],[Num OF]],#REF!,#REF!,"Non Trouvé")</f>
        <v>#REF!</v>
      </c>
      <c r="O211" s="11" t="e">
        <f>_xlfn.XLOOKUP(Mvt_Inter_entrepot[[#This Row],[Num OF]],#REF!,#REF!,"Non Trouvé")</f>
        <v>#REF!</v>
      </c>
      <c r="P211" s="11" t="e">
        <f>_xlfn.XLOOKUP(Mvt_Inter_entrepot[[#This Row],[Num OF]],#REF!,#REF!,"Non Trouvé")</f>
        <v>#REF!</v>
      </c>
      <c r="Q211" s="11" t="str">
        <f>IF(
   COUNTIFS($A$2:A211,A211,
             $B$2:B211,B211,
             $C$2:C211,C211,
             $D$2:D211,D211,
             $E$2:E211,E211,
             $H$2:H211,H211
             )&gt;1,
   "Doublon",
   "Correcte"
)</f>
        <v>Correcte</v>
      </c>
    </row>
    <row r="212" spans="1:17" x14ac:dyDescent="0.25">
      <c r="A212" s="11" t="s">
        <v>3042</v>
      </c>
      <c r="B212" s="11" t="s">
        <v>1153</v>
      </c>
      <c r="C212" s="11" t="s">
        <v>662</v>
      </c>
      <c r="D212" s="11" t="s">
        <v>1154</v>
      </c>
      <c r="E212" s="11">
        <v>18</v>
      </c>
      <c r="F212" s="11"/>
      <c r="G212" s="11" t="s">
        <v>664</v>
      </c>
      <c r="H212" s="14">
        <v>45915</v>
      </c>
      <c r="I212" s="12">
        <f>-Mvt_Inter_entrepot[[#This Row],[QTE]]</f>
        <v>-18</v>
      </c>
      <c r="J212" s="11" t="s">
        <v>174</v>
      </c>
      <c r="K212" s="11" t="str">
        <f>_xlfn.TEXTBEFORE(Mvt_Inter_entrepot[[#This Row],[Num Suivis]],"-",,,1)</f>
        <v>OF244181</v>
      </c>
      <c r="L212" s="11" t="e">
        <f>_xlfn.XLOOKUP(Mvt_Inter_entrepot[[#This Row],[Num OF]],#REF!,#REF!,"Non Trouvé")</f>
        <v>#REF!</v>
      </c>
      <c r="M212" s="11" t="e">
        <f>_xlfn.XLOOKUP(Mvt_Inter_entrepot[[#This Row],[Num OF]],#REF!,#REF!,"Non Trouvé")</f>
        <v>#REF!</v>
      </c>
      <c r="N212" s="11" t="e">
        <f>_xlfn.XLOOKUP(Mvt_Inter_entrepot[[#This Row],[Num OF]],#REF!,#REF!,"Non Trouvé")</f>
        <v>#REF!</v>
      </c>
      <c r="O212" s="11" t="e">
        <f>_xlfn.XLOOKUP(Mvt_Inter_entrepot[[#This Row],[Num OF]],#REF!,#REF!,"Non Trouvé")</f>
        <v>#REF!</v>
      </c>
      <c r="P212" s="11" t="e">
        <f>_xlfn.XLOOKUP(Mvt_Inter_entrepot[[#This Row],[Num OF]],#REF!,#REF!,"Non Trouvé")</f>
        <v>#REF!</v>
      </c>
      <c r="Q212" s="11" t="str">
        <f>IF(
   COUNTIFS($A$2:A212,A212,
             $B$2:B212,B212,
             $C$2:C212,C212,
             $D$2:D212,D212,
             $E$2:E212,E212,
             $H$2:H212,H212
             )&gt;1,
   "Doublon",
   "Correcte"
)</f>
        <v>Correcte</v>
      </c>
    </row>
    <row r="213" spans="1:17" x14ac:dyDescent="0.25">
      <c r="A213" s="11" t="s">
        <v>3043</v>
      </c>
      <c r="B213" s="11" t="s">
        <v>1153</v>
      </c>
      <c r="C213" s="11" t="s">
        <v>662</v>
      </c>
      <c r="D213" s="11" t="s">
        <v>1154</v>
      </c>
      <c r="E213" s="11">
        <v>15</v>
      </c>
      <c r="F213" s="11"/>
      <c r="G213" s="11" t="s">
        <v>664</v>
      </c>
      <c r="H213" s="14">
        <v>45915</v>
      </c>
      <c r="I213" s="12">
        <f>-Mvt_Inter_entrepot[[#This Row],[QTE]]</f>
        <v>-15</v>
      </c>
      <c r="J213" s="11" t="s">
        <v>175</v>
      </c>
      <c r="K213" s="11" t="str">
        <f>_xlfn.TEXTBEFORE(Mvt_Inter_entrepot[[#This Row],[Num Suivis]],"-",,,1)</f>
        <v>OF244182</v>
      </c>
      <c r="L213" s="11" t="e">
        <f>_xlfn.XLOOKUP(Mvt_Inter_entrepot[[#This Row],[Num OF]],#REF!,#REF!,"Non Trouvé")</f>
        <v>#REF!</v>
      </c>
      <c r="M213" s="11" t="e">
        <f>_xlfn.XLOOKUP(Mvt_Inter_entrepot[[#This Row],[Num OF]],#REF!,#REF!,"Non Trouvé")</f>
        <v>#REF!</v>
      </c>
      <c r="N213" s="11" t="e">
        <f>_xlfn.XLOOKUP(Mvt_Inter_entrepot[[#This Row],[Num OF]],#REF!,#REF!,"Non Trouvé")</f>
        <v>#REF!</v>
      </c>
      <c r="O213" s="11" t="e">
        <f>_xlfn.XLOOKUP(Mvt_Inter_entrepot[[#This Row],[Num OF]],#REF!,#REF!,"Non Trouvé")</f>
        <v>#REF!</v>
      </c>
      <c r="P213" s="11" t="e">
        <f>_xlfn.XLOOKUP(Mvt_Inter_entrepot[[#This Row],[Num OF]],#REF!,#REF!,"Non Trouvé")</f>
        <v>#REF!</v>
      </c>
      <c r="Q213" s="11" t="str">
        <f>IF(
   COUNTIFS($A$2:A213,A213,
             $B$2:B213,B213,
             $C$2:C213,C213,
             $D$2:D213,D213,
             $E$2:E213,E213,
             $H$2:H213,H213
             )&gt;1,
   "Doublon",
   "Correcte"
)</f>
        <v>Correcte</v>
      </c>
    </row>
    <row r="214" spans="1:17" x14ac:dyDescent="0.25">
      <c r="A214" s="11" t="s">
        <v>3044</v>
      </c>
      <c r="B214" s="11" t="s">
        <v>1153</v>
      </c>
      <c r="C214" s="11" t="s">
        <v>662</v>
      </c>
      <c r="D214" s="11" t="s">
        <v>1154</v>
      </c>
      <c r="E214" s="11">
        <v>15</v>
      </c>
      <c r="F214" s="11"/>
      <c r="G214" s="11" t="s">
        <v>664</v>
      </c>
      <c r="H214" s="14">
        <v>45915</v>
      </c>
      <c r="I214" s="12">
        <f>-Mvt_Inter_entrepot[[#This Row],[QTE]]</f>
        <v>-15</v>
      </c>
      <c r="J214" s="11" t="s">
        <v>176</v>
      </c>
      <c r="K214" s="11" t="str">
        <f>_xlfn.TEXTBEFORE(Mvt_Inter_entrepot[[#This Row],[Num Suivis]],"-",,,1)</f>
        <v>OF244183</v>
      </c>
      <c r="L214" s="11" t="e">
        <f>_xlfn.XLOOKUP(Mvt_Inter_entrepot[[#This Row],[Num OF]],#REF!,#REF!,"Non Trouvé")</f>
        <v>#REF!</v>
      </c>
      <c r="M214" s="11" t="e">
        <f>_xlfn.XLOOKUP(Mvt_Inter_entrepot[[#This Row],[Num OF]],#REF!,#REF!,"Non Trouvé")</f>
        <v>#REF!</v>
      </c>
      <c r="N214" s="11" t="e">
        <f>_xlfn.XLOOKUP(Mvt_Inter_entrepot[[#This Row],[Num OF]],#REF!,#REF!,"Non Trouvé")</f>
        <v>#REF!</v>
      </c>
      <c r="O214" s="11" t="e">
        <f>_xlfn.XLOOKUP(Mvt_Inter_entrepot[[#This Row],[Num OF]],#REF!,#REF!,"Non Trouvé")</f>
        <v>#REF!</v>
      </c>
      <c r="P214" s="11" t="e">
        <f>_xlfn.XLOOKUP(Mvt_Inter_entrepot[[#This Row],[Num OF]],#REF!,#REF!,"Non Trouvé")</f>
        <v>#REF!</v>
      </c>
      <c r="Q214" s="11" t="str">
        <f>IF(
   COUNTIFS($A$2:A214,A214,
             $B$2:B214,B214,
             $C$2:C214,C214,
             $D$2:D214,D214,
             $E$2:E214,E214,
             $H$2:H214,H214
             )&gt;1,
   "Doublon",
   "Correcte"
)</f>
        <v>Correcte</v>
      </c>
    </row>
    <row r="215" spans="1:17" x14ac:dyDescent="0.25">
      <c r="A215" s="11" t="s">
        <v>3045</v>
      </c>
      <c r="B215" s="11" t="s">
        <v>1153</v>
      </c>
      <c r="C215" s="11" t="s">
        <v>662</v>
      </c>
      <c r="D215" s="11" t="s">
        <v>1154</v>
      </c>
      <c r="E215" s="11">
        <v>16</v>
      </c>
      <c r="F215" s="11"/>
      <c r="G215" s="11" t="s">
        <v>664</v>
      </c>
      <c r="H215" s="14">
        <v>45915</v>
      </c>
      <c r="I215" s="12">
        <f>-Mvt_Inter_entrepot[[#This Row],[QTE]]</f>
        <v>-16</v>
      </c>
      <c r="J215" s="11" t="s">
        <v>177</v>
      </c>
      <c r="K215" s="11" t="str">
        <f>_xlfn.TEXTBEFORE(Mvt_Inter_entrepot[[#This Row],[Num Suivis]],"-",,,1)</f>
        <v>OF244184</v>
      </c>
      <c r="L215" s="11" t="e">
        <f>_xlfn.XLOOKUP(Mvt_Inter_entrepot[[#This Row],[Num OF]],#REF!,#REF!,"Non Trouvé")</f>
        <v>#REF!</v>
      </c>
      <c r="M215" s="11" t="e">
        <f>_xlfn.XLOOKUP(Mvt_Inter_entrepot[[#This Row],[Num OF]],#REF!,#REF!,"Non Trouvé")</f>
        <v>#REF!</v>
      </c>
      <c r="N215" s="11" t="e">
        <f>_xlfn.XLOOKUP(Mvt_Inter_entrepot[[#This Row],[Num OF]],#REF!,#REF!,"Non Trouvé")</f>
        <v>#REF!</v>
      </c>
      <c r="O215" s="11" t="e">
        <f>_xlfn.XLOOKUP(Mvt_Inter_entrepot[[#This Row],[Num OF]],#REF!,#REF!,"Non Trouvé")</f>
        <v>#REF!</v>
      </c>
      <c r="P215" s="11" t="e">
        <f>_xlfn.XLOOKUP(Mvt_Inter_entrepot[[#This Row],[Num OF]],#REF!,#REF!,"Non Trouvé")</f>
        <v>#REF!</v>
      </c>
      <c r="Q215" s="11" t="str">
        <f>IF(
   COUNTIFS($A$2:A215,A215,
             $B$2:B215,B215,
             $C$2:C215,C215,
             $D$2:D215,D215,
             $E$2:E215,E215,
             $H$2:H215,H215
             )&gt;1,
   "Doublon",
   "Correcte"
)</f>
        <v>Correcte</v>
      </c>
    </row>
    <row r="216" spans="1:17" x14ac:dyDescent="0.25">
      <c r="A216" s="11" t="s">
        <v>3046</v>
      </c>
      <c r="B216" s="11" t="s">
        <v>1153</v>
      </c>
      <c r="C216" s="11" t="s">
        <v>662</v>
      </c>
      <c r="D216" s="11" t="s">
        <v>1154</v>
      </c>
      <c r="E216" s="11">
        <v>15</v>
      </c>
      <c r="F216" s="11"/>
      <c r="G216" s="11" t="s">
        <v>664</v>
      </c>
      <c r="H216" s="14">
        <v>45915</v>
      </c>
      <c r="I216" s="12">
        <f>-Mvt_Inter_entrepot[[#This Row],[QTE]]</f>
        <v>-15</v>
      </c>
      <c r="J216" s="11" t="s">
        <v>178</v>
      </c>
      <c r="K216" s="11" t="str">
        <f>_xlfn.TEXTBEFORE(Mvt_Inter_entrepot[[#This Row],[Num Suivis]],"-",,,1)</f>
        <v>OF244185</v>
      </c>
      <c r="L216" s="11" t="e">
        <f>_xlfn.XLOOKUP(Mvt_Inter_entrepot[[#This Row],[Num OF]],#REF!,#REF!,"Non Trouvé")</f>
        <v>#REF!</v>
      </c>
      <c r="M216" s="11" t="e">
        <f>_xlfn.XLOOKUP(Mvt_Inter_entrepot[[#This Row],[Num OF]],#REF!,#REF!,"Non Trouvé")</f>
        <v>#REF!</v>
      </c>
      <c r="N216" s="11" t="e">
        <f>_xlfn.XLOOKUP(Mvt_Inter_entrepot[[#This Row],[Num OF]],#REF!,#REF!,"Non Trouvé")</f>
        <v>#REF!</v>
      </c>
      <c r="O216" s="11" t="e">
        <f>_xlfn.XLOOKUP(Mvt_Inter_entrepot[[#This Row],[Num OF]],#REF!,#REF!,"Non Trouvé")</f>
        <v>#REF!</v>
      </c>
      <c r="P216" s="11" t="e">
        <f>_xlfn.XLOOKUP(Mvt_Inter_entrepot[[#This Row],[Num OF]],#REF!,#REF!,"Non Trouvé")</f>
        <v>#REF!</v>
      </c>
      <c r="Q216" s="11" t="str">
        <f>IF(
   COUNTIFS($A$2:A216,A216,
             $B$2:B216,B216,
             $C$2:C216,C216,
             $D$2:D216,D216,
             $E$2:E216,E216,
             $H$2:H216,H216
             )&gt;1,
   "Doublon",
   "Correcte"
)</f>
        <v>Correcte</v>
      </c>
    </row>
    <row r="217" spans="1:17" x14ac:dyDescent="0.25">
      <c r="A217" s="11" t="s">
        <v>3047</v>
      </c>
      <c r="B217" s="11" t="s">
        <v>1153</v>
      </c>
      <c r="C217" s="11" t="s">
        <v>662</v>
      </c>
      <c r="D217" s="11" t="s">
        <v>1154</v>
      </c>
      <c r="E217" s="11">
        <v>15</v>
      </c>
      <c r="F217" s="11"/>
      <c r="G217" s="11" t="s">
        <v>664</v>
      </c>
      <c r="H217" s="14">
        <v>45915</v>
      </c>
      <c r="I217" s="12">
        <f>-Mvt_Inter_entrepot[[#This Row],[QTE]]</f>
        <v>-15</v>
      </c>
      <c r="J217" s="11" t="s">
        <v>179</v>
      </c>
      <c r="K217" s="11" t="str">
        <f>_xlfn.TEXTBEFORE(Mvt_Inter_entrepot[[#This Row],[Num Suivis]],"-",,,1)</f>
        <v>OF244186</v>
      </c>
      <c r="L217" s="11" t="e">
        <f>_xlfn.XLOOKUP(Mvt_Inter_entrepot[[#This Row],[Num OF]],#REF!,#REF!,"Non Trouvé")</f>
        <v>#REF!</v>
      </c>
      <c r="M217" s="11" t="e">
        <f>_xlfn.XLOOKUP(Mvt_Inter_entrepot[[#This Row],[Num OF]],#REF!,#REF!,"Non Trouvé")</f>
        <v>#REF!</v>
      </c>
      <c r="N217" s="11" t="e">
        <f>_xlfn.XLOOKUP(Mvt_Inter_entrepot[[#This Row],[Num OF]],#REF!,#REF!,"Non Trouvé")</f>
        <v>#REF!</v>
      </c>
      <c r="O217" s="11" t="e">
        <f>_xlfn.XLOOKUP(Mvt_Inter_entrepot[[#This Row],[Num OF]],#REF!,#REF!,"Non Trouvé")</f>
        <v>#REF!</v>
      </c>
      <c r="P217" s="11" t="e">
        <f>_xlfn.XLOOKUP(Mvt_Inter_entrepot[[#This Row],[Num OF]],#REF!,#REF!,"Non Trouvé")</f>
        <v>#REF!</v>
      </c>
      <c r="Q217" s="11" t="str">
        <f>IF(
   COUNTIFS($A$2:A217,A217,
             $B$2:B217,B217,
             $C$2:C217,C217,
             $D$2:D217,D217,
             $E$2:E217,E217,
             $H$2:H217,H217
             )&gt;1,
   "Doublon",
   "Correcte"
)</f>
        <v>Correcte</v>
      </c>
    </row>
    <row r="218" spans="1:17" x14ac:dyDescent="0.25">
      <c r="A218" s="11" t="s">
        <v>3048</v>
      </c>
      <c r="B218" s="11" t="s">
        <v>1153</v>
      </c>
      <c r="C218" s="11" t="s">
        <v>662</v>
      </c>
      <c r="D218" s="11" t="s">
        <v>1154</v>
      </c>
      <c r="E218" s="11">
        <v>4</v>
      </c>
      <c r="F218" s="11"/>
      <c r="G218" s="11" t="s">
        <v>664</v>
      </c>
      <c r="H218" s="14">
        <v>45915</v>
      </c>
      <c r="I218" s="12">
        <f>-Mvt_Inter_entrepot[[#This Row],[QTE]]</f>
        <v>-4</v>
      </c>
      <c r="J218" s="11" t="s">
        <v>180</v>
      </c>
      <c r="K218" s="11" t="str">
        <f>_xlfn.TEXTBEFORE(Mvt_Inter_entrepot[[#This Row],[Num Suivis]],"-",,,1)</f>
        <v>OF244187</v>
      </c>
      <c r="L218" s="11" t="e">
        <f>_xlfn.XLOOKUP(Mvt_Inter_entrepot[[#This Row],[Num OF]],#REF!,#REF!,"Non Trouvé")</f>
        <v>#REF!</v>
      </c>
      <c r="M218" s="11" t="e">
        <f>_xlfn.XLOOKUP(Mvt_Inter_entrepot[[#This Row],[Num OF]],#REF!,#REF!,"Non Trouvé")</f>
        <v>#REF!</v>
      </c>
      <c r="N218" s="11" t="e">
        <f>_xlfn.XLOOKUP(Mvt_Inter_entrepot[[#This Row],[Num OF]],#REF!,#REF!,"Non Trouvé")</f>
        <v>#REF!</v>
      </c>
      <c r="O218" s="11" t="e">
        <f>_xlfn.XLOOKUP(Mvt_Inter_entrepot[[#This Row],[Num OF]],#REF!,#REF!,"Non Trouvé")</f>
        <v>#REF!</v>
      </c>
      <c r="P218" s="11" t="e">
        <f>_xlfn.XLOOKUP(Mvt_Inter_entrepot[[#This Row],[Num OF]],#REF!,#REF!,"Non Trouvé")</f>
        <v>#REF!</v>
      </c>
      <c r="Q218" s="11" t="str">
        <f>IF(
   COUNTIFS($A$2:A218,A218,
             $B$2:B218,B218,
             $C$2:C218,C218,
             $D$2:D218,D218,
             $E$2:E218,E218,
             $H$2:H218,H218
             )&gt;1,
   "Doublon",
   "Correcte"
)</f>
        <v>Correcte</v>
      </c>
    </row>
    <row r="219" spans="1:17" x14ac:dyDescent="0.25">
      <c r="A219" s="11" t="s">
        <v>3048</v>
      </c>
      <c r="B219" s="11" t="s">
        <v>1153</v>
      </c>
      <c r="C219" s="11" t="s">
        <v>662</v>
      </c>
      <c r="D219" s="11" t="s">
        <v>1154</v>
      </c>
      <c r="E219" s="11">
        <v>8</v>
      </c>
      <c r="F219" s="11"/>
      <c r="G219" s="11" t="s">
        <v>664</v>
      </c>
      <c r="H219" s="14">
        <v>45915</v>
      </c>
      <c r="I219" s="12">
        <f>-Mvt_Inter_entrepot[[#This Row],[QTE]]</f>
        <v>-8</v>
      </c>
      <c r="J219" s="11" t="s">
        <v>180</v>
      </c>
      <c r="K219" s="11" t="str">
        <f>_xlfn.TEXTBEFORE(Mvt_Inter_entrepot[[#This Row],[Num Suivis]],"-",,,1)</f>
        <v>OF244187</v>
      </c>
      <c r="L219" s="11" t="e">
        <f>_xlfn.XLOOKUP(Mvt_Inter_entrepot[[#This Row],[Num OF]],#REF!,#REF!,"Non Trouvé")</f>
        <v>#REF!</v>
      </c>
      <c r="M219" s="11" t="e">
        <f>_xlfn.XLOOKUP(Mvt_Inter_entrepot[[#This Row],[Num OF]],#REF!,#REF!,"Non Trouvé")</f>
        <v>#REF!</v>
      </c>
      <c r="N219" s="11" t="e">
        <f>_xlfn.XLOOKUP(Mvt_Inter_entrepot[[#This Row],[Num OF]],#REF!,#REF!,"Non Trouvé")</f>
        <v>#REF!</v>
      </c>
      <c r="O219" s="11" t="e">
        <f>_xlfn.XLOOKUP(Mvt_Inter_entrepot[[#This Row],[Num OF]],#REF!,#REF!,"Non Trouvé")</f>
        <v>#REF!</v>
      </c>
      <c r="P219" s="11" t="e">
        <f>_xlfn.XLOOKUP(Mvt_Inter_entrepot[[#This Row],[Num OF]],#REF!,#REF!,"Non Trouvé")</f>
        <v>#REF!</v>
      </c>
      <c r="Q219" s="11" t="str">
        <f>IF(
   COUNTIFS($A$2:A219,A219,
             $B$2:B219,B219,
             $C$2:C219,C219,
             $D$2:D219,D219,
             $E$2:E219,E219,
             $H$2:H219,H219
             )&gt;1,
   "Doublon",
   "Correcte"
)</f>
        <v>Correcte</v>
      </c>
    </row>
    <row r="220" spans="1:17" x14ac:dyDescent="0.25">
      <c r="A220" s="11" t="s">
        <v>3049</v>
      </c>
      <c r="B220" s="11" t="s">
        <v>1153</v>
      </c>
      <c r="C220" s="11" t="s">
        <v>662</v>
      </c>
      <c r="D220" s="11" t="s">
        <v>1154</v>
      </c>
      <c r="E220" s="11">
        <v>14</v>
      </c>
      <c r="F220" s="11"/>
      <c r="G220" s="11" t="s">
        <v>664</v>
      </c>
      <c r="H220" s="14">
        <v>45915</v>
      </c>
      <c r="I220" s="12">
        <f>-Mvt_Inter_entrepot[[#This Row],[QTE]]</f>
        <v>-14</v>
      </c>
      <c r="J220" s="11" t="s">
        <v>181</v>
      </c>
      <c r="K220" s="11" t="str">
        <f>_xlfn.TEXTBEFORE(Mvt_Inter_entrepot[[#This Row],[Num Suivis]],"-",,,1)</f>
        <v>OF244188</v>
      </c>
      <c r="L220" s="11" t="e">
        <f>_xlfn.XLOOKUP(Mvt_Inter_entrepot[[#This Row],[Num OF]],#REF!,#REF!,"Non Trouvé")</f>
        <v>#REF!</v>
      </c>
      <c r="M220" s="11" t="e">
        <f>_xlfn.XLOOKUP(Mvt_Inter_entrepot[[#This Row],[Num OF]],#REF!,#REF!,"Non Trouvé")</f>
        <v>#REF!</v>
      </c>
      <c r="N220" s="11" t="e">
        <f>_xlfn.XLOOKUP(Mvt_Inter_entrepot[[#This Row],[Num OF]],#REF!,#REF!,"Non Trouvé")</f>
        <v>#REF!</v>
      </c>
      <c r="O220" s="11" t="e">
        <f>_xlfn.XLOOKUP(Mvt_Inter_entrepot[[#This Row],[Num OF]],#REF!,#REF!,"Non Trouvé")</f>
        <v>#REF!</v>
      </c>
      <c r="P220" s="11" t="e">
        <f>_xlfn.XLOOKUP(Mvt_Inter_entrepot[[#This Row],[Num OF]],#REF!,#REF!,"Non Trouvé")</f>
        <v>#REF!</v>
      </c>
      <c r="Q220" s="11" t="str">
        <f>IF(
   COUNTIFS($A$2:A220,A220,
             $B$2:B220,B220,
             $C$2:C220,C220,
             $D$2:D220,D220,
             $E$2:E220,E220,
             $H$2:H220,H220
             )&gt;1,
   "Doublon",
   "Correcte"
)</f>
        <v>Correcte</v>
      </c>
    </row>
    <row r="221" spans="1:17" x14ac:dyDescent="0.25">
      <c r="A221" s="11" t="s">
        <v>3050</v>
      </c>
      <c r="B221" s="11" t="s">
        <v>1153</v>
      </c>
      <c r="C221" s="11" t="s">
        <v>662</v>
      </c>
      <c r="D221" s="11" t="s">
        <v>1154</v>
      </c>
      <c r="E221" s="11">
        <v>15</v>
      </c>
      <c r="F221" s="11"/>
      <c r="G221" s="11" t="s">
        <v>664</v>
      </c>
      <c r="H221" s="14">
        <v>45915</v>
      </c>
      <c r="I221" s="12">
        <f>-Mvt_Inter_entrepot[[#This Row],[QTE]]</f>
        <v>-15</v>
      </c>
      <c r="J221" s="11" t="s">
        <v>182</v>
      </c>
      <c r="K221" s="11" t="str">
        <f>_xlfn.TEXTBEFORE(Mvt_Inter_entrepot[[#This Row],[Num Suivis]],"-",,,1)</f>
        <v>OF244189</v>
      </c>
      <c r="L221" s="11" t="e">
        <f>_xlfn.XLOOKUP(Mvt_Inter_entrepot[[#This Row],[Num OF]],#REF!,#REF!,"Non Trouvé")</f>
        <v>#REF!</v>
      </c>
      <c r="M221" s="11" t="e">
        <f>_xlfn.XLOOKUP(Mvt_Inter_entrepot[[#This Row],[Num OF]],#REF!,#REF!,"Non Trouvé")</f>
        <v>#REF!</v>
      </c>
      <c r="N221" s="11" t="e">
        <f>_xlfn.XLOOKUP(Mvt_Inter_entrepot[[#This Row],[Num OF]],#REF!,#REF!,"Non Trouvé")</f>
        <v>#REF!</v>
      </c>
      <c r="O221" s="11" t="e">
        <f>_xlfn.XLOOKUP(Mvt_Inter_entrepot[[#This Row],[Num OF]],#REF!,#REF!,"Non Trouvé")</f>
        <v>#REF!</v>
      </c>
      <c r="P221" s="11" t="e">
        <f>_xlfn.XLOOKUP(Mvt_Inter_entrepot[[#This Row],[Num OF]],#REF!,#REF!,"Non Trouvé")</f>
        <v>#REF!</v>
      </c>
      <c r="Q221" s="11" t="str">
        <f>IF(
   COUNTIFS($A$2:A221,A221,
             $B$2:B221,B221,
             $C$2:C221,C221,
             $D$2:D221,D221,
             $E$2:E221,E221,
             $H$2:H221,H221
             )&gt;1,
   "Doublon",
   "Correcte"
)</f>
        <v>Correcte</v>
      </c>
    </row>
    <row r="222" spans="1:17" x14ac:dyDescent="0.25">
      <c r="A222" s="11" t="s">
        <v>3051</v>
      </c>
      <c r="B222" s="11" t="s">
        <v>1153</v>
      </c>
      <c r="C222" s="11" t="s">
        <v>662</v>
      </c>
      <c r="D222" s="11" t="s">
        <v>1154</v>
      </c>
      <c r="E222" s="11">
        <v>15</v>
      </c>
      <c r="F222" s="11"/>
      <c r="G222" s="11" t="s">
        <v>664</v>
      </c>
      <c r="H222" s="14">
        <v>45915</v>
      </c>
      <c r="I222" s="12">
        <f>-Mvt_Inter_entrepot[[#This Row],[QTE]]</f>
        <v>-15</v>
      </c>
      <c r="J222" s="11" t="s">
        <v>183</v>
      </c>
      <c r="K222" s="11" t="str">
        <f>_xlfn.TEXTBEFORE(Mvt_Inter_entrepot[[#This Row],[Num Suivis]],"-",,,1)</f>
        <v>OF244190</v>
      </c>
      <c r="L222" s="11" t="e">
        <f>_xlfn.XLOOKUP(Mvt_Inter_entrepot[[#This Row],[Num OF]],#REF!,#REF!,"Non Trouvé")</f>
        <v>#REF!</v>
      </c>
      <c r="M222" s="11" t="e">
        <f>_xlfn.XLOOKUP(Mvt_Inter_entrepot[[#This Row],[Num OF]],#REF!,#REF!,"Non Trouvé")</f>
        <v>#REF!</v>
      </c>
      <c r="N222" s="11" t="e">
        <f>_xlfn.XLOOKUP(Mvt_Inter_entrepot[[#This Row],[Num OF]],#REF!,#REF!,"Non Trouvé")</f>
        <v>#REF!</v>
      </c>
      <c r="O222" s="11" t="e">
        <f>_xlfn.XLOOKUP(Mvt_Inter_entrepot[[#This Row],[Num OF]],#REF!,#REF!,"Non Trouvé")</f>
        <v>#REF!</v>
      </c>
      <c r="P222" s="11" t="e">
        <f>_xlfn.XLOOKUP(Mvt_Inter_entrepot[[#This Row],[Num OF]],#REF!,#REF!,"Non Trouvé")</f>
        <v>#REF!</v>
      </c>
      <c r="Q222" s="11" t="str">
        <f>IF(
   COUNTIFS($A$2:A222,A222,
             $B$2:B222,B222,
             $C$2:C222,C222,
             $D$2:D222,D222,
             $E$2:E222,E222,
             $H$2:H222,H222
             )&gt;1,
   "Doublon",
   "Correcte"
)</f>
        <v>Correcte</v>
      </c>
    </row>
    <row r="223" spans="1:17" x14ac:dyDescent="0.25">
      <c r="A223" s="11" t="s">
        <v>3052</v>
      </c>
      <c r="B223" s="11" t="s">
        <v>1153</v>
      </c>
      <c r="C223" s="11" t="s">
        <v>662</v>
      </c>
      <c r="D223" s="11" t="s">
        <v>1154</v>
      </c>
      <c r="E223" s="11">
        <v>15</v>
      </c>
      <c r="F223" s="11"/>
      <c r="G223" s="11" t="s">
        <v>664</v>
      </c>
      <c r="H223" s="14">
        <v>45915</v>
      </c>
      <c r="I223" s="12">
        <f>-Mvt_Inter_entrepot[[#This Row],[QTE]]</f>
        <v>-15</v>
      </c>
      <c r="J223" s="11" t="s">
        <v>184</v>
      </c>
      <c r="K223" s="11" t="str">
        <f>_xlfn.TEXTBEFORE(Mvt_Inter_entrepot[[#This Row],[Num Suivis]],"-",,,1)</f>
        <v>OF244191</v>
      </c>
      <c r="L223" s="11" t="e">
        <f>_xlfn.XLOOKUP(Mvt_Inter_entrepot[[#This Row],[Num OF]],#REF!,#REF!,"Non Trouvé")</f>
        <v>#REF!</v>
      </c>
      <c r="M223" s="11" t="e">
        <f>_xlfn.XLOOKUP(Mvt_Inter_entrepot[[#This Row],[Num OF]],#REF!,#REF!,"Non Trouvé")</f>
        <v>#REF!</v>
      </c>
      <c r="N223" s="11" t="e">
        <f>_xlfn.XLOOKUP(Mvt_Inter_entrepot[[#This Row],[Num OF]],#REF!,#REF!,"Non Trouvé")</f>
        <v>#REF!</v>
      </c>
      <c r="O223" s="11" t="e">
        <f>_xlfn.XLOOKUP(Mvt_Inter_entrepot[[#This Row],[Num OF]],#REF!,#REF!,"Non Trouvé")</f>
        <v>#REF!</v>
      </c>
      <c r="P223" s="11" t="e">
        <f>_xlfn.XLOOKUP(Mvt_Inter_entrepot[[#This Row],[Num OF]],#REF!,#REF!,"Non Trouvé")</f>
        <v>#REF!</v>
      </c>
      <c r="Q223" s="11" t="str">
        <f>IF(
   COUNTIFS($A$2:A223,A223,
             $B$2:B223,B223,
             $C$2:C223,C223,
             $D$2:D223,D223,
             $E$2:E223,E223,
             $H$2:H223,H223
             )&gt;1,
   "Doublon",
   "Correcte"
)</f>
        <v>Correcte</v>
      </c>
    </row>
    <row r="224" spans="1:17" x14ac:dyDescent="0.25">
      <c r="A224" s="11" t="s">
        <v>3053</v>
      </c>
      <c r="B224" s="11" t="s">
        <v>1153</v>
      </c>
      <c r="C224" s="11" t="s">
        <v>662</v>
      </c>
      <c r="D224" s="11" t="s">
        <v>1154</v>
      </c>
      <c r="E224" s="11">
        <v>15</v>
      </c>
      <c r="F224" s="11"/>
      <c r="G224" s="11" t="s">
        <v>664</v>
      </c>
      <c r="H224" s="14">
        <v>45915</v>
      </c>
      <c r="I224" s="12">
        <f>-Mvt_Inter_entrepot[[#This Row],[QTE]]</f>
        <v>-15</v>
      </c>
      <c r="J224" s="11" t="s">
        <v>185</v>
      </c>
      <c r="K224" s="11" t="str">
        <f>_xlfn.TEXTBEFORE(Mvt_Inter_entrepot[[#This Row],[Num Suivis]],"-",,,1)</f>
        <v>OF244192</v>
      </c>
      <c r="L224" s="11" t="e">
        <f>_xlfn.XLOOKUP(Mvt_Inter_entrepot[[#This Row],[Num OF]],#REF!,#REF!,"Non Trouvé")</f>
        <v>#REF!</v>
      </c>
      <c r="M224" s="11" t="e">
        <f>_xlfn.XLOOKUP(Mvt_Inter_entrepot[[#This Row],[Num OF]],#REF!,#REF!,"Non Trouvé")</f>
        <v>#REF!</v>
      </c>
      <c r="N224" s="11" t="e">
        <f>_xlfn.XLOOKUP(Mvt_Inter_entrepot[[#This Row],[Num OF]],#REF!,#REF!,"Non Trouvé")</f>
        <v>#REF!</v>
      </c>
      <c r="O224" s="11" t="e">
        <f>_xlfn.XLOOKUP(Mvt_Inter_entrepot[[#This Row],[Num OF]],#REF!,#REF!,"Non Trouvé")</f>
        <v>#REF!</v>
      </c>
      <c r="P224" s="11" t="e">
        <f>_xlfn.XLOOKUP(Mvt_Inter_entrepot[[#This Row],[Num OF]],#REF!,#REF!,"Non Trouvé")</f>
        <v>#REF!</v>
      </c>
      <c r="Q224" s="11" t="str">
        <f>IF(
   COUNTIFS($A$2:A224,A224,
             $B$2:B224,B224,
             $C$2:C224,C224,
             $D$2:D224,D224,
             $E$2:E224,E224,
             $H$2:H224,H224
             )&gt;1,
   "Doublon",
   "Correcte"
)</f>
        <v>Correcte</v>
      </c>
    </row>
    <row r="225" spans="1:17" x14ac:dyDescent="0.25">
      <c r="A225" s="11" t="s">
        <v>3053</v>
      </c>
      <c r="B225" s="11" t="s">
        <v>1153</v>
      </c>
      <c r="C225" s="11" t="s">
        <v>662</v>
      </c>
      <c r="D225" s="11" t="s">
        <v>1154</v>
      </c>
      <c r="E225" s="11">
        <v>1</v>
      </c>
      <c r="F225" s="11"/>
      <c r="G225" s="11" t="s">
        <v>664</v>
      </c>
      <c r="H225" s="14">
        <v>45915</v>
      </c>
      <c r="I225" s="12">
        <f>-Mvt_Inter_entrepot[[#This Row],[QTE]]</f>
        <v>-1</v>
      </c>
      <c r="J225" s="11" t="s">
        <v>185</v>
      </c>
      <c r="K225" s="11" t="str">
        <f>_xlfn.TEXTBEFORE(Mvt_Inter_entrepot[[#This Row],[Num Suivis]],"-",,,1)</f>
        <v>OF244192</v>
      </c>
      <c r="L225" s="11" t="e">
        <f>_xlfn.XLOOKUP(Mvt_Inter_entrepot[[#This Row],[Num OF]],#REF!,#REF!,"Non Trouvé")</f>
        <v>#REF!</v>
      </c>
      <c r="M225" s="11" t="e">
        <f>_xlfn.XLOOKUP(Mvt_Inter_entrepot[[#This Row],[Num OF]],#REF!,#REF!,"Non Trouvé")</f>
        <v>#REF!</v>
      </c>
      <c r="N225" s="11" t="e">
        <f>_xlfn.XLOOKUP(Mvt_Inter_entrepot[[#This Row],[Num OF]],#REF!,#REF!,"Non Trouvé")</f>
        <v>#REF!</v>
      </c>
      <c r="O225" s="11" t="e">
        <f>_xlfn.XLOOKUP(Mvt_Inter_entrepot[[#This Row],[Num OF]],#REF!,#REF!,"Non Trouvé")</f>
        <v>#REF!</v>
      </c>
      <c r="P225" s="11" t="e">
        <f>_xlfn.XLOOKUP(Mvt_Inter_entrepot[[#This Row],[Num OF]],#REF!,#REF!,"Non Trouvé")</f>
        <v>#REF!</v>
      </c>
      <c r="Q225" s="11" t="str">
        <f>IF(
   COUNTIFS($A$2:A225,A225,
             $B$2:B225,B225,
             $C$2:C225,C225,
             $D$2:D225,D225,
             $E$2:E225,E225,
             $H$2:H225,H225
             )&gt;1,
   "Doublon",
   "Correcte"
)</f>
        <v>Correcte</v>
      </c>
    </row>
    <row r="226" spans="1:17" x14ac:dyDescent="0.25">
      <c r="A226" s="11" t="s">
        <v>3054</v>
      </c>
      <c r="B226" s="11" t="s">
        <v>1153</v>
      </c>
      <c r="C226" s="11" t="s">
        <v>662</v>
      </c>
      <c r="D226" s="11" t="s">
        <v>1154</v>
      </c>
      <c r="E226" s="11">
        <v>6</v>
      </c>
      <c r="F226" s="11"/>
      <c r="G226" s="11" t="s">
        <v>664</v>
      </c>
      <c r="H226" s="14">
        <v>45915</v>
      </c>
      <c r="I226" s="12">
        <f>-Mvt_Inter_entrepot[[#This Row],[QTE]]</f>
        <v>-6</v>
      </c>
      <c r="J226" s="11" t="s">
        <v>439</v>
      </c>
      <c r="K226" s="11" t="str">
        <f>_xlfn.TEXTBEFORE(Mvt_Inter_entrepot[[#This Row],[Num Suivis]],"-",,,1)</f>
        <v>OF244260</v>
      </c>
      <c r="L226" s="11" t="e">
        <f>_xlfn.XLOOKUP(Mvt_Inter_entrepot[[#This Row],[Num OF]],#REF!,#REF!,"Non Trouvé")</f>
        <v>#REF!</v>
      </c>
      <c r="M226" s="11" t="e">
        <f>_xlfn.XLOOKUP(Mvt_Inter_entrepot[[#This Row],[Num OF]],#REF!,#REF!,"Non Trouvé")</f>
        <v>#REF!</v>
      </c>
      <c r="N226" s="11" t="e">
        <f>_xlfn.XLOOKUP(Mvt_Inter_entrepot[[#This Row],[Num OF]],#REF!,#REF!,"Non Trouvé")</f>
        <v>#REF!</v>
      </c>
      <c r="O226" s="11" t="e">
        <f>_xlfn.XLOOKUP(Mvt_Inter_entrepot[[#This Row],[Num OF]],#REF!,#REF!,"Non Trouvé")</f>
        <v>#REF!</v>
      </c>
      <c r="P226" s="11" t="e">
        <f>_xlfn.XLOOKUP(Mvt_Inter_entrepot[[#This Row],[Num OF]],#REF!,#REF!,"Non Trouvé")</f>
        <v>#REF!</v>
      </c>
      <c r="Q226" s="11" t="str">
        <f>IF(
   COUNTIFS($A$2:A226,A226,
             $B$2:B226,B226,
             $C$2:C226,C226,
             $D$2:D226,D226,
             $E$2:E226,E226,
             $H$2:H226,H226
             )&gt;1,
   "Doublon",
   "Correcte"
)</f>
        <v>Correcte</v>
      </c>
    </row>
    <row r="227" spans="1:17" x14ac:dyDescent="0.25">
      <c r="A227" s="11" t="s">
        <v>3055</v>
      </c>
      <c r="B227" s="11" t="s">
        <v>1153</v>
      </c>
      <c r="C227" s="11" t="s">
        <v>662</v>
      </c>
      <c r="D227" s="11" t="s">
        <v>1154</v>
      </c>
      <c r="E227" s="11">
        <v>0</v>
      </c>
      <c r="F227" s="11"/>
      <c r="G227" s="11" t="s">
        <v>664</v>
      </c>
      <c r="H227" s="14">
        <v>45915</v>
      </c>
      <c r="I227" s="12">
        <f>-Mvt_Inter_entrepot[[#This Row],[QTE]]</f>
        <v>0</v>
      </c>
      <c r="J227" s="11" t="s">
        <v>441</v>
      </c>
      <c r="K227" s="11" t="str">
        <f>_xlfn.TEXTBEFORE(Mvt_Inter_entrepot[[#This Row],[Num Suivis]],"-",,,1)</f>
        <v>OF244347</v>
      </c>
      <c r="L227" s="11" t="e">
        <f>_xlfn.XLOOKUP(Mvt_Inter_entrepot[[#This Row],[Num OF]],#REF!,#REF!,"Non Trouvé")</f>
        <v>#REF!</v>
      </c>
      <c r="M227" s="11" t="e">
        <f>_xlfn.XLOOKUP(Mvt_Inter_entrepot[[#This Row],[Num OF]],#REF!,#REF!,"Non Trouvé")</f>
        <v>#REF!</v>
      </c>
      <c r="N227" s="11" t="e">
        <f>_xlfn.XLOOKUP(Mvt_Inter_entrepot[[#This Row],[Num OF]],#REF!,#REF!,"Non Trouvé")</f>
        <v>#REF!</v>
      </c>
      <c r="O227" s="11" t="e">
        <f>_xlfn.XLOOKUP(Mvt_Inter_entrepot[[#This Row],[Num OF]],#REF!,#REF!,"Non Trouvé")</f>
        <v>#REF!</v>
      </c>
      <c r="P227" s="11" t="e">
        <f>_xlfn.XLOOKUP(Mvt_Inter_entrepot[[#This Row],[Num OF]],#REF!,#REF!,"Non Trouvé")</f>
        <v>#REF!</v>
      </c>
      <c r="Q227" s="11" t="str">
        <f>IF(
   COUNTIFS($A$2:A227,A227,
             $B$2:B227,B227,
             $C$2:C227,C227,
             $D$2:D227,D227,
             $E$2:E227,E227,
             $H$2:H227,H227
             )&gt;1,
   "Doublon",
   "Correcte"
)</f>
        <v>Correcte</v>
      </c>
    </row>
    <row r="228" spans="1:17" x14ac:dyDescent="0.25">
      <c r="A228" s="11" t="s">
        <v>3056</v>
      </c>
      <c r="B228" s="11" t="s">
        <v>1153</v>
      </c>
      <c r="C228" s="11" t="s">
        <v>662</v>
      </c>
      <c r="D228" s="11" t="s">
        <v>1154</v>
      </c>
      <c r="E228" s="11">
        <v>30</v>
      </c>
      <c r="F228" s="11"/>
      <c r="G228" s="11" t="s">
        <v>664</v>
      </c>
      <c r="H228" s="14">
        <v>45915</v>
      </c>
      <c r="I228" s="12">
        <f>-Mvt_Inter_entrepot[[#This Row],[QTE]]</f>
        <v>-30</v>
      </c>
      <c r="J228" s="11" t="s">
        <v>186</v>
      </c>
      <c r="K228" s="11" t="str">
        <f>_xlfn.TEXTBEFORE(Mvt_Inter_entrepot[[#This Row],[Num Suivis]],"-",,,1)</f>
        <v>OF244629</v>
      </c>
      <c r="L228" s="11" t="e">
        <f>_xlfn.XLOOKUP(Mvt_Inter_entrepot[[#This Row],[Num OF]],#REF!,#REF!,"Non Trouvé")</f>
        <v>#REF!</v>
      </c>
      <c r="M228" s="11" t="e">
        <f>_xlfn.XLOOKUP(Mvt_Inter_entrepot[[#This Row],[Num OF]],#REF!,#REF!,"Non Trouvé")</f>
        <v>#REF!</v>
      </c>
      <c r="N228" s="11" t="e">
        <f>_xlfn.XLOOKUP(Mvt_Inter_entrepot[[#This Row],[Num OF]],#REF!,#REF!,"Non Trouvé")</f>
        <v>#REF!</v>
      </c>
      <c r="O228" s="11" t="e">
        <f>_xlfn.XLOOKUP(Mvt_Inter_entrepot[[#This Row],[Num OF]],#REF!,#REF!,"Non Trouvé")</f>
        <v>#REF!</v>
      </c>
      <c r="P228" s="11" t="e">
        <f>_xlfn.XLOOKUP(Mvt_Inter_entrepot[[#This Row],[Num OF]],#REF!,#REF!,"Non Trouvé")</f>
        <v>#REF!</v>
      </c>
      <c r="Q228" s="11" t="str">
        <f>IF(
   COUNTIFS($A$2:A228,A228,
             $B$2:B228,B228,
             $C$2:C228,C228,
             $D$2:D228,D228,
             $E$2:E228,E228,
             $H$2:H228,H228
             )&gt;1,
   "Doublon",
   "Correcte"
)</f>
        <v>Correcte</v>
      </c>
    </row>
    <row r="229" spans="1:17" x14ac:dyDescent="0.25">
      <c r="A229" s="11" t="s">
        <v>3057</v>
      </c>
      <c r="B229" s="11" t="s">
        <v>1153</v>
      </c>
      <c r="C229" s="11" t="s">
        <v>662</v>
      </c>
      <c r="D229" s="11" t="s">
        <v>1154</v>
      </c>
      <c r="E229" s="11">
        <v>19</v>
      </c>
      <c r="F229" s="11"/>
      <c r="G229" s="11" t="s">
        <v>664</v>
      </c>
      <c r="H229" s="14">
        <v>45915</v>
      </c>
      <c r="I229" s="12">
        <f>-Mvt_Inter_entrepot[[#This Row],[QTE]]</f>
        <v>-19</v>
      </c>
      <c r="J229" s="11" t="s">
        <v>187</v>
      </c>
      <c r="K229" s="11" t="str">
        <f>_xlfn.TEXTBEFORE(Mvt_Inter_entrepot[[#This Row],[Num Suivis]],"-",,,1)</f>
        <v>OF244630</v>
      </c>
      <c r="L229" s="11" t="e">
        <f>_xlfn.XLOOKUP(Mvt_Inter_entrepot[[#This Row],[Num OF]],#REF!,#REF!,"Non Trouvé")</f>
        <v>#REF!</v>
      </c>
      <c r="M229" s="11" t="e">
        <f>_xlfn.XLOOKUP(Mvt_Inter_entrepot[[#This Row],[Num OF]],#REF!,#REF!,"Non Trouvé")</f>
        <v>#REF!</v>
      </c>
      <c r="N229" s="11" t="e">
        <f>_xlfn.XLOOKUP(Mvt_Inter_entrepot[[#This Row],[Num OF]],#REF!,#REF!,"Non Trouvé")</f>
        <v>#REF!</v>
      </c>
      <c r="O229" s="11" t="e">
        <f>_xlfn.XLOOKUP(Mvt_Inter_entrepot[[#This Row],[Num OF]],#REF!,#REF!,"Non Trouvé")</f>
        <v>#REF!</v>
      </c>
      <c r="P229" s="11" t="e">
        <f>_xlfn.XLOOKUP(Mvt_Inter_entrepot[[#This Row],[Num OF]],#REF!,#REF!,"Non Trouvé")</f>
        <v>#REF!</v>
      </c>
      <c r="Q229" s="11" t="str">
        <f>IF(
   COUNTIFS($A$2:A229,A229,
             $B$2:B229,B229,
             $C$2:C229,C229,
             $D$2:D229,D229,
             $E$2:E229,E229,
             $H$2:H229,H229
             )&gt;1,
   "Doublon",
   "Correcte"
)</f>
        <v>Correcte</v>
      </c>
    </row>
    <row r="230" spans="1:17" x14ac:dyDescent="0.25">
      <c r="A230" s="11" t="s">
        <v>3058</v>
      </c>
      <c r="B230" s="11" t="s">
        <v>1153</v>
      </c>
      <c r="C230" s="11" t="s">
        <v>662</v>
      </c>
      <c r="D230" s="11" t="s">
        <v>1154</v>
      </c>
      <c r="E230" s="11">
        <v>11</v>
      </c>
      <c r="F230" s="11"/>
      <c r="G230" s="11" t="s">
        <v>664</v>
      </c>
      <c r="H230" s="14">
        <v>45915</v>
      </c>
      <c r="I230" s="12">
        <f>-Mvt_Inter_entrepot[[#This Row],[QTE]]</f>
        <v>-11</v>
      </c>
      <c r="J230" s="11" t="s">
        <v>188</v>
      </c>
      <c r="K230" s="11" t="str">
        <f>_xlfn.TEXTBEFORE(Mvt_Inter_entrepot[[#This Row],[Num Suivis]],"-",,,1)</f>
        <v>OF244631</v>
      </c>
      <c r="L230" s="11" t="e">
        <f>_xlfn.XLOOKUP(Mvt_Inter_entrepot[[#This Row],[Num OF]],#REF!,#REF!,"Non Trouvé")</f>
        <v>#REF!</v>
      </c>
      <c r="M230" s="11" t="e">
        <f>_xlfn.XLOOKUP(Mvt_Inter_entrepot[[#This Row],[Num OF]],#REF!,#REF!,"Non Trouvé")</f>
        <v>#REF!</v>
      </c>
      <c r="N230" s="11" t="e">
        <f>_xlfn.XLOOKUP(Mvt_Inter_entrepot[[#This Row],[Num OF]],#REF!,#REF!,"Non Trouvé")</f>
        <v>#REF!</v>
      </c>
      <c r="O230" s="11" t="e">
        <f>_xlfn.XLOOKUP(Mvt_Inter_entrepot[[#This Row],[Num OF]],#REF!,#REF!,"Non Trouvé")</f>
        <v>#REF!</v>
      </c>
      <c r="P230" s="11" t="e">
        <f>_xlfn.XLOOKUP(Mvt_Inter_entrepot[[#This Row],[Num OF]],#REF!,#REF!,"Non Trouvé")</f>
        <v>#REF!</v>
      </c>
      <c r="Q230" s="11" t="str">
        <f>IF(
   COUNTIFS($A$2:A230,A230,
             $B$2:B230,B230,
             $C$2:C230,C230,
             $D$2:D230,D230,
             $E$2:E230,E230,
             $H$2:H230,H230
             )&gt;1,
   "Doublon",
   "Correcte"
)</f>
        <v>Correcte</v>
      </c>
    </row>
    <row r="231" spans="1:17" x14ac:dyDescent="0.25">
      <c r="A231" s="11" t="s">
        <v>3059</v>
      </c>
      <c r="B231" s="11" t="s">
        <v>1153</v>
      </c>
      <c r="C231" s="11" t="s">
        <v>662</v>
      </c>
      <c r="D231" s="11" t="s">
        <v>1154</v>
      </c>
      <c r="E231" s="11">
        <v>28</v>
      </c>
      <c r="F231" s="11"/>
      <c r="G231" s="11" t="s">
        <v>664</v>
      </c>
      <c r="H231" s="14">
        <v>45915</v>
      </c>
      <c r="I231" s="12">
        <f>-Mvt_Inter_entrepot[[#This Row],[QTE]]</f>
        <v>-28</v>
      </c>
      <c r="J231" s="11" t="s">
        <v>189</v>
      </c>
      <c r="K231" s="11" t="str">
        <f>_xlfn.TEXTBEFORE(Mvt_Inter_entrepot[[#This Row],[Num Suivis]],"-",,,1)</f>
        <v>OF244632</v>
      </c>
      <c r="L231" s="11" t="e">
        <f>_xlfn.XLOOKUP(Mvt_Inter_entrepot[[#This Row],[Num OF]],#REF!,#REF!,"Non Trouvé")</f>
        <v>#REF!</v>
      </c>
      <c r="M231" s="11" t="e">
        <f>_xlfn.XLOOKUP(Mvt_Inter_entrepot[[#This Row],[Num OF]],#REF!,#REF!,"Non Trouvé")</f>
        <v>#REF!</v>
      </c>
      <c r="N231" s="11" t="e">
        <f>_xlfn.XLOOKUP(Mvt_Inter_entrepot[[#This Row],[Num OF]],#REF!,#REF!,"Non Trouvé")</f>
        <v>#REF!</v>
      </c>
      <c r="O231" s="11" t="e">
        <f>_xlfn.XLOOKUP(Mvt_Inter_entrepot[[#This Row],[Num OF]],#REF!,#REF!,"Non Trouvé")</f>
        <v>#REF!</v>
      </c>
      <c r="P231" s="11" t="e">
        <f>_xlfn.XLOOKUP(Mvt_Inter_entrepot[[#This Row],[Num OF]],#REF!,#REF!,"Non Trouvé")</f>
        <v>#REF!</v>
      </c>
      <c r="Q231" s="11" t="str">
        <f>IF(
   COUNTIFS($A$2:A231,A231,
             $B$2:B231,B231,
             $C$2:C231,C231,
             $D$2:D231,D231,
             $E$2:E231,E231,
             $H$2:H231,H231
             )&gt;1,
   "Doublon",
   "Correcte"
)</f>
        <v>Correcte</v>
      </c>
    </row>
    <row r="232" spans="1:17" x14ac:dyDescent="0.25">
      <c r="A232" s="11" t="s">
        <v>3059</v>
      </c>
      <c r="B232" s="11" t="s">
        <v>1153</v>
      </c>
      <c r="C232" s="11" t="s">
        <v>662</v>
      </c>
      <c r="D232" s="11" t="s">
        <v>1154</v>
      </c>
      <c r="E232" s="11">
        <v>3</v>
      </c>
      <c r="F232" s="11"/>
      <c r="G232" s="11" t="s">
        <v>664</v>
      </c>
      <c r="H232" s="14">
        <v>45915</v>
      </c>
      <c r="I232" s="12">
        <f>-Mvt_Inter_entrepot[[#This Row],[QTE]]</f>
        <v>-3</v>
      </c>
      <c r="J232" s="11" t="s">
        <v>189</v>
      </c>
      <c r="K232" s="11" t="str">
        <f>_xlfn.TEXTBEFORE(Mvt_Inter_entrepot[[#This Row],[Num Suivis]],"-",,,1)</f>
        <v>OF244632</v>
      </c>
      <c r="L232" s="11" t="e">
        <f>_xlfn.XLOOKUP(Mvt_Inter_entrepot[[#This Row],[Num OF]],#REF!,#REF!,"Non Trouvé")</f>
        <v>#REF!</v>
      </c>
      <c r="M232" s="11" t="e">
        <f>_xlfn.XLOOKUP(Mvt_Inter_entrepot[[#This Row],[Num OF]],#REF!,#REF!,"Non Trouvé")</f>
        <v>#REF!</v>
      </c>
      <c r="N232" s="11" t="e">
        <f>_xlfn.XLOOKUP(Mvt_Inter_entrepot[[#This Row],[Num OF]],#REF!,#REF!,"Non Trouvé")</f>
        <v>#REF!</v>
      </c>
      <c r="O232" s="11" t="e">
        <f>_xlfn.XLOOKUP(Mvt_Inter_entrepot[[#This Row],[Num OF]],#REF!,#REF!,"Non Trouvé")</f>
        <v>#REF!</v>
      </c>
      <c r="P232" s="11" t="e">
        <f>_xlfn.XLOOKUP(Mvt_Inter_entrepot[[#This Row],[Num OF]],#REF!,#REF!,"Non Trouvé")</f>
        <v>#REF!</v>
      </c>
      <c r="Q232" s="11" t="str">
        <f>IF(
   COUNTIFS($A$2:A232,A232,
             $B$2:B232,B232,
             $C$2:C232,C232,
             $D$2:D232,D232,
             $E$2:E232,E232,
             $H$2:H232,H232
             )&gt;1,
   "Doublon",
   "Correcte"
)</f>
        <v>Correcte</v>
      </c>
    </row>
    <row r="233" spans="1:17" x14ac:dyDescent="0.25">
      <c r="A233" s="11" t="s">
        <v>3060</v>
      </c>
      <c r="B233" s="11" t="s">
        <v>1153</v>
      </c>
      <c r="C233" s="11" t="s">
        <v>662</v>
      </c>
      <c r="D233" s="11" t="s">
        <v>1154</v>
      </c>
      <c r="E233" s="11">
        <v>31</v>
      </c>
      <c r="F233" s="11"/>
      <c r="G233" s="11" t="s">
        <v>664</v>
      </c>
      <c r="H233" s="14">
        <v>45915</v>
      </c>
      <c r="I233" s="12">
        <f>-Mvt_Inter_entrepot[[#This Row],[QTE]]</f>
        <v>-31</v>
      </c>
      <c r="J233" s="11" t="s">
        <v>190</v>
      </c>
      <c r="K233" s="11" t="str">
        <f>_xlfn.TEXTBEFORE(Mvt_Inter_entrepot[[#This Row],[Num Suivis]],"-",,,1)</f>
        <v>OF244633</v>
      </c>
      <c r="L233" s="11" t="e">
        <f>_xlfn.XLOOKUP(Mvt_Inter_entrepot[[#This Row],[Num OF]],#REF!,#REF!,"Non Trouvé")</f>
        <v>#REF!</v>
      </c>
      <c r="M233" s="11" t="e">
        <f>_xlfn.XLOOKUP(Mvt_Inter_entrepot[[#This Row],[Num OF]],#REF!,#REF!,"Non Trouvé")</f>
        <v>#REF!</v>
      </c>
      <c r="N233" s="11" t="e">
        <f>_xlfn.XLOOKUP(Mvt_Inter_entrepot[[#This Row],[Num OF]],#REF!,#REF!,"Non Trouvé")</f>
        <v>#REF!</v>
      </c>
      <c r="O233" s="11" t="e">
        <f>_xlfn.XLOOKUP(Mvt_Inter_entrepot[[#This Row],[Num OF]],#REF!,#REF!,"Non Trouvé")</f>
        <v>#REF!</v>
      </c>
      <c r="P233" s="11" t="e">
        <f>_xlfn.XLOOKUP(Mvt_Inter_entrepot[[#This Row],[Num OF]],#REF!,#REF!,"Non Trouvé")</f>
        <v>#REF!</v>
      </c>
      <c r="Q233" s="11" t="str">
        <f>IF(
   COUNTIFS($A$2:A233,A233,
             $B$2:B233,B233,
             $C$2:C233,C233,
             $D$2:D233,D233,
             $E$2:E233,E233,
             $H$2:H233,H233
             )&gt;1,
   "Doublon",
   "Correcte"
)</f>
        <v>Correcte</v>
      </c>
    </row>
    <row r="234" spans="1:17" x14ac:dyDescent="0.25">
      <c r="A234" s="11" t="s">
        <v>3061</v>
      </c>
      <c r="B234" s="11" t="s">
        <v>1153</v>
      </c>
      <c r="C234" s="11" t="s">
        <v>662</v>
      </c>
      <c r="D234" s="11" t="s">
        <v>1154</v>
      </c>
      <c r="E234" s="11">
        <v>10</v>
      </c>
      <c r="F234" s="11"/>
      <c r="G234" s="11" t="s">
        <v>664</v>
      </c>
      <c r="H234" s="14">
        <v>45915</v>
      </c>
      <c r="I234" s="12">
        <f>-Mvt_Inter_entrepot[[#This Row],[QTE]]</f>
        <v>-10</v>
      </c>
      <c r="J234" s="11" t="s">
        <v>191</v>
      </c>
      <c r="K234" s="11" t="str">
        <f>_xlfn.TEXTBEFORE(Mvt_Inter_entrepot[[#This Row],[Num Suivis]],"-",,,1)</f>
        <v>OF244634</v>
      </c>
      <c r="L234" s="11" t="e">
        <f>_xlfn.XLOOKUP(Mvt_Inter_entrepot[[#This Row],[Num OF]],#REF!,#REF!,"Non Trouvé")</f>
        <v>#REF!</v>
      </c>
      <c r="M234" s="11" t="e">
        <f>_xlfn.XLOOKUP(Mvt_Inter_entrepot[[#This Row],[Num OF]],#REF!,#REF!,"Non Trouvé")</f>
        <v>#REF!</v>
      </c>
      <c r="N234" s="11" t="e">
        <f>_xlfn.XLOOKUP(Mvt_Inter_entrepot[[#This Row],[Num OF]],#REF!,#REF!,"Non Trouvé")</f>
        <v>#REF!</v>
      </c>
      <c r="O234" s="11" t="e">
        <f>_xlfn.XLOOKUP(Mvt_Inter_entrepot[[#This Row],[Num OF]],#REF!,#REF!,"Non Trouvé")</f>
        <v>#REF!</v>
      </c>
      <c r="P234" s="11" t="e">
        <f>_xlfn.XLOOKUP(Mvt_Inter_entrepot[[#This Row],[Num OF]],#REF!,#REF!,"Non Trouvé")</f>
        <v>#REF!</v>
      </c>
      <c r="Q234" s="11" t="str">
        <f>IF(
   COUNTIFS($A$2:A234,A234,
             $B$2:B234,B234,
             $C$2:C234,C234,
             $D$2:D234,D234,
             $E$2:E234,E234,
             $H$2:H234,H234
             )&gt;1,
   "Doublon",
   "Correcte"
)</f>
        <v>Correcte</v>
      </c>
    </row>
    <row r="235" spans="1:17" x14ac:dyDescent="0.25">
      <c r="A235" s="11" t="s">
        <v>3062</v>
      </c>
      <c r="B235" s="11" t="s">
        <v>1153</v>
      </c>
      <c r="C235" s="11" t="s">
        <v>662</v>
      </c>
      <c r="D235" s="11" t="s">
        <v>1154</v>
      </c>
      <c r="E235" s="11">
        <v>30</v>
      </c>
      <c r="F235" s="11"/>
      <c r="G235" s="11" t="s">
        <v>664</v>
      </c>
      <c r="H235" s="14">
        <v>45915</v>
      </c>
      <c r="I235" s="12">
        <f>-Mvt_Inter_entrepot[[#This Row],[QTE]]</f>
        <v>-30</v>
      </c>
      <c r="J235" s="11" t="s">
        <v>192</v>
      </c>
      <c r="K235" s="11" t="str">
        <f>_xlfn.TEXTBEFORE(Mvt_Inter_entrepot[[#This Row],[Num Suivis]],"-",,,1)</f>
        <v>OF244635</v>
      </c>
      <c r="L235" s="11" t="e">
        <f>_xlfn.XLOOKUP(Mvt_Inter_entrepot[[#This Row],[Num OF]],#REF!,#REF!,"Non Trouvé")</f>
        <v>#REF!</v>
      </c>
      <c r="M235" s="11" t="e">
        <f>_xlfn.XLOOKUP(Mvt_Inter_entrepot[[#This Row],[Num OF]],#REF!,#REF!,"Non Trouvé")</f>
        <v>#REF!</v>
      </c>
      <c r="N235" s="11" t="e">
        <f>_xlfn.XLOOKUP(Mvt_Inter_entrepot[[#This Row],[Num OF]],#REF!,#REF!,"Non Trouvé")</f>
        <v>#REF!</v>
      </c>
      <c r="O235" s="11" t="e">
        <f>_xlfn.XLOOKUP(Mvt_Inter_entrepot[[#This Row],[Num OF]],#REF!,#REF!,"Non Trouvé")</f>
        <v>#REF!</v>
      </c>
      <c r="P235" s="11" t="e">
        <f>_xlfn.XLOOKUP(Mvt_Inter_entrepot[[#This Row],[Num OF]],#REF!,#REF!,"Non Trouvé")</f>
        <v>#REF!</v>
      </c>
      <c r="Q235" s="11" t="str">
        <f>IF(
   COUNTIFS($A$2:A235,A235,
             $B$2:B235,B235,
             $C$2:C235,C235,
             $D$2:D235,D235,
             $E$2:E235,E235,
             $H$2:H235,H235
             )&gt;1,
   "Doublon",
   "Correcte"
)</f>
        <v>Correcte</v>
      </c>
    </row>
    <row r="236" spans="1:17" x14ac:dyDescent="0.25">
      <c r="A236" s="11" t="s">
        <v>3063</v>
      </c>
      <c r="B236" s="11" t="s">
        <v>1153</v>
      </c>
      <c r="C236" s="11" t="s">
        <v>662</v>
      </c>
      <c r="D236" s="11" t="s">
        <v>1154</v>
      </c>
      <c r="E236" s="11">
        <v>30</v>
      </c>
      <c r="F236" s="11"/>
      <c r="G236" s="11" t="s">
        <v>664</v>
      </c>
      <c r="H236" s="14">
        <v>45915</v>
      </c>
      <c r="I236" s="12">
        <f>-Mvt_Inter_entrepot[[#This Row],[QTE]]</f>
        <v>-30</v>
      </c>
      <c r="J236" s="11" t="s">
        <v>193</v>
      </c>
      <c r="K236" s="11" t="str">
        <f>_xlfn.TEXTBEFORE(Mvt_Inter_entrepot[[#This Row],[Num Suivis]],"-",,,1)</f>
        <v>OF244636</v>
      </c>
      <c r="L236" s="11" t="e">
        <f>_xlfn.XLOOKUP(Mvt_Inter_entrepot[[#This Row],[Num OF]],#REF!,#REF!,"Non Trouvé")</f>
        <v>#REF!</v>
      </c>
      <c r="M236" s="11" t="e">
        <f>_xlfn.XLOOKUP(Mvt_Inter_entrepot[[#This Row],[Num OF]],#REF!,#REF!,"Non Trouvé")</f>
        <v>#REF!</v>
      </c>
      <c r="N236" s="11" t="e">
        <f>_xlfn.XLOOKUP(Mvt_Inter_entrepot[[#This Row],[Num OF]],#REF!,#REF!,"Non Trouvé")</f>
        <v>#REF!</v>
      </c>
      <c r="O236" s="11" t="e">
        <f>_xlfn.XLOOKUP(Mvt_Inter_entrepot[[#This Row],[Num OF]],#REF!,#REF!,"Non Trouvé")</f>
        <v>#REF!</v>
      </c>
      <c r="P236" s="11" t="e">
        <f>_xlfn.XLOOKUP(Mvt_Inter_entrepot[[#This Row],[Num OF]],#REF!,#REF!,"Non Trouvé")</f>
        <v>#REF!</v>
      </c>
      <c r="Q236" s="11" t="str">
        <f>IF(
   COUNTIFS($A$2:A236,A236,
             $B$2:B236,B236,
             $C$2:C236,C236,
             $D$2:D236,D236,
             $E$2:E236,E236,
             $H$2:H236,H236
             )&gt;1,
   "Doublon",
   "Correcte"
)</f>
        <v>Correcte</v>
      </c>
    </row>
    <row r="237" spans="1:17" x14ac:dyDescent="0.25">
      <c r="A237" s="11" t="s">
        <v>3064</v>
      </c>
      <c r="B237" s="11" t="s">
        <v>1153</v>
      </c>
      <c r="C237" s="11" t="s">
        <v>662</v>
      </c>
      <c r="D237" s="11" t="s">
        <v>1154</v>
      </c>
      <c r="E237" s="11">
        <v>1</v>
      </c>
      <c r="F237" s="11"/>
      <c r="G237" s="11" t="s">
        <v>664</v>
      </c>
      <c r="H237" s="14">
        <v>45915</v>
      </c>
      <c r="I237" s="12">
        <f>-Mvt_Inter_entrepot[[#This Row],[QTE]]</f>
        <v>-1</v>
      </c>
      <c r="J237" s="11" t="s">
        <v>443</v>
      </c>
      <c r="K237" s="11" t="str">
        <f>_xlfn.TEXTBEFORE(Mvt_Inter_entrepot[[#This Row],[Num Suivis]],"-",,,1)</f>
        <v>OF244675</v>
      </c>
      <c r="L237" s="11" t="e">
        <f>_xlfn.XLOOKUP(Mvt_Inter_entrepot[[#This Row],[Num OF]],#REF!,#REF!,"Non Trouvé")</f>
        <v>#REF!</v>
      </c>
      <c r="M237" s="11" t="e">
        <f>_xlfn.XLOOKUP(Mvt_Inter_entrepot[[#This Row],[Num OF]],#REF!,#REF!,"Non Trouvé")</f>
        <v>#REF!</v>
      </c>
      <c r="N237" s="11" t="e">
        <f>_xlfn.XLOOKUP(Mvt_Inter_entrepot[[#This Row],[Num OF]],#REF!,#REF!,"Non Trouvé")</f>
        <v>#REF!</v>
      </c>
      <c r="O237" s="11" t="e">
        <f>_xlfn.XLOOKUP(Mvt_Inter_entrepot[[#This Row],[Num OF]],#REF!,#REF!,"Non Trouvé")</f>
        <v>#REF!</v>
      </c>
      <c r="P237" s="11" t="e">
        <f>_xlfn.XLOOKUP(Mvt_Inter_entrepot[[#This Row],[Num OF]],#REF!,#REF!,"Non Trouvé")</f>
        <v>#REF!</v>
      </c>
      <c r="Q237" s="11" t="str">
        <f>IF(
   COUNTIFS($A$2:A237,A237,
             $B$2:B237,B237,
             $C$2:C237,C237,
             $D$2:D237,D237,
             $E$2:E237,E237,
             $H$2:H237,H237
             )&gt;1,
   "Doublon",
   "Correcte"
)</f>
        <v>Correcte</v>
      </c>
    </row>
    <row r="238" spans="1:17" x14ac:dyDescent="0.25">
      <c r="A238" s="11" t="s">
        <v>3065</v>
      </c>
      <c r="B238" s="11" t="s">
        <v>1153</v>
      </c>
      <c r="C238" s="11" t="s">
        <v>662</v>
      </c>
      <c r="D238" s="11" t="s">
        <v>1154</v>
      </c>
      <c r="E238" s="11">
        <v>31</v>
      </c>
      <c r="F238" s="11"/>
      <c r="G238" s="11" t="s">
        <v>664</v>
      </c>
      <c r="H238" s="14">
        <v>45915</v>
      </c>
      <c r="I238" s="12">
        <f>-Mvt_Inter_entrepot[[#This Row],[QTE]]</f>
        <v>-31</v>
      </c>
      <c r="J238" s="11" t="s">
        <v>194</v>
      </c>
      <c r="K238" s="11" t="str">
        <f>_xlfn.TEXTBEFORE(Mvt_Inter_entrepot[[#This Row],[Num Suivis]],"-",,,1)</f>
        <v>OF244784</v>
      </c>
      <c r="L238" s="11" t="e">
        <f>_xlfn.XLOOKUP(Mvt_Inter_entrepot[[#This Row],[Num OF]],#REF!,#REF!,"Non Trouvé")</f>
        <v>#REF!</v>
      </c>
      <c r="M238" s="11" t="e">
        <f>_xlfn.XLOOKUP(Mvt_Inter_entrepot[[#This Row],[Num OF]],#REF!,#REF!,"Non Trouvé")</f>
        <v>#REF!</v>
      </c>
      <c r="N238" s="11" t="e">
        <f>_xlfn.XLOOKUP(Mvt_Inter_entrepot[[#This Row],[Num OF]],#REF!,#REF!,"Non Trouvé")</f>
        <v>#REF!</v>
      </c>
      <c r="O238" s="11" t="e">
        <f>_xlfn.XLOOKUP(Mvt_Inter_entrepot[[#This Row],[Num OF]],#REF!,#REF!,"Non Trouvé")</f>
        <v>#REF!</v>
      </c>
      <c r="P238" s="11" t="e">
        <f>_xlfn.XLOOKUP(Mvt_Inter_entrepot[[#This Row],[Num OF]],#REF!,#REF!,"Non Trouvé")</f>
        <v>#REF!</v>
      </c>
      <c r="Q238" s="11" t="str">
        <f>IF(
   COUNTIFS($A$2:A238,A238,
             $B$2:B238,B238,
             $C$2:C238,C238,
             $D$2:D238,D238,
             $E$2:E238,E238,
             $H$2:H238,H238
             )&gt;1,
   "Doublon",
   "Correcte"
)</f>
        <v>Correcte</v>
      </c>
    </row>
    <row r="239" spans="1:17" x14ac:dyDescent="0.25">
      <c r="A239" s="11" t="s">
        <v>3066</v>
      </c>
      <c r="B239" s="11" t="s">
        <v>1153</v>
      </c>
      <c r="C239" s="11" t="s">
        <v>662</v>
      </c>
      <c r="D239" s="11" t="s">
        <v>1154</v>
      </c>
      <c r="E239" s="11">
        <v>29</v>
      </c>
      <c r="F239" s="11"/>
      <c r="G239" s="11" t="s">
        <v>664</v>
      </c>
      <c r="H239" s="14">
        <v>45915</v>
      </c>
      <c r="I239" s="12">
        <f>-Mvt_Inter_entrepot[[#This Row],[QTE]]</f>
        <v>-29</v>
      </c>
      <c r="J239" s="11" t="s">
        <v>195</v>
      </c>
      <c r="K239" s="11" t="str">
        <f>_xlfn.TEXTBEFORE(Mvt_Inter_entrepot[[#This Row],[Num Suivis]],"-",,,1)</f>
        <v>OF244785</v>
      </c>
      <c r="L239" s="11" t="e">
        <f>_xlfn.XLOOKUP(Mvt_Inter_entrepot[[#This Row],[Num OF]],#REF!,#REF!,"Non Trouvé")</f>
        <v>#REF!</v>
      </c>
      <c r="M239" s="11" t="e">
        <f>_xlfn.XLOOKUP(Mvt_Inter_entrepot[[#This Row],[Num OF]],#REF!,#REF!,"Non Trouvé")</f>
        <v>#REF!</v>
      </c>
      <c r="N239" s="11" t="e">
        <f>_xlfn.XLOOKUP(Mvt_Inter_entrepot[[#This Row],[Num OF]],#REF!,#REF!,"Non Trouvé")</f>
        <v>#REF!</v>
      </c>
      <c r="O239" s="11" t="e">
        <f>_xlfn.XLOOKUP(Mvt_Inter_entrepot[[#This Row],[Num OF]],#REF!,#REF!,"Non Trouvé")</f>
        <v>#REF!</v>
      </c>
      <c r="P239" s="11" t="e">
        <f>_xlfn.XLOOKUP(Mvt_Inter_entrepot[[#This Row],[Num OF]],#REF!,#REF!,"Non Trouvé")</f>
        <v>#REF!</v>
      </c>
      <c r="Q239" s="11" t="str">
        <f>IF(
   COUNTIFS($A$2:A239,A239,
             $B$2:B239,B239,
             $C$2:C239,C239,
             $D$2:D239,D239,
             $E$2:E239,E239,
             $H$2:H239,H239
             )&gt;1,
   "Doublon",
   "Correcte"
)</f>
        <v>Correcte</v>
      </c>
    </row>
    <row r="240" spans="1:17" x14ac:dyDescent="0.25">
      <c r="A240" s="11" t="s">
        <v>3067</v>
      </c>
      <c r="B240" s="11" t="s">
        <v>1153</v>
      </c>
      <c r="C240" s="11" t="s">
        <v>662</v>
      </c>
      <c r="D240" s="11" t="s">
        <v>1154</v>
      </c>
      <c r="E240" s="11">
        <v>22</v>
      </c>
      <c r="F240" s="11"/>
      <c r="G240" s="11" t="s">
        <v>664</v>
      </c>
      <c r="H240" s="14">
        <v>45915</v>
      </c>
      <c r="I240" s="12">
        <f>-Mvt_Inter_entrepot[[#This Row],[QTE]]</f>
        <v>-22</v>
      </c>
      <c r="J240" s="11" t="s">
        <v>196</v>
      </c>
      <c r="K240" s="11" t="str">
        <f>_xlfn.TEXTBEFORE(Mvt_Inter_entrepot[[#This Row],[Num Suivis]],"-",,,1)</f>
        <v>OF244786</v>
      </c>
      <c r="L240" s="11" t="e">
        <f>_xlfn.XLOOKUP(Mvt_Inter_entrepot[[#This Row],[Num OF]],#REF!,#REF!,"Non Trouvé")</f>
        <v>#REF!</v>
      </c>
      <c r="M240" s="11" t="e">
        <f>_xlfn.XLOOKUP(Mvt_Inter_entrepot[[#This Row],[Num OF]],#REF!,#REF!,"Non Trouvé")</f>
        <v>#REF!</v>
      </c>
      <c r="N240" s="11" t="e">
        <f>_xlfn.XLOOKUP(Mvt_Inter_entrepot[[#This Row],[Num OF]],#REF!,#REF!,"Non Trouvé")</f>
        <v>#REF!</v>
      </c>
      <c r="O240" s="11" t="e">
        <f>_xlfn.XLOOKUP(Mvt_Inter_entrepot[[#This Row],[Num OF]],#REF!,#REF!,"Non Trouvé")</f>
        <v>#REF!</v>
      </c>
      <c r="P240" s="11" t="e">
        <f>_xlfn.XLOOKUP(Mvt_Inter_entrepot[[#This Row],[Num OF]],#REF!,#REF!,"Non Trouvé")</f>
        <v>#REF!</v>
      </c>
      <c r="Q240" s="11" t="str">
        <f>IF(
   COUNTIFS($A$2:A240,A240,
             $B$2:B240,B240,
             $C$2:C240,C240,
             $D$2:D240,D240,
             $E$2:E240,E240,
             $H$2:H240,H240
             )&gt;1,
   "Doublon",
   "Correcte"
)</f>
        <v>Correcte</v>
      </c>
    </row>
    <row r="241" spans="1:17" x14ac:dyDescent="0.25">
      <c r="A241" s="11" t="s">
        <v>3068</v>
      </c>
      <c r="B241" s="11" t="s">
        <v>1153</v>
      </c>
      <c r="C241" s="11" t="s">
        <v>662</v>
      </c>
      <c r="D241" s="11" t="s">
        <v>1154</v>
      </c>
      <c r="E241" s="11">
        <v>30</v>
      </c>
      <c r="F241" s="11"/>
      <c r="G241" s="11" t="s">
        <v>664</v>
      </c>
      <c r="H241" s="14">
        <v>45915</v>
      </c>
      <c r="I241" s="12">
        <f>-Mvt_Inter_entrepot[[#This Row],[QTE]]</f>
        <v>-30</v>
      </c>
      <c r="J241" s="11" t="s">
        <v>197</v>
      </c>
      <c r="K241" s="11" t="str">
        <f>_xlfn.TEXTBEFORE(Mvt_Inter_entrepot[[#This Row],[Num Suivis]],"-",,,1)</f>
        <v>OF244787</v>
      </c>
      <c r="L241" s="11" t="e">
        <f>_xlfn.XLOOKUP(Mvt_Inter_entrepot[[#This Row],[Num OF]],#REF!,#REF!,"Non Trouvé")</f>
        <v>#REF!</v>
      </c>
      <c r="M241" s="11" t="e">
        <f>_xlfn.XLOOKUP(Mvt_Inter_entrepot[[#This Row],[Num OF]],#REF!,#REF!,"Non Trouvé")</f>
        <v>#REF!</v>
      </c>
      <c r="N241" s="11" t="e">
        <f>_xlfn.XLOOKUP(Mvt_Inter_entrepot[[#This Row],[Num OF]],#REF!,#REF!,"Non Trouvé")</f>
        <v>#REF!</v>
      </c>
      <c r="O241" s="11" t="e">
        <f>_xlfn.XLOOKUP(Mvt_Inter_entrepot[[#This Row],[Num OF]],#REF!,#REF!,"Non Trouvé")</f>
        <v>#REF!</v>
      </c>
      <c r="P241" s="11" t="e">
        <f>_xlfn.XLOOKUP(Mvt_Inter_entrepot[[#This Row],[Num OF]],#REF!,#REF!,"Non Trouvé")</f>
        <v>#REF!</v>
      </c>
      <c r="Q241" s="11" t="str">
        <f>IF(
   COUNTIFS($A$2:A241,A241,
             $B$2:B241,B241,
             $C$2:C241,C241,
             $D$2:D241,D241,
             $E$2:E241,E241,
             $H$2:H241,H241
             )&gt;1,
   "Doublon",
   "Correcte"
)</f>
        <v>Correcte</v>
      </c>
    </row>
    <row r="242" spans="1:17" x14ac:dyDescent="0.25">
      <c r="A242" s="11" t="s">
        <v>3069</v>
      </c>
      <c r="B242" s="11" t="s">
        <v>1153</v>
      </c>
      <c r="C242" s="11" t="s">
        <v>662</v>
      </c>
      <c r="D242" s="11" t="s">
        <v>1154</v>
      </c>
      <c r="E242" s="11">
        <v>30</v>
      </c>
      <c r="F242" s="11"/>
      <c r="G242" s="11" t="s">
        <v>664</v>
      </c>
      <c r="H242" s="14">
        <v>45915</v>
      </c>
      <c r="I242" s="12">
        <f>-Mvt_Inter_entrepot[[#This Row],[QTE]]</f>
        <v>-30</v>
      </c>
      <c r="J242" s="11" t="s">
        <v>198</v>
      </c>
      <c r="K242" s="11" t="str">
        <f>_xlfn.TEXTBEFORE(Mvt_Inter_entrepot[[#This Row],[Num Suivis]],"-",,,1)</f>
        <v>OF244788</v>
      </c>
      <c r="L242" s="11" t="e">
        <f>_xlfn.XLOOKUP(Mvt_Inter_entrepot[[#This Row],[Num OF]],#REF!,#REF!,"Non Trouvé")</f>
        <v>#REF!</v>
      </c>
      <c r="M242" s="11" t="e">
        <f>_xlfn.XLOOKUP(Mvt_Inter_entrepot[[#This Row],[Num OF]],#REF!,#REF!,"Non Trouvé")</f>
        <v>#REF!</v>
      </c>
      <c r="N242" s="11" t="e">
        <f>_xlfn.XLOOKUP(Mvt_Inter_entrepot[[#This Row],[Num OF]],#REF!,#REF!,"Non Trouvé")</f>
        <v>#REF!</v>
      </c>
      <c r="O242" s="11" t="e">
        <f>_xlfn.XLOOKUP(Mvt_Inter_entrepot[[#This Row],[Num OF]],#REF!,#REF!,"Non Trouvé")</f>
        <v>#REF!</v>
      </c>
      <c r="P242" s="11" t="e">
        <f>_xlfn.XLOOKUP(Mvt_Inter_entrepot[[#This Row],[Num OF]],#REF!,#REF!,"Non Trouvé")</f>
        <v>#REF!</v>
      </c>
      <c r="Q242" s="11" t="str">
        <f>IF(
   COUNTIFS($A$2:A242,A242,
             $B$2:B242,B242,
             $C$2:C242,C242,
             $D$2:D242,D242,
             $E$2:E242,E242,
             $H$2:H242,H242
             )&gt;1,
   "Doublon",
   "Correcte"
)</f>
        <v>Correcte</v>
      </c>
    </row>
    <row r="243" spans="1:17" x14ac:dyDescent="0.25">
      <c r="A243" s="11" t="s">
        <v>3070</v>
      </c>
      <c r="B243" s="11" t="s">
        <v>1153</v>
      </c>
      <c r="C243" s="11" t="s">
        <v>662</v>
      </c>
      <c r="D243" s="11" t="s">
        <v>1154</v>
      </c>
      <c r="E243" s="11">
        <v>30</v>
      </c>
      <c r="F243" s="11"/>
      <c r="G243" s="11" t="s">
        <v>664</v>
      </c>
      <c r="H243" s="14">
        <v>45915</v>
      </c>
      <c r="I243" s="12">
        <f>-Mvt_Inter_entrepot[[#This Row],[QTE]]</f>
        <v>-30</v>
      </c>
      <c r="J243" s="11" t="s">
        <v>199</v>
      </c>
      <c r="K243" s="11" t="str">
        <f>_xlfn.TEXTBEFORE(Mvt_Inter_entrepot[[#This Row],[Num Suivis]],"-",,,1)</f>
        <v>OF244789</v>
      </c>
      <c r="L243" s="11" t="e">
        <f>_xlfn.XLOOKUP(Mvt_Inter_entrepot[[#This Row],[Num OF]],#REF!,#REF!,"Non Trouvé")</f>
        <v>#REF!</v>
      </c>
      <c r="M243" s="11" t="e">
        <f>_xlfn.XLOOKUP(Mvt_Inter_entrepot[[#This Row],[Num OF]],#REF!,#REF!,"Non Trouvé")</f>
        <v>#REF!</v>
      </c>
      <c r="N243" s="11" t="e">
        <f>_xlfn.XLOOKUP(Mvt_Inter_entrepot[[#This Row],[Num OF]],#REF!,#REF!,"Non Trouvé")</f>
        <v>#REF!</v>
      </c>
      <c r="O243" s="11" t="e">
        <f>_xlfn.XLOOKUP(Mvt_Inter_entrepot[[#This Row],[Num OF]],#REF!,#REF!,"Non Trouvé")</f>
        <v>#REF!</v>
      </c>
      <c r="P243" s="11" t="e">
        <f>_xlfn.XLOOKUP(Mvt_Inter_entrepot[[#This Row],[Num OF]],#REF!,#REF!,"Non Trouvé")</f>
        <v>#REF!</v>
      </c>
      <c r="Q243" s="11" t="str">
        <f>IF(
   COUNTIFS($A$2:A243,A243,
             $B$2:B243,B243,
             $C$2:C243,C243,
             $D$2:D243,D243,
             $E$2:E243,E243,
             $H$2:H243,H243
             )&gt;1,
   "Doublon",
   "Correcte"
)</f>
        <v>Correcte</v>
      </c>
    </row>
    <row r="244" spans="1:17" x14ac:dyDescent="0.25">
      <c r="A244" s="11" t="s">
        <v>3071</v>
      </c>
      <c r="B244" s="11" t="s">
        <v>1153</v>
      </c>
      <c r="C244" s="11" t="s">
        <v>662</v>
      </c>
      <c r="D244" s="11" t="s">
        <v>1154</v>
      </c>
      <c r="E244" s="11">
        <v>26</v>
      </c>
      <c r="F244" s="11"/>
      <c r="G244" s="11" t="s">
        <v>664</v>
      </c>
      <c r="H244" s="14">
        <v>45915</v>
      </c>
      <c r="I244" s="12">
        <f>-Mvt_Inter_entrepot[[#This Row],[QTE]]</f>
        <v>-26</v>
      </c>
      <c r="J244" s="11" t="s">
        <v>200</v>
      </c>
      <c r="K244" s="11" t="str">
        <f>_xlfn.TEXTBEFORE(Mvt_Inter_entrepot[[#This Row],[Num Suivis]],"-",,,1)</f>
        <v>OF244790</v>
      </c>
      <c r="L244" s="11" t="e">
        <f>_xlfn.XLOOKUP(Mvt_Inter_entrepot[[#This Row],[Num OF]],#REF!,#REF!,"Non Trouvé")</f>
        <v>#REF!</v>
      </c>
      <c r="M244" s="11" t="e">
        <f>_xlfn.XLOOKUP(Mvt_Inter_entrepot[[#This Row],[Num OF]],#REF!,#REF!,"Non Trouvé")</f>
        <v>#REF!</v>
      </c>
      <c r="N244" s="11" t="e">
        <f>_xlfn.XLOOKUP(Mvt_Inter_entrepot[[#This Row],[Num OF]],#REF!,#REF!,"Non Trouvé")</f>
        <v>#REF!</v>
      </c>
      <c r="O244" s="11" t="e">
        <f>_xlfn.XLOOKUP(Mvt_Inter_entrepot[[#This Row],[Num OF]],#REF!,#REF!,"Non Trouvé")</f>
        <v>#REF!</v>
      </c>
      <c r="P244" s="11" t="e">
        <f>_xlfn.XLOOKUP(Mvt_Inter_entrepot[[#This Row],[Num OF]],#REF!,#REF!,"Non Trouvé")</f>
        <v>#REF!</v>
      </c>
      <c r="Q244" s="11" t="str">
        <f>IF(
   COUNTIFS($A$2:A244,A244,
             $B$2:B244,B244,
             $C$2:C244,C244,
             $D$2:D244,D244,
             $E$2:E244,E244,
             $H$2:H244,H244
             )&gt;1,
   "Doublon",
   "Correcte"
)</f>
        <v>Correcte</v>
      </c>
    </row>
    <row r="245" spans="1:17" x14ac:dyDescent="0.25">
      <c r="A245" s="11" t="s">
        <v>3072</v>
      </c>
      <c r="B245" s="11" t="s">
        <v>1153</v>
      </c>
      <c r="C245" s="11" t="s">
        <v>662</v>
      </c>
      <c r="D245" s="11" t="s">
        <v>1154</v>
      </c>
      <c r="E245" s="11">
        <v>31</v>
      </c>
      <c r="F245" s="11"/>
      <c r="G245" s="11" t="s">
        <v>664</v>
      </c>
      <c r="H245" s="14">
        <v>45915</v>
      </c>
      <c r="I245" s="12">
        <f>-Mvt_Inter_entrepot[[#This Row],[QTE]]</f>
        <v>-31</v>
      </c>
      <c r="J245" s="11" t="s">
        <v>201</v>
      </c>
      <c r="K245" s="11" t="str">
        <f>_xlfn.TEXTBEFORE(Mvt_Inter_entrepot[[#This Row],[Num Suivis]],"-",,,1)</f>
        <v>OF244791</v>
      </c>
      <c r="L245" s="11" t="e">
        <f>_xlfn.XLOOKUP(Mvt_Inter_entrepot[[#This Row],[Num OF]],#REF!,#REF!,"Non Trouvé")</f>
        <v>#REF!</v>
      </c>
      <c r="M245" s="11" t="e">
        <f>_xlfn.XLOOKUP(Mvt_Inter_entrepot[[#This Row],[Num OF]],#REF!,#REF!,"Non Trouvé")</f>
        <v>#REF!</v>
      </c>
      <c r="N245" s="11" t="e">
        <f>_xlfn.XLOOKUP(Mvt_Inter_entrepot[[#This Row],[Num OF]],#REF!,#REF!,"Non Trouvé")</f>
        <v>#REF!</v>
      </c>
      <c r="O245" s="11" t="e">
        <f>_xlfn.XLOOKUP(Mvt_Inter_entrepot[[#This Row],[Num OF]],#REF!,#REF!,"Non Trouvé")</f>
        <v>#REF!</v>
      </c>
      <c r="P245" s="11" t="e">
        <f>_xlfn.XLOOKUP(Mvt_Inter_entrepot[[#This Row],[Num OF]],#REF!,#REF!,"Non Trouvé")</f>
        <v>#REF!</v>
      </c>
      <c r="Q245" s="11" t="str">
        <f>IF(
   COUNTIFS($A$2:A245,A245,
             $B$2:B245,B245,
             $C$2:C245,C245,
             $D$2:D245,D245,
             $E$2:E245,E245,
             $H$2:H245,H245
             )&gt;1,
   "Doublon",
   "Correcte"
)</f>
        <v>Correcte</v>
      </c>
    </row>
    <row r="246" spans="1:17" x14ac:dyDescent="0.25">
      <c r="A246" s="11" t="s">
        <v>3073</v>
      </c>
      <c r="B246" s="11" t="s">
        <v>1153</v>
      </c>
      <c r="C246" s="11" t="s">
        <v>662</v>
      </c>
      <c r="D246" s="11" t="s">
        <v>665</v>
      </c>
      <c r="E246" s="11">
        <v>70</v>
      </c>
      <c r="F246" s="11"/>
      <c r="G246" s="11" t="s">
        <v>664</v>
      </c>
      <c r="H246" s="14">
        <v>45915</v>
      </c>
      <c r="I246" s="12">
        <f>-Mvt_Inter_entrepot[[#This Row],[QTE]]</f>
        <v>-70</v>
      </c>
      <c r="J246" s="11" t="s">
        <v>202</v>
      </c>
      <c r="K246" s="11" t="str">
        <f>_xlfn.TEXTBEFORE(Mvt_Inter_entrepot[[#This Row],[Num Suivis]],"-",,,1)</f>
        <v>OF244792</v>
      </c>
      <c r="L246" s="11" t="e">
        <f>_xlfn.XLOOKUP(Mvt_Inter_entrepot[[#This Row],[Num OF]],#REF!,#REF!,"Non Trouvé")</f>
        <v>#REF!</v>
      </c>
      <c r="M246" s="11" t="e">
        <f>_xlfn.XLOOKUP(Mvt_Inter_entrepot[[#This Row],[Num OF]],#REF!,#REF!,"Non Trouvé")</f>
        <v>#REF!</v>
      </c>
      <c r="N246" s="11" t="e">
        <f>_xlfn.XLOOKUP(Mvt_Inter_entrepot[[#This Row],[Num OF]],#REF!,#REF!,"Non Trouvé")</f>
        <v>#REF!</v>
      </c>
      <c r="O246" s="11" t="e">
        <f>_xlfn.XLOOKUP(Mvt_Inter_entrepot[[#This Row],[Num OF]],#REF!,#REF!,"Non Trouvé")</f>
        <v>#REF!</v>
      </c>
      <c r="P246" s="11" t="e">
        <f>_xlfn.XLOOKUP(Mvt_Inter_entrepot[[#This Row],[Num OF]],#REF!,#REF!,"Non Trouvé")</f>
        <v>#REF!</v>
      </c>
      <c r="Q246" s="11" t="str">
        <f>IF(
   COUNTIFS($A$2:A246,A246,
             $B$2:B246,B246,
             $C$2:C246,C246,
             $D$2:D246,D246,
             $E$2:E246,E246,
             $H$2:H246,H246
             )&gt;1,
   "Doublon",
   "Correcte"
)</f>
        <v>Correcte</v>
      </c>
    </row>
    <row r="247" spans="1:17" x14ac:dyDescent="0.25">
      <c r="A247" s="11" t="s">
        <v>3074</v>
      </c>
      <c r="B247" s="11" t="s">
        <v>1153</v>
      </c>
      <c r="C247" s="11" t="s">
        <v>662</v>
      </c>
      <c r="D247" s="11" t="s">
        <v>665</v>
      </c>
      <c r="E247" s="11">
        <v>95</v>
      </c>
      <c r="F247" s="11"/>
      <c r="G247" s="11" t="s">
        <v>664</v>
      </c>
      <c r="H247" s="14">
        <v>45915</v>
      </c>
      <c r="I247" s="12">
        <f>-Mvt_Inter_entrepot[[#This Row],[QTE]]</f>
        <v>-95</v>
      </c>
      <c r="J247" s="11" t="s">
        <v>203</v>
      </c>
      <c r="K247" s="11" t="str">
        <f>_xlfn.TEXTBEFORE(Mvt_Inter_entrepot[[#This Row],[Num Suivis]],"-",,,1)</f>
        <v>OF244793</v>
      </c>
      <c r="L247" s="11" t="e">
        <f>_xlfn.XLOOKUP(Mvt_Inter_entrepot[[#This Row],[Num OF]],#REF!,#REF!,"Non Trouvé")</f>
        <v>#REF!</v>
      </c>
      <c r="M247" s="11" t="e">
        <f>_xlfn.XLOOKUP(Mvt_Inter_entrepot[[#This Row],[Num OF]],#REF!,#REF!,"Non Trouvé")</f>
        <v>#REF!</v>
      </c>
      <c r="N247" s="11" t="e">
        <f>_xlfn.XLOOKUP(Mvt_Inter_entrepot[[#This Row],[Num OF]],#REF!,#REF!,"Non Trouvé")</f>
        <v>#REF!</v>
      </c>
      <c r="O247" s="11" t="e">
        <f>_xlfn.XLOOKUP(Mvt_Inter_entrepot[[#This Row],[Num OF]],#REF!,#REF!,"Non Trouvé")</f>
        <v>#REF!</v>
      </c>
      <c r="P247" s="11" t="e">
        <f>_xlfn.XLOOKUP(Mvt_Inter_entrepot[[#This Row],[Num OF]],#REF!,#REF!,"Non Trouvé")</f>
        <v>#REF!</v>
      </c>
      <c r="Q247" s="11" t="str">
        <f>IF(
   COUNTIFS($A$2:A247,A247,
             $B$2:B247,B247,
             $C$2:C247,C247,
             $D$2:D247,D247,
             $E$2:E247,E247,
             $H$2:H247,H247
             )&gt;1,
   "Doublon",
   "Correcte"
)</f>
        <v>Correcte</v>
      </c>
    </row>
    <row r="248" spans="1:17" x14ac:dyDescent="0.25">
      <c r="A248" s="11" t="s">
        <v>3075</v>
      </c>
      <c r="B248" s="11" t="s">
        <v>1153</v>
      </c>
      <c r="C248" s="11" t="s">
        <v>662</v>
      </c>
      <c r="D248" s="11" t="s">
        <v>665</v>
      </c>
      <c r="E248" s="11">
        <v>71</v>
      </c>
      <c r="F248" s="11"/>
      <c r="G248" s="11" t="s">
        <v>664</v>
      </c>
      <c r="H248" s="14">
        <v>45915</v>
      </c>
      <c r="I248" s="12">
        <f>-Mvt_Inter_entrepot[[#This Row],[QTE]]</f>
        <v>-71</v>
      </c>
      <c r="J248" s="11" t="s">
        <v>204</v>
      </c>
      <c r="K248" s="11" t="str">
        <f>_xlfn.TEXTBEFORE(Mvt_Inter_entrepot[[#This Row],[Num Suivis]],"-",,,1)</f>
        <v>OF244794</v>
      </c>
      <c r="L248" s="11" t="e">
        <f>_xlfn.XLOOKUP(Mvt_Inter_entrepot[[#This Row],[Num OF]],#REF!,#REF!,"Non Trouvé")</f>
        <v>#REF!</v>
      </c>
      <c r="M248" s="11" t="e">
        <f>_xlfn.XLOOKUP(Mvt_Inter_entrepot[[#This Row],[Num OF]],#REF!,#REF!,"Non Trouvé")</f>
        <v>#REF!</v>
      </c>
      <c r="N248" s="11" t="e">
        <f>_xlfn.XLOOKUP(Mvt_Inter_entrepot[[#This Row],[Num OF]],#REF!,#REF!,"Non Trouvé")</f>
        <v>#REF!</v>
      </c>
      <c r="O248" s="11" t="e">
        <f>_xlfn.XLOOKUP(Mvt_Inter_entrepot[[#This Row],[Num OF]],#REF!,#REF!,"Non Trouvé")</f>
        <v>#REF!</v>
      </c>
      <c r="P248" s="11" t="e">
        <f>_xlfn.XLOOKUP(Mvt_Inter_entrepot[[#This Row],[Num OF]],#REF!,#REF!,"Non Trouvé")</f>
        <v>#REF!</v>
      </c>
      <c r="Q248" s="11" t="str">
        <f>IF(
   COUNTIFS($A$2:A248,A248,
             $B$2:B248,B248,
             $C$2:C248,C248,
             $D$2:D248,D248,
             $E$2:E248,E248,
             $H$2:H248,H248
             )&gt;1,
   "Doublon",
   "Correcte"
)</f>
        <v>Correcte</v>
      </c>
    </row>
    <row r="249" spans="1:17" x14ac:dyDescent="0.25">
      <c r="A249" s="11" t="s">
        <v>3076</v>
      </c>
      <c r="B249" s="11" t="s">
        <v>1153</v>
      </c>
      <c r="C249" s="11" t="s">
        <v>662</v>
      </c>
      <c r="D249" s="11" t="s">
        <v>665</v>
      </c>
      <c r="E249" s="11">
        <v>95</v>
      </c>
      <c r="F249" s="11"/>
      <c r="G249" s="11" t="s">
        <v>664</v>
      </c>
      <c r="H249" s="14">
        <v>45915</v>
      </c>
      <c r="I249" s="12">
        <f>-Mvt_Inter_entrepot[[#This Row],[QTE]]</f>
        <v>-95</v>
      </c>
      <c r="J249" s="11" t="s">
        <v>205</v>
      </c>
      <c r="K249" s="11" t="str">
        <f>_xlfn.TEXTBEFORE(Mvt_Inter_entrepot[[#This Row],[Num Suivis]],"-",,,1)</f>
        <v>OF244795</v>
      </c>
      <c r="L249" s="11" t="e">
        <f>_xlfn.XLOOKUP(Mvt_Inter_entrepot[[#This Row],[Num OF]],#REF!,#REF!,"Non Trouvé")</f>
        <v>#REF!</v>
      </c>
      <c r="M249" s="11" t="e">
        <f>_xlfn.XLOOKUP(Mvt_Inter_entrepot[[#This Row],[Num OF]],#REF!,#REF!,"Non Trouvé")</f>
        <v>#REF!</v>
      </c>
      <c r="N249" s="11" t="e">
        <f>_xlfn.XLOOKUP(Mvt_Inter_entrepot[[#This Row],[Num OF]],#REF!,#REF!,"Non Trouvé")</f>
        <v>#REF!</v>
      </c>
      <c r="O249" s="11" t="e">
        <f>_xlfn.XLOOKUP(Mvt_Inter_entrepot[[#This Row],[Num OF]],#REF!,#REF!,"Non Trouvé")</f>
        <v>#REF!</v>
      </c>
      <c r="P249" s="11" t="e">
        <f>_xlfn.XLOOKUP(Mvt_Inter_entrepot[[#This Row],[Num OF]],#REF!,#REF!,"Non Trouvé")</f>
        <v>#REF!</v>
      </c>
      <c r="Q249" s="11" t="str">
        <f>IF(
   COUNTIFS($A$2:A249,A249,
             $B$2:B249,B249,
             $C$2:C249,C249,
             $D$2:D249,D249,
             $E$2:E249,E249,
             $H$2:H249,H249
             )&gt;1,
   "Doublon",
   "Correcte"
)</f>
        <v>Correcte</v>
      </c>
    </row>
    <row r="250" spans="1:17" x14ac:dyDescent="0.25">
      <c r="A250" s="11" t="s">
        <v>3077</v>
      </c>
      <c r="B250" s="11" t="s">
        <v>1153</v>
      </c>
      <c r="C250" s="11" t="s">
        <v>662</v>
      </c>
      <c r="D250" s="11" t="s">
        <v>665</v>
      </c>
      <c r="E250" s="11">
        <v>78</v>
      </c>
      <c r="F250" s="11"/>
      <c r="G250" s="11" t="s">
        <v>664</v>
      </c>
      <c r="H250" s="14">
        <v>45915</v>
      </c>
      <c r="I250" s="12">
        <f>-Mvt_Inter_entrepot[[#This Row],[QTE]]</f>
        <v>-78</v>
      </c>
      <c r="J250" s="11" t="s">
        <v>206</v>
      </c>
      <c r="K250" s="11" t="str">
        <f>_xlfn.TEXTBEFORE(Mvt_Inter_entrepot[[#This Row],[Num Suivis]],"-",,,1)</f>
        <v>OF244796</v>
      </c>
      <c r="L250" s="11" t="e">
        <f>_xlfn.XLOOKUP(Mvt_Inter_entrepot[[#This Row],[Num OF]],#REF!,#REF!,"Non Trouvé")</f>
        <v>#REF!</v>
      </c>
      <c r="M250" s="11" t="e">
        <f>_xlfn.XLOOKUP(Mvt_Inter_entrepot[[#This Row],[Num OF]],#REF!,#REF!,"Non Trouvé")</f>
        <v>#REF!</v>
      </c>
      <c r="N250" s="11" t="e">
        <f>_xlfn.XLOOKUP(Mvt_Inter_entrepot[[#This Row],[Num OF]],#REF!,#REF!,"Non Trouvé")</f>
        <v>#REF!</v>
      </c>
      <c r="O250" s="11" t="e">
        <f>_xlfn.XLOOKUP(Mvt_Inter_entrepot[[#This Row],[Num OF]],#REF!,#REF!,"Non Trouvé")</f>
        <v>#REF!</v>
      </c>
      <c r="P250" s="11" t="e">
        <f>_xlfn.XLOOKUP(Mvt_Inter_entrepot[[#This Row],[Num OF]],#REF!,#REF!,"Non Trouvé")</f>
        <v>#REF!</v>
      </c>
      <c r="Q250" s="11" t="str">
        <f>IF(
   COUNTIFS($A$2:A250,A250,
             $B$2:B250,B250,
             $C$2:C250,C250,
             $D$2:D250,D250,
             $E$2:E250,E250,
             $H$2:H250,H250
             )&gt;1,
   "Doublon",
   "Correcte"
)</f>
        <v>Correcte</v>
      </c>
    </row>
    <row r="251" spans="1:17" x14ac:dyDescent="0.25">
      <c r="A251" s="11" t="s">
        <v>3078</v>
      </c>
      <c r="B251" s="11" t="s">
        <v>1153</v>
      </c>
      <c r="C251" s="11" t="s">
        <v>662</v>
      </c>
      <c r="D251" s="11" t="s">
        <v>665</v>
      </c>
      <c r="E251" s="11">
        <v>72</v>
      </c>
      <c r="F251" s="11"/>
      <c r="G251" s="11" t="s">
        <v>664</v>
      </c>
      <c r="H251" s="14">
        <v>45915</v>
      </c>
      <c r="I251" s="12">
        <f>-Mvt_Inter_entrepot[[#This Row],[QTE]]</f>
        <v>-72</v>
      </c>
      <c r="J251" s="11" t="s">
        <v>207</v>
      </c>
      <c r="K251" s="11" t="str">
        <f>_xlfn.TEXTBEFORE(Mvt_Inter_entrepot[[#This Row],[Num Suivis]],"-",,,1)</f>
        <v>OF244797</v>
      </c>
      <c r="L251" s="11" t="e">
        <f>_xlfn.XLOOKUP(Mvt_Inter_entrepot[[#This Row],[Num OF]],#REF!,#REF!,"Non Trouvé")</f>
        <v>#REF!</v>
      </c>
      <c r="M251" s="11" t="e">
        <f>_xlfn.XLOOKUP(Mvt_Inter_entrepot[[#This Row],[Num OF]],#REF!,#REF!,"Non Trouvé")</f>
        <v>#REF!</v>
      </c>
      <c r="N251" s="11" t="e">
        <f>_xlfn.XLOOKUP(Mvt_Inter_entrepot[[#This Row],[Num OF]],#REF!,#REF!,"Non Trouvé")</f>
        <v>#REF!</v>
      </c>
      <c r="O251" s="11" t="e">
        <f>_xlfn.XLOOKUP(Mvt_Inter_entrepot[[#This Row],[Num OF]],#REF!,#REF!,"Non Trouvé")</f>
        <v>#REF!</v>
      </c>
      <c r="P251" s="11" t="e">
        <f>_xlfn.XLOOKUP(Mvt_Inter_entrepot[[#This Row],[Num OF]],#REF!,#REF!,"Non Trouvé")</f>
        <v>#REF!</v>
      </c>
      <c r="Q251" s="11" t="str">
        <f>IF(
   COUNTIFS($A$2:A251,A251,
             $B$2:B251,B251,
             $C$2:C251,C251,
             $D$2:D251,D251,
             $E$2:E251,E251,
             $H$2:H251,H251
             )&gt;1,
   "Doublon",
   "Correcte"
)</f>
        <v>Correcte</v>
      </c>
    </row>
    <row r="252" spans="1:17" x14ac:dyDescent="0.25">
      <c r="A252" s="11" t="s">
        <v>3079</v>
      </c>
      <c r="B252" s="11" t="s">
        <v>1153</v>
      </c>
      <c r="C252" s="11" t="s">
        <v>662</v>
      </c>
      <c r="D252" s="11" t="s">
        <v>665</v>
      </c>
      <c r="E252" s="11">
        <v>65</v>
      </c>
      <c r="F252" s="11"/>
      <c r="G252" s="11" t="s">
        <v>664</v>
      </c>
      <c r="H252" s="14">
        <v>45915</v>
      </c>
      <c r="I252" s="12">
        <f>-Mvt_Inter_entrepot[[#This Row],[QTE]]</f>
        <v>-65</v>
      </c>
      <c r="J252" s="11" t="s">
        <v>208</v>
      </c>
      <c r="K252" s="11" t="str">
        <f>_xlfn.TEXTBEFORE(Mvt_Inter_entrepot[[#This Row],[Num Suivis]],"-",,,1)</f>
        <v>OF244798</v>
      </c>
      <c r="L252" s="11" t="e">
        <f>_xlfn.XLOOKUP(Mvt_Inter_entrepot[[#This Row],[Num OF]],#REF!,#REF!,"Non Trouvé")</f>
        <v>#REF!</v>
      </c>
      <c r="M252" s="11" t="e">
        <f>_xlfn.XLOOKUP(Mvt_Inter_entrepot[[#This Row],[Num OF]],#REF!,#REF!,"Non Trouvé")</f>
        <v>#REF!</v>
      </c>
      <c r="N252" s="11" t="e">
        <f>_xlfn.XLOOKUP(Mvt_Inter_entrepot[[#This Row],[Num OF]],#REF!,#REF!,"Non Trouvé")</f>
        <v>#REF!</v>
      </c>
      <c r="O252" s="11" t="e">
        <f>_xlfn.XLOOKUP(Mvt_Inter_entrepot[[#This Row],[Num OF]],#REF!,#REF!,"Non Trouvé")</f>
        <v>#REF!</v>
      </c>
      <c r="P252" s="11" t="e">
        <f>_xlfn.XLOOKUP(Mvt_Inter_entrepot[[#This Row],[Num OF]],#REF!,#REF!,"Non Trouvé")</f>
        <v>#REF!</v>
      </c>
      <c r="Q252" s="11" t="str">
        <f>IF(
   COUNTIFS($A$2:A252,A252,
             $B$2:B252,B252,
             $C$2:C252,C252,
             $D$2:D252,D252,
             $E$2:E252,E252,
             $H$2:H252,H252
             )&gt;1,
   "Doublon",
   "Correcte"
)</f>
        <v>Correcte</v>
      </c>
    </row>
    <row r="253" spans="1:17" x14ac:dyDescent="0.25">
      <c r="A253" s="11" t="s">
        <v>3080</v>
      </c>
      <c r="B253" s="11" t="s">
        <v>1153</v>
      </c>
      <c r="C253" s="11" t="s">
        <v>662</v>
      </c>
      <c r="D253" s="11" t="s">
        <v>665</v>
      </c>
      <c r="E253" s="11">
        <v>95</v>
      </c>
      <c r="F253" s="11"/>
      <c r="G253" s="11" t="s">
        <v>664</v>
      </c>
      <c r="H253" s="14">
        <v>45915</v>
      </c>
      <c r="I253" s="12">
        <f>-Mvt_Inter_entrepot[[#This Row],[QTE]]</f>
        <v>-95</v>
      </c>
      <c r="J253" s="11" t="s">
        <v>209</v>
      </c>
      <c r="K253" s="11" t="str">
        <f>_xlfn.TEXTBEFORE(Mvt_Inter_entrepot[[#This Row],[Num Suivis]],"-",,,1)</f>
        <v>OF244799</v>
      </c>
      <c r="L253" s="11" t="e">
        <f>_xlfn.XLOOKUP(Mvt_Inter_entrepot[[#This Row],[Num OF]],#REF!,#REF!,"Non Trouvé")</f>
        <v>#REF!</v>
      </c>
      <c r="M253" s="11" t="e">
        <f>_xlfn.XLOOKUP(Mvt_Inter_entrepot[[#This Row],[Num OF]],#REF!,#REF!,"Non Trouvé")</f>
        <v>#REF!</v>
      </c>
      <c r="N253" s="11" t="e">
        <f>_xlfn.XLOOKUP(Mvt_Inter_entrepot[[#This Row],[Num OF]],#REF!,#REF!,"Non Trouvé")</f>
        <v>#REF!</v>
      </c>
      <c r="O253" s="11" t="e">
        <f>_xlfn.XLOOKUP(Mvt_Inter_entrepot[[#This Row],[Num OF]],#REF!,#REF!,"Non Trouvé")</f>
        <v>#REF!</v>
      </c>
      <c r="P253" s="11" t="e">
        <f>_xlfn.XLOOKUP(Mvt_Inter_entrepot[[#This Row],[Num OF]],#REF!,#REF!,"Non Trouvé")</f>
        <v>#REF!</v>
      </c>
      <c r="Q253" s="11" t="str">
        <f>IF(
   COUNTIFS($A$2:A253,A253,
             $B$2:B253,B253,
             $C$2:C253,C253,
             $D$2:D253,D253,
             $E$2:E253,E253,
             $H$2:H253,H253
             )&gt;1,
   "Doublon",
   "Correcte"
)</f>
        <v>Correcte</v>
      </c>
    </row>
    <row r="254" spans="1:17" x14ac:dyDescent="0.25">
      <c r="A254" s="11" t="s">
        <v>3081</v>
      </c>
      <c r="B254" s="11" t="s">
        <v>1153</v>
      </c>
      <c r="C254" s="11" t="s">
        <v>662</v>
      </c>
      <c r="D254" s="11" t="s">
        <v>665</v>
      </c>
      <c r="E254" s="11">
        <v>95</v>
      </c>
      <c r="F254" s="11"/>
      <c r="G254" s="11" t="s">
        <v>664</v>
      </c>
      <c r="H254" s="14">
        <v>45915</v>
      </c>
      <c r="I254" s="12">
        <f>-Mvt_Inter_entrepot[[#This Row],[QTE]]</f>
        <v>-95</v>
      </c>
      <c r="J254" s="11" t="s">
        <v>210</v>
      </c>
      <c r="K254" s="11" t="str">
        <f>_xlfn.TEXTBEFORE(Mvt_Inter_entrepot[[#This Row],[Num Suivis]],"-",,,1)</f>
        <v>OF244800</v>
      </c>
      <c r="L254" s="11" t="e">
        <f>_xlfn.XLOOKUP(Mvt_Inter_entrepot[[#This Row],[Num OF]],#REF!,#REF!,"Non Trouvé")</f>
        <v>#REF!</v>
      </c>
      <c r="M254" s="11" t="e">
        <f>_xlfn.XLOOKUP(Mvt_Inter_entrepot[[#This Row],[Num OF]],#REF!,#REF!,"Non Trouvé")</f>
        <v>#REF!</v>
      </c>
      <c r="N254" s="11" t="e">
        <f>_xlfn.XLOOKUP(Mvt_Inter_entrepot[[#This Row],[Num OF]],#REF!,#REF!,"Non Trouvé")</f>
        <v>#REF!</v>
      </c>
      <c r="O254" s="11" t="e">
        <f>_xlfn.XLOOKUP(Mvt_Inter_entrepot[[#This Row],[Num OF]],#REF!,#REF!,"Non Trouvé")</f>
        <v>#REF!</v>
      </c>
      <c r="P254" s="11" t="e">
        <f>_xlfn.XLOOKUP(Mvt_Inter_entrepot[[#This Row],[Num OF]],#REF!,#REF!,"Non Trouvé")</f>
        <v>#REF!</v>
      </c>
      <c r="Q254" s="11" t="str">
        <f>IF(
   COUNTIFS($A$2:A254,A254,
             $B$2:B254,B254,
             $C$2:C254,C254,
             $D$2:D254,D254,
             $E$2:E254,E254,
             $H$2:H254,H254
             )&gt;1,
   "Doublon",
   "Correcte"
)</f>
        <v>Correcte</v>
      </c>
    </row>
    <row r="255" spans="1:17" x14ac:dyDescent="0.25">
      <c r="A255" s="11" t="s">
        <v>3082</v>
      </c>
      <c r="B255" s="11" t="s">
        <v>1153</v>
      </c>
      <c r="C255" s="11" t="s">
        <v>662</v>
      </c>
      <c r="D255" s="11" t="s">
        <v>665</v>
      </c>
      <c r="E255" s="11">
        <v>119</v>
      </c>
      <c r="F255" s="11"/>
      <c r="G255" s="11" t="s">
        <v>664</v>
      </c>
      <c r="H255" s="14">
        <v>45915</v>
      </c>
      <c r="I255" s="12">
        <f>-Mvt_Inter_entrepot[[#This Row],[QTE]]</f>
        <v>-119</v>
      </c>
      <c r="J255" s="11" t="s">
        <v>211</v>
      </c>
      <c r="K255" s="11" t="str">
        <f>_xlfn.TEXTBEFORE(Mvt_Inter_entrepot[[#This Row],[Num Suivis]],"-",,,1)</f>
        <v>OF244801</v>
      </c>
      <c r="L255" s="11" t="e">
        <f>_xlfn.XLOOKUP(Mvt_Inter_entrepot[[#This Row],[Num OF]],#REF!,#REF!,"Non Trouvé")</f>
        <v>#REF!</v>
      </c>
      <c r="M255" s="11" t="e">
        <f>_xlfn.XLOOKUP(Mvt_Inter_entrepot[[#This Row],[Num OF]],#REF!,#REF!,"Non Trouvé")</f>
        <v>#REF!</v>
      </c>
      <c r="N255" s="11" t="e">
        <f>_xlfn.XLOOKUP(Mvt_Inter_entrepot[[#This Row],[Num OF]],#REF!,#REF!,"Non Trouvé")</f>
        <v>#REF!</v>
      </c>
      <c r="O255" s="11" t="e">
        <f>_xlfn.XLOOKUP(Mvt_Inter_entrepot[[#This Row],[Num OF]],#REF!,#REF!,"Non Trouvé")</f>
        <v>#REF!</v>
      </c>
      <c r="P255" s="11" t="e">
        <f>_xlfn.XLOOKUP(Mvt_Inter_entrepot[[#This Row],[Num OF]],#REF!,#REF!,"Non Trouvé")</f>
        <v>#REF!</v>
      </c>
      <c r="Q255" s="11" t="str">
        <f>IF(
   COUNTIFS($A$2:A255,A255,
             $B$2:B255,B255,
             $C$2:C255,C255,
             $D$2:D255,D255,
             $E$2:E255,E255,
             $H$2:H255,H255
             )&gt;1,
   "Doublon",
   "Correcte"
)</f>
        <v>Correcte</v>
      </c>
    </row>
    <row r="256" spans="1:17" x14ac:dyDescent="0.25">
      <c r="A256" s="11" t="s">
        <v>3083</v>
      </c>
      <c r="B256" s="11" t="s">
        <v>1153</v>
      </c>
      <c r="C256" s="11" t="s">
        <v>662</v>
      </c>
      <c r="D256" s="11" t="s">
        <v>665</v>
      </c>
      <c r="E256" s="11">
        <v>69</v>
      </c>
      <c r="F256" s="11"/>
      <c r="G256" s="11" t="s">
        <v>664</v>
      </c>
      <c r="H256" s="14">
        <v>45915</v>
      </c>
      <c r="I256" s="12">
        <f>-Mvt_Inter_entrepot[[#This Row],[QTE]]</f>
        <v>-69</v>
      </c>
      <c r="J256" s="11" t="s">
        <v>212</v>
      </c>
      <c r="K256" s="11" t="str">
        <f>_xlfn.TEXTBEFORE(Mvt_Inter_entrepot[[#This Row],[Num Suivis]],"-",,,1)</f>
        <v>OF244802</v>
      </c>
      <c r="L256" s="11" t="e">
        <f>_xlfn.XLOOKUP(Mvt_Inter_entrepot[[#This Row],[Num OF]],#REF!,#REF!,"Non Trouvé")</f>
        <v>#REF!</v>
      </c>
      <c r="M256" s="11" t="e">
        <f>_xlfn.XLOOKUP(Mvt_Inter_entrepot[[#This Row],[Num OF]],#REF!,#REF!,"Non Trouvé")</f>
        <v>#REF!</v>
      </c>
      <c r="N256" s="11" t="e">
        <f>_xlfn.XLOOKUP(Mvt_Inter_entrepot[[#This Row],[Num OF]],#REF!,#REF!,"Non Trouvé")</f>
        <v>#REF!</v>
      </c>
      <c r="O256" s="11" t="e">
        <f>_xlfn.XLOOKUP(Mvt_Inter_entrepot[[#This Row],[Num OF]],#REF!,#REF!,"Non Trouvé")</f>
        <v>#REF!</v>
      </c>
      <c r="P256" s="11" t="e">
        <f>_xlfn.XLOOKUP(Mvt_Inter_entrepot[[#This Row],[Num OF]],#REF!,#REF!,"Non Trouvé")</f>
        <v>#REF!</v>
      </c>
      <c r="Q256" s="11" t="str">
        <f>IF(
   COUNTIFS($A$2:A256,A256,
             $B$2:B256,B256,
             $C$2:C256,C256,
             $D$2:D256,D256,
             $E$2:E256,E256,
             $H$2:H256,H256
             )&gt;1,
   "Doublon",
   "Correcte"
)</f>
        <v>Correcte</v>
      </c>
    </row>
    <row r="257" spans="1:17" x14ac:dyDescent="0.25">
      <c r="A257" s="11" t="s">
        <v>3084</v>
      </c>
      <c r="B257" s="11" t="s">
        <v>1153</v>
      </c>
      <c r="C257" s="11" t="s">
        <v>662</v>
      </c>
      <c r="D257" s="11" t="s">
        <v>665</v>
      </c>
      <c r="E257" s="11">
        <v>99</v>
      </c>
      <c r="F257" s="11"/>
      <c r="G257" s="11" t="s">
        <v>664</v>
      </c>
      <c r="H257" s="14">
        <v>45915</v>
      </c>
      <c r="I257" s="12">
        <f>-Mvt_Inter_entrepot[[#This Row],[QTE]]</f>
        <v>-99</v>
      </c>
      <c r="J257" s="11" t="s">
        <v>213</v>
      </c>
      <c r="K257" s="11" t="str">
        <f>_xlfn.TEXTBEFORE(Mvt_Inter_entrepot[[#This Row],[Num Suivis]],"-",,,1)</f>
        <v>OF244803</v>
      </c>
      <c r="L257" s="11" t="e">
        <f>_xlfn.XLOOKUP(Mvt_Inter_entrepot[[#This Row],[Num OF]],#REF!,#REF!,"Non Trouvé")</f>
        <v>#REF!</v>
      </c>
      <c r="M257" s="11" t="e">
        <f>_xlfn.XLOOKUP(Mvt_Inter_entrepot[[#This Row],[Num OF]],#REF!,#REF!,"Non Trouvé")</f>
        <v>#REF!</v>
      </c>
      <c r="N257" s="11" t="e">
        <f>_xlfn.XLOOKUP(Mvt_Inter_entrepot[[#This Row],[Num OF]],#REF!,#REF!,"Non Trouvé")</f>
        <v>#REF!</v>
      </c>
      <c r="O257" s="11" t="e">
        <f>_xlfn.XLOOKUP(Mvt_Inter_entrepot[[#This Row],[Num OF]],#REF!,#REF!,"Non Trouvé")</f>
        <v>#REF!</v>
      </c>
      <c r="P257" s="11" t="e">
        <f>_xlfn.XLOOKUP(Mvt_Inter_entrepot[[#This Row],[Num OF]],#REF!,#REF!,"Non Trouvé")</f>
        <v>#REF!</v>
      </c>
      <c r="Q257" s="11" t="str">
        <f>IF(
   COUNTIFS($A$2:A257,A257,
             $B$2:B257,B257,
             $C$2:C257,C257,
             $D$2:D257,D257,
             $E$2:E257,E257,
             $H$2:H257,H257
             )&gt;1,
   "Doublon",
   "Correcte"
)</f>
        <v>Correcte</v>
      </c>
    </row>
    <row r="258" spans="1:17" x14ac:dyDescent="0.25">
      <c r="A258" s="11" t="s">
        <v>3085</v>
      </c>
      <c r="B258" s="11" t="s">
        <v>1153</v>
      </c>
      <c r="C258" s="11" t="s">
        <v>662</v>
      </c>
      <c r="D258" s="11" t="s">
        <v>665</v>
      </c>
      <c r="E258" s="11">
        <v>78</v>
      </c>
      <c r="F258" s="11"/>
      <c r="G258" s="11" t="s">
        <v>664</v>
      </c>
      <c r="H258" s="14">
        <v>45915</v>
      </c>
      <c r="I258" s="12">
        <f>-Mvt_Inter_entrepot[[#This Row],[QTE]]</f>
        <v>-78</v>
      </c>
      <c r="J258" s="11" t="s">
        <v>214</v>
      </c>
      <c r="K258" s="11" t="str">
        <f>_xlfn.TEXTBEFORE(Mvt_Inter_entrepot[[#This Row],[Num Suivis]],"-",,,1)</f>
        <v>OF244804</v>
      </c>
      <c r="L258" s="11" t="e">
        <f>_xlfn.XLOOKUP(Mvt_Inter_entrepot[[#This Row],[Num OF]],#REF!,#REF!,"Non Trouvé")</f>
        <v>#REF!</v>
      </c>
      <c r="M258" s="11" t="e">
        <f>_xlfn.XLOOKUP(Mvt_Inter_entrepot[[#This Row],[Num OF]],#REF!,#REF!,"Non Trouvé")</f>
        <v>#REF!</v>
      </c>
      <c r="N258" s="11" t="e">
        <f>_xlfn.XLOOKUP(Mvt_Inter_entrepot[[#This Row],[Num OF]],#REF!,#REF!,"Non Trouvé")</f>
        <v>#REF!</v>
      </c>
      <c r="O258" s="11" t="e">
        <f>_xlfn.XLOOKUP(Mvt_Inter_entrepot[[#This Row],[Num OF]],#REF!,#REF!,"Non Trouvé")</f>
        <v>#REF!</v>
      </c>
      <c r="P258" s="11" t="e">
        <f>_xlfn.XLOOKUP(Mvt_Inter_entrepot[[#This Row],[Num OF]],#REF!,#REF!,"Non Trouvé")</f>
        <v>#REF!</v>
      </c>
      <c r="Q258" s="11" t="str">
        <f>IF(
   COUNTIFS($A$2:A258,A258,
             $B$2:B258,B258,
             $C$2:C258,C258,
             $D$2:D258,D258,
             $E$2:E258,E258,
             $H$2:H258,H258
             )&gt;1,
   "Doublon",
   "Correcte"
)</f>
        <v>Correcte</v>
      </c>
    </row>
    <row r="259" spans="1:17" x14ac:dyDescent="0.25">
      <c r="A259" s="11" t="s">
        <v>3086</v>
      </c>
      <c r="B259" s="11" t="s">
        <v>1153</v>
      </c>
      <c r="C259" s="11" t="s">
        <v>662</v>
      </c>
      <c r="D259" s="11" t="s">
        <v>665</v>
      </c>
      <c r="E259" s="11">
        <v>70</v>
      </c>
      <c r="F259" s="11"/>
      <c r="G259" s="11" t="s">
        <v>664</v>
      </c>
      <c r="H259" s="14">
        <v>45915</v>
      </c>
      <c r="I259" s="12">
        <f>-Mvt_Inter_entrepot[[#This Row],[QTE]]</f>
        <v>-70</v>
      </c>
      <c r="J259" s="11" t="s">
        <v>215</v>
      </c>
      <c r="K259" s="11" t="str">
        <f>_xlfn.TEXTBEFORE(Mvt_Inter_entrepot[[#This Row],[Num Suivis]],"-",,,1)</f>
        <v>OF244805</v>
      </c>
      <c r="L259" s="11" t="e">
        <f>_xlfn.XLOOKUP(Mvt_Inter_entrepot[[#This Row],[Num OF]],#REF!,#REF!,"Non Trouvé")</f>
        <v>#REF!</v>
      </c>
      <c r="M259" s="11" t="e">
        <f>_xlfn.XLOOKUP(Mvt_Inter_entrepot[[#This Row],[Num OF]],#REF!,#REF!,"Non Trouvé")</f>
        <v>#REF!</v>
      </c>
      <c r="N259" s="11" t="e">
        <f>_xlfn.XLOOKUP(Mvt_Inter_entrepot[[#This Row],[Num OF]],#REF!,#REF!,"Non Trouvé")</f>
        <v>#REF!</v>
      </c>
      <c r="O259" s="11" t="e">
        <f>_xlfn.XLOOKUP(Mvt_Inter_entrepot[[#This Row],[Num OF]],#REF!,#REF!,"Non Trouvé")</f>
        <v>#REF!</v>
      </c>
      <c r="P259" s="11" t="e">
        <f>_xlfn.XLOOKUP(Mvt_Inter_entrepot[[#This Row],[Num OF]],#REF!,#REF!,"Non Trouvé")</f>
        <v>#REF!</v>
      </c>
      <c r="Q259" s="11" t="str">
        <f>IF(
   COUNTIFS($A$2:A259,A259,
             $B$2:B259,B259,
             $C$2:C259,C259,
             $D$2:D259,D259,
             $E$2:E259,E259,
             $H$2:H259,H259
             )&gt;1,
   "Doublon",
   "Correcte"
)</f>
        <v>Correcte</v>
      </c>
    </row>
    <row r="260" spans="1:17" x14ac:dyDescent="0.25">
      <c r="A260" s="11" t="s">
        <v>3087</v>
      </c>
      <c r="B260" s="11" t="s">
        <v>1153</v>
      </c>
      <c r="C260" s="11" t="s">
        <v>662</v>
      </c>
      <c r="D260" s="11" t="s">
        <v>665</v>
      </c>
      <c r="E260" s="11">
        <v>75</v>
      </c>
      <c r="F260" s="11"/>
      <c r="G260" s="11" t="s">
        <v>664</v>
      </c>
      <c r="H260" s="14">
        <v>45915</v>
      </c>
      <c r="I260" s="12">
        <f>-Mvt_Inter_entrepot[[#This Row],[QTE]]</f>
        <v>-75</v>
      </c>
      <c r="J260" s="11" t="s">
        <v>216</v>
      </c>
      <c r="K260" s="11" t="str">
        <f>_xlfn.TEXTBEFORE(Mvt_Inter_entrepot[[#This Row],[Num Suivis]],"-",,,1)</f>
        <v>OF244806</v>
      </c>
      <c r="L260" s="11" t="e">
        <f>_xlfn.XLOOKUP(Mvt_Inter_entrepot[[#This Row],[Num OF]],#REF!,#REF!,"Non Trouvé")</f>
        <v>#REF!</v>
      </c>
      <c r="M260" s="11" t="e">
        <f>_xlfn.XLOOKUP(Mvt_Inter_entrepot[[#This Row],[Num OF]],#REF!,#REF!,"Non Trouvé")</f>
        <v>#REF!</v>
      </c>
      <c r="N260" s="11" t="e">
        <f>_xlfn.XLOOKUP(Mvt_Inter_entrepot[[#This Row],[Num OF]],#REF!,#REF!,"Non Trouvé")</f>
        <v>#REF!</v>
      </c>
      <c r="O260" s="11" t="e">
        <f>_xlfn.XLOOKUP(Mvt_Inter_entrepot[[#This Row],[Num OF]],#REF!,#REF!,"Non Trouvé")</f>
        <v>#REF!</v>
      </c>
      <c r="P260" s="11" t="e">
        <f>_xlfn.XLOOKUP(Mvt_Inter_entrepot[[#This Row],[Num OF]],#REF!,#REF!,"Non Trouvé")</f>
        <v>#REF!</v>
      </c>
      <c r="Q260" s="11" t="str">
        <f>IF(
   COUNTIFS($A$2:A260,A260,
             $B$2:B260,B260,
             $C$2:C260,C260,
             $D$2:D260,D260,
             $E$2:E260,E260,
             $H$2:H260,H260
             )&gt;1,
   "Doublon",
   "Correcte"
)</f>
        <v>Correcte</v>
      </c>
    </row>
    <row r="261" spans="1:17" x14ac:dyDescent="0.25">
      <c r="A261" s="11" t="s">
        <v>3088</v>
      </c>
      <c r="B261" s="11" t="s">
        <v>1153</v>
      </c>
      <c r="C261" s="11" t="s">
        <v>662</v>
      </c>
      <c r="D261" s="11" t="s">
        <v>1154</v>
      </c>
      <c r="E261" s="11">
        <v>2</v>
      </c>
      <c r="F261" s="11"/>
      <c r="G261" s="11" t="s">
        <v>664</v>
      </c>
      <c r="H261" s="14">
        <v>45915</v>
      </c>
      <c r="I261" s="12">
        <f>-Mvt_Inter_entrepot[[#This Row],[QTE]]</f>
        <v>-2</v>
      </c>
      <c r="J261" s="11" t="s">
        <v>444</v>
      </c>
      <c r="K261" s="11" t="str">
        <f>_xlfn.TEXTBEFORE(Mvt_Inter_entrepot[[#This Row],[Num Suivis]],"-",,,1)</f>
        <v>OF244807</v>
      </c>
      <c r="L261" s="11" t="e">
        <f>_xlfn.XLOOKUP(Mvt_Inter_entrepot[[#This Row],[Num OF]],#REF!,#REF!,"Non Trouvé")</f>
        <v>#REF!</v>
      </c>
      <c r="M261" s="11" t="e">
        <f>_xlfn.XLOOKUP(Mvt_Inter_entrepot[[#This Row],[Num OF]],#REF!,#REF!,"Non Trouvé")</f>
        <v>#REF!</v>
      </c>
      <c r="N261" s="11" t="e">
        <f>_xlfn.XLOOKUP(Mvt_Inter_entrepot[[#This Row],[Num OF]],#REF!,#REF!,"Non Trouvé")</f>
        <v>#REF!</v>
      </c>
      <c r="O261" s="11" t="e">
        <f>_xlfn.XLOOKUP(Mvt_Inter_entrepot[[#This Row],[Num OF]],#REF!,#REF!,"Non Trouvé")</f>
        <v>#REF!</v>
      </c>
      <c r="P261" s="11" t="e">
        <f>_xlfn.XLOOKUP(Mvt_Inter_entrepot[[#This Row],[Num OF]],#REF!,#REF!,"Non Trouvé")</f>
        <v>#REF!</v>
      </c>
      <c r="Q261" s="11" t="str">
        <f>IF(
   COUNTIFS($A$2:A261,A261,
             $B$2:B261,B261,
             $C$2:C261,C261,
             $D$2:D261,D261,
             $E$2:E261,E261,
             $H$2:H261,H261
             )&gt;1,
   "Doublon",
   "Correcte"
)</f>
        <v>Correcte</v>
      </c>
    </row>
    <row r="262" spans="1:17" x14ac:dyDescent="0.25">
      <c r="A262" s="11" t="s">
        <v>3089</v>
      </c>
      <c r="B262" s="11" t="s">
        <v>1153</v>
      </c>
      <c r="C262" s="11" t="s">
        <v>662</v>
      </c>
      <c r="D262" s="11" t="s">
        <v>1154</v>
      </c>
      <c r="E262" s="11">
        <v>5</v>
      </c>
      <c r="F262" s="11"/>
      <c r="G262" s="11" t="s">
        <v>664</v>
      </c>
      <c r="H262" s="14">
        <v>45915</v>
      </c>
      <c r="I262" s="12">
        <f>-Mvt_Inter_entrepot[[#This Row],[QTE]]</f>
        <v>-5</v>
      </c>
      <c r="J262" s="11" t="s">
        <v>445</v>
      </c>
      <c r="K262" s="11" t="str">
        <f>_xlfn.TEXTBEFORE(Mvt_Inter_entrepot[[#This Row],[Num Suivis]],"-",,,1)</f>
        <v>OF244889</v>
      </c>
      <c r="L262" s="11" t="e">
        <f>_xlfn.XLOOKUP(Mvt_Inter_entrepot[[#This Row],[Num OF]],#REF!,#REF!,"Non Trouvé")</f>
        <v>#REF!</v>
      </c>
      <c r="M262" s="11" t="e">
        <f>_xlfn.XLOOKUP(Mvt_Inter_entrepot[[#This Row],[Num OF]],#REF!,#REF!,"Non Trouvé")</f>
        <v>#REF!</v>
      </c>
      <c r="N262" s="11" t="e">
        <f>_xlfn.XLOOKUP(Mvt_Inter_entrepot[[#This Row],[Num OF]],#REF!,#REF!,"Non Trouvé")</f>
        <v>#REF!</v>
      </c>
      <c r="O262" s="11" t="e">
        <f>_xlfn.XLOOKUP(Mvt_Inter_entrepot[[#This Row],[Num OF]],#REF!,#REF!,"Non Trouvé")</f>
        <v>#REF!</v>
      </c>
      <c r="P262" s="11" t="e">
        <f>_xlfn.XLOOKUP(Mvt_Inter_entrepot[[#This Row],[Num OF]],#REF!,#REF!,"Non Trouvé")</f>
        <v>#REF!</v>
      </c>
      <c r="Q262" s="11" t="str">
        <f>IF(
   COUNTIFS($A$2:A262,A262,
             $B$2:B262,B262,
             $C$2:C262,C262,
             $D$2:D262,D262,
             $E$2:E262,E262,
             $H$2:H262,H262
             )&gt;1,
   "Doublon",
   "Correcte"
)</f>
        <v>Correcte</v>
      </c>
    </row>
    <row r="263" spans="1:17" x14ac:dyDescent="0.25">
      <c r="A263" s="11" t="s">
        <v>3090</v>
      </c>
      <c r="B263" s="11" t="s">
        <v>1153</v>
      </c>
      <c r="C263" s="11" t="s">
        <v>662</v>
      </c>
      <c r="D263" s="11" t="s">
        <v>1154</v>
      </c>
      <c r="E263" s="11">
        <v>3</v>
      </c>
      <c r="F263" s="11"/>
      <c r="G263" s="11" t="s">
        <v>664</v>
      </c>
      <c r="H263" s="14">
        <v>45915</v>
      </c>
      <c r="I263" s="12">
        <f>-Mvt_Inter_entrepot[[#This Row],[QTE]]</f>
        <v>-3</v>
      </c>
      <c r="J263" s="11" t="s">
        <v>448</v>
      </c>
      <c r="K263" s="11" t="str">
        <f>_xlfn.TEXTBEFORE(Mvt_Inter_entrepot[[#This Row],[Num Suivis]],"-",,,1)</f>
        <v>OF244961</v>
      </c>
      <c r="L263" s="11" t="e">
        <f>_xlfn.XLOOKUP(Mvt_Inter_entrepot[[#This Row],[Num OF]],#REF!,#REF!,"Non Trouvé")</f>
        <v>#REF!</v>
      </c>
      <c r="M263" s="11" t="e">
        <f>_xlfn.XLOOKUP(Mvt_Inter_entrepot[[#This Row],[Num OF]],#REF!,#REF!,"Non Trouvé")</f>
        <v>#REF!</v>
      </c>
      <c r="N263" s="11" t="e">
        <f>_xlfn.XLOOKUP(Mvt_Inter_entrepot[[#This Row],[Num OF]],#REF!,#REF!,"Non Trouvé")</f>
        <v>#REF!</v>
      </c>
      <c r="O263" s="11" t="e">
        <f>_xlfn.XLOOKUP(Mvt_Inter_entrepot[[#This Row],[Num OF]],#REF!,#REF!,"Non Trouvé")</f>
        <v>#REF!</v>
      </c>
      <c r="P263" s="11" t="e">
        <f>_xlfn.XLOOKUP(Mvt_Inter_entrepot[[#This Row],[Num OF]],#REF!,#REF!,"Non Trouvé")</f>
        <v>#REF!</v>
      </c>
      <c r="Q263" s="11" t="str">
        <f>IF(
   COUNTIFS($A$2:A263,A263,
             $B$2:B263,B263,
             $C$2:C263,C263,
             $D$2:D263,D263,
             $E$2:E263,E263,
             $H$2:H263,H263
             )&gt;1,
   "Doublon",
   "Correcte"
)</f>
        <v>Correcte</v>
      </c>
    </row>
    <row r="264" spans="1:17" x14ac:dyDescent="0.25">
      <c r="A264" s="11" t="s">
        <v>3091</v>
      </c>
      <c r="B264" s="11" t="s">
        <v>1153</v>
      </c>
      <c r="C264" s="11" t="s">
        <v>662</v>
      </c>
      <c r="D264" s="11" t="s">
        <v>1154</v>
      </c>
      <c r="E264" s="11">
        <v>1</v>
      </c>
      <c r="F264" s="11"/>
      <c r="G264" s="11" t="s">
        <v>664</v>
      </c>
      <c r="H264" s="14">
        <v>45915</v>
      </c>
      <c r="I264" s="12">
        <f>-Mvt_Inter_entrepot[[#This Row],[QTE]]</f>
        <v>-1</v>
      </c>
      <c r="J264" s="11" t="s">
        <v>449</v>
      </c>
      <c r="K264" s="11" t="str">
        <f>_xlfn.TEXTBEFORE(Mvt_Inter_entrepot[[#This Row],[Num Suivis]],"-",,,1)</f>
        <v>OF244963</v>
      </c>
      <c r="L264" s="11" t="e">
        <f>_xlfn.XLOOKUP(Mvt_Inter_entrepot[[#This Row],[Num OF]],#REF!,#REF!,"Non Trouvé")</f>
        <v>#REF!</v>
      </c>
      <c r="M264" s="11" t="e">
        <f>_xlfn.XLOOKUP(Mvt_Inter_entrepot[[#This Row],[Num OF]],#REF!,#REF!,"Non Trouvé")</f>
        <v>#REF!</v>
      </c>
      <c r="N264" s="11" t="e">
        <f>_xlfn.XLOOKUP(Mvt_Inter_entrepot[[#This Row],[Num OF]],#REF!,#REF!,"Non Trouvé")</f>
        <v>#REF!</v>
      </c>
      <c r="O264" s="11" t="e">
        <f>_xlfn.XLOOKUP(Mvt_Inter_entrepot[[#This Row],[Num OF]],#REF!,#REF!,"Non Trouvé")</f>
        <v>#REF!</v>
      </c>
      <c r="P264" s="11" t="e">
        <f>_xlfn.XLOOKUP(Mvt_Inter_entrepot[[#This Row],[Num OF]],#REF!,#REF!,"Non Trouvé")</f>
        <v>#REF!</v>
      </c>
      <c r="Q264" s="11" t="str">
        <f>IF(
   COUNTIFS($A$2:A264,A264,
             $B$2:B264,B264,
             $C$2:C264,C264,
             $D$2:D264,D264,
             $E$2:E264,E264,
             $H$2:H264,H264
             )&gt;1,
   "Doublon",
   "Correcte"
)</f>
        <v>Correcte</v>
      </c>
    </row>
    <row r="265" spans="1:17" x14ac:dyDescent="0.25">
      <c r="A265" s="11" t="s">
        <v>3092</v>
      </c>
      <c r="B265" s="11" t="s">
        <v>1153</v>
      </c>
      <c r="C265" s="11" t="s">
        <v>662</v>
      </c>
      <c r="D265" s="11" t="s">
        <v>665</v>
      </c>
      <c r="E265" s="11">
        <v>26</v>
      </c>
      <c r="F265" s="11"/>
      <c r="G265" s="11" t="s">
        <v>664</v>
      </c>
      <c r="H265" s="14">
        <v>45915</v>
      </c>
      <c r="I265" s="12">
        <f>-Mvt_Inter_entrepot[[#This Row],[QTE]]</f>
        <v>-26</v>
      </c>
      <c r="J265" s="11" t="s">
        <v>451</v>
      </c>
      <c r="K265" s="11" t="str">
        <f>_xlfn.TEXTBEFORE(Mvt_Inter_entrepot[[#This Row],[Num Suivis]],"-",,,1)</f>
        <v>OF244969</v>
      </c>
      <c r="L265" s="11" t="e">
        <f>_xlfn.XLOOKUP(Mvt_Inter_entrepot[[#This Row],[Num OF]],#REF!,#REF!,"Non Trouvé")</f>
        <v>#REF!</v>
      </c>
      <c r="M265" s="11" t="e">
        <f>_xlfn.XLOOKUP(Mvt_Inter_entrepot[[#This Row],[Num OF]],#REF!,#REF!,"Non Trouvé")</f>
        <v>#REF!</v>
      </c>
      <c r="N265" s="11" t="e">
        <f>_xlfn.XLOOKUP(Mvt_Inter_entrepot[[#This Row],[Num OF]],#REF!,#REF!,"Non Trouvé")</f>
        <v>#REF!</v>
      </c>
      <c r="O265" s="11" t="e">
        <f>_xlfn.XLOOKUP(Mvt_Inter_entrepot[[#This Row],[Num OF]],#REF!,#REF!,"Non Trouvé")</f>
        <v>#REF!</v>
      </c>
      <c r="P265" s="11" t="e">
        <f>_xlfn.XLOOKUP(Mvt_Inter_entrepot[[#This Row],[Num OF]],#REF!,#REF!,"Non Trouvé")</f>
        <v>#REF!</v>
      </c>
      <c r="Q265" s="11" t="str">
        <f>IF(
   COUNTIFS($A$2:A265,A265,
             $B$2:B265,B265,
             $C$2:C265,C265,
             $D$2:D265,D265,
             $E$2:E265,E265,
             $H$2:H265,H265
             )&gt;1,
   "Doublon",
   "Correcte"
)</f>
        <v>Correcte</v>
      </c>
    </row>
    <row r="266" spans="1:17" x14ac:dyDescent="0.25">
      <c r="A266" s="11" t="s">
        <v>3093</v>
      </c>
      <c r="B266" s="11" t="s">
        <v>1153</v>
      </c>
      <c r="C266" s="11" t="s">
        <v>662</v>
      </c>
      <c r="D266" s="11" t="s">
        <v>665</v>
      </c>
      <c r="E266" s="11">
        <v>23</v>
      </c>
      <c r="F266" s="11"/>
      <c r="G266" s="11" t="s">
        <v>664</v>
      </c>
      <c r="H266" s="14">
        <v>45915</v>
      </c>
      <c r="I266" s="12">
        <f>-Mvt_Inter_entrepot[[#This Row],[QTE]]</f>
        <v>-23</v>
      </c>
      <c r="J266" s="11" t="s">
        <v>452</v>
      </c>
      <c r="K266" s="11" t="str">
        <f>_xlfn.TEXTBEFORE(Mvt_Inter_entrepot[[#This Row],[Num Suivis]],"-",,,1)</f>
        <v>OF244970</v>
      </c>
      <c r="L266" s="11" t="e">
        <f>_xlfn.XLOOKUP(Mvt_Inter_entrepot[[#This Row],[Num OF]],#REF!,#REF!,"Non Trouvé")</f>
        <v>#REF!</v>
      </c>
      <c r="M266" s="11" t="e">
        <f>_xlfn.XLOOKUP(Mvt_Inter_entrepot[[#This Row],[Num OF]],#REF!,#REF!,"Non Trouvé")</f>
        <v>#REF!</v>
      </c>
      <c r="N266" s="11" t="e">
        <f>_xlfn.XLOOKUP(Mvt_Inter_entrepot[[#This Row],[Num OF]],#REF!,#REF!,"Non Trouvé")</f>
        <v>#REF!</v>
      </c>
      <c r="O266" s="11" t="e">
        <f>_xlfn.XLOOKUP(Mvt_Inter_entrepot[[#This Row],[Num OF]],#REF!,#REF!,"Non Trouvé")</f>
        <v>#REF!</v>
      </c>
      <c r="P266" s="11" t="e">
        <f>_xlfn.XLOOKUP(Mvt_Inter_entrepot[[#This Row],[Num OF]],#REF!,#REF!,"Non Trouvé")</f>
        <v>#REF!</v>
      </c>
      <c r="Q266" s="11" t="str">
        <f>IF(
   COUNTIFS($A$2:A266,A266,
             $B$2:B266,B266,
             $C$2:C266,C266,
             $D$2:D266,D266,
             $E$2:E266,E266,
             $H$2:H266,H266
             )&gt;1,
   "Doublon",
   "Correcte"
)</f>
        <v>Correcte</v>
      </c>
    </row>
    <row r="267" spans="1:17" x14ac:dyDescent="0.25">
      <c r="A267" s="11" t="s">
        <v>3094</v>
      </c>
      <c r="B267" s="11" t="s">
        <v>1153</v>
      </c>
      <c r="C267" s="11" t="s">
        <v>662</v>
      </c>
      <c r="D267" s="11" t="s">
        <v>665</v>
      </c>
      <c r="E267" s="11">
        <v>10</v>
      </c>
      <c r="F267" s="11"/>
      <c r="G267" s="11" t="s">
        <v>664</v>
      </c>
      <c r="H267" s="14">
        <v>45915</v>
      </c>
      <c r="I267" s="12">
        <f>-Mvt_Inter_entrepot[[#This Row],[QTE]]</f>
        <v>-10</v>
      </c>
      <c r="J267" s="11" t="s">
        <v>453</v>
      </c>
      <c r="K267" s="11" t="str">
        <f>_xlfn.TEXTBEFORE(Mvt_Inter_entrepot[[#This Row],[Num Suivis]],"-",,,1)</f>
        <v>OF244973</v>
      </c>
      <c r="L267" s="11" t="e">
        <f>_xlfn.XLOOKUP(Mvt_Inter_entrepot[[#This Row],[Num OF]],#REF!,#REF!,"Non Trouvé")</f>
        <v>#REF!</v>
      </c>
      <c r="M267" s="11" t="e">
        <f>_xlfn.XLOOKUP(Mvt_Inter_entrepot[[#This Row],[Num OF]],#REF!,#REF!,"Non Trouvé")</f>
        <v>#REF!</v>
      </c>
      <c r="N267" s="11" t="e">
        <f>_xlfn.XLOOKUP(Mvt_Inter_entrepot[[#This Row],[Num OF]],#REF!,#REF!,"Non Trouvé")</f>
        <v>#REF!</v>
      </c>
      <c r="O267" s="11" t="e">
        <f>_xlfn.XLOOKUP(Mvt_Inter_entrepot[[#This Row],[Num OF]],#REF!,#REF!,"Non Trouvé")</f>
        <v>#REF!</v>
      </c>
      <c r="P267" s="11" t="e">
        <f>_xlfn.XLOOKUP(Mvt_Inter_entrepot[[#This Row],[Num OF]],#REF!,#REF!,"Non Trouvé")</f>
        <v>#REF!</v>
      </c>
      <c r="Q267" s="11" t="str">
        <f>IF(
   COUNTIFS($A$2:A267,A267,
             $B$2:B267,B267,
             $C$2:C267,C267,
             $D$2:D267,D267,
             $E$2:E267,E267,
             $H$2:H267,H267
             )&gt;1,
   "Doublon",
   "Correcte"
)</f>
        <v>Correcte</v>
      </c>
    </row>
    <row r="268" spans="1:17" x14ac:dyDescent="0.25">
      <c r="A268" s="11" t="s">
        <v>3095</v>
      </c>
      <c r="B268" s="11" t="s">
        <v>1153</v>
      </c>
      <c r="C268" s="11" t="s">
        <v>662</v>
      </c>
      <c r="D268" s="11" t="s">
        <v>1154</v>
      </c>
      <c r="E268" s="11">
        <v>3</v>
      </c>
      <c r="F268" s="11"/>
      <c r="G268" s="11" t="s">
        <v>664</v>
      </c>
      <c r="H268" s="14">
        <v>45915</v>
      </c>
      <c r="I268" s="12">
        <f>-Mvt_Inter_entrepot[[#This Row],[QTE]]</f>
        <v>-3</v>
      </c>
      <c r="J268" s="11" t="s">
        <v>454</v>
      </c>
      <c r="K268" s="11" t="str">
        <f>_xlfn.TEXTBEFORE(Mvt_Inter_entrepot[[#This Row],[Num Suivis]],"-",,,1)</f>
        <v>OF244975</v>
      </c>
      <c r="L268" s="11" t="e">
        <f>_xlfn.XLOOKUP(Mvt_Inter_entrepot[[#This Row],[Num OF]],#REF!,#REF!,"Non Trouvé")</f>
        <v>#REF!</v>
      </c>
      <c r="M268" s="11" t="e">
        <f>_xlfn.XLOOKUP(Mvt_Inter_entrepot[[#This Row],[Num OF]],#REF!,#REF!,"Non Trouvé")</f>
        <v>#REF!</v>
      </c>
      <c r="N268" s="11" t="e">
        <f>_xlfn.XLOOKUP(Mvt_Inter_entrepot[[#This Row],[Num OF]],#REF!,#REF!,"Non Trouvé")</f>
        <v>#REF!</v>
      </c>
      <c r="O268" s="11" t="e">
        <f>_xlfn.XLOOKUP(Mvt_Inter_entrepot[[#This Row],[Num OF]],#REF!,#REF!,"Non Trouvé")</f>
        <v>#REF!</v>
      </c>
      <c r="P268" s="11" t="e">
        <f>_xlfn.XLOOKUP(Mvt_Inter_entrepot[[#This Row],[Num OF]],#REF!,#REF!,"Non Trouvé")</f>
        <v>#REF!</v>
      </c>
      <c r="Q268" s="11" t="str">
        <f>IF(
   COUNTIFS($A$2:A268,A268,
             $B$2:B268,B268,
             $C$2:C268,C268,
             $D$2:D268,D268,
             $E$2:E268,E268,
             $H$2:H268,H268
             )&gt;1,
   "Doublon",
   "Correcte"
)</f>
        <v>Correcte</v>
      </c>
    </row>
    <row r="269" spans="1:17" x14ac:dyDescent="0.25">
      <c r="A269" s="11" t="s">
        <v>3096</v>
      </c>
      <c r="B269" s="11" t="s">
        <v>1153</v>
      </c>
      <c r="C269" s="11" t="s">
        <v>662</v>
      </c>
      <c r="D269" s="11" t="s">
        <v>1154</v>
      </c>
      <c r="E269" s="11">
        <v>9</v>
      </c>
      <c r="F269" s="11"/>
      <c r="G269" s="11" t="s">
        <v>664</v>
      </c>
      <c r="H269" s="14">
        <v>45915</v>
      </c>
      <c r="I269" s="12">
        <f>-Mvt_Inter_entrepot[[#This Row],[QTE]]</f>
        <v>-9</v>
      </c>
      <c r="J269" s="11" t="s">
        <v>455</v>
      </c>
      <c r="K269" s="11" t="str">
        <f>_xlfn.TEXTBEFORE(Mvt_Inter_entrepot[[#This Row],[Num Suivis]],"-",,,1)</f>
        <v>OF245024</v>
      </c>
      <c r="L269" s="11" t="e">
        <f>_xlfn.XLOOKUP(Mvt_Inter_entrepot[[#This Row],[Num OF]],#REF!,#REF!,"Non Trouvé")</f>
        <v>#REF!</v>
      </c>
      <c r="M269" s="11" t="e">
        <f>_xlfn.XLOOKUP(Mvt_Inter_entrepot[[#This Row],[Num OF]],#REF!,#REF!,"Non Trouvé")</f>
        <v>#REF!</v>
      </c>
      <c r="N269" s="11" t="e">
        <f>_xlfn.XLOOKUP(Mvt_Inter_entrepot[[#This Row],[Num OF]],#REF!,#REF!,"Non Trouvé")</f>
        <v>#REF!</v>
      </c>
      <c r="O269" s="11" t="e">
        <f>_xlfn.XLOOKUP(Mvt_Inter_entrepot[[#This Row],[Num OF]],#REF!,#REF!,"Non Trouvé")</f>
        <v>#REF!</v>
      </c>
      <c r="P269" s="11" t="e">
        <f>_xlfn.XLOOKUP(Mvt_Inter_entrepot[[#This Row],[Num OF]],#REF!,#REF!,"Non Trouvé")</f>
        <v>#REF!</v>
      </c>
      <c r="Q269" s="11" t="str">
        <f>IF(
   COUNTIFS($A$2:A269,A269,
             $B$2:B269,B269,
             $C$2:C269,C269,
             $D$2:D269,D269,
             $E$2:E269,E269,
             $H$2:H269,H269
             )&gt;1,
   "Doublon",
   "Correcte"
)</f>
        <v>Correcte</v>
      </c>
    </row>
    <row r="270" spans="1:17" x14ac:dyDescent="0.25">
      <c r="A270" s="11" t="s">
        <v>3097</v>
      </c>
      <c r="B270" s="11" t="s">
        <v>1153</v>
      </c>
      <c r="C270" s="11" t="s">
        <v>662</v>
      </c>
      <c r="D270" s="11" t="s">
        <v>1154</v>
      </c>
      <c r="E270" s="11">
        <v>2</v>
      </c>
      <c r="F270" s="11"/>
      <c r="G270" s="11" t="s">
        <v>664</v>
      </c>
      <c r="H270" s="14">
        <v>45915</v>
      </c>
      <c r="I270" s="12">
        <f>-Mvt_Inter_entrepot[[#This Row],[QTE]]</f>
        <v>-2</v>
      </c>
      <c r="J270" s="11" t="s">
        <v>456</v>
      </c>
      <c r="K270" s="11" t="str">
        <f>_xlfn.TEXTBEFORE(Mvt_Inter_entrepot[[#This Row],[Num Suivis]],"-",,,1)</f>
        <v>OF245036</v>
      </c>
      <c r="L270" s="11" t="e">
        <f>_xlfn.XLOOKUP(Mvt_Inter_entrepot[[#This Row],[Num OF]],#REF!,#REF!,"Non Trouvé")</f>
        <v>#REF!</v>
      </c>
      <c r="M270" s="11" t="e">
        <f>_xlfn.XLOOKUP(Mvt_Inter_entrepot[[#This Row],[Num OF]],#REF!,#REF!,"Non Trouvé")</f>
        <v>#REF!</v>
      </c>
      <c r="N270" s="11" t="e">
        <f>_xlfn.XLOOKUP(Mvt_Inter_entrepot[[#This Row],[Num OF]],#REF!,#REF!,"Non Trouvé")</f>
        <v>#REF!</v>
      </c>
      <c r="O270" s="11" t="e">
        <f>_xlfn.XLOOKUP(Mvt_Inter_entrepot[[#This Row],[Num OF]],#REF!,#REF!,"Non Trouvé")</f>
        <v>#REF!</v>
      </c>
      <c r="P270" s="11" t="e">
        <f>_xlfn.XLOOKUP(Mvt_Inter_entrepot[[#This Row],[Num OF]],#REF!,#REF!,"Non Trouvé")</f>
        <v>#REF!</v>
      </c>
      <c r="Q270" s="11" t="str">
        <f>IF(
   COUNTIFS($A$2:A270,A270,
             $B$2:B270,B270,
             $C$2:C270,C270,
             $D$2:D270,D270,
             $E$2:E270,E270,
             $H$2:H270,H270
             )&gt;1,
   "Doublon",
   "Correcte"
)</f>
        <v>Correcte</v>
      </c>
    </row>
    <row r="271" spans="1:17" x14ac:dyDescent="0.25">
      <c r="A271" s="11" t="s">
        <v>3098</v>
      </c>
      <c r="B271" s="11" t="s">
        <v>1153</v>
      </c>
      <c r="C271" s="11" t="s">
        <v>662</v>
      </c>
      <c r="D271" s="11" t="s">
        <v>1154</v>
      </c>
      <c r="E271" s="11">
        <v>1</v>
      </c>
      <c r="F271" s="11"/>
      <c r="G271" s="11" t="s">
        <v>664</v>
      </c>
      <c r="H271" s="14">
        <v>45915</v>
      </c>
      <c r="I271" s="12">
        <f>-Mvt_Inter_entrepot[[#This Row],[QTE]]</f>
        <v>-1</v>
      </c>
      <c r="J271" s="11" t="s">
        <v>457</v>
      </c>
      <c r="K271" s="11" t="str">
        <f>_xlfn.TEXTBEFORE(Mvt_Inter_entrepot[[#This Row],[Num Suivis]],"-",,,1)</f>
        <v>OF245042</v>
      </c>
      <c r="L271" s="11" t="e">
        <f>_xlfn.XLOOKUP(Mvt_Inter_entrepot[[#This Row],[Num OF]],#REF!,#REF!,"Non Trouvé")</f>
        <v>#REF!</v>
      </c>
      <c r="M271" s="11" t="e">
        <f>_xlfn.XLOOKUP(Mvt_Inter_entrepot[[#This Row],[Num OF]],#REF!,#REF!,"Non Trouvé")</f>
        <v>#REF!</v>
      </c>
      <c r="N271" s="11" t="e">
        <f>_xlfn.XLOOKUP(Mvt_Inter_entrepot[[#This Row],[Num OF]],#REF!,#REF!,"Non Trouvé")</f>
        <v>#REF!</v>
      </c>
      <c r="O271" s="11" t="e">
        <f>_xlfn.XLOOKUP(Mvt_Inter_entrepot[[#This Row],[Num OF]],#REF!,#REF!,"Non Trouvé")</f>
        <v>#REF!</v>
      </c>
      <c r="P271" s="11" t="e">
        <f>_xlfn.XLOOKUP(Mvt_Inter_entrepot[[#This Row],[Num OF]],#REF!,#REF!,"Non Trouvé")</f>
        <v>#REF!</v>
      </c>
      <c r="Q271" s="11" t="str">
        <f>IF(
   COUNTIFS($A$2:A271,A271,
             $B$2:B271,B271,
             $C$2:C271,C271,
             $D$2:D271,D271,
             $E$2:E271,E271,
             $H$2:H271,H271
             )&gt;1,
   "Doublon",
   "Correcte"
)</f>
        <v>Correcte</v>
      </c>
    </row>
    <row r="272" spans="1:17" x14ac:dyDescent="0.25">
      <c r="A272" s="11" t="s">
        <v>3098</v>
      </c>
      <c r="B272" s="11" t="s">
        <v>1153</v>
      </c>
      <c r="C272" s="11" t="s">
        <v>662</v>
      </c>
      <c r="D272" s="11" t="s">
        <v>665</v>
      </c>
      <c r="E272" s="11">
        <v>2</v>
      </c>
      <c r="F272" s="11"/>
      <c r="G272" s="11" t="s">
        <v>664</v>
      </c>
      <c r="H272" s="14">
        <v>45915</v>
      </c>
      <c r="I272" s="12">
        <f>-Mvt_Inter_entrepot[[#This Row],[QTE]]</f>
        <v>-2</v>
      </c>
      <c r="J272" s="11" t="s">
        <v>457</v>
      </c>
      <c r="K272" s="11" t="str">
        <f>_xlfn.TEXTBEFORE(Mvt_Inter_entrepot[[#This Row],[Num Suivis]],"-",,,1)</f>
        <v>OF245042</v>
      </c>
      <c r="L272" s="11" t="e">
        <f>_xlfn.XLOOKUP(Mvt_Inter_entrepot[[#This Row],[Num OF]],#REF!,#REF!,"Non Trouvé")</f>
        <v>#REF!</v>
      </c>
      <c r="M272" s="11" t="e">
        <f>_xlfn.XLOOKUP(Mvt_Inter_entrepot[[#This Row],[Num OF]],#REF!,#REF!,"Non Trouvé")</f>
        <v>#REF!</v>
      </c>
      <c r="N272" s="11" t="e">
        <f>_xlfn.XLOOKUP(Mvt_Inter_entrepot[[#This Row],[Num OF]],#REF!,#REF!,"Non Trouvé")</f>
        <v>#REF!</v>
      </c>
      <c r="O272" s="11" t="e">
        <f>_xlfn.XLOOKUP(Mvt_Inter_entrepot[[#This Row],[Num OF]],#REF!,#REF!,"Non Trouvé")</f>
        <v>#REF!</v>
      </c>
      <c r="P272" s="11" t="e">
        <f>_xlfn.XLOOKUP(Mvt_Inter_entrepot[[#This Row],[Num OF]],#REF!,#REF!,"Non Trouvé")</f>
        <v>#REF!</v>
      </c>
      <c r="Q272" s="11" t="str">
        <f>IF(
   COUNTIFS($A$2:A272,A272,
             $B$2:B272,B272,
             $C$2:C272,C272,
             $D$2:D272,D272,
             $E$2:E272,E272,
             $H$2:H272,H272
             )&gt;1,
   "Doublon",
   "Correcte"
)</f>
        <v>Correcte</v>
      </c>
    </row>
    <row r="273" spans="1:17" x14ac:dyDescent="0.25">
      <c r="A273" s="11" t="s">
        <v>3099</v>
      </c>
      <c r="B273" s="11" t="s">
        <v>1153</v>
      </c>
      <c r="C273" s="11" t="s">
        <v>662</v>
      </c>
      <c r="D273" s="11" t="s">
        <v>1154</v>
      </c>
      <c r="E273" s="11">
        <v>26</v>
      </c>
      <c r="F273" s="11"/>
      <c r="G273" s="11" t="s">
        <v>664</v>
      </c>
      <c r="H273" s="14">
        <v>45915</v>
      </c>
      <c r="I273" s="12">
        <f>-Mvt_Inter_entrepot[[#This Row],[QTE]]</f>
        <v>-26</v>
      </c>
      <c r="J273" s="11" t="s">
        <v>217</v>
      </c>
      <c r="K273" s="11" t="str">
        <f>_xlfn.TEXTBEFORE(Mvt_Inter_entrepot[[#This Row],[Num Suivis]],"-",,,1)</f>
        <v>OF245233</v>
      </c>
      <c r="L273" s="11" t="e">
        <f>_xlfn.XLOOKUP(Mvt_Inter_entrepot[[#This Row],[Num OF]],#REF!,#REF!,"Non Trouvé")</f>
        <v>#REF!</v>
      </c>
      <c r="M273" s="11" t="e">
        <f>_xlfn.XLOOKUP(Mvt_Inter_entrepot[[#This Row],[Num OF]],#REF!,#REF!,"Non Trouvé")</f>
        <v>#REF!</v>
      </c>
      <c r="N273" s="11" t="e">
        <f>_xlfn.XLOOKUP(Mvt_Inter_entrepot[[#This Row],[Num OF]],#REF!,#REF!,"Non Trouvé")</f>
        <v>#REF!</v>
      </c>
      <c r="O273" s="11" t="e">
        <f>_xlfn.XLOOKUP(Mvt_Inter_entrepot[[#This Row],[Num OF]],#REF!,#REF!,"Non Trouvé")</f>
        <v>#REF!</v>
      </c>
      <c r="P273" s="11" t="e">
        <f>_xlfn.XLOOKUP(Mvt_Inter_entrepot[[#This Row],[Num OF]],#REF!,#REF!,"Non Trouvé")</f>
        <v>#REF!</v>
      </c>
      <c r="Q273" s="11" t="str">
        <f>IF(
   COUNTIFS($A$2:A273,A273,
             $B$2:B273,B273,
             $C$2:C273,C273,
             $D$2:D273,D273,
             $E$2:E273,E273,
             $H$2:H273,H273
             )&gt;1,
   "Doublon",
   "Correcte"
)</f>
        <v>Correcte</v>
      </c>
    </row>
    <row r="274" spans="1:17" x14ac:dyDescent="0.25">
      <c r="A274" s="11" t="s">
        <v>3100</v>
      </c>
      <c r="B274" s="11" t="s">
        <v>1153</v>
      </c>
      <c r="C274" s="11" t="s">
        <v>662</v>
      </c>
      <c r="D274" s="11" t="s">
        <v>1154</v>
      </c>
      <c r="E274" s="11">
        <v>1</v>
      </c>
      <c r="F274" s="11"/>
      <c r="G274" s="11" t="s">
        <v>664</v>
      </c>
      <c r="H274" s="14">
        <v>45915</v>
      </c>
      <c r="I274" s="12">
        <f>-Mvt_Inter_entrepot[[#This Row],[QTE]]</f>
        <v>-1</v>
      </c>
      <c r="J274" s="11" t="s">
        <v>460</v>
      </c>
      <c r="K274" s="11" t="str">
        <f>_xlfn.TEXTBEFORE(Mvt_Inter_entrepot[[#This Row],[Num Suivis]],"-",,,1)</f>
        <v>OF245520</v>
      </c>
      <c r="L274" s="11" t="e">
        <f>_xlfn.XLOOKUP(Mvt_Inter_entrepot[[#This Row],[Num OF]],#REF!,#REF!,"Non Trouvé")</f>
        <v>#REF!</v>
      </c>
      <c r="M274" s="11" t="e">
        <f>_xlfn.XLOOKUP(Mvt_Inter_entrepot[[#This Row],[Num OF]],#REF!,#REF!,"Non Trouvé")</f>
        <v>#REF!</v>
      </c>
      <c r="N274" s="11" t="e">
        <f>_xlfn.XLOOKUP(Mvt_Inter_entrepot[[#This Row],[Num OF]],#REF!,#REF!,"Non Trouvé")</f>
        <v>#REF!</v>
      </c>
      <c r="O274" s="11" t="e">
        <f>_xlfn.XLOOKUP(Mvt_Inter_entrepot[[#This Row],[Num OF]],#REF!,#REF!,"Non Trouvé")</f>
        <v>#REF!</v>
      </c>
      <c r="P274" s="11" t="e">
        <f>_xlfn.XLOOKUP(Mvt_Inter_entrepot[[#This Row],[Num OF]],#REF!,#REF!,"Non Trouvé")</f>
        <v>#REF!</v>
      </c>
      <c r="Q274" s="11" t="str">
        <f>IF(
   COUNTIFS($A$2:A274,A274,
             $B$2:B274,B274,
             $C$2:C274,C274,
             $D$2:D274,D274,
             $E$2:E274,E274,
             $H$2:H274,H274
             )&gt;1,
   "Doublon",
   "Correcte"
)</f>
        <v>Correcte</v>
      </c>
    </row>
    <row r="275" spans="1:17" x14ac:dyDescent="0.25">
      <c r="A275" s="11" t="s">
        <v>3101</v>
      </c>
      <c r="B275" s="11" t="s">
        <v>1153</v>
      </c>
      <c r="C275" s="11" t="s">
        <v>662</v>
      </c>
      <c r="D275" s="11" t="s">
        <v>1154</v>
      </c>
      <c r="E275" s="11">
        <v>2</v>
      </c>
      <c r="F275" s="11"/>
      <c r="G275" s="11" t="s">
        <v>664</v>
      </c>
      <c r="H275" s="14">
        <v>45915</v>
      </c>
      <c r="I275" s="12">
        <f>-Mvt_Inter_entrepot[[#This Row],[QTE]]</f>
        <v>-2</v>
      </c>
      <c r="J275" s="11" t="s">
        <v>464</v>
      </c>
      <c r="K275" s="11" t="str">
        <f>_xlfn.TEXTBEFORE(Mvt_Inter_entrepot[[#This Row],[Num Suivis]],"-",,,1)</f>
        <v>OF245558</v>
      </c>
      <c r="L275" s="11" t="e">
        <f>_xlfn.XLOOKUP(Mvt_Inter_entrepot[[#This Row],[Num OF]],#REF!,#REF!,"Non Trouvé")</f>
        <v>#REF!</v>
      </c>
      <c r="M275" s="11" t="e">
        <f>_xlfn.XLOOKUP(Mvt_Inter_entrepot[[#This Row],[Num OF]],#REF!,#REF!,"Non Trouvé")</f>
        <v>#REF!</v>
      </c>
      <c r="N275" s="11" t="e">
        <f>_xlfn.XLOOKUP(Mvt_Inter_entrepot[[#This Row],[Num OF]],#REF!,#REF!,"Non Trouvé")</f>
        <v>#REF!</v>
      </c>
      <c r="O275" s="11" t="e">
        <f>_xlfn.XLOOKUP(Mvt_Inter_entrepot[[#This Row],[Num OF]],#REF!,#REF!,"Non Trouvé")</f>
        <v>#REF!</v>
      </c>
      <c r="P275" s="11" t="e">
        <f>_xlfn.XLOOKUP(Mvt_Inter_entrepot[[#This Row],[Num OF]],#REF!,#REF!,"Non Trouvé")</f>
        <v>#REF!</v>
      </c>
      <c r="Q275" s="11" t="str">
        <f>IF(
   COUNTIFS($A$2:A275,A275,
             $B$2:B275,B275,
             $C$2:C275,C275,
             $D$2:D275,D275,
             $E$2:E275,E275,
             $H$2:H275,H275
             )&gt;1,
   "Doublon",
   "Correcte"
)</f>
        <v>Correcte</v>
      </c>
    </row>
    <row r="276" spans="1:17" x14ac:dyDescent="0.25">
      <c r="A276" s="11" t="s">
        <v>3102</v>
      </c>
      <c r="B276" s="11" t="s">
        <v>1153</v>
      </c>
      <c r="C276" s="11" t="s">
        <v>662</v>
      </c>
      <c r="D276" s="11" t="s">
        <v>1154</v>
      </c>
      <c r="E276" s="11">
        <v>1</v>
      </c>
      <c r="F276" s="11"/>
      <c r="G276" s="11" t="s">
        <v>664</v>
      </c>
      <c r="H276" s="14">
        <v>45915</v>
      </c>
      <c r="I276" s="12">
        <f>-Mvt_Inter_entrepot[[#This Row],[QTE]]</f>
        <v>-1</v>
      </c>
      <c r="J276" s="11" t="s">
        <v>465</v>
      </c>
      <c r="K276" s="11" t="str">
        <f>_xlfn.TEXTBEFORE(Mvt_Inter_entrepot[[#This Row],[Num Suivis]],"-",,,1)</f>
        <v>OF245568</v>
      </c>
      <c r="L276" s="11" t="e">
        <f>_xlfn.XLOOKUP(Mvt_Inter_entrepot[[#This Row],[Num OF]],#REF!,#REF!,"Non Trouvé")</f>
        <v>#REF!</v>
      </c>
      <c r="M276" s="11" t="e">
        <f>_xlfn.XLOOKUP(Mvt_Inter_entrepot[[#This Row],[Num OF]],#REF!,#REF!,"Non Trouvé")</f>
        <v>#REF!</v>
      </c>
      <c r="N276" s="11" t="e">
        <f>_xlfn.XLOOKUP(Mvt_Inter_entrepot[[#This Row],[Num OF]],#REF!,#REF!,"Non Trouvé")</f>
        <v>#REF!</v>
      </c>
      <c r="O276" s="11" t="e">
        <f>_xlfn.XLOOKUP(Mvt_Inter_entrepot[[#This Row],[Num OF]],#REF!,#REF!,"Non Trouvé")</f>
        <v>#REF!</v>
      </c>
      <c r="P276" s="11" t="e">
        <f>_xlfn.XLOOKUP(Mvt_Inter_entrepot[[#This Row],[Num OF]],#REF!,#REF!,"Non Trouvé")</f>
        <v>#REF!</v>
      </c>
      <c r="Q276" s="11" t="str">
        <f>IF(
   COUNTIFS($A$2:A276,A276,
             $B$2:B276,B276,
             $C$2:C276,C276,
             $D$2:D276,D276,
             $E$2:E276,E276,
             $H$2:H276,H276
             )&gt;1,
   "Doublon",
   "Correcte"
)</f>
        <v>Correcte</v>
      </c>
    </row>
    <row r="277" spans="1:17" x14ac:dyDescent="0.25">
      <c r="A277" s="11" t="s">
        <v>3103</v>
      </c>
      <c r="B277" s="11" t="s">
        <v>1153</v>
      </c>
      <c r="C277" s="11" t="s">
        <v>662</v>
      </c>
      <c r="D277" s="11" t="s">
        <v>1154</v>
      </c>
      <c r="E277" s="11">
        <v>1</v>
      </c>
      <c r="F277" s="11"/>
      <c r="G277" s="11" t="s">
        <v>664</v>
      </c>
      <c r="H277" s="14">
        <v>45915</v>
      </c>
      <c r="I277" s="12">
        <f>-Mvt_Inter_entrepot[[#This Row],[QTE]]</f>
        <v>-1</v>
      </c>
      <c r="J277" s="11" t="s">
        <v>466</v>
      </c>
      <c r="K277" s="11" t="str">
        <f>_xlfn.TEXTBEFORE(Mvt_Inter_entrepot[[#This Row],[Num Suivis]],"-",,,1)</f>
        <v>OF245569</v>
      </c>
      <c r="L277" s="11" t="e">
        <f>_xlfn.XLOOKUP(Mvt_Inter_entrepot[[#This Row],[Num OF]],#REF!,#REF!,"Non Trouvé")</f>
        <v>#REF!</v>
      </c>
      <c r="M277" s="11" t="e">
        <f>_xlfn.XLOOKUP(Mvt_Inter_entrepot[[#This Row],[Num OF]],#REF!,#REF!,"Non Trouvé")</f>
        <v>#REF!</v>
      </c>
      <c r="N277" s="11" t="e">
        <f>_xlfn.XLOOKUP(Mvt_Inter_entrepot[[#This Row],[Num OF]],#REF!,#REF!,"Non Trouvé")</f>
        <v>#REF!</v>
      </c>
      <c r="O277" s="11" t="e">
        <f>_xlfn.XLOOKUP(Mvt_Inter_entrepot[[#This Row],[Num OF]],#REF!,#REF!,"Non Trouvé")</f>
        <v>#REF!</v>
      </c>
      <c r="P277" s="11" t="e">
        <f>_xlfn.XLOOKUP(Mvt_Inter_entrepot[[#This Row],[Num OF]],#REF!,#REF!,"Non Trouvé")</f>
        <v>#REF!</v>
      </c>
      <c r="Q277" s="11" t="str">
        <f>IF(
   COUNTIFS($A$2:A277,A277,
             $B$2:B277,B277,
             $C$2:C277,C277,
             $D$2:D277,D277,
             $E$2:E277,E277,
             $H$2:H277,H277
             )&gt;1,
   "Doublon",
   "Correcte"
)</f>
        <v>Correcte</v>
      </c>
    </row>
    <row r="278" spans="1:17" x14ac:dyDescent="0.25">
      <c r="A278" s="11" t="s">
        <v>3104</v>
      </c>
      <c r="B278" s="11" t="s">
        <v>1153</v>
      </c>
      <c r="C278" s="11" t="s">
        <v>662</v>
      </c>
      <c r="D278" s="11" t="s">
        <v>1154</v>
      </c>
      <c r="E278" s="11">
        <v>1</v>
      </c>
      <c r="F278" s="11"/>
      <c r="G278" s="11" t="s">
        <v>664</v>
      </c>
      <c r="H278" s="14">
        <v>45915</v>
      </c>
      <c r="I278" s="12">
        <f>-Mvt_Inter_entrepot[[#This Row],[QTE]]</f>
        <v>-1</v>
      </c>
      <c r="J278" s="11" t="s">
        <v>467</v>
      </c>
      <c r="K278" s="11" t="str">
        <f>_xlfn.TEXTBEFORE(Mvt_Inter_entrepot[[#This Row],[Num Suivis]],"-",,,1)</f>
        <v>OF245576</v>
      </c>
      <c r="L278" s="11" t="e">
        <f>_xlfn.XLOOKUP(Mvt_Inter_entrepot[[#This Row],[Num OF]],#REF!,#REF!,"Non Trouvé")</f>
        <v>#REF!</v>
      </c>
      <c r="M278" s="11" t="e">
        <f>_xlfn.XLOOKUP(Mvt_Inter_entrepot[[#This Row],[Num OF]],#REF!,#REF!,"Non Trouvé")</f>
        <v>#REF!</v>
      </c>
      <c r="N278" s="11" t="e">
        <f>_xlfn.XLOOKUP(Mvt_Inter_entrepot[[#This Row],[Num OF]],#REF!,#REF!,"Non Trouvé")</f>
        <v>#REF!</v>
      </c>
      <c r="O278" s="11" t="e">
        <f>_xlfn.XLOOKUP(Mvt_Inter_entrepot[[#This Row],[Num OF]],#REF!,#REF!,"Non Trouvé")</f>
        <v>#REF!</v>
      </c>
      <c r="P278" s="11" t="e">
        <f>_xlfn.XLOOKUP(Mvt_Inter_entrepot[[#This Row],[Num OF]],#REF!,#REF!,"Non Trouvé")</f>
        <v>#REF!</v>
      </c>
      <c r="Q278" s="11" t="str">
        <f>IF(
   COUNTIFS($A$2:A278,A278,
             $B$2:B278,B278,
             $C$2:C278,C278,
             $D$2:D278,D278,
             $E$2:E278,E278,
             $H$2:H278,H278
             )&gt;1,
   "Doublon",
   "Correcte"
)</f>
        <v>Correcte</v>
      </c>
    </row>
    <row r="279" spans="1:17" x14ac:dyDescent="0.25">
      <c r="A279" s="11" t="s">
        <v>3105</v>
      </c>
      <c r="B279" s="11" t="s">
        <v>1153</v>
      </c>
      <c r="C279" s="11" t="s">
        <v>662</v>
      </c>
      <c r="D279" s="11" t="s">
        <v>1154</v>
      </c>
      <c r="E279" s="11">
        <v>1</v>
      </c>
      <c r="F279" s="11"/>
      <c r="G279" s="11" t="s">
        <v>664</v>
      </c>
      <c r="H279" s="14">
        <v>45915</v>
      </c>
      <c r="I279" s="12">
        <f>-Mvt_Inter_entrepot[[#This Row],[QTE]]</f>
        <v>-1</v>
      </c>
      <c r="J279" s="11" t="s">
        <v>468</v>
      </c>
      <c r="K279" s="11" t="str">
        <f>_xlfn.TEXTBEFORE(Mvt_Inter_entrepot[[#This Row],[Num Suivis]],"-",,,1)</f>
        <v>OF245592</v>
      </c>
      <c r="L279" s="11" t="e">
        <f>_xlfn.XLOOKUP(Mvt_Inter_entrepot[[#This Row],[Num OF]],#REF!,#REF!,"Non Trouvé")</f>
        <v>#REF!</v>
      </c>
      <c r="M279" s="11" t="e">
        <f>_xlfn.XLOOKUP(Mvt_Inter_entrepot[[#This Row],[Num OF]],#REF!,#REF!,"Non Trouvé")</f>
        <v>#REF!</v>
      </c>
      <c r="N279" s="11" t="e">
        <f>_xlfn.XLOOKUP(Mvt_Inter_entrepot[[#This Row],[Num OF]],#REF!,#REF!,"Non Trouvé")</f>
        <v>#REF!</v>
      </c>
      <c r="O279" s="11" t="e">
        <f>_xlfn.XLOOKUP(Mvt_Inter_entrepot[[#This Row],[Num OF]],#REF!,#REF!,"Non Trouvé")</f>
        <v>#REF!</v>
      </c>
      <c r="P279" s="11" t="e">
        <f>_xlfn.XLOOKUP(Mvt_Inter_entrepot[[#This Row],[Num OF]],#REF!,#REF!,"Non Trouvé")</f>
        <v>#REF!</v>
      </c>
      <c r="Q279" s="11" t="str">
        <f>IF(
   COUNTIFS($A$2:A279,A279,
             $B$2:B279,B279,
             $C$2:C279,C279,
             $D$2:D279,D279,
             $E$2:E279,E279,
             $H$2:H279,H279
             )&gt;1,
   "Doublon",
   "Correcte"
)</f>
        <v>Correcte</v>
      </c>
    </row>
    <row r="280" spans="1:17" x14ac:dyDescent="0.25">
      <c r="A280" s="11" t="s">
        <v>3106</v>
      </c>
      <c r="B280" s="11" t="s">
        <v>1153</v>
      </c>
      <c r="C280" s="11" t="s">
        <v>662</v>
      </c>
      <c r="D280" s="11" t="s">
        <v>1154</v>
      </c>
      <c r="E280" s="11">
        <v>1</v>
      </c>
      <c r="F280" s="11"/>
      <c r="G280" s="11" t="s">
        <v>664</v>
      </c>
      <c r="H280" s="14">
        <v>45915</v>
      </c>
      <c r="I280" s="12">
        <f>-Mvt_Inter_entrepot[[#This Row],[QTE]]</f>
        <v>-1</v>
      </c>
      <c r="J280" s="11" t="s">
        <v>469</v>
      </c>
      <c r="K280" s="11" t="str">
        <f>_xlfn.TEXTBEFORE(Mvt_Inter_entrepot[[#This Row],[Num Suivis]],"-",,,1)</f>
        <v>OF245593</v>
      </c>
      <c r="L280" s="11" t="e">
        <f>_xlfn.XLOOKUP(Mvt_Inter_entrepot[[#This Row],[Num OF]],#REF!,#REF!,"Non Trouvé")</f>
        <v>#REF!</v>
      </c>
      <c r="M280" s="11" t="e">
        <f>_xlfn.XLOOKUP(Mvt_Inter_entrepot[[#This Row],[Num OF]],#REF!,#REF!,"Non Trouvé")</f>
        <v>#REF!</v>
      </c>
      <c r="N280" s="11" t="e">
        <f>_xlfn.XLOOKUP(Mvt_Inter_entrepot[[#This Row],[Num OF]],#REF!,#REF!,"Non Trouvé")</f>
        <v>#REF!</v>
      </c>
      <c r="O280" s="11" t="e">
        <f>_xlfn.XLOOKUP(Mvt_Inter_entrepot[[#This Row],[Num OF]],#REF!,#REF!,"Non Trouvé")</f>
        <v>#REF!</v>
      </c>
      <c r="P280" s="11" t="e">
        <f>_xlfn.XLOOKUP(Mvt_Inter_entrepot[[#This Row],[Num OF]],#REF!,#REF!,"Non Trouvé")</f>
        <v>#REF!</v>
      </c>
      <c r="Q280" s="11" t="str">
        <f>IF(
   COUNTIFS($A$2:A280,A280,
             $B$2:B280,B280,
             $C$2:C280,C280,
             $D$2:D280,D280,
             $E$2:E280,E280,
             $H$2:H280,H280
             )&gt;1,
   "Doublon",
   "Correcte"
)</f>
        <v>Correcte</v>
      </c>
    </row>
    <row r="281" spans="1:17" x14ac:dyDescent="0.25">
      <c r="A281" s="11" t="s">
        <v>3107</v>
      </c>
      <c r="B281" s="11" t="s">
        <v>1153</v>
      </c>
      <c r="C281" s="11" t="s">
        <v>662</v>
      </c>
      <c r="D281" s="11" t="s">
        <v>665</v>
      </c>
      <c r="E281" s="11">
        <v>2</v>
      </c>
      <c r="F281" s="11"/>
      <c r="G281" s="11" t="s">
        <v>664</v>
      </c>
      <c r="H281" s="14">
        <v>45915</v>
      </c>
      <c r="I281" s="12">
        <f>-Mvt_Inter_entrepot[[#This Row],[QTE]]</f>
        <v>-2</v>
      </c>
      <c r="J281" s="11" t="s">
        <v>470</v>
      </c>
      <c r="K281" s="11" t="str">
        <f>_xlfn.TEXTBEFORE(Mvt_Inter_entrepot[[#This Row],[Num Suivis]],"-",,,1)</f>
        <v>OF245595</v>
      </c>
      <c r="L281" s="11" t="e">
        <f>_xlfn.XLOOKUP(Mvt_Inter_entrepot[[#This Row],[Num OF]],#REF!,#REF!,"Non Trouvé")</f>
        <v>#REF!</v>
      </c>
      <c r="M281" s="11" t="e">
        <f>_xlfn.XLOOKUP(Mvt_Inter_entrepot[[#This Row],[Num OF]],#REF!,#REF!,"Non Trouvé")</f>
        <v>#REF!</v>
      </c>
      <c r="N281" s="11" t="e">
        <f>_xlfn.XLOOKUP(Mvt_Inter_entrepot[[#This Row],[Num OF]],#REF!,#REF!,"Non Trouvé")</f>
        <v>#REF!</v>
      </c>
      <c r="O281" s="11" t="e">
        <f>_xlfn.XLOOKUP(Mvt_Inter_entrepot[[#This Row],[Num OF]],#REF!,#REF!,"Non Trouvé")</f>
        <v>#REF!</v>
      </c>
      <c r="P281" s="11" t="e">
        <f>_xlfn.XLOOKUP(Mvt_Inter_entrepot[[#This Row],[Num OF]],#REF!,#REF!,"Non Trouvé")</f>
        <v>#REF!</v>
      </c>
      <c r="Q281" s="11" t="str">
        <f>IF(
   COUNTIFS($A$2:A281,A281,
             $B$2:B281,B281,
             $C$2:C281,C281,
             $D$2:D281,D281,
             $E$2:E281,E281,
             $H$2:H281,H281
             )&gt;1,
   "Doublon",
   "Correcte"
)</f>
        <v>Correcte</v>
      </c>
    </row>
    <row r="282" spans="1:17" x14ac:dyDescent="0.25">
      <c r="A282" s="11" t="s">
        <v>3108</v>
      </c>
      <c r="B282" s="11" t="s">
        <v>1153</v>
      </c>
      <c r="C282" s="11" t="s">
        <v>662</v>
      </c>
      <c r="D282" s="11" t="s">
        <v>1154</v>
      </c>
      <c r="E282" s="11">
        <v>26</v>
      </c>
      <c r="F282" s="11"/>
      <c r="G282" s="11" t="s">
        <v>664</v>
      </c>
      <c r="H282" s="14">
        <v>45915</v>
      </c>
      <c r="I282" s="12">
        <f>-Mvt_Inter_entrepot[[#This Row],[QTE]]</f>
        <v>-26</v>
      </c>
      <c r="J282" s="11" t="s">
        <v>218</v>
      </c>
      <c r="K282" s="11" t="str">
        <f>_xlfn.TEXTBEFORE(Mvt_Inter_entrepot[[#This Row],[Num Suivis]],"-",,,1)</f>
        <v>OF245597</v>
      </c>
      <c r="L282" s="11" t="e">
        <f>_xlfn.XLOOKUP(Mvt_Inter_entrepot[[#This Row],[Num OF]],#REF!,#REF!,"Non Trouvé")</f>
        <v>#REF!</v>
      </c>
      <c r="M282" s="11" t="e">
        <f>_xlfn.XLOOKUP(Mvt_Inter_entrepot[[#This Row],[Num OF]],#REF!,#REF!,"Non Trouvé")</f>
        <v>#REF!</v>
      </c>
      <c r="N282" s="11" t="e">
        <f>_xlfn.XLOOKUP(Mvt_Inter_entrepot[[#This Row],[Num OF]],#REF!,#REF!,"Non Trouvé")</f>
        <v>#REF!</v>
      </c>
      <c r="O282" s="11" t="e">
        <f>_xlfn.XLOOKUP(Mvt_Inter_entrepot[[#This Row],[Num OF]],#REF!,#REF!,"Non Trouvé")</f>
        <v>#REF!</v>
      </c>
      <c r="P282" s="11" t="e">
        <f>_xlfn.XLOOKUP(Mvt_Inter_entrepot[[#This Row],[Num OF]],#REF!,#REF!,"Non Trouvé")</f>
        <v>#REF!</v>
      </c>
      <c r="Q282" s="11" t="str">
        <f>IF(
   COUNTIFS($A$2:A282,A282,
             $B$2:B282,B282,
             $C$2:C282,C282,
             $D$2:D282,D282,
             $E$2:E282,E282,
             $H$2:H282,H282
             )&gt;1,
   "Doublon",
   "Correcte"
)</f>
        <v>Correcte</v>
      </c>
    </row>
    <row r="283" spans="1:17" x14ac:dyDescent="0.25">
      <c r="A283" s="11" t="s">
        <v>3108</v>
      </c>
      <c r="B283" s="11" t="s">
        <v>1153</v>
      </c>
      <c r="C283" s="11" t="s">
        <v>662</v>
      </c>
      <c r="D283" s="11" t="s">
        <v>1154</v>
      </c>
      <c r="E283" s="11">
        <v>1</v>
      </c>
      <c r="F283" s="11"/>
      <c r="G283" s="11" t="s">
        <v>664</v>
      </c>
      <c r="H283" s="14">
        <v>45915</v>
      </c>
      <c r="I283" s="12">
        <f>-Mvt_Inter_entrepot[[#This Row],[QTE]]</f>
        <v>-1</v>
      </c>
      <c r="J283" s="11" t="s">
        <v>218</v>
      </c>
      <c r="K283" s="11" t="str">
        <f>_xlfn.TEXTBEFORE(Mvt_Inter_entrepot[[#This Row],[Num Suivis]],"-",,,1)</f>
        <v>OF245597</v>
      </c>
      <c r="L283" s="11" t="e">
        <f>_xlfn.XLOOKUP(Mvt_Inter_entrepot[[#This Row],[Num OF]],#REF!,#REF!,"Non Trouvé")</f>
        <v>#REF!</v>
      </c>
      <c r="M283" s="11" t="e">
        <f>_xlfn.XLOOKUP(Mvt_Inter_entrepot[[#This Row],[Num OF]],#REF!,#REF!,"Non Trouvé")</f>
        <v>#REF!</v>
      </c>
      <c r="N283" s="11" t="e">
        <f>_xlfn.XLOOKUP(Mvt_Inter_entrepot[[#This Row],[Num OF]],#REF!,#REF!,"Non Trouvé")</f>
        <v>#REF!</v>
      </c>
      <c r="O283" s="11" t="e">
        <f>_xlfn.XLOOKUP(Mvt_Inter_entrepot[[#This Row],[Num OF]],#REF!,#REF!,"Non Trouvé")</f>
        <v>#REF!</v>
      </c>
      <c r="P283" s="11" t="e">
        <f>_xlfn.XLOOKUP(Mvt_Inter_entrepot[[#This Row],[Num OF]],#REF!,#REF!,"Non Trouvé")</f>
        <v>#REF!</v>
      </c>
      <c r="Q283" s="11" t="str">
        <f>IF(
   COUNTIFS($A$2:A283,A283,
             $B$2:B283,B283,
             $C$2:C283,C283,
             $D$2:D283,D283,
             $E$2:E283,E283,
             $H$2:H283,H283
             )&gt;1,
   "Doublon",
   "Correcte"
)</f>
        <v>Correcte</v>
      </c>
    </row>
    <row r="284" spans="1:17" x14ac:dyDescent="0.25">
      <c r="A284" s="11" t="s">
        <v>3109</v>
      </c>
      <c r="B284" s="11" t="s">
        <v>1153</v>
      </c>
      <c r="C284" s="11" t="s">
        <v>662</v>
      </c>
      <c r="D284" s="11" t="s">
        <v>1154</v>
      </c>
      <c r="E284" s="11">
        <v>29</v>
      </c>
      <c r="F284" s="11"/>
      <c r="G284" s="11" t="s">
        <v>664</v>
      </c>
      <c r="H284" s="14">
        <v>45915</v>
      </c>
      <c r="I284" s="12">
        <f>-Mvt_Inter_entrepot[[#This Row],[QTE]]</f>
        <v>-29</v>
      </c>
      <c r="J284" s="11" t="s">
        <v>219</v>
      </c>
      <c r="K284" s="11" t="str">
        <f>_xlfn.TEXTBEFORE(Mvt_Inter_entrepot[[#This Row],[Num Suivis]],"-",,,1)</f>
        <v>OF245598</v>
      </c>
      <c r="L284" s="11" t="e">
        <f>_xlfn.XLOOKUP(Mvt_Inter_entrepot[[#This Row],[Num OF]],#REF!,#REF!,"Non Trouvé")</f>
        <v>#REF!</v>
      </c>
      <c r="M284" s="11" t="e">
        <f>_xlfn.XLOOKUP(Mvt_Inter_entrepot[[#This Row],[Num OF]],#REF!,#REF!,"Non Trouvé")</f>
        <v>#REF!</v>
      </c>
      <c r="N284" s="11" t="e">
        <f>_xlfn.XLOOKUP(Mvt_Inter_entrepot[[#This Row],[Num OF]],#REF!,#REF!,"Non Trouvé")</f>
        <v>#REF!</v>
      </c>
      <c r="O284" s="11" t="e">
        <f>_xlfn.XLOOKUP(Mvt_Inter_entrepot[[#This Row],[Num OF]],#REF!,#REF!,"Non Trouvé")</f>
        <v>#REF!</v>
      </c>
      <c r="P284" s="11" t="e">
        <f>_xlfn.XLOOKUP(Mvt_Inter_entrepot[[#This Row],[Num OF]],#REF!,#REF!,"Non Trouvé")</f>
        <v>#REF!</v>
      </c>
      <c r="Q284" s="11" t="str">
        <f>IF(
   COUNTIFS($A$2:A284,A284,
             $B$2:B284,B284,
             $C$2:C284,C284,
             $D$2:D284,D284,
             $E$2:E284,E284,
             $H$2:H284,H284
             )&gt;1,
   "Doublon",
   "Correcte"
)</f>
        <v>Correcte</v>
      </c>
    </row>
    <row r="285" spans="1:17" x14ac:dyDescent="0.25">
      <c r="A285" s="11" t="s">
        <v>3109</v>
      </c>
      <c r="B285" s="11" t="s">
        <v>1153</v>
      </c>
      <c r="C285" s="11" t="s">
        <v>662</v>
      </c>
      <c r="D285" s="11" t="s">
        <v>1154</v>
      </c>
      <c r="E285" s="11">
        <v>1</v>
      </c>
      <c r="F285" s="11"/>
      <c r="G285" s="11" t="s">
        <v>664</v>
      </c>
      <c r="H285" s="14">
        <v>45915</v>
      </c>
      <c r="I285" s="12">
        <f>-Mvt_Inter_entrepot[[#This Row],[QTE]]</f>
        <v>-1</v>
      </c>
      <c r="J285" s="11" t="s">
        <v>219</v>
      </c>
      <c r="K285" s="11" t="str">
        <f>_xlfn.TEXTBEFORE(Mvt_Inter_entrepot[[#This Row],[Num Suivis]],"-",,,1)</f>
        <v>OF245598</v>
      </c>
      <c r="L285" s="11" t="e">
        <f>_xlfn.XLOOKUP(Mvt_Inter_entrepot[[#This Row],[Num OF]],#REF!,#REF!,"Non Trouvé")</f>
        <v>#REF!</v>
      </c>
      <c r="M285" s="11" t="e">
        <f>_xlfn.XLOOKUP(Mvt_Inter_entrepot[[#This Row],[Num OF]],#REF!,#REF!,"Non Trouvé")</f>
        <v>#REF!</v>
      </c>
      <c r="N285" s="11" t="e">
        <f>_xlfn.XLOOKUP(Mvt_Inter_entrepot[[#This Row],[Num OF]],#REF!,#REF!,"Non Trouvé")</f>
        <v>#REF!</v>
      </c>
      <c r="O285" s="11" t="e">
        <f>_xlfn.XLOOKUP(Mvt_Inter_entrepot[[#This Row],[Num OF]],#REF!,#REF!,"Non Trouvé")</f>
        <v>#REF!</v>
      </c>
      <c r="P285" s="11" t="e">
        <f>_xlfn.XLOOKUP(Mvt_Inter_entrepot[[#This Row],[Num OF]],#REF!,#REF!,"Non Trouvé")</f>
        <v>#REF!</v>
      </c>
      <c r="Q285" s="11" t="str">
        <f>IF(
   COUNTIFS($A$2:A285,A285,
             $B$2:B285,B285,
             $C$2:C285,C285,
             $D$2:D285,D285,
             $E$2:E285,E285,
             $H$2:H285,H285
             )&gt;1,
   "Doublon",
   "Correcte"
)</f>
        <v>Correcte</v>
      </c>
    </row>
    <row r="286" spans="1:17" x14ac:dyDescent="0.25">
      <c r="A286" s="11" t="s">
        <v>3110</v>
      </c>
      <c r="B286" s="11" t="s">
        <v>1153</v>
      </c>
      <c r="C286" s="11" t="s">
        <v>662</v>
      </c>
      <c r="D286" s="11" t="s">
        <v>1154</v>
      </c>
      <c r="E286" s="11">
        <v>29</v>
      </c>
      <c r="F286" s="11"/>
      <c r="G286" s="11" t="s">
        <v>664</v>
      </c>
      <c r="H286" s="14">
        <v>45915</v>
      </c>
      <c r="I286" s="12">
        <f>-Mvt_Inter_entrepot[[#This Row],[QTE]]</f>
        <v>-29</v>
      </c>
      <c r="J286" s="11" t="s">
        <v>220</v>
      </c>
      <c r="K286" s="11" t="str">
        <f>_xlfn.TEXTBEFORE(Mvt_Inter_entrepot[[#This Row],[Num Suivis]],"-",,,1)</f>
        <v>OF245599</v>
      </c>
      <c r="L286" s="11" t="e">
        <f>_xlfn.XLOOKUP(Mvt_Inter_entrepot[[#This Row],[Num OF]],#REF!,#REF!,"Non Trouvé")</f>
        <v>#REF!</v>
      </c>
      <c r="M286" s="11" t="e">
        <f>_xlfn.XLOOKUP(Mvt_Inter_entrepot[[#This Row],[Num OF]],#REF!,#REF!,"Non Trouvé")</f>
        <v>#REF!</v>
      </c>
      <c r="N286" s="11" t="e">
        <f>_xlfn.XLOOKUP(Mvt_Inter_entrepot[[#This Row],[Num OF]],#REF!,#REF!,"Non Trouvé")</f>
        <v>#REF!</v>
      </c>
      <c r="O286" s="11" t="e">
        <f>_xlfn.XLOOKUP(Mvt_Inter_entrepot[[#This Row],[Num OF]],#REF!,#REF!,"Non Trouvé")</f>
        <v>#REF!</v>
      </c>
      <c r="P286" s="11" t="e">
        <f>_xlfn.XLOOKUP(Mvt_Inter_entrepot[[#This Row],[Num OF]],#REF!,#REF!,"Non Trouvé")</f>
        <v>#REF!</v>
      </c>
      <c r="Q286" s="11" t="str">
        <f>IF(
   COUNTIFS($A$2:A286,A286,
             $B$2:B286,B286,
             $C$2:C286,C286,
             $D$2:D286,D286,
             $E$2:E286,E286,
             $H$2:H286,H286
             )&gt;1,
   "Doublon",
   "Correcte"
)</f>
        <v>Correcte</v>
      </c>
    </row>
    <row r="287" spans="1:17" x14ac:dyDescent="0.25">
      <c r="A287" s="11" t="s">
        <v>3111</v>
      </c>
      <c r="B287" s="11" t="s">
        <v>1153</v>
      </c>
      <c r="C287" s="11" t="s">
        <v>662</v>
      </c>
      <c r="D287" s="11" t="s">
        <v>1154</v>
      </c>
      <c r="E287" s="11">
        <v>28</v>
      </c>
      <c r="F287" s="11"/>
      <c r="G287" s="11" t="s">
        <v>664</v>
      </c>
      <c r="H287" s="14">
        <v>45915</v>
      </c>
      <c r="I287" s="12">
        <f>-Mvt_Inter_entrepot[[#This Row],[QTE]]</f>
        <v>-28</v>
      </c>
      <c r="J287" s="11" t="s">
        <v>221</v>
      </c>
      <c r="K287" s="11" t="str">
        <f>_xlfn.TEXTBEFORE(Mvt_Inter_entrepot[[#This Row],[Num Suivis]],"-",,,1)</f>
        <v>OF245600</v>
      </c>
      <c r="L287" s="11" t="e">
        <f>_xlfn.XLOOKUP(Mvt_Inter_entrepot[[#This Row],[Num OF]],#REF!,#REF!,"Non Trouvé")</f>
        <v>#REF!</v>
      </c>
      <c r="M287" s="11" t="e">
        <f>_xlfn.XLOOKUP(Mvt_Inter_entrepot[[#This Row],[Num OF]],#REF!,#REF!,"Non Trouvé")</f>
        <v>#REF!</v>
      </c>
      <c r="N287" s="11" t="e">
        <f>_xlfn.XLOOKUP(Mvt_Inter_entrepot[[#This Row],[Num OF]],#REF!,#REF!,"Non Trouvé")</f>
        <v>#REF!</v>
      </c>
      <c r="O287" s="11" t="e">
        <f>_xlfn.XLOOKUP(Mvt_Inter_entrepot[[#This Row],[Num OF]],#REF!,#REF!,"Non Trouvé")</f>
        <v>#REF!</v>
      </c>
      <c r="P287" s="11" t="e">
        <f>_xlfn.XLOOKUP(Mvt_Inter_entrepot[[#This Row],[Num OF]],#REF!,#REF!,"Non Trouvé")</f>
        <v>#REF!</v>
      </c>
      <c r="Q287" s="11" t="str">
        <f>IF(
   COUNTIFS($A$2:A287,A287,
             $B$2:B287,B287,
             $C$2:C287,C287,
             $D$2:D287,D287,
             $E$2:E287,E287,
             $H$2:H287,H287
             )&gt;1,
   "Doublon",
   "Correcte"
)</f>
        <v>Correcte</v>
      </c>
    </row>
    <row r="288" spans="1:17" x14ac:dyDescent="0.25">
      <c r="A288" s="11" t="s">
        <v>3111</v>
      </c>
      <c r="B288" s="11" t="s">
        <v>1153</v>
      </c>
      <c r="C288" s="11" t="s">
        <v>662</v>
      </c>
      <c r="D288" s="11" t="s">
        <v>1154</v>
      </c>
      <c r="E288" s="11">
        <v>1</v>
      </c>
      <c r="F288" s="11"/>
      <c r="G288" s="11" t="s">
        <v>664</v>
      </c>
      <c r="H288" s="14">
        <v>45915</v>
      </c>
      <c r="I288" s="12">
        <f>-Mvt_Inter_entrepot[[#This Row],[QTE]]</f>
        <v>-1</v>
      </c>
      <c r="J288" s="11" t="s">
        <v>221</v>
      </c>
      <c r="K288" s="11" t="str">
        <f>_xlfn.TEXTBEFORE(Mvt_Inter_entrepot[[#This Row],[Num Suivis]],"-",,,1)</f>
        <v>OF245600</v>
      </c>
      <c r="L288" s="11" t="e">
        <f>_xlfn.XLOOKUP(Mvt_Inter_entrepot[[#This Row],[Num OF]],#REF!,#REF!,"Non Trouvé")</f>
        <v>#REF!</v>
      </c>
      <c r="M288" s="11" t="e">
        <f>_xlfn.XLOOKUP(Mvt_Inter_entrepot[[#This Row],[Num OF]],#REF!,#REF!,"Non Trouvé")</f>
        <v>#REF!</v>
      </c>
      <c r="N288" s="11" t="e">
        <f>_xlfn.XLOOKUP(Mvt_Inter_entrepot[[#This Row],[Num OF]],#REF!,#REF!,"Non Trouvé")</f>
        <v>#REF!</v>
      </c>
      <c r="O288" s="11" t="e">
        <f>_xlfn.XLOOKUP(Mvt_Inter_entrepot[[#This Row],[Num OF]],#REF!,#REF!,"Non Trouvé")</f>
        <v>#REF!</v>
      </c>
      <c r="P288" s="11" t="e">
        <f>_xlfn.XLOOKUP(Mvt_Inter_entrepot[[#This Row],[Num OF]],#REF!,#REF!,"Non Trouvé")</f>
        <v>#REF!</v>
      </c>
      <c r="Q288" s="11" t="str">
        <f>IF(
   COUNTIFS($A$2:A288,A288,
             $B$2:B288,B288,
             $C$2:C288,C288,
             $D$2:D288,D288,
             $E$2:E288,E288,
             $H$2:H288,H288
             )&gt;1,
   "Doublon",
   "Correcte"
)</f>
        <v>Correcte</v>
      </c>
    </row>
    <row r="289" spans="1:17" x14ac:dyDescent="0.25">
      <c r="A289" s="11" t="s">
        <v>3112</v>
      </c>
      <c r="B289" s="11" t="s">
        <v>1153</v>
      </c>
      <c r="C289" s="11" t="s">
        <v>662</v>
      </c>
      <c r="D289" s="11" t="s">
        <v>1154</v>
      </c>
      <c r="E289" s="11">
        <v>30</v>
      </c>
      <c r="F289" s="11"/>
      <c r="G289" s="11" t="s">
        <v>664</v>
      </c>
      <c r="H289" s="14">
        <v>45915</v>
      </c>
      <c r="I289" s="12">
        <f>-Mvt_Inter_entrepot[[#This Row],[QTE]]</f>
        <v>-30</v>
      </c>
      <c r="J289" s="11" t="s">
        <v>222</v>
      </c>
      <c r="K289" s="11" t="str">
        <f>_xlfn.TEXTBEFORE(Mvt_Inter_entrepot[[#This Row],[Num Suivis]],"-",,,1)</f>
        <v>OF245601</v>
      </c>
      <c r="L289" s="11" t="e">
        <f>_xlfn.XLOOKUP(Mvt_Inter_entrepot[[#This Row],[Num OF]],#REF!,#REF!,"Non Trouvé")</f>
        <v>#REF!</v>
      </c>
      <c r="M289" s="11" t="e">
        <f>_xlfn.XLOOKUP(Mvt_Inter_entrepot[[#This Row],[Num OF]],#REF!,#REF!,"Non Trouvé")</f>
        <v>#REF!</v>
      </c>
      <c r="N289" s="11" t="e">
        <f>_xlfn.XLOOKUP(Mvt_Inter_entrepot[[#This Row],[Num OF]],#REF!,#REF!,"Non Trouvé")</f>
        <v>#REF!</v>
      </c>
      <c r="O289" s="11" t="e">
        <f>_xlfn.XLOOKUP(Mvt_Inter_entrepot[[#This Row],[Num OF]],#REF!,#REF!,"Non Trouvé")</f>
        <v>#REF!</v>
      </c>
      <c r="P289" s="11" t="e">
        <f>_xlfn.XLOOKUP(Mvt_Inter_entrepot[[#This Row],[Num OF]],#REF!,#REF!,"Non Trouvé")</f>
        <v>#REF!</v>
      </c>
      <c r="Q289" s="11" t="str">
        <f>IF(
   COUNTIFS($A$2:A289,A289,
             $B$2:B289,B289,
             $C$2:C289,C289,
             $D$2:D289,D289,
             $E$2:E289,E289,
             $H$2:H289,H289
             )&gt;1,
   "Doublon",
   "Correcte"
)</f>
        <v>Correcte</v>
      </c>
    </row>
    <row r="290" spans="1:17" x14ac:dyDescent="0.25">
      <c r="A290" s="11" t="s">
        <v>3113</v>
      </c>
      <c r="B290" s="11" t="s">
        <v>1153</v>
      </c>
      <c r="C290" s="11" t="s">
        <v>662</v>
      </c>
      <c r="D290" s="11" t="s">
        <v>1154</v>
      </c>
      <c r="E290" s="11">
        <v>2</v>
      </c>
      <c r="F290" s="11"/>
      <c r="G290" s="11" t="s">
        <v>664</v>
      </c>
      <c r="H290" s="14">
        <v>45915</v>
      </c>
      <c r="I290" s="12">
        <f>-Mvt_Inter_entrepot[[#This Row],[QTE]]</f>
        <v>-2</v>
      </c>
      <c r="J290" s="11" t="s">
        <v>473</v>
      </c>
      <c r="K290" s="11" t="str">
        <f>_xlfn.TEXTBEFORE(Mvt_Inter_entrepot[[#This Row],[Num Suivis]],"-",,,1)</f>
        <v>OF245769</v>
      </c>
      <c r="L290" s="11" t="e">
        <f>_xlfn.XLOOKUP(Mvt_Inter_entrepot[[#This Row],[Num OF]],#REF!,#REF!,"Non Trouvé")</f>
        <v>#REF!</v>
      </c>
      <c r="M290" s="11" t="e">
        <f>_xlfn.XLOOKUP(Mvt_Inter_entrepot[[#This Row],[Num OF]],#REF!,#REF!,"Non Trouvé")</f>
        <v>#REF!</v>
      </c>
      <c r="N290" s="11" t="e">
        <f>_xlfn.XLOOKUP(Mvt_Inter_entrepot[[#This Row],[Num OF]],#REF!,#REF!,"Non Trouvé")</f>
        <v>#REF!</v>
      </c>
      <c r="O290" s="11" t="e">
        <f>_xlfn.XLOOKUP(Mvt_Inter_entrepot[[#This Row],[Num OF]],#REF!,#REF!,"Non Trouvé")</f>
        <v>#REF!</v>
      </c>
      <c r="P290" s="11" t="e">
        <f>_xlfn.XLOOKUP(Mvt_Inter_entrepot[[#This Row],[Num OF]],#REF!,#REF!,"Non Trouvé")</f>
        <v>#REF!</v>
      </c>
      <c r="Q290" s="11" t="str">
        <f>IF(
   COUNTIFS($A$2:A290,A290,
             $B$2:B290,B290,
             $C$2:C290,C290,
             $D$2:D290,D290,
             $E$2:E290,E290,
             $H$2:H290,H290
             )&gt;1,
   "Doublon",
   "Correcte"
)</f>
        <v>Correcte</v>
      </c>
    </row>
    <row r="291" spans="1:17" x14ac:dyDescent="0.25">
      <c r="A291" s="11" t="s">
        <v>3114</v>
      </c>
      <c r="B291" s="11" t="s">
        <v>1153</v>
      </c>
      <c r="C291" s="11" t="s">
        <v>662</v>
      </c>
      <c r="D291" s="11" t="s">
        <v>1154</v>
      </c>
      <c r="E291" s="11">
        <v>6</v>
      </c>
      <c r="F291" s="11"/>
      <c r="G291" s="11" t="s">
        <v>664</v>
      </c>
      <c r="H291" s="14">
        <v>45915</v>
      </c>
      <c r="I291" s="12">
        <f>-Mvt_Inter_entrepot[[#This Row],[QTE]]</f>
        <v>-6</v>
      </c>
      <c r="J291" s="11" t="s">
        <v>223</v>
      </c>
      <c r="K291" s="11" t="str">
        <f>_xlfn.TEXTBEFORE(Mvt_Inter_entrepot[[#This Row],[Num Suivis]],"-",,,1)</f>
        <v>OF245839</v>
      </c>
      <c r="L291" s="11" t="e">
        <f>_xlfn.XLOOKUP(Mvt_Inter_entrepot[[#This Row],[Num OF]],#REF!,#REF!,"Non Trouvé")</f>
        <v>#REF!</v>
      </c>
      <c r="M291" s="11" t="e">
        <f>_xlfn.XLOOKUP(Mvt_Inter_entrepot[[#This Row],[Num OF]],#REF!,#REF!,"Non Trouvé")</f>
        <v>#REF!</v>
      </c>
      <c r="N291" s="11" t="e">
        <f>_xlfn.XLOOKUP(Mvt_Inter_entrepot[[#This Row],[Num OF]],#REF!,#REF!,"Non Trouvé")</f>
        <v>#REF!</v>
      </c>
      <c r="O291" s="11" t="e">
        <f>_xlfn.XLOOKUP(Mvt_Inter_entrepot[[#This Row],[Num OF]],#REF!,#REF!,"Non Trouvé")</f>
        <v>#REF!</v>
      </c>
      <c r="P291" s="11" t="e">
        <f>_xlfn.XLOOKUP(Mvt_Inter_entrepot[[#This Row],[Num OF]],#REF!,#REF!,"Non Trouvé")</f>
        <v>#REF!</v>
      </c>
      <c r="Q291" s="11" t="str">
        <f>IF(
   COUNTIFS($A$2:A291,A291,
             $B$2:B291,B291,
             $C$2:C291,C291,
             $D$2:D291,D291,
             $E$2:E291,E291,
             $H$2:H291,H291
             )&gt;1,
   "Doublon",
   "Correcte"
)</f>
        <v>Correcte</v>
      </c>
    </row>
    <row r="292" spans="1:17" x14ac:dyDescent="0.25">
      <c r="A292" s="11" t="s">
        <v>3115</v>
      </c>
      <c r="B292" s="11" t="s">
        <v>1153</v>
      </c>
      <c r="C292" s="11" t="s">
        <v>662</v>
      </c>
      <c r="D292" s="11" t="s">
        <v>1154</v>
      </c>
      <c r="E292" s="11">
        <v>5</v>
      </c>
      <c r="F292" s="11"/>
      <c r="G292" s="11" t="s">
        <v>664</v>
      </c>
      <c r="H292" s="14">
        <v>45915</v>
      </c>
      <c r="I292" s="12">
        <f>-Mvt_Inter_entrepot[[#This Row],[QTE]]</f>
        <v>-5</v>
      </c>
      <c r="J292" s="11" t="s">
        <v>224</v>
      </c>
      <c r="K292" s="11" t="str">
        <f>_xlfn.TEXTBEFORE(Mvt_Inter_entrepot[[#This Row],[Num Suivis]],"-",,,1)</f>
        <v>OF245841</v>
      </c>
      <c r="L292" s="11" t="e">
        <f>_xlfn.XLOOKUP(Mvt_Inter_entrepot[[#This Row],[Num OF]],#REF!,#REF!,"Non Trouvé")</f>
        <v>#REF!</v>
      </c>
      <c r="M292" s="11" t="e">
        <f>_xlfn.XLOOKUP(Mvt_Inter_entrepot[[#This Row],[Num OF]],#REF!,#REF!,"Non Trouvé")</f>
        <v>#REF!</v>
      </c>
      <c r="N292" s="11" t="e">
        <f>_xlfn.XLOOKUP(Mvt_Inter_entrepot[[#This Row],[Num OF]],#REF!,#REF!,"Non Trouvé")</f>
        <v>#REF!</v>
      </c>
      <c r="O292" s="11" t="e">
        <f>_xlfn.XLOOKUP(Mvt_Inter_entrepot[[#This Row],[Num OF]],#REF!,#REF!,"Non Trouvé")</f>
        <v>#REF!</v>
      </c>
      <c r="P292" s="11" t="e">
        <f>_xlfn.XLOOKUP(Mvt_Inter_entrepot[[#This Row],[Num OF]],#REF!,#REF!,"Non Trouvé")</f>
        <v>#REF!</v>
      </c>
      <c r="Q292" s="11" t="str">
        <f>IF(
   COUNTIFS($A$2:A292,A292,
             $B$2:B292,B292,
             $C$2:C292,C292,
             $D$2:D292,D292,
             $E$2:E292,E292,
             $H$2:H292,H292
             )&gt;1,
   "Doublon",
   "Correcte"
)</f>
        <v>Correcte</v>
      </c>
    </row>
    <row r="293" spans="1:17" x14ac:dyDescent="0.25">
      <c r="A293" s="11" t="s">
        <v>3116</v>
      </c>
      <c r="B293" s="11" t="s">
        <v>1153</v>
      </c>
      <c r="C293" s="11" t="s">
        <v>662</v>
      </c>
      <c r="D293" s="11" t="s">
        <v>1154</v>
      </c>
      <c r="E293" s="11">
        <v>3</v>
      </c>
      <c r="F293" s="11"/>
      <c r="G293" s="11" t="s">
        <v>664</v>
      </c>
      <c r="H293" s="14">
        <v>45915</v>
      </c>
      <c r="I293" s="12">
        <f>-Mvt_Inter_entrepot[[#This Row],[QTE]]</f>
        <v>-3</v>
      </c>
      <c r="J293" s="11" t="s">
        <v>225</v>
      </c>
      <c r="K293" s="11" t="str">
        <f>_xlfn.TEXTBEFORE(Mvt_Inter_entrepot[[#This Row],[Num Suivis]],"-",,,1)</f>
        <v>OF245842</v>
      </c>
      <c r="L293" s="11" t="e">
        <f>_xlfn.XLOOKUP(Mvt_Inter_entrepot[[#This Row],[Num OF]],#REF!,#REF!,"Non Trouvé")</f>
        <v>#REF!</v>
      </c>
      <c r="M293" s="11" t="e">
        <f>_xlfn.XLOOKUP(Mvt_Inter_entrepot[[#This Row],[Num OF]],#REF!,#REF!,"Non Trouvé")</f>
        <v>#REF!</v>
      </c>
      <c r="N293" s="11" t="e">
        <f>_xlfn.XLOOKUP(Mvt_Inter_entrepot[[#This Row],[Num OF]],#REF!,#REF!,"Non Trouvé")</f>
        <v>#REF!</v>
      </c>
      <c r="O293" s="11" t="e">
        <f>_xlfn.XLOOKUP(Mvt_Inter_entrepot[[#This Row],[Num OF]],#REF!,#REF!,"Non Trouvé")</f>
        <v>#REF!</v>
      </c>
      <c r="P293" s="11" t="e">
        <f>_xlfn.XLOOKUP(Mvt_Inter_entrepot[[#This Row],[Num OF]],#REF!,#REF!,"Non Trouvé")</f>
        <v>#REF!</v>
      </c>
      <c r="Q293" s="11" t="str">
        <f>IF(
   COUNTIFS($A$2:A293,A293,
             $B$2:B293,B293,
             $C$2:C293,C293,
             $D$2:D293,D293,
             $E$2:E293,E293,
             $H$2:H293,H293
             )&gt;1,
   "Doublon",
   "Correcte"
)</f>
        <v>Correcte</v>
      </c>
    </row>
    <row r="294" spans="1:17" x14ac:dyDescent="0.25">
      <c r="A294" s="11" t="s">
        <v>3117</v>
      </c>
      <c r="B294" s="11" t="s">
        <v>1153</v>
      </c>
      <c r="C294" s="11" t="s">
        <v>662</v>
      </c>
      <c r="D294" s="11" t="s">
        <v>1154</v>
      </c>
      <c r="E294" s="11">
        <v>5</v>
      </c>
      <c r="F294" s="11"/>
      <c r="G294" s="11" t="s">
        <v>664</v>
      </c>
      <c r="H294" s="14">
        <v>45915</v>
      </c>
      <c r="I294" s="12">
        <f>-Mvt_Inter_entrepot[[#This Row],[QTE]]</f>
        <v>-5</v>
      </c>
      <c r="J294" s="11" t="s">
        <v>226</v>
      </c>
      <c r="K294" s="11" t="str">
        <f>_xlfn.TEXTBEFORE(Mvt_Inter_entrepot[[#This Row],[Num Suivis]],"-",,,1)</f>
        <v>OF245843</v>
      </c>
      <c r="L294" s="11" t="e">
        <f>_xlfn.XLOOKUP(Mvt_Inter_entrepot[[#This Row],[Num OF]],#REF!,#REF!,"Non Trouvé")</f>
        <v>#REF!</v>
      </c>
      <c r="M294" s="11" t="e">
        <f>_xlfn.XLOOKUP(Mvt_Inter_entrepot[[#This Row],[Num OF]],#REF!,#REF!,"Non Trouvé")</f>
        <v>#REF!</v>
      </c>
      <c r="N294" s="11" t="e">
        <f>_xlfn.XLOOKUP(Mvt_Inter_entrepot[[#This Row],[Num OF]],#REF!,#REF!,"Non Trouvé")</f>
        <v>#REF!</v>
      </c>
      <c r="O294" s="11" t="e">
        <f>_xlfn.XLOOKUP(Mvt_Inter_entrepot[[#This Row],[Num OF]],#REF!,#REF!,"Non Trouvé")</f>
        <v>#REF!</v>
      </c>
      <c r="P294" s="11" t="e">
        <f>_xlfn.XLOOKUP(Mvt_Inter_entrepot[[#This Row],[Num OF]],#REF!,#REF!,"Non Trouvé")</f>
        <v>#REF!</v>
      </c>
      <c r="Q294" s="11" t="str">
        <f>IF(
   COUNTIFS($A$2:A294,A294,
             $B$2:B294,B294,
             $C$2:C294,C294,
             $D$2:D294,D294,
             $E$2:E294,E294,
             $H$2:H294,H294
             )&gt;1,
   "Doublon",
   "Correcte"
)</f>
        <v>Correcte</v>
      </c>
    </row>
    <row r="295" spans="1:17" x14ac:dyDescent="0.25">
      <c r="A295" s="11" t="s">
        <v>3118</v>
      </c>
      <c r="B295" s="11" t="s">
        <v>1153</v>
      </c>
      <c r="C295" s="11" t="s">
        <v>662</v>
      </c>
      <c r="D295" s="11" t="s">
        <v>1154</v>
      </c>
      <c r="E295" s="11">
        <v>29</v>
      </c>
      <c r="F295" s="11"/>
      <c r="G295" s="11" t="s">
        <v>664</v>
      </c>
      <c r="H295" s="14">
        <v>45915</v>
      </c>
      <c r="I295" s="12">
        <f>-Mvt_Inter_entrepot[[#This Row],[QTE]]</f>
        <v>-29</v>
      </c>
      <c r="J295" s="11" t="s">
        <v>227</v>
      </c>
      <c r="K295" s="11" t="str">
        <f>_xlfn.TEXTBEFORE(Mvt_Inter_entrepot[[#This Row],[Num Suivis]],"-",,,1)</f>
        <v>OF245844</v>
      </c>
      <c r="L295" s="11" t="e">
        <f>_xlfn.XLOOKUP(Mvt_Inter_entrepot[[#This Row],[Num OF]],#REF!,#REF!,"Non Trouvé")</f>
        <v>#REF!</v>
      </c>
      <c r="M295" s="11" t="e">
        <f>_xlfn.XLOOKUP(Mvt_Inter_entrepot[[#This Row],[Num OF]],#REF!,#REF!,"Non Trouvé")</f>
        <v>#REF!</v>
      </c>
      <c r="N295" s="11" t="e">
        <f>_xlfn.XLOOKUP(Mvt_Inter_entrepot[[#This Row],[Num OF]],#REF!,#REF!,"Non Trouvé")</f>
        <v>#REF!</v>
      </c>
      <c r="O295" s="11" t="e">
        <f>_xlfn.XLOOKUP(Mvt_Inter_entrepot[[#This Row],[Num OF]],#REF!,#REF!,"Non Trouvé")</f>
        <v>#REF!</v>
      </c>
      <c r="P295" s="11" t="e">
        <f>_xlfn.XLOOKUP(Mvt_Inter_entrepot[[#This Row],[Num OF]],#REF!,#REF!,"Non Trouvé")</f>
        <v>#REF!</v>
      </c>
      <c r="Q295" s="11" t="str">
        <f>IF(
   COUNTIFS($A$2:A295,A295,
             $B$2:B295,B295,
             $C$2:C295,C295,
             $D$2:D295,D295,
             $E$2:E295,E295,
             $H$2:H295,H295
             )&gt;1,
   "Doublon",
   "Correcte"
)</f>
        <v>Correcte</v>
      </c>
    </row>
    <row r="296" spans="1:17" x14ac:dyDescent="0.25">
      <c r="A296" s="11" t="s">
        <v>3119</v>
      </c>
      <c r="B296" s="11" t="s">
        <v>1153</v>
      </c>
      <c r="C296" s="11" t="s">
        <v>662</v>
      </c>
      <c r="D296" s="11" t="s">
        <v>1154</v>
      </c>
      <c r="E296" s="11">
        <v>5</v>
      </c>
      <c r="F296" s="11"/>
      <c r="G296" s="11" t="s">
        <v>664</v>
      </c>
      <c r="H296" s="14">
        <v>45915</v>
      </c>
      <c r="I296" s="12">
        <f>-Mvt_Inter_entrepot[[#This Row],[QTE]]</f>
        <v>-5</v>
      </c>
      <c r="J296" s="11" t="s">
        <v>228</v>
      </c>
      <c r="K296" s="11" t="str">
        <f>_xlfn.TEXTBEFORE(Mvt_Inter_entrepot[[#This Row],[Num Suivis]],"-",,,1)</f>
        <v>OF245845</v>
      </c>
      <c r="L296" s="11" t="e">
        <f>_xlfn.XLOOKUP(Mvt_Inter_entrepot[[#This Row],[Num OF]],#REF!,#REF!,"Non Trouvé")</f>
        <v>#REF!</v>
      </c>
      <c r="M296" s="11" t="e">
        <f>_xlfn.XLOOKUP(Mvt_Inter_entrepot[[#This Row],[Num OF]],#REF!,#REF!,"Non Trouvé")</f>
        <v>#REF!</v>
      </c>
      <c r="N296" s="11" t="e">
        <f>_xlfn.XLOOKUP(Mvt_Inter_entrepot[[#This Row],[Num OF]],#REF!,#REF!,"Non Trouvé")</f>
        <v>#REF!</v>
      </c>
      <c r="O296" s="11" t="e">
        <f>_xlfn.XLOOKUP(Mvt_Inter_entrepot[[#This Row],[Num OF]],#REF!,#REF!,"Non Trouvé")</f>
        <v>#REF!</v>
      </c>
      <c r="P296" s="11" t="e">
        <f>_xlfn.XLOOKUP(Mvt_Inter_entrepot[[#This Row],[Num OF]],#REF!,#REF!,"Non Trouvé")</f>
        <v>#REF!</v>
      </c>
      <c r="Q296" s="11" t="str">
        <f>IF(
   COUNTIFS($A$2:A296,A296,
             $B$2:B296,B296,
             $C$2:C296,C296,
             $D$2:D296,D296,
             $E$2:E296,E296,
             $H$2:H296,H296
             )&gt;1,
   "Doublon",
   "Correcte"
)</f>
        <v>Correcte</v>
      </c>
    </row>
    <row r="297" spans="1:17" x14ac:dyDescent="0.25">
      <c r="A297" s="11" t="s">
        <v>3120</v>
      </c>
      <c r="B297" s="11" t="s">
        <v>1153</v>
      </c>
      <c r="C297" s="11" t="s">
        <v>662</v>
      </c>
      <c r="D297" s="11" t="s">
        <v>1154</v>
      </c>
      <c r="E297" s="11">
        <v>25</v>
      </c>
      <c r="F297" s="11"/>
      <c r="G297" s="11" t="s">
        <v>664</v>
      </c>
      <c r="H297" s="14">
        <v>45915</v>
      </c>
      <c r="I297" s="12">
        <f>-Mvt_Inter_entrepot[[#This Row],[QTE]]</f>
        <v>-25</v>
      </c>
      <c r="J297" s="11" t="s">
        <v>229</v>
      </c>
      <c r="K297" s="11" t="str">
        <f>_xlfn.TEXTBEFORE(Mvt_Inter_entrepot[[#This Row],[Num Suivis]],"-",,,1)</f>
        <v>OF245846</v>
      </c>
      <c r="L297" s="11" t="e">
        <f>_xlfn.XLOOKUP(Mvt_Inter_entrepot[[#This Row],[Num OF]],#REF!,#REF!,"Non Trouvé")</f>
        <v>#REF!</v>
      </c>
      <c r="M297" s="11" t="e">
        <f>_xlfn.XLOOKUP(Mvt_Inter_entrepot[[#This Row],[Num OF]],#REF!,#REF!,"Non Trouvé")</f>
        <v>#REF!</v>
      </c>
      <c r="N297" s="11" t="e">
        <f>_xlfn.XLOOKUP(Mvt_Inter_entrepot[[#This Row],[Num OF]],#REF!,#REF!,"Non Trouvé")</f>
        <v>#REF!</v>
      </c>
      <c r="O297" s="11" t="e">
        <f>_xlfn.XLOOKUP(Mvt_Inter_entrepot[[#This Row],[Num OF]],#REF!,#REF!,"Non Trouvé")</f>
        <v>#REF!</v>
      </c>
      <c r="P297" s="11" t="e">
        <f>_xlfn.XLOOKUP(Mvt_Inter_entrepot[[#This Row],[Num OF]],#REF!,#REF!,"Non Trouvé")</f>
        <v>#REF!</v>
      </c>
      <c r="Q297" s="11" t="str">
        <f>IF(
   COUNTIFS($A$2:A297,A297,
             $B$2:B297,B297,
             $C$2:C297,C297,
             $D$2:D297,D297,
             $E$2:E297,E297,
             $H$2:H297,H297
             )&gt;1,
   "Doublon",
   "Correcte"
)</f>
        <v>Correcte</v>
      </c>
    </row>
    <row r="298" spans="1:17" x14ac:dyDescent="0.25">
      <c r="A298" s="11" t="s">
        <v>3121</v>
      </c>
      <c r="B298" s="11" t="s">
        <v>1153</v>
      </c>
      <c r="C298" s="11" t="s">
        <v>662</v>
      </c>
      <c r="D298" s="11" t="s">
        <v>1154</v>
      </c>
      <c r="E298" s="11">
        <v>4</v>
      </c>
      <c r="F298" s="11"/>
      <c r="G298" s="11" t="s">
        <v>664</v>
      </c>
      <c r="H298" s="14">
        <v>45915</v>
      </c>
      <c r="I298" s="12">
        <f>-Mvt_Inter_entrepot[[#This Row],[QTE]]</f>
        <v>-4</v>
      </c>
      <c r="J298" s="11" t="s">
        <v>474</v>
      </c>
      <c r="K298" s="11" t="str">
        <f>_xlfn.TEXTBEFORE(Mvt_Inter_entrepot[[#This Row],[Num Suivis]],"-",,,1)</f>
        <v>OF245856</v>
      </c>
      <c r="L298" s="11" t="e">
        <f>_xlfn.XLOOKUP(Mvt_Inter_entrepot[[#This Row],[Num OF]],#REF!,#REF!,"Non Trouvé")</f>
        <v>#REF!</v>
      </c>
      <c r="M298" s="11" t="e">
        <f>_xlfn.XLOOKUP(Mvt_Inter_entrepot[[#This Row],[Num OF]],#REF!,#REF!,"Non Trouvé")</f>
        <v>#REF!</v>
      </c>
      <c r="N298" s="11" t="e">
        <f>_xlfn.XLOOKUP(Mvt_Inter_entrepot[[#This Row],[Num OF]],#REF!,#REF!,"Non Trouvé")</f>
        <v>#REF!</v>
      </c>
      <c r="O298" s="11" t="e">
        <f>_xlfn.XLOOKUP(Mvt_Inter_entrepot[[#This Row],[Num OF]],#REF!,#REF!,"Non Trouvé")</f>
        <v>#REF!</v>
      </c>
      <c r="P298" s="11" t="e">
        <f>_xlfn.XLOOKUP(Mvt_Inter_entrepot[[#This Row],[Num OF]],#REF!,#REF!,"Non Trouvé")</f>
        <v>#REF!</v>
      </c>
      <c r="Q298" s="11" t="str">
        <f>IF(
   COUNTIFS($A$2:A298,A298,
             $B$2:B298,B298,
             $C$2:C298,C298,
             $D$2:D298,D298,
             $E$2:E298,E298,
             $H$2:H298,H298
             )&gt;1,
   "Doublon",
   "Correcte"
)</f>
        <v>Correcte</v>
      </c>
    </row>
    <row r="299" spans="1:17" x14ac:dyDescent="0.25">
      <c r="A299" s="11" t="s">
        <v>3122</v>
      </c>
      <c r="B299" s="11" t="s">
        <v>1153</v>
      </c>
      <c r="C299" s="11" t="s">
        <v>662</v>
      </c>
      <c r="D299" s="11" t="s">
        <v>1154</v>
      </c>
      <c r="E299" s="11">
        <v>1</v>
      </c>
      <c r="F299" s="11"/>
      <c r="G299" s="11" t="s">
        <v>664</v>
      </c>
      <c r="H299" s="14">
        <v>45915</v>
      </c>
      <c r="I299" s="12">
        <f>-Mvt_Inter_entrepot[[#This Row],[QTE]]</f>
        <v>-1</v>
      </c>
      <c r="J299" s="11" t="s">
        <v>475</v>
      </c>
      <c r="K299" s="11" t="str">
        <f>_xlfn.TEXTBEFORE(Mvt_Inter_entrepot[[#This Row],[Num Suivis]],"-",,,1)</f>
        <v>OF245874</v>
      </c>
      <c r="L299" s="11" t="e">
        <f>_xlfn.XLOOKUP(Mvt_Inter_entrepot[[#This Row],[Num OF]],#REF!,#REF!,"Non Trouvé")</f>
        <v>#REF!</v>
      </c>
      <c r="M299" s="11" t="e">
        <f>_xlfn.XLOOKUP(Mvt_Inter_entrepot[[#This Row],[Num OF]],#REF!,#REF!,"Non Trouvé")</f>
        <v>#REF!</v>
      </c>
      <c r="N299" s="11" t="e">
        <f>_xlfn.XLOOKUP(Mvt_Inter_entrepot[[#This Row],[Num OF]],#REF!,#REF!,"Non Trouvé")</f>
        <v>#REF!</v>
      </c>
      <c r="O299" s="11" t="e">
        <f>_xlfn.XLOOKUP(Mvt_Inter_entrepot[[#This Row],[Num OF]],#REF!,#REF!,"Non Trouvé")</f>
        <v>#REF!</v>
      </c>
      <c r="P299" s="11" t="e">
        <f>_xlfn.XLOOKUP(Mvt_Inter_entrepot[[#This Row],[Num OF]],#REF!,#REF!,"Non Trouvé")</f>
        <v>#REF!</v>
      </c>
      <c r="Q299" s="11" t="str">
        <f>IF(
   COUNTIFS($A$2:A299,A299,
             $B$2:B299,B299,
             $C$2:C299,C299,
             $D$2:D299,D299,
             $E$2:E299,E299,
             $H$2:H299,H299
             )&gt;1,
   "Doublon",
   "Correcte"
)</f>
        <v>Correcte</v>
      </c>
    </row>
    <row r="300" spans="1:17" x14ac:dyDescent="0.25">
      <c r="A300" s="11" t="s">
        <v>3123</v>
      </c>
      <c r="B300" s="11" t="s">
        <v>1153</v>
      </c>
      <c r="C300" s="11" t="s">
        <v>662</v>
      </c>
      <c r="D300" s="11" t="s">
        <v>1154</v>
      </c>
      <c r="E300" s="11">
        <v>2</v>
      </c>
      <c r="F300" s="11"/>
      <c r="G300" s="11" t="s">
        <v>664</v>
      </c>
      <c r="H300" s="14">
        <v>45915</v>
      </c>
      <c r="I300" s="12">
        <f>-Mvt_Inter_entrepot[[#This Row],[QTE]]</f>
        <v>-2</v>
      </c>
      <c r="J300" s="11" t="s">
        <v>476</v>
      </c>
      <c r="K300" s="11" t="str">
        <f>_xlfn.TEXTBEFORE(Mvt_Inter_entrepot[[#This Row],[Num Suivis]],"-",,,1)</f>
        <v>OF245876</v>
      </c>
      <c r="L300" s="11" t="e">
        <f>_xlfn.XLOOKUP(Mvt_Inter_entrepot[[#This Row],[Num OF]],#REF!,#REF!,"Non Trouvé")</f>
        <v>#REF!</v>
      </c>
      <c r="M300" s="11" t="e">
        <f>_xlfn.XLOOKUP(Mvt_Inter_entrepot[[#This Row],[Num OF]],#REF!,#REF!,"Non Trouvé")</f>
        <v>#REF!</v>
      </c>
      <c r="N300" s="11" t="e">
        <f>_xlfn.XLOOKUP(Mvt_Inter_entrepot[[#This Row],[Num OF]],#REF!,#REF!,"Non Trouvé")</f>
        <v>#REF!</v>
      </c>
      <c r="O300" s="11" t="e">
        <f>_xlfn.XLOOKUP(Mvt_Inter_entrepot[[#This Row],[Num OF]],#REF!,#REF!,"Non Trouvé")</f>
        <v>#REF!</v>
      </c>
      <c r="P300" s="11" t="e">
        <f>_xlfn.XLOOKUP(Mvt_Inter_entrepot[[#This Row],[Num OF]],#REF!,#REF!,"Non Trouvé")</f>
        <v>#REF!</v>
      </c>
      <c r="Q300" s="11" t="str">
        <f>IF(
   COUNTIFS($A$2:A300,A300,
             $B$2:B300,B300,
             $C$2:C300,C300,
             $D$2:D300,D300,
             $E$2:E300,E300,
             $H$2:H300,H300
             )&gt;1,
   "Doublon",
   "Correcte"
)</f>
        <v>Correcte</v>
      </c>
    </row>
    <row r="301" spans="1:17" x14ac:dyDescent="0.25">
      <c r="A301" s="11" t="s">
        <v>3124</v>
      </c>
      <c r="B301" s="11" t="s">
        <v>1153</v>
      </c>
      <c r="C301" s="11" t="s">
        <v>662</v>
      </c>
      <c r="D301" s="11" t="s">
        <v>1154</v>
      </c>
      <c r="E301" s="11">
        <v>2</v>
      </c>
      <c r="F301" s="11"/>
      <c r="G301" s="11" t="s">
        <v>664</v>
      </c>
      <c r="H301" s="14">
        <v>45915</v>
      </c>
      <c r="I301" s="12">
        <f>-Mvt_Inter_entrepot[[#This Row],[QTE]]</f>
        <v>-2</v>
      </c>
      <c r="J301" s="11" t="s">
        <v>479</v>
      </c>
      <c r="K301" s="11" t="str">
        <f>_xlfn.TEXTBEFORE(Mvt_Inter_entrepot[[#This Row],[Num Suivis]],"-",,,1)</f>
        <v>OF245878</v>
      </c>
      <c r="L301" s="11" t="e">
        <f>_xlfn.XLOOKUP(Mvt_Inter_entrepot[[#This Row],[Num OF]],#REF!,#REF!,"Non Trouvé")</f>
        <v>#REF!</v>
      </c>
      <c r="M301" s="11" t="e">
        <f>_xlfn.XLOOKUP(Mvt_Inter_entrepot[[#This Row],[Num OF]],#REF!,#REF!,"Non Trouvé")</f>
        <v>#REF!</v>
      </c>
      <c r="N301" s="11" t="e">
        <f>_xlfn.XLOOKUP(Mvt_Inter_entrepot[[#This Row],[Num OF]],#REF!,#REF!,"Non Trouvé")</f>
        <v>#REF!</v>
      </c>
      <c r="O301" s="11" t="e">
        <f>_xlfn.XLOOKUP(Mvt_Inter_entrepot[[#This Row],[Num OF]],#REF!,#REF!,"Non Trouvé")</f>
        <v>#REF!</v>
      </c>
      <c r="P301" s="11" t="e">
        <f>_xlfn.XLOOKUP(Mvt_Inter_entrepot[[#This Row],[Num OF]],#REF!,#REF!,"Non Trouvé")</f>
        <v>#REF!</v>
      </c>
      <c r="Q301" s="11" t="str">
        <f>IF(
   COUNTIFS($A$2:A301,A301,
             $B$2:B301,B301,
             $C$2:C301,C301,
             $D$2:D301,D301,
             $E$2:E301,E301,
             $H$2:H301,H301
             )&gt;1,
   "Doublon",
   "Correcte"
)</f>
        <v>Correcte</v>
      </c>
    </row>
    <row r="302" spans="1:17" x14ac:dyDescent="0.25">
      <c r="A302" s="11" t="s">
        <v>3125</v>
      </c>
      <c r="B302" s="11" t="s">
        <v>1153</v>
      </c>
      <c r="C302" s="11" t="s">
        <v>662</v>
      </c>
      <c r="D302" s="11" t="s">
        <v>1154</v>
      </c>
      <c r="E302" s="11">
        <v>1</v>
      </c>
      <c r="F302" s="11"/>
      <c r="G302" s="11" t="s">
        <v>664</v>
      </c>
      <c r="H302" s="14">
        <v>45915</v>
      </c>
      <c r="I302" s="12">
        <f>-Mvt_Inter_entrepot[[#This Row],[QTE]]</f>
        <v>-1</v>
      </c>
      <c r="J302" s="11" t="s">
        <v>487</v>
      </c>
      <c r="K302" s="11" t="str">
        <f>_xlfn.TEXTBEFORE(Mvt_Inter_entrepot[[#This Row],[Num Suivis]],"-",,,1)</f>
        <v>OF245886</v>
      </c>
      <c r="L302" s="11" t="e">
        <f>_xlfn.XLOOKUP(Mvt_Inter_entrepot[[#This Row],[Num OF]],#REF!,#REF!,"Non Trouvé")</f>
        <v>#REF!</v>
      </c>
      <c r="M302" s="11" t="e">
        <f>_xlfn.XLOOKUP(Mvt_Inter_entrepot[[#This Row],[Num OF]],#REF!,#REF!,"Non Trouvé")</f>
        <v>#REF!</v>
      </c>
      <c r="N302" s="11" t="e">
        <f>_xlfn.XLOOKUP(Mvt_Inter_entrepot[[#This Row],[Num OF]],#REF!,#REF!,"Non Trouvé")</f>
        <v>#REF!</v>
      </c>
      <c r="O302" s="11" t="e">
        <f>_xlfn.XLOOKUP(Mvt_Inter_entrepot[[#This Row],[Num OF]],#REF!,#REF!,"Non Trouvé")</f>
        <v>#REF!</v>
      </c>
      <c r="P302" s="11" t="e">
        <f>_xlfn.XLOOKUP(Mvt_Inter_entrepot[[#This Row],[Num OF]],#REF!,#REF!,"Non Trouvé")</f>
        <v>#REF!</v>
      </c>
      <c r="Q302" s="11" t="str">
        <f>IF(
   COUNTIFS($A$2:A302,A302,
             $B$2:B302,B302,
             $C$2:C302,C302,
             $D$2:D302,D302,
             $E$2:E302,E302,
             $H$2:H302,H302
             )&gt;1,
   "Doublon",
   "Correcte"
)</f>
        <v>Correcte</v>
      </c>
    </row>
    <row r="303" spans="1:17" x14ac:dyDescent="0.25">
      <c r="A303" s="11" t="s">
        <v>3126</v>
      </c>
      <c r="B303" s="11" t="s">
        <v>1153</v>
      </c>
      <c r="C303" s="11" t="s">
        <v>662</v>
      </c>
      <c r="D303" s="11" t="s">
        <v>665</v>
      </c>
      <c r="E303" s="11">
        <v>19</v>
      </c>
      <c r="F303" s="11"/>
      <c r="G303" s="11" t="s">
        <v>664</v>
      </c>
      <c r="H303" s="14">
        <v>45915</v>
      </c>
      <c r="I303" s="12">
        <f>-Mvt_Inter_entrepot[[#This Row],[QTE]]</f>
        <v>-19</v>
      </c>
      <c r="J303" s="11" t="s">
        <v>489</v>
      </c>
      <c r="K303" s="11" t="str">
        <f>_xlfn.TEXTBEFORE(Mvt_Inter_entrepot[[#This Row],[Num Suivis]],"-",,,1)</f>
        <v>OF245888</v>
      </c>
      <c r="L303" s="11" t="e">
        <f>_xlfn.XLOOKUP(Mvt_Inter_entrepot[[#This Row],[Num OF]],#REF!,#REF!,"Non Trouvé")</f>
        <v>#REF!</v>
      </c>
      <c r="M303" s="11" t="e">
        <f>_xlfn.XLOOKUP(Mvt_Inter_entrepot[[#This Row],[Num OF]],#REF!,#REF!,"Non Trouvé")</f>
        <v>#REF!</v>
      </c>
      <c r="N303" s="11" t="e">
        <f>_xlfn.XLOOKUP(Mvt_Inter_entrepot[[#This Row],[Num OF]],#REF!,#REF!,"Non Trouvé")</f>
        <v>#REF!</v>
      </c>
      <c r="O303" s="11" t="e">
        <f>_xlfn.XLOOKUP(Mvt_Inter_entrepot[[#This Row],[Num OF]],#REF!,#REF!,"Non Trouvé")</f>
        <v>#REF!</v>
      </c>
      <c r="P303" s="11" t="e">
        <f>_xlfn.XLOOKUP(Mvt_Inter_entrepot[[#This Row],[Num OF]],#REF!,#REF!,"Non Trouvé")</f>
        <v>#REF!</v>
      </c>
      <c r="Q303" s="11" t="str">
        <f>IF(
   COUNTIFS($A$2:A303,A303,
             $B$2:B303,B303,
             $C$2:C303,C303,
             $D$2:D303,D303,
             $E$2:E303,E303,
             $H$2:H303,H303
             )&gt;1,
   "Doublon",
   "Correcte"
)</f>
        <v>Correcte</v>
      </c>
    </row>
    <row r="304" spans="1:17" x14ac:dyDescent="0.25">
      <c r="A304" s="11" t="s">
        <v>3127</v>
      </c>
      <c r="B304" s="11" t="s">
        <v>1153</v>
      </c>
      <c r="C304" s="11" t="s">
        <v>662</v>
      </c>
      <c r="D304" s="11" t="s">
        <v>665</v>
      </c>
      <c r="E304" s="11">
        <v>65</v>
      </c>
      <c r="F304" s="11"/>
      <c r="G304" s="11" t="s">
        <v>664</v>
      </c>
      <c r="H304" s="14">
        <v>45915</v>
      </c>
      <c r="I304" s="12">
        <f>-Mvt_Inter_entrepot[[#This Row],[QTE]]</f>
        <v>-65</v>
      </c>
      <c r="J304" s="11" t="s">
        <v>490</v>
      </c>
      <c r="K304" s="11" t="str">
        <f>_xlfn.TEXTBEFORE(Mvt_Inter_entrepot[[#This Row],[Num Suivis]],"-",,,1)</f>
        <v>OF245889</v>
      </c>
      <c r="L304" s="11" t="e">
        <f>_xlfn.XLOOKUP(Mvt_Inter_entrepot[[#This Row],[Num OF]],#REF!,#REF!,"Non Trouvé")</f>
        <v>#REF!</v>
      </c>
      <c r="M304" s="11" t="e">
        <f>_xlfn.XLOOKUP(Mvt_Inter_entrepot[[#This Row],[Num OF]],#REF!,#REF!,"Non Trouvé")</f>
        <v>#REF!</v>
      </c>
      <c r="N304" s="11" t="e">
        <f>_xlfn.XLOOKUP(Mvt_Inter_entrepot[[#This Row],[Num OF]],#REF!,#REF!,"Non Trouvé")</f>
        <v>#REF!</v>
      </c>
      <c r="O304" s="11" t="e">
        <f>_xlfn.XLOOKUP(Mvt_Inter_entrepot[[#This Row],[Num OF]],#REF!,#REF!,"Non Trouvé")</f>
        <v>#REF!</v>
      </c>
      <c r="P304" s="11" t="e">
        <f>_xlfn.XLOOKUP(Mvt_Inter_entrepot[[#This Row],[Num OF]],#REF!,#REF!,"Non Trouvé")</f>
        <v>#REF!</v>
      </c>
      <c r="Q304" s="11" t="str">
        <f>IF(
   COUNTIFS($A$2:A304,A304,
             $B$2:B304,B304,
             $C$2:C304,C304,
             $D$2:D304,D304,
             $E$2:E304,E304,
             $H$2:H304,H304
             )&gt;1,
   "Doublon",
   "Correcte"
)</f>
        <v>Correcte</v>
      </c>
    </row>
    <row r="305" spans="1:17" x14ac:dyDescent="0.25">
      <c r="A305" s="11" t="s">
        <v>3128</v>
      </c>
      <c r="B305" s="11" t="s">
        <v>1153</v>
      </c>
      <c r="C305" s="11" t="s">
        <v>662</v>
      </c>
      <c r="D305" s="11" t="s">
        <v>1154</v>
      </c>
      <c r="E305" s="11">
        <v>2</v>
      </c>
      <c r="F305" s="11"/>
      <c r="G305" s="11" t="s">
        <v>664</v>
      </c>
      <c r="H305" s="14">
        <v>45915</v>
      </c>
      <c r="I305" s="12">
        <f>-Mvt_Inter_entrepot[[#This Row],[QTE]]</f>
        <v>-2</v>
      </c>
      <c r="J305" s="11" t="s">
        <v>491</v>
      </c>
      <c r="K305" s="11" t="str">
        <f>_xlfn.TEXTBEFORE(Mvt_Inter_entrepot[[#This Row],[Num Suivis]],"-",,,1)</f>
        <v>OF245891</v>
      </c>
      <c r="L305" s="11" t="e">
        <f>_xlfn.XLOOKUP(Mvt_Inter_entrepot[[#This Row],[Num OF]],#REF!,#REF!,"Non Trouvé")</f>
        <v>#REF!</v>
      </c>
      <c r="M305" s="11" t="e">
        <f>_xlfn.XLOOKUP(Mvt_Inter_entrepot[[#This Row],[Num OF]],#REF!,#REF!,"Non Trouvé")</f>
        <v>#REF!</v>
      </c>
      <c r="N305" s="11" t="e">
        <f>_xlfn.XLOOKUP(Mvt_Inter_entrepot[[#This Row],[Num OF]],#REF!,#REF!,"Non Trouvé")</f>
        <v>#REF!</v>
      </c>
      <c r="O305" s="11" t="e">
        <f>_xlfn.XLOOKUP(Mvt_Inter_entrepot[[#This Row],[Num OF]],#REF!,#REF!,"Non Trouvé")</f>
        <v>#REF!</v>
      </c>
      <c r="P305" s="11" t="e">
        <f>_xlfn.XLOOKUP(Mvt_Inter_entrepot[[#This Row],[Num OF]],#REF!,#REF!,"Non Trouvé")</f>
        <v>#REF!</v>
      </c>
      <c r="Q305" s="11" t="str">
        <f>IF(
   COUNTIFS($A$2:A305,A305,
             $B$2:B305,B305,
             $C$2:C305,C305,
             $D$2:D305,D305,
             $E$2:E305,E305,
             $H$2:H305,H305
             )&gt;1,
   "Doublon",
   "Correcte"
)</f>
        <v>Correcte</v>
      </c>
    </row>
    <row r="306" spans="1:17" x14ac:dyDescent="0.25">
      <c r="A306" s="11" t="s">
        <v>3129</v>
      </c>
      <c r="B306" s="11" t="s">
        <v>1153</v>
      </c>
      <c r="C306" s="11" t="s">
        <v>662</v>
      </c>
      <c r="D306" s="11" t="s">
        <v>665</v>
      </c>
      <c r="E306" s="11">
        <v>56</v>
      </c>
      <c r="F306" s="11"/>
      <c r="G306" s="11" t="s">
        <v>664</v>
      </c>
      <c r="H306" s="14">
        <v>45915</v>
      </c>
      <c r="I306" s="12">
        <f>-Mvt_Inter_entrepot[[#This Row],[QTE]]</f>
        <v>-56</v>
      </c>
      <c r="J306" s="11" t="s">
        <v>492</v>
      </c>
      <c r="K306" s="11" t="str">
        <f>_xlfn.TEXTBEFORE(Mvt_Inter_entrepot[[#This Row],[Num Suivis]],"-",,,1)</f>
        <v>OF245893</v>
      </c>
      <c r="L306" s="11" t="e">
        <f>_xlfn.XLOOKUP(Mvt_Inter_entrepot[[#This Row],[Num OF]],#REF!,#REF!,"Non Trouvé")</f>
        <v>#REF!</v>
      </c>
      <c r="M306" s="11" t="e">
        <f>_xlfn.XLOOKUP(Mvt_Inter_entrepot[[#This Row],[Num OF]],#REF!,#REF!,"Non Trouvé")</f>
        <v>#REF!</v>
      </c>
      <c r="N306" s="11" t="e">
        <f>_xlfn.XLOOKUP(Mvt_Inter_entrepot[[#This Row],[Num OF]],#REF!,#REF!,"Non Trouvé")</f>
        <v>#REF!</v>
      </c>
      <c r="O306" s="11" t="e">
        <f>_xlfn.XLOOKUP(Mvt_Inter_entrepot[[#This Row],[Num OF]],#REF!,#REF!,"Non Trouvé")</f>
        <v>#REF!</v>
      </c>
      <c r="P306" s="11" t="e">
        <f>_xlfn.XLOOKUP(Mvt_Inter_entrepot[[#This Row],[Num OF]],#REF!,#REF!,"Non Trouvé")</f>
        <v>#REF!</v>
      </c>
      <c r="Q306" s="11" t="str">
        <f>IF(
   COUNTIFS($A$2:A306,A306,
             $B$2:B306,B306,
             $C$2:C306,C306,
             $D$2:D306,D306,
             $E$2:E306,E306,
             $H$2:H306,H306
             )&gt;1,
   "Doublon",
   "Correcte"
)</f>
        <v>Correcte</v>
      </c>
    </row>
    <row r="307" spans="1:17" x14ac:dyDescent="0.25">
      <c r="A307" s="11" t="s">
        <v>3130</v>
      </c>
      <c r="B307" s="11" t="s">
        <v>1153</v>
      </c>
      <c r="C307" s="11" t="s">
        <v>662</v>
      </c>
      <c r="D307" s="11" t="s">
        <v>665</v>
      </c>
      <c r="E307" s="11">
        <v>57</v>
      </c>
      <c r="F307" s="11"/>
      <c r="G307" s="11" t="s">
        <v>664</v>
      </c>
      <c r="H307" s="14">
        <v>45915</v>
      </c>
      <c r="I307" s="12">
        <f>-Mvt_Inter_entrepot[[#This Row],[QTE]]</f>
        <v>-57</v>
      </c>
      <c r="J307" s="11" t="s">
        <v>493</v>
      </c>
      <c r="K307" s="11" t="str">
        <f>_xlfn.TEXTBEFORE(Mvt_Inter_entrepot[[#This Row],[Num Suivis]],"-",,,1)</f>
        <v>OF245894</v>
      </c>
      <c r="L307" s="11" t="e">
        <f>_xlfn.XLOOKUP(Mvt_Inter_entrepot[[#This Row],[Num OF]],#REF!,#REF!,"Non Trouvé")</f>
        <v>#REF!</v>
      </c>
      <c r="M307" s="11" t="e">
        <f>_xlfn.XLOOKUP(Mvt_Inter_entrepot[[#This Row],[Num OF]],#REF!,#REF!,"Non Trouvé")</f>
        <v>#REF!</v>
      </c>
      <c r="N307" s="11" t="e">
        <f>_xlfn.XLOOKUP(Mvt_Inter_entrepot[[#This Row],[Num OF]],#REF!,#REF!,"Non Trouvé")</f>
        <v>#REF!</v>
      </c>
      <c r="O307" s="11" t="e">
        <f>_xlfn.XLOOKUP(Mvt_Inter_entrepot[[#This Row],[Num OF]],#REF!,#REF!,"Non Trouvé")</f>
        <v>#REF!</v>
      </c>
      <c r="P307" s="11" t="e">
        <f>_xlfn.XLOOKUP(Mvt_Inter_entrepot[[#This Row],[Num OF]],#REF!,#REF!,"Non Trouvé")</f>
        <v>#REF!</v>
      </c>
      <c r="Q307" s="11" t="str">
        <f>IF(
   COUNTIFS($A$2:A307,A307,
             $B$2:B307,B307,
             $C$2:C307,C307,
             $D$2:D307,D307,
             $E$2:E307,E307,
             $H$2:H307,H307
             )&gt;1,
   "Doublon",
   "Correcte"
)</f>
        <v>Correcte</v>
      </c>
    </row>
    <row r="308" spans="1:17" x14ac:dyDescent="0.25">
      <c r="A308" s="11" t="s">
        <v>3131</v>
      </c>
      <c r="B308" s="11" t="s">
        <v>1153</v>
      </c>
      <c r="C308" s="11" t="s">
        <v>662</v>
      </c>
      <c r="D308" s="11" t="s">
        <v>665</v>
      </c>
      <c r="E308" s="11">
        <v>25</v>
      </c>
      <c r="F308" s="11"/>
      <c r="G308" s="11" t="s">
        <v>664</v>
      </c>
      <c r="H308" s="14">
        <v>45915</v>
      </c>
      <c r="I308" s="12">
        <f>-Mvt_Inter_entrepot[[#This Row],[QTE]]</f>
        <v>-25</v>
      </c>
      <c r="J308" s="11" t="s">
        <v>494</v>
      </c>
      <c r="K308" s="11" t="str">
        <f>_xlfn.TEXTBEFORE(Mvt_Inter_entrepot[[#This Row],[Num Suivis]],"-",,,1)</f>
        <v>OF245896</v>
      </c>
      <c r="L308" s="11" t="e">
        <f>_xlfn.XLOOKUP(Mvt_Inter_entrepot[[#This Row],[Num OF]],#REF!,#REF!,"Non Trouvé")</f>
        <v>#REF!</v>
      </c>
      <c r="M308" s="11" t="e">
        <f>_xlfn.XLOOKUP(Mvt_Inter_entrepot[[#This Row],[Num OF]],#REF!,#REF!,"Non Trouvé")</f>
        <v>#REF!</v>
      </c>
      <c r="N308" s="11" t="e">
        <f>_xlfn.XLOOKUP(Mvt_Inter_entrepot[[#This Row],[Num OF]],#REF!,#REF!,"Non Trouvé")</f>
        <v>#REF!</v>
      </c>
      <c r="O308" s="11" t="e">
        <f>_xlfn.XLOOKUP(Mvt_Inter_entrepot[[#This Row],[Num OF]],#REF!,#REF!,"Non Trouvé")</f>
        <v>#REF!</v>
      </c>
      <c r="P308" s="11" t="e">
        <f>_xlfn.XLOOKUP(Mvt_Inter_entrepot[[#This Row],[Num OF]],#REF!,#REF!,"Non Trouvé")</f>
        <v>#REF!</v>
      </c>
      <c r="Q308" s="11" t="str">
        <f>IF(
   COUNTIFS($A$2:A308,A308,
             $B$2:B308,B308,
             $C$2:C308,C308,
             $D$2:D308,D308,
             $E$2:E308,E308,
             $H$2:H308,H308
             )&gt;1,
   "Doublon",
   "Correcte"
)</f>
        <v>Correcte</v>
      </c>
    </row>
    <row r="309" spans="1:17" x14ac:dyDescent="0.25">
      <c r="A309" s="11" t="s">
        <v>3132</v>
      </c>
      <c r="B309" s="11" t="s">
        <v>1153</v>
      </c>
      <c r="C309" s="11" t="s">
        <v>662</v>
      </c>
      <c r="D309" s="11" t="s">
        <v>665</v>
      </c>
      <c r="E309" s="11">
        <v>55</v>
      </c>
      <c r="F309" s="11"/>
      <c r="G309" s="11" t="s">
        <v>664</v>
      </c>
      <c r="H309" s="14">
        <v>45915</v>
      </c>
      <c r="I309" s="12">
        <f>-Mvt_Inter_entrepot[[#This Row],[QTE]]</f>
        <v>-55</v>
      </c>
      <c r="J309" s="11" t="s">
        <v>495</v>
      </c>
      <c r="K309" s="11" t="str">
        <f>_xlfn.TEXTBEFORE(Mvt_Inter_entrepot[[#This Row],[Num Suivis]],"-",,,1)</f>
        <v>OF245897</v>
      </c>
      <c r="L309" s="11" t="e">
        <f>_xlfn.XLOOKUP(Mvt_Inter_entrepot[[#This Row],[Num OF]],#REF!,#REF!,"Non Trouvé")</f>
        <v>#REF!</v>
      </c>
      <c r="M309" s="11" t="e">
        <f>_xlfn.XLOOKUP(Mvt_Inter_entrepot[[#This Row],[Num OF]],#REF!,#REF!,"Non Trouvé")</f>
        <v>#REF!</v>
      </c>
      <c r="N309" s="11" t="e">
        <f>_xlfn.XLOOKUP(Mvt_Inter_entrepot[[#This Row],[Num OF]],#REF!,#REF!,"Non Trouvé")</f>
        <v>#REF!</v>
      </c>
      <c r="O309" s="11" t="e">
        <f>_xlfn.XLOOKUP(Mvt_Inter_entrepot[[#This Row],[Num OF]],#REF!,#REF!,"Non Trouvé")</f>
        <v>#REF!</v>
      </c>
      <c r="P309" s="11" t="e">
        <f>_xlfn.XLOOKUP(Mvt_Inter_entrepot[[#This Row],[Num OF]],#REF!,#REF!,"Non Trouvé")</f>
        <v>#REF!</v>
      </c>
      <c r="Q309" s="11" t="str">
        <f>IF(
   COUNTIFS($A$2:A309,A309,
             $B$2:B309,B309,
             $C$2:C309,C309,
             $D$2:D309,D309,
             $E$2:E309,E309,
             $H$2:H309,H309
             )&gt;1,
   "Doublon",
   "Correcte"
)</f>
        <v>Correcte</v>
      </c>
    </row>
    <row r="310" spans="1:17" x14ac:dyDescent="0.25">
      <c r="A310" s="11" t="s">
        <v>3133</v>
      </c>
      <c r="B310" s="11" t="s">
        <v>1153</v>
      </c>
      <c r="C310" s="11" t="s">
        <v>662</v>
      </c>
      <c r="D310" s="11" t="s">
        <v>1154</v>
      </c>
      <c r="E310" s="11">
        <v>27</v>
      </c>
      <c r="F310" s="11"/>
      <c r="G310" s="11" t="s">
        <v>664</v>
      </c>
      <c r="H310" s="14">
        <v>45915</v>
      </c>
      <c r="I310" s="12">
        <f>-Mvt_Inter_entrepot[[#This Row],[QTE]]</f>
        <v>-27</v>
      </c>
      <c r="J310" s="11" t="s">
        <v>230</v>
      </c>
      <c r="K310" s="11" t="str">
        <f>_xlfn.TEXTBEFORE(Mvt_Inter_entrepot[[#This Row],[Num Suivis]],"-",,,1)</f>
        <v>OF245911</v>
      </c>
      <c r="L310" s="11" t="e">
        <f>_xlfn.XLOOKUP(Mvt_Inter_entrepot[[#This Row],[Num OF]],#REF!,#REF!,"Non Trouvé")</f>
        <v>#REF!</v>
      </c>
      <c r="M310" s="11" t="e">
        <f>_xlfn.XLOOKUP(Mvt_Inter_entrepot[[#This Row],[Num OF]],#REF!,#REF!,"Non Trouvé")</f>
        <v>#REF!</v>
      </c>
      <c r="N310" s="11" t="e">
        <f>_xlfn.XLOOKUP(Mvt_Inter_entrepot[[#This Row],[Num OF]],#REF!,#REF!,"Non Trouvé")</f>
        <v>#REF!</v>
      </c>
      <c r="O310" s="11" t="e">
        <f>_xlfn.XLOOKUP(Mvt_Inter_entrepot[[#This Row],[Num OF]],#REF!,#REF!,"Non Trouvé")</f>
        <v>#REF!</v>
      </c>
      <c r="P310" s="11" t="e">
        <f>_xlfn.XLOOKUP(Mvt_Inter_entrepot[[#This Row],[Num OF]],#REF!,#REF!,"Non Trouvé")</f>
        <v>#REF!</v>
      </c>
      <c r="Q310" s="11" t="str">
        <f>IF(
   COUNTIFS($A$2:A310,A310,
             $B$2:B310,B310,
             $C$2:C310,C310,
             $D$2:D310,D310,
             $E$2:E310,E310,
             $H$2:H310,H310
             )&gt;1,
   "Doublon",
   "Correcte"
)</f>
        <v>Correcte</v>
      </c>
    </row>
    <row r="311" spans="1:17" x14ac:dyDescent="0.25">
      <c r="A311" s="11" t="s">
        <v>3134</v>
      </c>
      <c r="B311" s="11" t="s">
        <v>1153</v>
      </c>
      <c r="C311" s="11" t="s">
        <v>662</v>
      </c>
      <c r="D311" s="11" t="s">
        <v>1154</v>
      </c>
      <c r="E311" s="11">
        <v>14</v>
      </c>
      <c r="F311" s="11"/>
      <c r="G311" s="11" t="s">
        <v>664</v>
      </c>
      <c r="H311" s="14">
        <v>45915</v>
      </c>
      <c r="I311" s="12">
        <f>-Mvt_Inter_entrepot[[#This Row],[QTE]]</f>
        <v>-14</v>
      </c>
      <c r="J311" s="11" t="s">
        <v>231</v>
      </c>
      <c r="K311" s="11" t="str">
        <f>_xlfn.TEXTBEFORE(Mvt_Inter_entrepot[[#This Row],[Num Suivis]],"-",,,1)</f>
        <v>OF245935</v>
      </c>
      <c r="L311" s="11" t="e">
        <f>_xlfn.XLOOKUP(Mvt_Inter_entrepot[[#This Row],[Num OF]],#REF!,#REF!,"Non Trouvé")</f>
        <v>#REF!</v>
      </c>
      <c r="M311" s="11" t="e">
        <f>_xlfn.XLOOKUP(Mvt_Inter_entrepot[[#This Row],[Num OF]],#REF!,#REF!,"Non Trouvé")</f>
        <v>#REF!</v>
      </c>
      <c r="N311" s="11" t="e">
        <f>_xlfn.XLOOKUP(Mvt_Inter_entrepot[[#This Row],[Num OF]],#REF!,#REF!,"Non Trouvé")</f>
        <v>#REF!</v>
      </c>
      <c r="O311" s="11" t="e">
        <f>_xlfn.XLOOKUP(Mvt_Inter_entrepot[[#This Row],[Num OF]],#REF!,#REF!,"Non Trouvé")</f>
        <v>#REF!</v>
      </c>
      <c r="P311" s="11" t="e">
        <f>_xlfn.XLOOKUP(Mvt_Inter_entrepot[[#This Row],[Num OF]],#REF!,#REF!,"Non Trouvé")</f>
        <v>#REF!</v>
      </c>
      <c r="Q311" s="11" t="str">
        <f>IF(
   COUNTIFS($A$2:A311,A311,
             $B$2:B311,B311,
             $C$2:C311,C311,
             $D$2:D311,D311,
             $E$2:E311,E311,
             $H$2:H311,H311
             )&gt;1,
   "Doublon",
   "Correcte"
)</f>
        <v>Correcte</v>
      </c>
    </row>
    <row r="312" spans="1:17" x14ac:dyDescent="0.25">
      <c r="A312" s="11" t="s">
        <v>3135</v>
      </c>
      <c r="B312" s="11" t="s">
        <v>1153</v>
      </c>
      <c r="C312" s="11" t="s">
        <v>662</v>
      </c>
      <c r="D312" s="11" t="s">
        <v>1154</v>
      </c>
      <c r="E312" s="11">
        <v>16</v>
      </c>
      <c r="F312" s="11"/>
      <c r="G312" s="11" t="s">
        <v>664</v>
      </c>
      <c r="H312" s="14">
        <v>45915</v>
      </c>
      <c r="I312" s="12">
        <f>-Mvt_Inter_entrepot[[#This Row],[QTE]]</f>
        <v>-16</v>
      </c>
      <c r="J312" s="11" t="s">
        <v>232</v>
      </c>
      <c r="K312" s="11" t="str">
        <f>_xlfn.TEXTBEFORE(Mvt_Inter_entrepot[[#This Row],[Num Suivis]],"-",,,1)</f>
        <v>OF245960</v>
      </c>
      <c r="L312" s="11" t="e">
        <f>_xlfn.XLOOKUP(Mvt_Inter_entrepot[[#This Row],[Num OF]],#REF!,#REF!,"Non Trouvé")</f>
        <v>#REF!</v>
      </c>
      <c r="M312" s="11" t="e">
        <f>_xlfn.XLOOKUP(Mvt_Inter_entrepot[[#This Row],[Num OF]],#REF!,#REF!,"Non Trouvé")</f>
        <v>#REF!</v>
      </c>
      <c r="N312" s="11" t="e">
        <f>_xlfn.XLOOKUP(Mvt_Inter_entrepot[[#This Row],[Num OF]],#REF!,#REF!,"Non Trouvé")</f>
        <v>#REF!</v>
      </c>
      <c r="O312" s="11" t="e">
        <f>_xlfn.XLOOKUP(Mvt_Inter_entrepot[[#This Row],[Num OF]],#REF!,#REF!,"Non Trouvé")</f>
        <v>#REF!</v>
      </c>
      <c r="P312" s="11" t="e">
        <f>_xlfn.XLOOKUP(Mvt_Inter_entrepot[[#This Row],[Num OF]],#REF!,#REF!,"Non Trouvé")</f>
        <v>#REF!</v>
      </c>
      <c r="Q312" s="11" t="str">
        <f>IF(
   COUNTIFS($A$2:A312,A312,
             $B$2:B312,B312,
             $C$2:C312,C312,
             $D$2:D312,D312,
             $E$2:E312,E312,
             $H$2:H312,H312
             )&gt;1,
   "Doublon",
   "Correcte"
)</f>
        <v>Correcte</v>
      </c>
    </row>
    <row r="313" spans="1:17" x14ac:dyDescent="0.25">
      <c r="A313" s="11" t="s">
        <v>3135</v>
      </c>
      <c r="B313" s="11" t="s">
        <v>1153</v>
      </c>
      <c r="C313" s="11" t="s">
        <v>662</v>
      </c>
      <c r="D313" s="11" t="s">
        <v>1154</v>
      </c>
      <c r="E313" s="11">
        <v>2</v>
      </c>
      <c r="F313" s="11"/>
      <c r="G313" s="11" t="s">
        <v>664</v>
      </c>
      <c r="H313" s="14">
        <v>45915</v>
      </c>
      <c r="I313" s="12">
        <f>-Mvt_Inter_entrepot[[#This Row],[QTE]]</f>
        <v>-2</v>
      </c>
      <c r="J313" s="11" t="s">
        <v>232</v>
      </c>
      <c r="K313" s="11" t="str">
        <f>_xlfn.TEXTBEFORE(Mvt_Inter_entrepot[[#This Row],[Num Suivis]],"-",,,1)</f>
        <v>OF245960</v>
      </c>
      <c r="L313" s="11" t="e">
        <f>_xlfn.XLOOKUP(Mvt_Inter_entrepot[[#This Row],[Num OF]],#REF!,#REF!,"Non Trouvé")</f>
        <v>#REF!</v>
      </c>
      <c r="M313" s="11" t="e">
        <f>_xlfn.XLOOKUP(Mvt_Inter_entrepot[[#This Row],[Num OF]],#REF!,#REF!,"Non Trouvé")</f>
        <v>#REF!</v>
      </c>
      <c r="N313" s="11" t="e">
        <f>_xlfn.XLOOKUP(Mvt_Inter_entrepot[[#This Row],[Num OF]],#REF!,#REF!,"Non Trouvé")</f>
        <v>#REF!</v>
      </c>
      <c r="O313" s="11" t="e">
        <f>_xlfn.XLOOKUP(Mvt_Inter_entrepot[[#This Row],[Num OF]],#REF!,#REF!,"Non Trouvé")</f>
        <v>#REF!</v>
      </c>
      <c r="P313" s="11" t="e">
        <f>_xlfn.XLOOKUP(Mvt_Inter_entrepot[[#This Row],[Num OF]],#REF!,#REF!,"Non Trouvé")</f>
        <v>#REF!</v>
      </c>
      <c r="Q313" s="11" t="str">
        <f>IF(
   COUNTIFS($A$2:A313,A313,
             $B$2:B313,B313,
             $C$2:C313,C313,
             $D$2:D313,D313,
             $E$2:E313,E313,
             $H$2:H313,H313
             )&gt;1,
   "Doublon",
   "Correcte"
)</f>
        <v>Correcte</v>
      </c>
    </row>
    <row r="314" spans="1:17" x14ac:dyDescent="0.25">
      <c r="A314" s="11" t="s">
        <v>3136</v>
      </c>
      <c r="B314" s="11" t="s">
        <v>1153</v>
      </c>
      <c r="C314" s="11" t="s">
        <v>662</v>
      </c>
      <c r="D314" s="11" t="s">
        <v>665</v>
      </c>
      <c r="E314" s="11">
        <v>24</v>
      </c>
      <c r="F314" s="11"/>
      <c r="G314" s="11" t="s">
        <v>664</v>
      </c>
      <c r="H314" s="14">
        <v>45915</v>
      </c>
      <c r="I314" s="12">
        <f>-Mvt_Inter_entrepot[[#This Row],[QTE]]</f>
        <v>-24</v>
      </c>
      <c r="J314" s="11" t="s">
        <v>233</v>
      </c>
      <c r="K314" s="11" t="str">
        <f>_xlfn.TEXTBEFORE(Mvt_Inter_entrepot[[#This Row],[Num Suivis]],"-",,,1)</f>
        <v>OF245965</v>
      </c>
      <c r="L314" s="11" t="e">
        <f>_xlfn.XLOOKUP(Mvt_Inter_entrepot[[#This Row],[Num OF]],#REF!,#REF!,"Non Trouvé")</f>
        <v>#REF!</v>
      </c>
      <c r="M314" s="11" t="e">
        <f>_xlfn.XLOOKUP(Mvt_Inter_entrepot[[#This Row],[Num OF]],#REF!,#REF!,"Non Trouvé")</f>
        <v>#REF!</v>
      </c>
      <c r="N314" s="11" t="e">
        <f>_xlfn.XLOOKUP(Mvt_Inter_entrepot[[#This Row],[Num OF]],#REF!,#REF!,"Non Trouvé")</f>
        <v>#REF!</v>
      </c>
      <c r="O314" s="11" t="e">
        <f>_xlfn.XLOOKUP(Mvt_Inter_entrepot[[#This Row],[Num OF]],#REF!,#REF!,"Non Trouvé")</f>
        <v>#REF!</v>
      </c>
      <c r="P314" s="11" t="e">
        <f>_xlfn.XLOOKUP(Mvt_Inter_entrepot[[#This Row],[Num OF]],#REF!,#REF!,"Non Trouvé")</f>
        <v>#REF!</v>
      </c>
      <c r="Q314" s="11" t="str">
        <f>IF(
   COUNTIFS($A$2:A314,A314,
             $B$2:B314,B314,
             $C$2:C314,C314,
             $D$2:D314,D314,
             $E$2:E314,E314,
             $H$2:H314,H314
             )&gt;1,
   "Doublon",
   "Correcte"
)</f>
        <v>Correcte</v>
      </c>
    </row>
    <row r="315" spans="1:17" x14ac:dyDescent="0.25">
      <c r="A315" s="11" t="s">
        <v>3137</v>
      </c>
      <c r="B315" s="11" t="s">
        <v>1153</v>
      </c>
      <c r="C315" s="11" t="s">
        <v>662</v>
      </c>
      <c r="D315" s="11" t="s">
        <v>665</v>
      </c>
      <c r="E315" s="11">
        <v>25</v>
      </c>
      <c r="F315" s="11"/>
      <c r="G315" s="11" t="s">
        <v>664</v>
      </c>
      <c r="H315" s="14">
        <v>45915</v>
      </c>
      <c r="I315" s="12">
        <f>-Mvt_Inter_entrepot[[#This Row],[QTE]]</f>
        <v>-25</v>
      </c>
      <c r="J315" s="11" t="s">
        <v>234</v>
      </c>
      <c r="K315" s="11" t="str">
        <f>_xlfn.TEXTBEFORE(Mvt_Inter_entrepot[[#This Row],[Num Suivis]],"-",,,1)</f>
        <v>OF245966</v>
      </c>
      <c r="L315" s="11" t="e">
        <f>_xlfn.XLOOKUP(Mvt_Inter_entrepot[[#This Row],[Num OF]],#REF!,#REF!,"Non Trouvé")</f>
        <v>#REF!</v>
      </c>
      <c r="M315" s="11" t="e">
        <f>_xlfn.XLOOKUP(Mvt_Inter_entrepot[[#This Row],[Num OF]],#REF!,#REF!,"Non Trouvé")</f>
        <v>#REF!</v>
      </c>
      <c r="N315" s="11" t="e">
        <f>_xlfn.XLOOKUP(Mvt_Inter_entrepot[[#This Row],[Num OF]],#REF!,#REF!,"Non Trouvé")</f>
        <v>#REF!</v>
      </c>
      <c r="O315" s="11" t="e">
        <f>_xlfn.XLOOKUP(Mvt_Inter_entrepot[[#This Row],[Num OF]],#REF!,#REF!,"Non Trouvé")</f>
        <v>#REF!</v>
      </c>
      <c r="P315" s="11" t="e">
        <f>_xlfn.XLOOKUP(Mvt_Inter_entrepot[[#This Row],[Num OF]],#REF!,#REF!,"Non Trouvé")</f>
        <v>#REF!</v>
      </c>
      <c r="Q315" s="11" t="str">
        <f>IF(
   COUNTIFS($A$2:A315,A315,
             $B$2:B315,B315,
             $C$2:C315,C315,
             $D$2:D315,D315,
             $E$2:E315,E315,
             $H$2:H315,H315
             )&gt;1,
   "Doublon",
   "Correcte"
)</f>
        <v>Correcte</v>
      </c>
    </row>
    <row r="316" spans="1:17" x14ac:dyDescent="0.25">
      <c r="A316" s="11" t="s">
        <v>3138</v>
      </c>
      <c r="B316" s="11" t="s">
        <v>1153</v>
      </c>
      <c r="C316" s="11" t="s">
        <v>662</v>
      </c>
      <c r="D316" s="11" t="s">
        <v>1154</v>
      </c>
      <c r="E316" s="11">
        <v>20</v>
      </c>
      <c r="F316" s="11"/>
      <c r="G316" s="11" t="s">
        <v>664</v>
      </c>
      <c r="H316" s="14">
        <v>45915</v>
      </c>
      <c r="I316" s="12">
        <f>-Mvt_Inter_entrepot[[#This Row],[QTE]]</f>
        <v>-20</v>
      </c>
      <c r="J316" s="11" t="s">
        <v>235</v>
      </c>
      <c r="K316" s="11" t="str">
        <f>_xlfn.TEXTBEFORE(Mvt_Inter_entrepot[[#This Row],[Num Suivis]],"-",,,1)</f>
        <v>OF245967</v>
      </c>
      <c r="L316" s="11" t="e">
        <f>_xlfn.XLOOKUP(Mvt_Inter_entrepot[[#This Row],[Num OF]],#REF!,#REF!,"Non Trouvé")</f>
        <v>#REF!</v>
      </c>
      <c r="M316" s="11" t="e">
        <f>_xlfn.XLOOKUP(Mvt_Inter_entrepot[[#This Row],[Num OF]],#REF!,#REF!,"Non Trouvé")</f>
        <v>#REF!</v>
      </c>
      <c r="N316" s="11" t="e">
        <f>_xlfn.XLOOKUP(Mvt_Inter_entrepot[[#This Row],[Num OF]],#REF!,#REF!,"Non Trouvé")</f>
        <v>#REF!</v>
      </c>
      <c r="O316" s="11" t="e">
        <f>_xlfn.XLOOKUP(Mvt_Inter_entrepot[[#This Row],[Num OF]],#REF!,#REF!,"Non Trouvé")</f>
        <v>#REF!</v>
      </c>
      <c r="P316" s="11" t="e">
        <f>_xlfn.XLOOKUP(Mvt_Inter_entrepot[[#This Row],[Num OF]],#REF!,#REF!,"Non Trouvé")</f>
        <v>#REF!</v>
      </c>
      <c r="Q316" s="11" t="str">
        <f>IF(
   COUNTIFS($A$2:A316,A316,
             $B$2:B316,B316,
             $C$2:C316,C316,
             $D$2:D316,D316,
             $E$2:E316,E316,
             $H$2:H316,H316
             )&gt;1,
   "Doublon",
   "Correcte"
)</f>
        <v>Correcte</v>
      </c>
    </row>
    <row r="317" spans="1:17" x14ac:dyDescent="0.25">
      <c r="A317" s="11" t="s">
        <v>3139</v>
      </c>
      <c r="B317" s="11" t="s">
        <v>1153</v>
      </c>
      <c r="C317" s="11" t="s">
        <v>662</v>
      </c>
      <c r="D317" s="11" t="s">
        <v>1154</v>
      </c>
      <c r="E317" s="11">
        <v>25</v>
      </c>
      <c r="F317" s="11"/>
      <c r="G317" s="11" t="s">
        <v>664</v>
      </c>
      <c r="H317" s="14">
        <v>45915</v>
      </c>
      <c r="I317" s="12">
        <f>-Mvt_Inter_entrepot[[#This Row],[QTE]]</f>
        <v>-25</v>
      </c>
      <c r="J317" s="11" t="s">
        <v>236</v>
      </c>
      <c r="K317" s="11" t="str">
        <f>_xlfn.TEXTBEFORE(Mvt_Inter_entrepot[[#This Row],[Num Suivis]],"-",,,1)</f>
        <v>OF245968</v>
      </c>
      <c r="L317" s="11" t="e">
        <f>_xlfn.XLOOKUP(Mvt_Inter_entrepot[[#This Row],[Num OF]],#REF!,#REF!,"Non Trouvé")</f>
        <v>#REF!</v>
      </c>
      <c r="M317" s="11" t="e">
        <f>_xlfn.XLOOKUP(Mvt_Inter_entrepot[[#This Row],[Num OF]],#REF!,#REF!,"Non Trouvé")</f>
        <v>#REF!</v>
      </c>
      <c r="N317" s="11" t="e">
        <f>_xlfn.XLOOKUP(Mvt_Inter_entrepot[[#This Row],[Num OF]],#REF!,#REF!,"Non Trouvé")</f>
        <v>#REF!</v>
      </c>
      <c r="O317" s="11" t="e">
        <f>_xlfn.XLOOKUP(Mvt_Inter_entrepot[[#This Row],[Num OF]],#REF!,#REF!,"Non Trouvé")</f>
        <v>#REF!</v>
      </c>
      <c r="P317" s="11" t="e">
        <f>_xlfn.XLOOKUP(Mvt_Inter_entrepot[[#This Row],[Num OF]],#REF!,#REF!,"Non Trouvé")</f>
        <v>#REF!</v>
      </c>
      <c r="Q317" s="11" t="str">
        <f>IF(
   COUNTIFS($A$2:A317,A317,
             $B$2:B317,B317,
             $C$2:C317,C317,
             $D$2:D317,D317,
             $E$2:E317,E317,
             $H$2:H317,H317
             )&gt;1,
   "Doublon",
   "Correcte"
)</f>
        <v>Correcte</v>
      </c>
    </row>
    <row r="318" spans="1:17" x14ac:dyDescent="0.25">
      <c r="A318" s="11" t="s">
        <v>3140</v>
      </c>
      <c r="B318" s="11" t="s">
        <v>1153</v>
      </c>
      <c r="C318" s="11" t="s">
        <v>662</v>
      </c>
      <c r="D318" s="11" t="s">
        <v>1154</v>
      </c>
      <c r="E318" s="11">
        <v>26</v>
      </c>
      <c r="F318" s="11"/>
      <c r="G318" s="11" t="s">
        <v>664</v>
      </c>
      <c r="H318" s="14">
        <v>45915</v>
      </c>
      <c r="I318" s="12">
        <f>-Mvt_Inter_entrepot[[#This Row],[QTE]]</f>
        <v>-26</v>
      </c>
      <c r="J318" s="11" t="s">
        <v>237</v>
      </c>
      <c r="K318" s="11" t="str">
        <f>_xlfn.TEXTBEFORE(Mvt_Inter_entrepot[[#This Row],[Num Suivis]],"-",,,1)</f>
        <v>OF245969</v>
      </c>
      <c r="L318" s="11" t="e">
        <f>_xlfn.XLOOKUP(Mvt_Inter_entrepot[[#This Row],[Num OF]],#REF!,#REF!,"Non Trouvé")</f>
        <v>#REF!</v>
      </c>
      <c r="M318" s="11" t="e">
        <f>_xlfn.XLOOKUP(Mvt_Inter_entrepot[[#This Row],[Num OF]],#REF!,#REF!,"Non Trouvé")</f>
        <v>#REF!</v>
      </c>
      <c r="N318" s="11" t="e">
        <f>_xlfn.XLOOKUP(Mvt_Inter_entrepot[[#This Row],[Num OF]],#REF!,#REF!,"Non Trouvé")</f>
        <v>#REF!</v>
      </c>
      <c r="O318" s="11" t="e">
        <f>_xlfn.XLOOKUP(Mvt_Inter_entrepot[[#This Row],[Num OF]],#REF!,#REF!,"Non Trouvé")</f>
        <v>#REF!</v>
      </c>
      <c r="P318" s="11" t="e">
        <f>_xlfn.XLOOKUP(Mvt_Inter_entrepot[[#This Row],[Num OF]],#REF!,#REF!,"Non Trouvé")</f>
        <v>#REF!</v>
      </c>
      <c r="Q318" s="11" t="str">
        <f>IF(
   COUNTIFS($A$2:A318,A318,
             $B$2:B318,B318,
             $C$2:C318,C318,
             $D$2:D318,D318,
             $E$2:E318,E318,
             $H$2:H318,H318
             )&gt;1,
   "Doublon",
   "Correcte"
)</f>
        <v>Correcte</v>
      </c>
    </row>
    <row r="319" spans="1:17" x14ac:dyDescent="0.25">
      <c r="A319" s="11" t="s">
        <v>3141</v>
      </c>
      <c r="B319" s="11" t="s">
        <v>1153</v>
      </c>
      <c r="C319" s="11" t="s">
        <v>662</v>
      </c>
      <c r="D319" s="11" t="s">
        <v>1154</v>
      </c>
      <c r="E319" s="11">
        <v>23</v>
      </c>
      <c r="F319" s="11"/>
      <c r="G319" s="11" t="s">
        <v>664</v>
      </c>
      <c r="H319" s="14">
        <v>45915</v>
      </c>
      <c r="I319" s="12">
        <f>-Mvt_Inter_entrepot[[#This Row],[QTE]]</f>
        <v>-23</v>
      </c>
      <c r="J319" s="11" t="s">
        <v>238</v>
      </c>
      <c r="K319" s="11" t="str">
        <f>_xlfn.TEXTBEFORE(Mvt_Inter_entrepot[[#This Row],[Num Suivis]],"-",,,1)</f>
        <v>OF245970</v>
      </c>
      <c r="L319" s="11" t="e">
        <f>_xlfn.XLOOKUP(Mvt_Inter_entrepot[[#This Row],[Num OF]],#REF!,#REF!,"Non Trouvé")</f>
        <v>#REF!</v>
      </c>
      <c r="M319" s="11" t="e">
        <f>_xlfn.XLOOKUP(Mvt_Inter_entrepot[[#This Row],[Num OF]],#REF!,#REF!,"Non Trouvé")</f>
        <v>#REF!</v>
      </c>
      <c r="N319" s="11" t="e">
        <f>_xlfn.XLOOKUP(Mvt_Inter_entrepot[[#This Row],[Num OF]],#REF!,#REF!,"Non Trouvé")</f>
        <v>#REF!</v>
      </c>
      <c r="O319" s="11" t="e">
        <f>_xlfn.XLOOKUP(Mvt_Inter_entrepot[[#This Row],[Num OF]],#REF!,#REF!,"Non Trouvé")</f>
        <v>#REF!</v>
      </c>
      <c r="P319" s="11" t="e">
        <f>_xlfn.XLOOKUP(Mvt_Inter_entrepot[[#This Row],[Num OF]],#REF!,#REF!,"Non Trouvé")</f>
        <v>#REF!</v>
      </c>
      <c r="Q319" s="11" t="str">
        <f>IF(
   COUNTIFS($A$2:A319,A319,
             $B$2:B319,B319,
             $C$2:C319,C319,
             $D$2:D319,D319,
             $E$2:E319,E319,
             $H$2:H319,H319
             )&gt;1,
   "Doublon",
   "Correcte"
)</f>
        <v>Correcte</v>
      </c>
    </row>
    <row r="320" spans="1:17" x14ac:dyDescent="0.25">
      <c r="A320" s="11" t="s">
        <v>3141</v>
      </c>
      <c r="B320" s="11" t="s">
        <v>1153</v>
      </c>
      <c r="C320" s="11" t="s">
        <v>662</v>
      </c>
      <c r="D320" s="11" t="s">
        <v>1154</v>
      </c>
      <c r="E320" s="11">
        <v>2</v>
      </c>
      <c r="F320" s="11"/>
      <c r="G320" s="11" t="s">
        <v>664</v>
      </c>
      <c r="H320" s="14">
        <v>45915</v>
      </c>
      <c r="I320" s="12">
        <f>-Mvt_Inter_entrepot[[#This Row],[QTE]]</f>
        <v>-2</v>
      </c>
      <c r="J320" s="11" t="s">
        <v>238</v>
      </c>
      <c r="K320" s="11" t="str">
        <f>_xlfn.TEXTBEFORE(Mvt_Inter_entrepot[[#This Row],[Num Suivis]],"-",,,1)</f>
        <v>OF245970</v>
      </c>
      <c r="L320" s="11" t="e">
        <f>_xlfn.XLOOKUP(Mvt_Inter_entrepot[[#This Row],[Num OF]],#REF!,#REF!,"Non Trouvé")</f>
        <v>#REF!</v>
      </c>
      <c r="M320" s="11" t="e">
        <f>_xlfn.XLOOKUP(Mvt_Inter_entrepot[[#This Row],[Num OF]],#REF!,#REF!,"Non Trouvé")</f>
        <v>#REF!</v>
      </c>
      <c r="N320" s="11" t="e">
        <f>_xlfn.XLOOKUP(Mvt_Inter_entrepot[[#This Row],[Num OF]],#REF!,#REF!,"Non Trouvé")</f>
        <v>#REF!</v>
      </c>
      <c r="O320" s="11" t="e">
        <f>_xlfn.XLOOKUP(Mvt_Inter_entrepot[[#This Row],[Num OF]],#REF!,#REF!,"Non Trouvé")</f>
        <v>#REF!</v>
      </c>
      <c r="P320" s="11" t="e">
        <f>_xlfn.XLOOKUP(Mvt_Inter_entrepot[[#This Row],[Num OF]],#REF!,#REF!,"Non Trouvé")</f>
        <v>#REF!</v>
      </c>
      <c r="Q320" s="11" t="str">
        <f>IF(
   COUNTIFS($A$2:A320,A320,
             $B$2:B320,B320,
             $C$2:C320,C320,
             $D$2:D320,D320,
             $E$2:E320,E320,
             $H$2:H320,H320
             )&gt;1,
   "Doublon",
   "Correcte"
)</f>
        <v>Correcte</v>
      </c>
    </row>
    <row r="321" spans="1:17" x14ac:dyDescent="0.25">
      <c r="A321" s="11" t="s">
        <v>3142</v>
      </c>
      <c r="B321" s="11" t="s">
        <v>1153</v>
      </c>
      <c r="C321" s="11" t="s">
        <v>662</v>
      </c>
      <c r="D321" s="11" t="s">
        <v>1154</v>
      </c>
      <c r="E321" s="11">
        <v>36</v>
      </c>
      <c r="F321" s="11"/>
      <c r="G321" s="11" t="s">
        <v>664</v>
      </c>
      <c r="H321" s="14">
        <v>45915</v>
      </c>
      <c r="I321" s="12">
        <f>-Mvt_Inter_entrepot[[#This Row],[QTE]]</f>
        <v>-36</v>
      </c>
      <c r="J321" s="11" t="s">
        <v>239</v>
      </c>
      <c r="K321" s="11" t="str">
        <f>_xlfn.TEXTBEFORE(Mvt_Inter_entrepot[[#This Row],[Num Suivis]],"-",,,1)</f>
        <v>OF245971</v>
      </c>
      <c r="L321" s="11" t="e">
        <f>_xlfn.XLOOKUP(Mvt_Inter_entrepot[[#This Row],[Num OF]],#REF!,#REF!,"Non Trouvé")</f>
        <v>#REF!</v>
      </c>
      <c r="M321" s="11" t="e">
        <f>_xlfn.XLOOKUP(Mvt_Inter_entrepot[[#This Row],[Num OF]],#REF!,#REF!,"Non Trouvé")</f>
        <v>#REF!</v>
      </c>
      <c r="N321" s="11" t="e">
        <f>_xlfn.XLOOKUP(Mvt_Inter_entrepot[[#This Row],[Num OF]],#REF!,#REF!,"Non Trouvé")</f>
        <v>#REF!</v>
      </c>
      <c r="O321" s="11" t="e">
        <f>_xlfn.XLOOKUP(Mvt_Inter_entrepot[[#This Row],[Num OF]],#REF!,#REF!,"Non Trouvé")</f>
        <v>#REF!</v>
      </c>
      <c r="P321" s="11" t="e">
        <f>_xlfn.XLOOKUP(Mvt_Inter_entrepot[[#This Row],[Num OF]],#REF!,#REF!,"Non Trouvé")</f>
        <v>#REF!</v>
      </c>
      <c r="Q321" s="11" t="str">
        <f>IF(
   COUNTIFS($A$2:A321,A321,
             $B$2:B321,B321,
             $C$2:C321,C321,
             $D$2:D321,D321,
             $E$2:E321,E321,
             $H$2:H321,H321
             )&gt;1,
   "Doublon",
   "Correcte"
)</f>
        <v>Correcte</v>
      </c>
    </row>
    <row r="322" spans="1:17" x14ac:dyDescent="0.25">
      <c r="A322" s="11" t="s">
        <v>3143</v>
      </c>
      <c r="B322" s="11" t="s">
        <v>1153</v>
      </c>
      <c r="C322" s="11" t="s">
        <v>662</v>
      </c>
      <c r="D322" s="11" t="s">
        <v>1154</v>
      </c>
      <c r="E322" s="11">
        <v>3</v>
      </c>
      <c r="F322" s="11"/>
      <c r="G322" s="11" t="s">
        <v>664</v>
      </c>
      <c r="H322" s="14">
        <v>45915</v>
      </c>
      <c r="I322" s="12">
        <f>-Mvt_Inter_entrepot[[#This Row],[QTE]]</f>
        <v>-3</v>
      </c>
      <c r="J322" s="11" t="s">
        <v>240</v>
      </c>
      <c r="K322" s="11" t="str">
        <f>_xlfn.TEXTBEFORE(Mvt_Inter_entrepot[[#This Row],[Num Suivis]],"-",,,1)</f>
        <v>OF245972</v>
      </c>
      <c r="L322" s="11" t="e">
        <f>_xlfn.XLOOKUP(Mvt_Inter_entrepot[[#This Row],[Num OF]],#REF!,#REF!,"Non Trouvé")</f>
        <v>#REF!</v>
      </c>
      <c r="M322" s="11" t="e">
        <f>_xlfn.XLOOKUP(Mvt_Inter_entrepot[[#This Row],[Num OF]],#REF!,#REF!,"Non Trouvé")</f>
        <v>#REF!</v>
      </c>
      <c r="N322" s="11" t="e">
        <f>_xlfn.XLOOKUP(Mvt_Inter_entrepot[[#This Row],[Num OF]],#REF!,#REF!,"Non Trouvé")</f>
        <v>#REF!</v>
      </c>
      <c r="O322" s="11" t="e">
        <f>_xlfn.XLOOKUP(Mvt_Inter_entrepot[[#This Row],[Num OF]],#REF!,#REF!,"Non Trouvé")</f>
        <v>#REF!</v>
      </c>
      <c r="P322" s="11" t="e">
        <f>_xlfn.XLOOKUP(Mvt_Inter_entrepot[[#This Row],[Num OF]],#REF!,#REF!,"Non Trouvé")</f>
        <v>#REF!</v>
      </c>
      <c r="Q322" s="11" t="str">
        <f>IF(
   COUNTIFS($A$2:A322,A322,
             $B$2:B322,B322,
             $C$2:C322,C322,
             $D$2:D322,D322,
             $E$2:E322,E322,
             $H$2:H322,H322
             )&gt;1,
   "Doublon",
   "Correcte"
)</f>
        <v>Correcte</v>
      </c>
    </row>
    <row r="323" spans="1:17" x14ac:dyDescent="0.25">
      <c r="A323" s="11" t="s">
        <v>3144</v>
      </c>
      <c r="B323" s="11" t="s">
        <v>1153</v>
      </c>
      <c r="C323" s="11" t="s">
        <v>662</v>
      </c>
      <c r="D323" s="11" t="s">
        <v>1154</v>
      </c>
      <c r="E323" s="11">
        <v>30</v>
      </c>
      <c r="F323" s="11"/>
      <c r="G323" s="11" t="s">
        <v>664</v>
      </c>
      <c r="H323" s="14">
        <v>45915</v>
      </c>
      <c r="I323" s="12">
        <f>-Mvt_Inter_entrepot[[#This Row],[QTE]]</f>
        <v>-30</v>
      </c>
      <c r="J323" s="11" t="s">
        <v>241</v>
      </c>
      <c r="K323" s="11" t="str">
        <f>_xlfn.TEXTBEFORE(Mvt_Inter_entrepot[[#This Row],[Num Suivis]],"-",,,1)</f>
        <v>OF245973</v>
      </c>
      <c r="L323" s="11" t="e">
        <f>_xlfn.XLOOKUP(Mvt_Inter_entrepot[[#This Row],[Num OF]],#REF!,#REF!,"Non Trouvé")</f>
        <v>#REF!</v>
      </c>
      <c r="M323" s="11" t="e">
        <f>_xlfn.XLOOKUP(Mvt_Inter_entrepot[[#This Row],[Num OF]],#REF!,#REF!,"Non Trouvé")</f>
        <v>#REF!</v>
      </c>
      <c r="N323" s="11" t="e">
        <f>_xlfn.XLOOKUP(Mvt_Inter_entrepot[[#This Row],[Num OF]],#REF!,#REF!,"Non Trouvé")</f>
        <v>#REF!</v>
      </c>
      <c r="O323" s="11" t="e">
        <f>_xlfn.XLOOKUP(Mvt_Inter_entrepot[[#This Row],[Num OF]],#REF!,#REF!,"Non Trouvé")</f>
        <v>#REF!</v>
      </c>
      <c r="P323" s="11" t="e">
        <f>_xlfn.XLOOKUP(Mvt_Inter_entrepot[[#This Row],[Num OF]],#REF!,#REF!,"Non Trouvé")</f>
        <v>#REF!</v>
      </c>
      <c r="Q323" s="11" t="str">
        <f>IF(
   COUNTIFS($A$2:A323,A323,
             $B$2:B323,B323,
             $C$2:C323,C323,
             $D$2:D323,D323,
             $E$2:E323,E323,
             $H$2:H323,H323
             )&gt;1,
   "Doublon",
   "Correcte"
)</f>
        <v>Correcte</v>
      </c>
    </row>
    <row r="324" spans="1:17" x14ac:dyDescent="0.25">
      <c r="A324" s="11" t="s">
        <v>3145</v>
      </c>
      <c r="B324" s="11" t="s">
        <v>1153</v>
      </c>
      <c r="C324" s="11" t="s">
        <v>662</v>
      </c>
      <c r="D324" s="11" t="s">
        <v>1154</v>
      </c>
      <c r="E324" s="11">
        <v>12</v>
      </c>
      <c r="F324" s="11"/>
      <c r="G324" s="11" t="s">
        <v>664</v>
      </c>
      <c r="H324" s="14">
        <v>45915</v>
      </c>
      <c r="I324" s="12">
        <f>-Mvt_Inter_entrepot[[#This Row],[QTE]]</f>
        <v>-12</v>
      </c>
      <c r="J324" s="11" t="s">
        <v>242</v>
      </c>
      <c r="K324" s="11" t="str">
        <f>_xlfn.TEXTBEFORE(Mvt_Inter_entrepot[[#This Row],[Num Suivis]],"-",,,1)</f>
        <v>OF245974</v>
      </c>
      <c r="L324" s="11" t="e">
        <f>_xlfn.XLOOKUP(Mvt_Inter_entrepot[[#This Row],[Num OF]],#REF!,#REF!,"Non Trouvé")</f>
        <v>#REF!</v>
      </c>
      <c r="M324" s="11" t="e">
        <f>_xlfn.XLOOKUP(Mvt_Inter_entrepot[[#This Row],[Num OF]],#REF!,#REF!,"Non Trouvé")</f>
        <v>#REF!</v>
      </c>
      <c r="N324" s="11" t="e">
        <f>_xlfn.XLOOKUP(Mvt_Inter_entrepot[[#This Row],[Num OF]],#REF!,#REF!,"Non Trouvé")</f>
        <v>#REF!</v>
      </c>
      <c r="O324" s="11" t="e">
        <f>_xlfn.XLOOKUP(Mvt_Inter_entrepot[[#This Row],[Num OF]],#REF!,#REF!,"Non Trouvé")</f>
        <v>#REF!</v>
      </c>
      <c r="P324" s="11" t="e">
        <f>_xlfn.XLOOKUP(Mvt_Inter_entrepot[[#This Row],[Num OF]],#REF!,#REF!,"Non Trouvé")</f>
        <v>#REF!</v>
      </c>
      <c r="Q324" s="11" t="str">
        <f>IF(
   COUNTIFS($A$2:A324,A324,
             $B$2:B324,B324,
             $C$2:C324,C324,
             $D$2:D324,D324,
             $E$2:E324,E324,
             $H$2:H324,H324
             )&gt;1,
   "Doublon",
   "Correcte"
)</f>
        <v>Correcte</v>
      </c>
    </row>
    <row r="325" spans="1:17" x14ac:dyDescent="0.25">
      <c r="A325" s="11" t="s">
        <v>3146</v>
      </c>
      <c r="B325" s="11" t="s">
        <v>1153</v>
      </c>
      <c r="C325" s="11" t="s">
        <v>662</v>
      </c>
      <c r="D325" s="11" t="s">
        <v>1154</v>
      </c>
      <c r="E325" s="11">
        <v>25</v>
      </c>
      <c r="F325" s="11"/>
      <c r="G325" s="11" t="s">
        <v>664</v>
      </c>
      <c r="H325" s="14">
        <v>45915</v>
      </c>
      <c r="I325" s="12">
        <f>-Mvt_Inter_entrepot[[#This Row],[QTE]]</f>
        <v>-25</v>
      </c>
      <c r="J325" s="11" t="s">
        <v>243</v>
      </c>
      <c r="K325" s="11" t="str">
        <f>_xlfn.TEXTBEFORE(Mvt_Inter_entrepot[[#This Row],[Num Suivis]],"-",,,1)</f>
        <v>OF245975</v>
      </c>
      <c r="L325" s="11" t="e">
        <f>_xlfn.XLOOKUP(Mvt_Inter_entrepot[[#This Row],[Num OF]],#REF!,#REF!,"Non Trouvé")</f>
        <v>#REF!</v>
      </c>
      <c r="M325" s="11" t="e">
        <f>_xlfn.XLOOKUP(Mvt_Inter_entrepot[[#This Row],[Num OF]],#REF!,#REF!,"Non Trouvé")</f>
        <v>#REF!</v>
      </c>
      <c r="N325" s="11" t="e">
        <f>_xlfn.XLOOKUP(Mvt_Inter_entrepot[[#This Row],[Num OF]],#REF!,#REF!,"Non Trouvé")</f>
        <v>#REF!</v>
      </c>
      <c r="O325" s="11" t="e">
        <f>_xlfn.XLOOKUP(Mvt_Inter_entrepot[[#This Row],[Num OF]],#REF!,#REF!,"Non Trouvé")</f>
        <v>#REF!</v>
      </c>
      <c r="P325" s="11" t="e">
        <f>_xlfn.XLOOKUP(Mvt_Inter_entrepot[[#This Row],[Num OF]],#REF!,#REF!,"Non Trouvé")</f>
        <v>#REF!</v>
      </c>
      <c r="Q325" s="11" t="str">
        <f>IF(
   COUNTIFS($A$2:A325,A325,
             $B$2:B325,B325,
             $C$2:C325,C325,
             $D$2:D325,D325,
             $E$2:E325,E325,
             $H$2:H325,H325
             )&gt;1,
   "Doublon",
   "Correcte"
)</f>
        <v>Correcte</v>
      </c>
    </row>
    <row r="326" spans="1:17" x14ac:dyDescent="0.25">
      <c r="A326" s="11" t="s">
        <v>3147</v>
      </c>
      <c r="B326" s="11" t="s">
        <v>1153</v>
      </c>
      <c r="C326" s="11" t="s">
        <v>662</v>
      </c>
      <c r="D326" s="11" t="s">
        <v>1154</v>
      </c>
      <c r="E326" s="11">
        <v>16</v>
      </c>
      <c r="F326" s="11"/>
      <c r="G326" s="11" t="s">
        <v>664</v>
      </c>
      <c r="H326" s="14">
        <v>45915</v>
      </c>
      <c r="I326" s="12">
        <f>-Mvt_Inter_entrepot[[#This Row],[QTE]]</f>
        <v>-16</v>
      </c>
      <c r="J326" s="11" t="s">
        <v>244</v>
      </c>
      <c r="K326" s="11" t="str">
        <f>_xlfn.TEXTBEFORE(Mvt_Inter_entrepot[[#This Row],[Num Suivis]],"-",,,1)</f>
        <v>OF245976</v>
      </c>
      <c r="L326" s="11" t="e">
        <f>_xlfn.XLOOKUP(Mvt_Inter_entrepot[[#This Row],[Num OF]],#REF!,#REF!,"Non Trouvé")</f>
        <v>#REF!</v>
      </c>
      <c r="M326" s="11" t="e">
        <f>_xlfn.XLOOKUP(Mvt_Inter_entrepot[[#This Row],[Num OF]],#REF!,#REF!,"Non Trouvé")</f>
        <v>#REF!</v>
      </c>
      <c r="N326" s="11" t="e">
        <f>_xlfn.XLOOKUP(Mvt_Inter_entrepot[[#This Row],[Num OF]],#REF!,#REF!,"Non Trouvé")</f>
        <v>#REF!</v>
      </c>
      <c r="O326" s="11" t="e">
        <f>_xlfn.XLOOKUP(Mvt_Inter_entrepot[[#This Row],[Num OF]],#REF!,#REF!,"Non Trouvé")</f>
        <v>#REF!</v>
      </c>
      <c r="P326" s="11" t="e">
        <f>_xlfn.XLOOKUP(Mvt_Inter_entrepot[[#This Row],[Num OF]],#REF!,#REF!,"Non Trouvé")</f>
        <v>#REF!</v>
      </c>
      <c r="Q326" s="11" t="str">
        <f>IF(
   COUNTIFS($A$2:A326,A326,
             $B$2:B326,B326,
             $C$2:C326,C326,
             $D$2:D326,D326,
             $E$2:E326,E326,
             $H$2:H326,H326
             )&gt;1,
   "Doublon",
   "Correcte"
)</f>
        <v>Correcte</v>
      </c>
    </row>
    <row r="327" spans="1:17" x14ac:dyDescent="0.25">
      <c r="A327" s="11" t="s">
        <v>3147</v>
      </c>
      <c r="B327" s="11" t="s">
        <v>1153</v>
      </c>
      <c r="C327" s="11" t="s">
        <v>662</v>
      </c>
      <c r="D327" s="11" t="s">
        <v>1154</v>
      </c>
      <c r="E327" s="11">
        <v>24</v>
      </c>
      <c r="F327" s="11"/>
      <c r="G327" s="11" t="s">
        <v>664</v>
      </c>
      <c r="H327" s="14">
        <v>45915</v>
      </c>
      <c r="I327" s="12">
        <f>-Mvt_Inter_entrepot[[#This Row],[QTE]]</f>
        <v>-24</v>
      </c>
      <c r="J327" s="11" t="s">
        <v>244</v>
      </c>
      <c r="K327" s="11" t="str">
        <f>_xlfn.TEXTBEFORE(Mvt_Inter_entrepot[[#This Row],[Num Suivis]],"-",,,1)</f>
        <v>OF245976</v>
      </c>
      <c r="L327" s="11" t="e">
        <f>_xlfn.XLOOKUP(Mvt_Inter_entrepot[[#This Row],[Num OF]],#REF!,#REF!,"Non Trouvé")</f>
        <v>#REF!</v>
      </c>
      <c r="M327" s="11" t="e">
        <f>_xlfn.XLOOKUP(Mvt_Inter_entrepot[[#This Row],[Num OF]],#REF!,#REF!,"Non Trouvé")</f>
        <v>#REF!</v>
      </c>
      <c r="N327" s="11" t="e">
        <f>_xlfn.XLOOKUP(Mvt_Inter_entrepot[[#This Row],[Num OF]],#REF!,#REF!,"Non Trouvé")</f>
        <v>#REF!</v>
      </c>
      <c r="O327" s="11" t="e">
        <f>_xlfn.XLOOKUP(Mvt_Inter_entrepot[[#This Row],[Num OF]],#REF!,#REF!,"Non Trouvé")</f>
        <v>#REF!</v>
      </c>
      <c r="P327" s="11" t="e">
        <f>_xlfn.XLOOKUP(Mvt_Inter_entrepot[[#This Row],[Num OF]],#REF!,#REF!,"Non Trouvé")</f>
        <v>#REF!</v>
      </c>
      <c r="Q327" s="11" t="str">
        <f>IF(
   COUNTIFS($A$2:A327,A327,
             $B$2:B327,B327,
             $C$2:C327,C327,
             $D$2:D327,D327,
             $E$2:E327,E327,
             $H$2:H327,H327
             )&gt;1,
   "Doublon",
   "Correcte"
)</f>
        <v>Correcte</v>
      </c>
    </row>
    <row r="328" spans="1:17" x14ac:dyDescent="0.25">
      <c r="A328" s="11" t="s">
        <v>3147</v>
      </c>
      <c r="B328" s="11" t="s">
        <v>1153</v>
      </c>
      <c r="C328" s="11" t="s">
        <v>662</v>
      </c>
      <c r="D328" s="11" t="s">
        <v>665</v>
      </c>
      <c r="E328" s="11">
        <v>4</v>
      </c>
      <c r="F328" s="11"/>
      <c r="G328" s="11" t="s">
        <v>664</v>
      </c>
      <c r="H328" s="14">
        <v>45915</v>
      </c>
      <c r="I328" s="12">
        <f>-Mvt_Inter_entrepot[[#This Row],[QTE]]</f>
        <v>-4</v>
      </c>
      <c r="J328" s="11" t="s">
        <v>244</v>
      </c>
      <c r="K328" s="11" t="str">
        <f>_xlfn.TEXTBEFORE(Mvt_Inter_entrepot[[#This Row],[Num Suivis]],"-",,,1)</f>
        <v>OF245976</v>
      </c>
      <c r="L328" s="11" t="e">
        <f>_xlfn.XLOOKUP(Mvt_Inter_entrepot[[#This Row],[Num OF]],#REF!,#REF!,"Non Trouvé")</f>
        <v>#REF!</v>
      </c>
      <c r="M328" s="11" t="e">
        <f>_xlfn.XLOOKUP(Mvt_Inter_entrepot[[#This Row],[Num OF]],#REF!,#REF!,"Non Trouvé")</f>
        <v>#REF!</v>
      </c>
      <c r="N328" s="11" t="e">
        <f>_xlfn.XLOOKUP(Mvt_Inter_entrepot[[#This Row],[Num OF]],#REF!,#REF!,"Non Trouvé")</f>
        <v>#REF!</v>
      </c>
      <c r="O328" s="11" t="e">
        <f>_xlfn.XLOOKUP(Mvt_Inter_entrepot[[#This Row],[Num OF]],#REF!,#REF!,"Non Trouvé")</f>
        <v>#REF!</v>
      </c>
      <c r="P328" s="11" t="e">
        <f>_xlfn.XLOOKUP(Mvt_Inter_entrepot[[#This Row],[Num OF]],#REF!,#REF!,"Non Trouvé")</f>
        <v>#REF!</v>
      </c>
      <c r="Q328" s="11" t="str">
        <f>IF(
   COUNTIFS($A$2:A328,A328,
             $B$2:B328,B328,
             $C$2:C328,C328,
             $D$2:D328,D328,
             $E$2:E328,E328,
             $H$2:H328,H328
             )&gt;1,
   "Doublon",
   "Correcte"
)</f>
        <v>Correcte</v>
      </c>
    </row>
    <row r="329" spans="1:17" x14ac:dyDescent="0.25">
      <c r="A329" s="11" t="s">
        <v>3148</v>
      </c>
      <c r="B329" s="11" t="s">
        <v>1153</v>
      </c>
      <c r="C329" s="11" t="s">
        <v>662</v>
      </c>
      <c r="D329" s="11" t="s">
        <v>1154</v>
      </c>
      <c r="E329" s="11">
        <v>31</v>
      </c>
      <c r="F329" s="11"/>
      <c r="G329" s="11" t="s">
        <v>664</v>
      </c>
      <c r="H329" s="14">
        <v>45915</v>
      </c>
      <c r="I329" s="12">
        <f>-Mvt_Inter_entrepot[[#This Row],[QTE]]</f>
        <v>-31</v>
      </c>
      <c r="J329" s="11" t="s">
        <v>245</v>
      </c>
      <c r="K329" s="11" t="str">
        <f>_xlfn.TEXTBEFORE(Mvt_Inter_entrepot[[#This Row],[Num Suivis]],"-",,,1)</f>
        <v>OF245977</v>
      </c>
      <c r="L329" s="11" t="e">
        <f>_xlfn.XLOOKUP(Mvt_Inter_entrepot[[#This Row],[Num OF]],#REF!,#REF!,"Non Trouvé")</f>
        <v>#REF!</v>
      </c>
      <c r="M329" s="11" t="e">
        <f>_xlfn.XLOOKUP(Mvt_Inter_entrepot[[#This Row],[Num OF]],#REF!,#REF!,"Non Trouvé")</f>
        <v>#REF!</v>
      </c>
      <c r="N329" s="11" t="e">
        <f>_xlfn.XLOOKUP(Mvt_Inter_entrepot[[#This Row],[Num OF]],#REF!,#REF!,"Non Trouvé")</f>
        <v>#REF!</v>
      </c>
      <c r="O329" s="11" t="e">
        <f>_xlfn.XLOOKUP(Mvt_Inter_entrepot[[#This Row],[Num OF]],#REF!,#REF!,"Non Trouvé")</f>
        <v>#REF!</v>
      </c>
      <c r="P329" s="11" t="e">
        <f>_xlfn.XLOOKUP(Mvt_Inter_entrepot[[#This Row],[Num OF]],#REF!,#REF!,"Non Trouvé")</f>
        <v>#REF!</v>
      </c>
      <c r="Q329" s="11" t="str">
        <f>IF(
   COUNTIFS($A$2:A329,A329,
             $B$2:B329,B329,
             $C$2:C329,C329,
             $D$2:D329,D329,
             $E$2:E329,E329,
             $H$2:H329,H329
             )&gt;1,
   "Doublon",
   "Correcte"
)</f>
        <v>Correcte</v>
      </c>
    </row>
    <row r="330" spans="1:17" x14ac:dyDescent="0.25">
      <c r="A330" s="11" t="s">
        <v>3149</v>
      </c>
      <c r="B330" s="11" t="s">
        <v>1153</v>
      </c>
      <c r="C330" s="11" t="s">
        <v>662</v>
      </c>
      <c r="D330" s="11" t="s">
        <v>1154</v>
      </c>
      <c r="E330" s="11">
        <v>17</v>
      </c>
      <c r="F330" s="11"/>
      <c r="G330" s="11" t="s">
        <v>664</v>
      </c>
      <c r="H330" s="14">
        <v>45915</v>
      </c>
      <c r="I330" s="12">
        <f>-Mvt_Inter_entrepot[[#This Row],[QTE]]</f>
        <v>-17</v>
      </c>
      <c r="J330" s="11" t="s">
        <v>246</v>
      </c>
      <c r="K330" s="11" t="str">
        <f>_xlfn.TEXTBEFORE(Mvt_Inter_entrepot[[#This Row],[Num Suivis]],"-",,,1)</f>
        <v>OF245979</v>
      </c>
      <c r="L330" s="11" t="e">
        <f>_xlfn.XLOOKUP(Mvt_Inter_entrepot[[#This Row],[Num OF]],#REF!,#REF!,"Non Trouvé")</f>
        <v>#REF!</v>
      </c>
      <c r="M330" s="11" t="e">
        <f>_xlfn.XLOOKUP(Mvt_Inter_entrepot[[#This Row],[Num OF]],#REF!,#REF!,"Non Trouvé")</f>
        <v>#REF!</v>
      </c>
      <c r="N330" s="11" t="e">
        <f>_xlfn.XLOOKUP(Mvt_Inter_entrepot[[#This Row],[Num OF]],#REF!,#REF!,"Non Trouvé")</f>
        <v>#REF!</v>
      </c>
      <c r="O330" s="11" t="e">
        <f>_xlfn.XLOOKUP(Mvt_Inter_entrepot[[#This Row],[Num OF]],#REF!,#REF!,"Non Trouvé")</f>
        <v>#REF!</v>
      </c>
      <c r="P330" s="11" t="e">
        <f>_xlfn.XLOOKUP(Mvt_Inter_entrepot[[#This Row],[Num OF]],#REF!,#REF!,"Non Trouvé")</f>
        <v>#REF!</v>
      </c>
      <c r="Q330" s="11" t="str">
        <f>IF(
   COUNTIFS($A$2:A330,A330,
             $B$2:B330,B330,
             $C$2:C330,C330,
             $D$2:D330,D330,
             $E$2:E330,E330,
             $H$2:H330,H330
             )&gt;1,
   "Doublon",
   "Correcte"
)</f>
        <v>Correcte</v>
      </c>
    </row>
    <row r="331" spans="1:17" x14ac:dyDescent="0.25">
      <c r="A331" s="11" t="s">
        <v>3150</v>
      </c>
      <c r="B331" s="11" t="s">
        <v>1153</v>
      </c>
      <c r="C331" s="11" t="s">
        <v>662</v>
      </c>
      <c r="D331" s="11" t="s">
        <v>1154</v>
      </c>
      <c r="E331" s="11">
        <v>20</v>
      </c>
      <c r="F331" s="11"/>
      <c r="G331" s="11" t="s">
        <v>664</v>
      </c>
      <c r="H331" s="14">
        <v>45915</v>
      </c>
      <c r="I331" s="12">
        <f>-Mvt_Inter_entrepot[[#This Row],[QTE]]</f>
        <v>-20</v>
      </c>
      <c r="J331" s="11" t="s">
        <v>247</v>
      </c>
      <c r="K331" s="11" t="str">
        <f>_xlfn.TEXTBEFORE(Mvt_Inter_entrepot[[#This Row],[Num Suivis]],"-",,,1)</f>
        <v>OF245980</v>
      </c>
      <c r="L331" s="11" t="e">
        <f>_xlfn.XLOOKUP(Mvt_Inter_entrepot[[#This Row],[Num OF]],#REF!,#REF!,"Non Trouvé")</f>
        <v>#REF!</v>
      </c>
      <c r="M331" s="11" t="e">
        <f>_xlfn.XLOOKUP(Mvt_Inter_entrepot[[#This Row],[Num OF]],#REF!,#REF!,"Non Trouvé")</f>
        <v>#REF!</v>
      </c>
      <c r="N331" s="11" t="e">
        <f>_xlfn.XLOOKUP(Mvt_Inter_entrepot[[#This Row],[Num OF]],#REF!,#REF!,"Non Trouvé")</f>
        <v>#REF!</v>
      </c>
      <c r="O331" s="11" t="e">
        <f>_xlfn.XLOOKUP(Mvt_Inter_entrepot[[#This Row],[Num OF]],#REF!,#REF!,"Non Trouvé")</f>
        <v>#REF!</v>
      </c>
      <c r="P331" s="11" t="e">
        <f>_xlfn.XLOOKUP(Mvt_Inter_entrepot[[#This Row],[Num OF]],#REF!,#REF!,"Non Trouvé")</f>
        <v>#REF!</v>
      </c>
      <c r="Q331" s="11" t="str">
        <f>IF(
   COUNTIFS($A$2:A331,A331,
             $B$2:B331,B331,
             $C$2:C331,C331,
             $D$2:D331,D331,
             $E$2:E331,E331,
             $H$2:H331,H331
             )&gt;1,
   "Doublon",
   "Correcte"
)</f>
        <v>Correcte</v>
      </c>
    </row>
    <row r="332" spans="1:17" x14ac:dyDescent="0.25">
      <c r="A332" s="11" t="s">
        <v>3151</v>
      </c>
      <c r="B332" s="11" t="s">
        <v>1153</v>
      </c>
      <c r="C332" s="11" t="s">
        <v>662</v>
      </c>
      <c r="D332" s="11" t="s">
        <v>1154</v>
      </c>
      <c r="E332" s="11">
        <v>21</v>
      </c>
      <c r="F332" s="11"/>
      <c r="G332" s="11" t="s">
        <v>664</v>
      </c>
      <c r="H332" s="14">
        <v>45915</v>
      </c>
      <c r="I332" s="12">
        <f>-Mvt_Inter_entrepot[[#This Row],[QTE]]</f>
        <v>-21</v>
      </c>
      <c r="J332" s="11" t="s">
        <v>248</v>
      </c>
      <c r="K332" s="11" t="str">
        <f>_xlfn.TEXTBEFORE(Mvt_Inter_entrepot[[#This Row],[Num Suivis]],"-",,,1)</f>
        <v>OF245981</v>
      </c>
      <c r="L332" s="11" t="e">
        <f>_xlfn.XLOOKUP(Mvt_Inter_entrepot[[#This Row],[Num OF]],#REF!,#REF!,"Non Trouvé")</f>
        <v>#REF!</v>
      </c>
      <c r="M332" s="11" t="e">
        <f>_xlfn.XLOOKUP(Mvt_Inter_entrepot[[#This Row],[Num OF]],#REF!,#REF!,"Non Trouvé")</f>
        <v>#REF!</v>
      </c>
      <c r="N332" s="11" t="e">
        <f>_xlfn.XLOOKUP(Mvt_Inter_entrepot[[#This Row],[Num OF]],#REF!,#REF!,"Non Trouvé")</f>
        <v>#REF!</v>
      </c>
      <c r="O332" s="11" t="e">
        <f>_xlfn.XLOOKUP(Mvt_Inter_entrepot[[#This Row],[Num OF]],#REF!,#REF!,"Non Trouvé")</f>
        <v>#REF!</v>
      </c>
      <c r="P332" s="11" t="e">
        <f>_xlfn.XLOOKUP(Mvt_Inter_entrepot[[#This Row],[Num OF]],#REF!,#REF!,"Non Trouvé")</f>
        <v>#REF!</v>
      </c>
      <c r="Q332" s="11" t="str">
        <f>IF(
   COUNTIFS($A$2:A332,A332,
             $B$2:B332,B332,
             $C$2:C332,C332,
             $D$2:D332,D332,
             $E$2:E332,E332,
             $H$2:H332,H332
             )&gt;1,
   "Doublon",
   "Correcte"
)</f>
        <v>Correcte</v>
      </c>
    </row>
    <row r="333" spans="1:17" x14ac:dyDescent="0.25">
      <c r="A333" s="11" t="s">
        <v>3152</v>
      </c>
      <c r="B333" s="11" t="s">
        <v>1153</v>
      </c>
      <c r="C333" s="11" t="s">
        <v>662</v>
      </c>
      <c r="D333" s="11" t="s">
        <v>1154</v>
      </c>
      <c r="E333" s="11">
        <v>30</v>
      </c>
      <c r="F333" s="11"/>
      <c r="G333" s="11" t="s">
        <v>664</v>
      </c>
      <c r="H333" s="14">
        <v>45915</v>
      </c>
      <c r="I333" s="12">
        <f>-Mvt_Inter_entrepot[[#This Row],[QTE]]</f>
        <v>-30</v>
      </c>
      <c r="J333" s="11" t="s">
        <v>249</v>
      </c>
      <c r="K333" s="11" t="str">
        <f>_xlfn.TEXTBEFORE(Mvt_Inter_entrepot[[#This Row],[Num Suivis]],"-",,,1)</f>
        <v>OF245982</v>
      </c>
      <c r="L333" s="11" t="e">
        <f>_xlfn.XLOOKUP(Mvt_Inter_entrepot[[#This Row],[Num OF]],#REF!,#REF!,"Non Trouvé")</f>
        <v>#REF!</v>
      </c>
      <c r="M333" s="11" t="e">
        <f>_xlfn.XLOOKUP(Mvt_Inter_entrepot[[#This Row],[Num OF]],#REF!,#REF!,"Non Trouvé")</f>
        <v>#REF!</v>
      </c>
      <c r="N333" s="11" t="e">
        <f>_xlfn.XLOOKUP(Mvt_Inter_entrepot[[#This Row],[Num OF]],#REF!,#REF!,"Non Trouvé")</f>
        <v>#REF!</v>
      </c>
      <c r="O333" s="11" t="e">
        <f>_xlfn.XLOOKUP(Mvt_Inter_entrepot[[#This Row],[Num OF]],#REF!,#REF!,"Non Trouvé")</f>
        <v>#REF!</v>
      </c>
      <c r="P333" s="11" t="e">
        <f>_xlfn.XLOOKUP(Mvt_Inter_entrepot[[#This Row],[Num OF]],#REF!,#REF!,"Non Trouvé")</f>
        <v>#REF!</v>
      </c>
      <c r="Q333" s="11" t="str">
        <f>IF(
   COUNTIFS($A$2:A333,A333,
             $B$2:B333,B333,
             $C$2:C333,C333,
             $D$2:D333,D333,
             $E$2:E333,E333,
             $H$2:H333,H333
             )&gt;1,
   "Doublon",
   "Correcte"
)</f>
        <v>Correcte</v>
      </c>
    </row>
    <row r="334" spans="1:17" x14ac:dyDescent="0.25">
      <c r="A334" s="11" t="s">
        <v>3153</v>
      </c>
      <c r="B334" s="11" t="s">
        <v>1153</v>
      </c>
      <c r="C334" s="11" t="s">
        <v>662</v>
      </c>
      <c r="D334" s="11" t="s">
        <v>1154</v>
      </c>
      <c r="E334" s="11">
        <v>19</v>
      </c>
      <c r="F334" s="11"/>
      <c r="G334" s="11" t="s">
        <v>664</v>
      </c>
      <c r="H334" s="14">
        <v>45915</v>
      </c>
      <c r="I334" s="12">
        <f>-Mvt_Inter_entrepot[[#This Row],[QTE]]</f>
        <v>-19</v>
      </c>
      <c r="J334" s="11" t="s">
        <v>250</v>
      </c>
      <c r="K334" s="11" t="str">
        <f>_xlfn.TEXTBEFORE(Mvt_Inter_entrepot[[#This Row],[Num Suivis]],"-",,,1)</f>
        <v>OF245983</v>
      </c>
      <c r="L334" s="11" t="e">
        <f>_xlfn.XLOOKUP(Mvt_Inter_entrepot[[#This Row],[Num OF]],#REF!,#REF!,"Non Trouvé")</f>
        <v>#REF!</v>
      </c>
      <c r="M334" s="11" t="e">
        <f>_xlfn.XLOOKUP(Mvt_Inter_entrepot[[#This Row],[Num OF]],#REF!,#REF!,"Non Trouvé")</f>
        <v>#REF!</v>
      </c>
      <c r="N334" s="11" t="e">
        <f>_xlfn.XLOOKUP(Mvt_Inter_entrepot[[#This Row],[Num OF]],#REF!,#REF!,"Non Trouvé")</f>
        <v>#REF!</v>
      </c>
      <c r="O334" s="11" t="e">
        <f>_xlfn.XLOOKUP(Mvt_Inter_entrepot[[#This Row],[Num OF]],#REF!,#REF!,"Non Trouvé")</f>
        <v>#REF!</v>
      </c>
      <c r="P334" s="11" t="e">
        <f>_xlfn.XLOOKUP(Mvt_Inter_entrepot[[#This Row],[Num OF]],#REF!,#REF!,"Non Trouvé")</f>
        <v>#REF!</v>
      </c>
      <c r="Q334" s="11" t="str">
        <f>IF(
   COUNTIFS($A$2:A334,A334,
             $B$2:B334,B334,
             $C$2:C334,C334,
             $D$2:D334,D334,
             $E$2:E334,E334,
             $H$2:H334,H334
             )&gt;1,
   "Doublon",
   "Correcte"
)</f>
        <v>Correcte</v>
      </c>
    </row>
    <row r="335" spans="1:17" x14ac:dyDescent="0.25">
      <c r="A335" s="11" t="s">
        <v>3154</v>
      </c>
      <c r="B335" s="11" t="s">
        <v>1153</v>
      </c>
      <c r="C335" s="11" t="s">
        <v>662</v>
      </c>
      <c r="D335" s="11" t="s">
        <v>1154</v>
      </c>
      <c r="E335" s="11">
        <v>29</v>
      </c>
      <c r="F335" s="11"/>
      <c r="G335" s="11" t="s">
        <v>664</v>
      </c>
      <c r="H335" s="14">
        <v>45915</v>
      </c>
      <c r="I335" s="12">
        <f>-Mvt_Inter_entrepot[[#This Row],[QTE]]</f>
        <v>-29</v>
      </c>
      <c r="J335" s="11" t="s">
        <v>251</v>
      </c>
      <c r="K335" s="11" t="str">
        <f>_xlfn.TEXTBEFORE(Mvt_Inter_entrepot[[#This Row],[Num Suivis]],"-",,,1)</f>
        <v>OF245984</v>
      </c>
      <c r="L335" s="11" t="e">
        <f>_xlfn.XLOOKUP(Mvt_Inter_entrepot[[#This Row],[Num OF]],#REF!,#REF!,"Non Trouvé")</f>
        <v>#REF!</v>
      </c>
      <c r="M335" s="11" t="e">
        <f>_xlfn.XLOOKUP(Mvt_Inter_entrepot[[#This Row],[Num OF]],#REF!,#REF!,"Non Trouvé")</f>
        <v>#REF!</v>
      </c>
      <c r="N335" s="11" t="e">
        <f>_xlfn.XLOOKUP(Mvt_Inter_entrepot[[#This Row],[Num OF]],#REF!,#REF!,"Non Trouvé")</f>
        <v>#REF!</v>
      </c>
      <c r="O335" s="11" t="e">
        <f>_xlfn.XLOOKUP(Mvt_Inter_entrepot[[#This Row],[Num OF]],#REF!,#REF!,"Non Trouvé")</f>
        <v>#REF!</v>
      </c>
      <c r="P335" s="11" t="e">
        <f>_xlfn.XLOOKUP(Mvt_Inter_entrepot[[#This Row],[Num OF]],#REF!,#REF!,"Non Trouvé")</f>
        <v>#REF!</v>
      </c>
      <c r="Q335" s="11" t="str">
        <f>IF(
   COUNTIFS($A$2:A335,A335,
             $B$2:B335,B335,
             $C$2:C335,C335,
             $D$2:D335,D335,
             $E$2:E335,E335,
             $H$2:H335,H335
             )&gt;1,
   "Doublon",
   "Correcte"
)</f>
        <v>Correcte</v>
      </c>
    </row>
    <row r="336" spans="1:17" x14ac:dyDescent="0.25">
      <c r="A336" s="11" t="s">
        <v>3155</v>
      </c>
      <c r="B336" s="11" t="s">
        <v>1153</v>
      </c>
      <c r="C336" s="11" t="s">
        <v>662</v>
      </c>
      <c r="D336" s="11" t="s">
        <v>1154</v>
      </c>
      <c r="E336" s="11">
        <v>32</v>
      </c>
      <c r="F336" s="11"/>
      <c r="G336" s="11" t="s">
        <v>664</v>
      </c>
      <c r="H336" s="14">
        <v>45915</v>
      </c>
      <c r="I336" s="12">
        <f>-Mvt_Inter_entrepot[[#This Row],[QTE]]</f>
        <v>-32</v>
      </c>
      <c r="J336" s="11" t="s">
        <v>252</v>
      </c>
      <c r="K336" s="11" t="str">
        <f>_xlfn.TEXTBEFORE(Mvt_Inter_entrepot[[#This Row],[Num Suivis]],"-",,,1)</f>
        <v>OF245985</v>
      </c>
      <c r="L336" s="11" t="e">
        <f>_xlfn.XLOOKUP(Mvt_Inter_entrepot[[#This Row],[Num OF]],#REF!,#REF!,"Non Trouvé")</f>
        <v>#REF!</v>
      </c>
      <c r="M336" s="11" t="e">
        <f>_xlfn.XLOOKUP(Mvt_Inter_entrepot[[#This Row],[Num OF]],#REF!,#REF!,"Non Trouvé")</f>
        <v>#REF!</v>
      </c>
      <c r="N336" s="11" t="e">
        <f>_xlfn.XLOOKUP(Mvt_Inter_entrepot[[#This Row],[Num OF]],#REF!,#REF!,"Non Trouvé")</f>
        <v>#REF!</v>
      </c>
      <c r="O336" s="11" t="e">
        <f>_xlfn.XLOOKUP(Mvt_Inter_entrepot[[#This Row],[Num OF]],#REF!,#REF!,"Non Trouvé")</f>
        <v>#REF!</v>
      </c>
      <c r="P336" s="11" t="e">
        <f>_xlfn.XLOOKUP(Mvt_Inter_entrepot[[#This Row],[Num OF]],#REF!,#REF!,"Non Trouvé")</f>
        <v>#REF!</v>
      </c>
      <c r="Q336" s="11" t="str">
        <f>IF(
   COUNTIFS($A$2:A336,A336,
             $B$2:B336,B336,
             $C$2:C336,C336,
             $D$2:D336,D336,
             $E$2:E336,E336,
             $H$2:H336,H336
             )&gt;1,
   "Doublon",
   "Correcte"
)</f>
        <v>Correcte</v>
      </c>
    </row>
    <row r="337" spans="1:17" x14ac:dyDescent="0.25">
      <c r="A337" s="11" t="s">
        <v>3156</v>
      </c>
      <c r="B337" s="11" t="s">
        <v>1153</v>
      </c>
      <c r="C337" s="11" t="s">
        <v>662</v>
      </c>
      <c r="D337" s="11" t="s">
        <v>1154</v>
      </c>
      <c r="E337" s="11">
        <v>30</v>
      </c>
      <c r="F337" s="11"/>
      <c r="G337" s="11" t="s">
        <v>664</v>
      </c>
      <c r="H337" s="14">
        <v>45915</v>
      </c>
      <c r="I337" s="12">
        <f>-Mvt_Inter_entrepot[[#This Row],[QTE]]</f>
        <v>-30</v>
      </c>
      <c r="J337" s="11" t="s">
        <v>253</v>
      </c>
      <c r="K337" s="11" t="str">
        <f>_xlfn.TEXTBEFORE(Mvt_Inter_entrepot[[#This Row],[Num Suivis]],"-",,,1)</f>
        <v>OF245986</v>
      </c>
      <c r="L337" s="11" t="e">
        <f>_xlfn.XLOOKUP(Mvt_Inter_entrepot[[#This Row],[Num OF]],#REF!,#REF!,"Non Trouvé")</f>
        <v>#REF!</v>
      </c>
      <c r="M337" s="11" t="e">
        <f>_xlfn.XLOOKUP(Mvt_Inter_entrepot[[#This Row],[Num OF]],#REF!,#REF!,"Non Trouvé")</f>
        <v>#REF!</v>
      </c>
      <c r="N337" s="11" t="e">
        <f>_xlfn.XLOOKUP(Mvt_Inter_entrepot[[#This Row],[Num OF]],#REF!,#REF!,"Non Trouvé")</f>
        <v>#REF!</v>
      </c>
      <c r="O337" s="11" t="e">
        <f>_xlfn.XLOOKUP(Mvt_Inter_entrepot[[#This Row],[Num OF]],#REF!,#REF!,"Non Trouvé")</f>
        <v>#REF!</v>
      </c>
      <c r="P337" s="11" t="e">
        <f>_xlfn.XLOOKUP(Mvt_Inter_entrepot[[#This Row],[Num OF]],#REF!,#REF!,"Non Trouvé")</f>
        <v>#REF!</v>
      </c>
      <c r="Q337" s="11" t="str">
        <f>IF(
   COUNTIFS($A$2:A337,A337,
             $B$2:B337,B337,
             $C$2:C337,C337,
             $D$2:D337,D337,
             $E$2:E337,E337,
             $H$2:H337,H337
             )&gt;1,
   "Doublon",
   "Correcte"
)</f>
        <v>Correcte</v>
      </c>
    </row>
    <row r="338" spans="1:17" x14ac:dyDescent="0.25">
      <c r="A338" s="11" t="s">
        <v>3157</v>
      </c>
      <c r="B338" s="11" t="s">
        <v>1153</v>
      </c>
      <c r="C338" s="11" t="s">
        <v>662</v>
      </c>
      <c r="D338" s="11" t="s">
        <v>1154</v>
      </c>
      <c r="E338" s="11">
        <v>20</v>
      </c>
      <c r="F338" s="11"/>
      <c r="G338" s="11" t="s">
        <v>664</v>
      </c>
      <c r="H338" s="14">
        <v>45915</v>
      </c>
      <c r="I338" s="12">
        <f>-Mvt_Inter_entrepot[[#This Row],[QTE]]</f>
        <v>-20</v>
      </c>
      <c r="J338" s="11" t="s">
        <v>254</v>
      </c>
      <c r="K338" s="11" t="str">
        <f>_xlfn.TEXTBEFORE(Mvt_Inter_entrepot[[#This Row],[Num Suivis]],"-",,,1)</f>
        <v>OF245987</v>
      </c>
      <c r="L338" s="11" t="e">
        <f>_xlfn.XLOOKUP(Mvt_Inter_entrepot[[#This Row],[Num OF]],#REF!,#REF!,"Non Trouvé")</f>
        <v>#REF!</v>
      </c>
      <c r="M338" s="11" t="e">
        <f>_xlfn.XLOOKUP(Mvt_Inter_entrepot[[#This Row],[Num OF]],#REF!,#REF!,"Non Trouvé")</f>
        <v>#REF!</v>
      </c>
      <c r="N338" s="11" t="e">
        <f>_xlfn.XLOOKUP(Mvt_Inter_entrepot[[#This Row],[Num OF]],#REF!,#REF!,"Non Trouvé")</f>
        <v>#REF!</v>
      </c>
      <c r="O338" s="11" t="e">
        <f>_xlfn.XLOOKUP(Mvt_Inter_entrepot[[#This Row],[Num OF]],#REF!,#REF!,"Non Trouvé")</f>
        <v>#REF!</v>
      </c>
      <c r="P338" s="11" t="e">
        <f>_xlfn.XLOOKUP(Mvt_Inter_entrepot[[#This Row],[Num OF]],#REF!,#REF!,"Non Trouvé")</f>
        <v>#REF!</v>
      </c>
      <c r="Q338" s="11" t="str">
        <f>IF(
   COUNTIFS($A$2:A338,A338,
             $B$2:B338,B338,
             $C$2:C338,C338,
             $D$2:D338,D338,
             $E$2:E338,E338,
             $H$2:H338,H338
             )&gt;1,
   "Doublon",
   "Correcte"
)</f>
        <v>Correcte</v>
      </c>
    </row>
    <row r="339" spans="1:17" x14ac:dyDescent="0.25">
      <c r="A339" s="11" t="s">
        <v>3158</v>
      </c>
      <c r="B339" s="11" t="s">
        <v>1153</v>
      </c>
      <c r="C339" s="11" t="s">
        <v>662</v>
      </c>
      <c r="D339" s="11" t="s">
        <v>1154</v>
      </c>
      <c r="E339" s="11">
        <v>16</v>
      </c>
      <c r="F339" s="11"/>
      <c r="G339" s="11" t="s">
        <v>664</v>
      </c>
      <c r="H339" s="14">
        <v>45915</v>
      </c>
      <c r="I339" s="12">
        <f>-Mvt_Inter_entrepot[[#This Row],[QTE]]</f>
        <v>-16</v>
      </c>
      <c r="J339" s="11" t="s">
        <v>255</v>
      </c>
      <c r="K339" s="11" t="str">
        <f>_xlfn.TEXTBEFORE(Mvt_Inter_entrepot[[#This Row],[Num Suivis]],"-",,,1)</f>
        <v>OF245988</v>
      </c>
      <c r="L339" s="11" t="e">
        <f>_xlfn.XLOOKUP(Mvt_Inter_entrepot[[#This Row],[Num OF]],#REF!,#REF!,"Non Trouvé")</f>
        <v>#REF!</v>
      </c>
      <c r="M339" s="11" t="e">
        <f>_xlfn.XLOOKUP(Mvt_Inter_entrepot[[#This Row],[Num OF]],#REF!,#REF!,"Non Trouvé")</f>
        <v>#REF!</v>
      </c>
      <c r="N339" s="11" t="e">
        <f>_xlfn.XLOOKUP(Mvt_Inter_entrepot[[#This Row],[Num OF]],#REF!,#REF!,"Non Trouvé")</f>
        <v>#REF!</v>
      </c>
      <c r="O339" s="11" t="e">
        <f>_xlfn.XLOOKUP(Mvt_Inter_entrepot[[#This Row],[Num OF]],#REF!,#REF!,"Non Trouvé")</f>
        <v>#REF!</v>
      </c>
      <c r="P339" s="11" t="e">
        <f>_xlfn.XLOOKUP(Mvt_Inter_entrepot[[#This Row],[Num OF]],#REF!,#REF!,"Non Trouvé")</f>
        <v>#REF!</v>
      </c>
      <c r="Q339" s="11" t="str">
        <f>IF(
   COUNTIFS($A$2:A339,A339,
             $B$2:B339,B339,
             $C$2:C339,C339,
             $D$2:D339,D339,
             $E$2:E339,E339,
             $H$2:H339,H339
             )&gt;1,
   "Doublon",
   "Correcte"
)</f>
        <v>Correcte</v>
      </c>
    </row>
    <row r="340" spans="1:17" x14ac:dyDescent="0.25">
      <c r="A340" s="11" t="s">
        <v>3159</v>
      </c>
      <c r="B340" s="11" t="s">
        <v>1153</v>
      </c>
      <c r="C340" s="11" t="s">
        <v>662</v>
      </c>
      <c r="D340" s="11" t="s">
        <v>1154</v>
      </c>
      <c r="E340" s="11">
        <v>5</v>
      </c>
      <c r="F340" s="11"/>
      <c r="G340" s="11" t="s">
        <v>664</v>
      </c>
      <c r="H340" s="14">
        <v>45915</v>
      </c>
      <c r="I340" s="12">
        <f>-Mvt_Inter_entrepot[[#This Row],[QTE]]</f>
        <v>-5</v>
      </c>
      <c r="J340" s="11" t="s">
        <v>256</v>
      </c>
      <c r="K340" s="11" t="str">
        <f>_xlfn.TEXTBEFORE(Mvt_Inter_entrepot[[#This Row],[Num Suivis]],"-",,,1)</f>
        <v>OF245989</v>
      </c>
      <c r="L340" s="11" t="e">
        <f>_xlfn.XLOOKUP(Mvt_Inter_entrepot[[#This Row],[Num OF]],#REF!,#REF!,"Non Trouvé")</f>
        <v>#REF!</v>
      </c>
      <c r="M340" s="11" t="e">
        <f>_xlfn.XLOOKUP(Mvt_Inter_entrepot[[#This Row],[Num OF]],#REF!,#REF!,"Non Trouvé")</f>
        <v>#REF!</v>
      </c>
      <c r="N340" s="11" t="e">
        <f>_xlfn.XLOOKUP(Mvt_Inter_entrepot[[#This Row],[Num OF]],#REF!,#REF!,"Non Trouvé")</f>
        <v>#REF!</v>
      </c>
      <c r="O340" s="11" t="e">
        <f>_xlfn.XLOOKUP(Mvt_Inter_entrepot[[#This Row],[Num OF]],#REF!,#REF!,"Non Trouvé")</f>
        <v>#REF!</v>
      </c>
      <c r="P340" s="11" t="e">
        <f>_xlfn.XLOOKUP(Mvt_Inter_entrepot[[#This Row],[Num OF]],#REF!,#REF!,"Non Trouvé")</f>
        <v>#REF!</v>
      </c>
      <c r="Q340" s="11" t="str">
        <f>IF(
   COUNTIFS($A$2:A340,A340,
             $B$2:B340,B340,
             $C$2:C340,C340,
             $D$2:D340,D340,
             $E$2:E340,E340,
             $H$2:H340,H340
             )&gt;1,
   "Doublon",
   "Correcte"
)</f>
        <v>Correcte</v>
      </c>
    </row>
    <row r="341" spans="1:17" x14ac:dyDescent="0.25">
      <c r="A341" s="11" t="s">
        <v>3160</v>
      </c>
      <c r="B341" s="11" t="s">
        <v>1153</v>
      </c>
      <c r="C341" s="11" t="s">
        <v>662</v>
      </c>
      <c r="D341" s="11" t="s">
        <v>1154</v>
      </c>
      <c r="E341" s="11">
        <v>8</v>
      </c>
      <c r="F341" s="11"/>
      <c r="G341" s="11" t="s">
        <v>664</v>
      </c>
      <c r="H341" s="14">
        <v>45915</v>
      </c>
      <c r="I341" s="12">
        <f>-Mvt_Inter_entrepot[[#This Row],[QTE]]</f>
        <v>-8</v>
      </c>
      <c r="J341" s="11" t="s">
        <v>258</v>
      </c>
      <c r="K341" s="11" t="str">
        <f>_xlfn.TEXTBEFORE(Mvt_Inter_entrepot[[#This Row],[Num Suivis]],"-",,,1)</f>
        <v>OF245991</v>
      </c>
      <c r="L341" s="11" t="e">
        <f>_xlfn.XLOOKUP(Mvt_Inter_entrepot[[#This Row],[Num OF]],#REF!,#REF!,"Non Trouvé")</f>
        <v>#REF!</v>
      </c>
      <c r="M341" s="11" t="e">
        <f>_xlfn.XLOOKUP(Mvt_Inter_entrepot[[#This Row],[Num OF]],#REF!,#REF!,"Non Trouvé")</f>
        <v>#REF!</v>
      </c>
      <c r="N341" s="11" t="e">
        <f>_xlfn.XLOOKUP(Mvt_Inter_entrepot[[#This Row],[Num OF]],#REF!,#REF!,"Non Trouvé")</f>
        <v>#REF!</v>
      </c>
      <c r="O341" s="11" t="e">
        <f>_xlfn.XLOOKUP(Mvt_Inter_entrepot[[#This Row],[Num OF]],#REF!,#REF!,"Non Trouvé")</f>
        <v>#REF!</v>
      </c>
      <c r="P341" s="11" t="e">
        <f>_xlfn.XLOOKUP(Mvt_Inter_entrepot[[#This Row],[Num OF]],#REF!,#REF!,"Non Trouvé")</f>
        <v>#REF!</v>
      </c>
      <c r="Q341" s="11" t="str">
        <f>IF(
   COUNTIFS($A$2:A341,A341,
             $B$2:B341,B341,
             $C$2:C341,C341,
             $D$2:D341,D341,
             $E$2:E341,E341,
             $H$2:H341,H341
             )&gt;1,
   "Doublon",
   "Correcte"
)</f>
        <v>Correcte</v>
      </c>
    </row>
    <row r="342" spans="1:17" x14ac:dyDescent="0.25">
      <c r="A342" s="11" t="s">
        <v>3161</v>
      </c>
      <c r="B342" s="11" t="s">
        <v>1153</v>
      </c>
      <c r="C342" s="11" t="s">
        <v>662</v>
      </c>
      <c r="D342" s="11" t="s">
        <v>1154</v>
      </c>
      <c r="E342" s="11">
        <v>20</v>
      </c>
      <c r="F342" s="11"/>
      <c r="G342" s="11" t="s">
        <v>664</v>
      </c>
      <c r="H342" s="14">
        <v>45915</v>
      </c>
      <c r="I342" s="12">
        <f>-Mvt_Inter_entrepot[[#This Row],[QTE]]</f>
        <v>-20</v>
      </c>
      <c r="J342" s="11" t="s">
        <v>259</v>
      </c>
      <c r="K342" s="11" t="str">
        <f>_xlfn.TEXTBEFORE(Mvt_Inter_entrepot[[#This Row],[Num Suivis]],"-",,,1)</f>
        <v>OF245993</v>
      </c>
      <c r="L342" s="11" t="e">
        <f>_xlfn.XLOOKUP(Mvt_Inter_entrepot[[#This Row],[Num OF]],#REF!,#REF!,"Non Trouvé")</f>
        <v>#REF!</v>
      </c>
      <c r="M342" s="11" t="e">
        <f>_xlfn.XLOOKUP(Mvt_Inter_entrepot[[#This Row],[Num OF]],#REF!,#REF!,"Non Trouvé")</f>
        <v>#REF!</v>
      </c>
      <c r="N342" s="11" t="e">
        <f>_xlfn.XLOOKUP(Mvt_Inter_entrepot[[#This Row],[Num OF]],#REF!,#REF!,"Non Trouvé")</f>
        <v>#REF!</v>
      </c>
      <c r="O342" s="11" t="e">
        <f>_xlfn.XLOOKUP(Mvt_Inter_entrepot[[#This Row],[Num OF]],#REF!,#REF!,"Non Trouvé")</f>
        <v>#REF!</v>
      </c>
      <c r="P342" s="11" t="e">
        <f>_xlfn.XLOOKUP(Mvt_Inter_entrepot[[#This Row],[Num OF]],#REF!,#REF!,"Non Trouvé")</f>
        <v>#REF!</v>
      </c>
      <c r="Q342" s="11" t="str">
        <f>IF(
   COUNTIFS($A$2:A342,A342,
             $B$2:B342,B342,
             $C$2:C342,C342,
             $D$2:D342,D342,
             $E$2:E342,E342,
             $H$2:H342,H342
             )&gt;1,
   "Doublon",
   "Correcte"
)</f>
        <v>Correcte</v>
      </c>
    </row>
    <row r="343" spans="1:17" x14ac:dyDescent="0.25">
      <c r="A343" s="11" t="s">
        <v>3162</v>
      </c>
      <c r="B343" s="11" t="s">
        <v>1153</v>
      </c>
      <c r="C343" s="11" t="s">
        <v>662</v>
      </c>
      <c r="D343" s="11" t="s">
        <v>1154</v>
      </c>
      <c r="E343" s="11">
        <v>26</v>
      </c>
      <c r="F343" s="11"/>
      <c r="G343" s="11" t="s">
        <v>664</v>
      </c>
      <c r="H343" s="14">
        <v>45915</v>
      </c>
      <c r="I343" s="12">
        <f>-Mvt_Inter_entrepot[[#This Row],[QTE]]</f>
        <v>-26</v>
      </c>
      <c r="J343" s="11" t="s">
        <v>260</v>
      </c>
      <c r="K343" s="11" t="str">
        <f>_xlfn.TEXTBEFORE(Mvt_Inter_entrepot[[#This Row],[Num Suivis]],"-",,,1)</f>
        <v>OF245994</v>
      </c>
      <c r="L343" s="11" t="e">
        <f>_xlfn.XLOOKUP(Mvt_Inter_entrepot[[#This Row],[Num OF]],#REF!,#REF!,"Non Trouvé")</f>
        <v>#REF!</v>
      </c>
      <c r="M343" s="11" t="e">
        <f>_xlfn.XLOOKUP(Mvt_Inter_entrepot[[#This Row],[Num OF]],#REF!,#REF!,"Non Trouvé")</f>
        <v>#REF!</v>
      </c>
      <c r="N343" s="11" t="e">
        <f>_xlfn.XLOOKUP(Mvt_Inter_entrepot[[#This Row],[Num OF]],#REF!,#REF!,"Non Trouvé")</f>
        <v>#REF!</v>
      </c>
      <c r="O343" s="11" t="e">
        <f>_xlfn.XLOOKUP(Mvt_Inter_entrepot[[#This Row],[Num OF]],#REF!,#REF!,"Non Trouvé")</f>
        <v>#REF!</v>
      </c>
      <c r="P343" s="11" t="e">
        <f>_xlfn.XLOOKUP(Mvt_Inter_entrepot[[#This Row],[Num OF]],#REF!,#REF!,"Non Trouvé")</f>
        <v>#REF!</v>
      </c>
      <c r="Q343" s="11" t="str">
        <f>IF(
   COUNTIFS($A$2:A343,A343,
             $B$2:B343,B343,
             $C$2:C343,C343,
             $D$2:D343,D343,
             $E$2:E343,E343,
             $H$2:H343,H343
             )&gt;1,
   "Doublon",
   "Correcte"
)</f>
        <v>Correcte</v>
      </c>
    </row>
    <row r="344" spans="1:17" x14ac:dyDescent="0.25">
      <c r="A344" s="11" t="s">
        <v>3163</v>
      </c>
      <c r="B344" s="11" t="s">
        <v>1153</v>
      </c>
      <c r="C344" s="11" t="s">
        <v>662</v>
      </c>
      <c r="D344" s="11" t="s">
        <v>1154</v>
      </c>
      <c r="E344" s="11">
        <v>18</v>
      </c>
      <c r="F344" s="11"/>
      <c r="G344" s="11" t="s">
        <v>664</v>
      </c>
      <c r="H344" s="14">
        <v>45915</v>
      </c>
      <c r="I344" s="12">
        <f>-Mvt_Inter_entrepot[[#This Row],[QTE]]</f>
        <v>-18</v>
      </c>
      <c r="J344" s="11" t="s">
        <v>261</v>
      </c>
      <c r="K344" s="11" t="str">
        <f>_xlfn.TEXTBEFORE(Mvt_Inter_entrepot[[#This Row],[Num Suivis]],"-",,,1)</f>
        <v>OF245995</v>
      </c>
      <c r="L344" s="11" t="e">
        <f>_xlfn.XLOOKUP(Mvt_Inter_entrepot[[#This Row],[Num OF]],#REF!,#REF!,"Non Trouvé")</f>
        <v>#REF!</v>
      </c>
      <c r="M344" s="11" t="e">
        <f>_xlfn.XLOOKUP(Mvt_Inter_entrepot[[#This Row],[Num OF]],#REF!,#REF!,"Non Trouvé")</f>
        <v>#REF!</v>
      </c>
      <c r="N344" s="11" t="e">
        <f>_xlfn.XLOOKUP(Mvt_Inter_entrepot[[#This Row],[Num OF]],#REF!,#REF!,"Non Trouvé")</f>
        <v>#REF!</v>
      </c>
      <c r="O344" s="11" t="e">
        <f>_xlfn.XLOOKUP(Mvt_Inter_entrepot[[#This Row],[Num OF]],#REF!,#REF!,"Non Trouvé")</f>
        <v>#REF!</v>
      </c>
      <c r="P344" s="11" t="e">
        <f>_xlfn.XLOOKUP(Mvt_Inter_entrepot[[#This Row],[Num OF]],#REF!,#REF!,"Non Trouvé")</f>
        <v>#REF!</v>
      </c>
      <c r="Q344" s="11" t="str">
        <f>IF(
   COUNTIFS($A$2:A344,A344,
             $B$2:B344,B344,
             $C$2:C344,C344,
             $D$2:D344,D344,
             $E$2:E344,E344,
             $H$2:H344,H344
             )&gt;1,
   "Doublon",
   "Correcte"
)</f>
        <v>Correcte</v>
      </c>
    </row>
    <row r="345" spans="1:17" x14ac:dyDescent="0.25">
      <c r="A345" s="11" t="s">
        <v>3164</v>
      </c>
      <c r="B345" s="11" t="s">
        <v>1153</v>
      </c>
      <c r="C345" s="11" t="s">
        <v>662</v>
      </c>
      <c r="D345" s="11" t="s">
        <v>1154</v>
      </c>
      <c r="E345" s="11">
        <v>5</v>
      </c>
      <c r="F345" s="11"/>
      <c r="G345" s="11" t="s">
        <v>664</v>
      </c>
      <c r="H345" s="14">
        <v>45915</v>
      </c>
      <c r="I345" s="12">
        <f>-Mvt_Inter_entrepot[[#This Row],[QTE]]</f>
        <v>-5</v>
      </c>
      <c r="J345" s="11" t="s">
        <v>262</v>
      </c>
      <c r="K345" s="11" t="str">
        <f>_xlfn.TEXTBEFORE(Mvt_Inter_entrepot[[#This Row],[Num Suivis]],"-",,,1)</f>
        <v>OF245998</v>
      </c>
      <c r="L345" s="11" t="e">
        <f>_xlfn.XLOOKUP(Mvt_Inter_entrepot[[#This Row],[Num OF]],#REF!,#REF!,"Non Trouvé")</f>
        <v>#REF!</v>
      </c>
      <c r="M345" s="11" t="e">
        <f>_xlfn.XLOOKUP(Mvt_Inter_entrepot[[#This Row],[Num OF]],#REF!,#REF!,"Non Trouvé")</f>
        <v>#REF!</v>
      </c>
      <c r="N345" s="11" t="e">
        <f>_xlfn.XLOOKUP(Mvt_Inter_entrepot[[#This Row],[Num OF]],#REF!,#REF!,"Non Trouvé")</f>
        <v>#REF!</v>
      </c>
      <c r="O345" s="11" t="e">
        <f>_xlfn.XLOOKUP(Mvt_Inter_entrepot[[#This Row],[Num OF]],#REF!,#REF!,"Non Trouvé")</f>
        <v>#REF!</v>
      </c>
      <c r="P345" s="11" t="e">
        <f>_xlfn.XLOOKUP(Mvt_Inter_entrepot[[#This Row],[Num OF]],#REF!,#REF!,"Non Trouvé")</f>
        <v>#REF!</v>
      </c>
      <c r="Q345" s="11" t="str">
        <f>IF(
   COUNTIFS($A$2:A345,A345,
             $B$2:B345,B345,
             $C$2:C345,C345,
             $D$2:D345,D345,
             $E$2:E345,E345,
             $H$2:H345,H345
             )&gt;1,
   "Doublon",
   "Correcte"
)</f>
        <v>Correcte</v>
      </c>
    </row>
    <row r="346" spans="1:17" x14ac:dyDescent="0.25">
      <c r="A346" s="11" t="s">
        <v>3165</v>
      </c>
      <c r="B346" s="11" t="s">
        <v>1153</v>
      </c>
      <c r="C346" s="11" t="s">
        <v>662</v>
      </c>
      <c r="D346" s="11" t="s">
        <v>1154</v>
      </c>
      <c r="E346" s="11">
        <v>26</v>
      </c>
      <c r="F346" s="11"/>
      <c r="G346" s="11" t="s">
        <v>664</v>
      </c>
      <c r="H346" s="14">
        <v>45915</v>
      </c>
      <c r="I346" s="12">
        <f>-Mvt_Inter_entrepot[[#This Row],[QTE]]</f>
        <v>-26</v>
      </c>
      <c r="J346" s="11" t="s">
        <v>263</v>
      </c>
      <c r="K346" s="11" t="str">
        <f>_xlfn.TEXTBEFORE(Mvt_Inter_entrepot[[#This Row],[Num Suivis]],"-",,,1)</f>
        <v>OF245999</v>
      </c>
      <c r="L346" s="11" t="e">
        <f>_xlfn.XLOOKUP(Mvt_Inter_entrepot[[#This Row],[Num OF]],#REF!,#REF!,"Non Trouvé")</f>
        <v>#REF!</v>
      </c>
      <c r="M346" s="11" t="e">
        <f>_xlfn.XLOOKUP(Mvt_Inter_entrepot[[#This Row],[Num OF]],#REF!,#REF!,"Non Trouvé")</f>
        <v>#REF!</v>
      </c>
      <c r="N346" s="11" t="e">
        <f>_xlfn.XLOOKUP(Mvt_Inter_entrepot[[#This Row],[Num OF]],#REF!,#REF!,"Non Trouvé")</f>
        <v>#REF!</v>
      </c>
      <c r="O346" s="11" t="e">
        <f>_xlfn.XLOOKUP(Mvt_Inter_entrepot[[#This Row],[Num OF]],#REF!,#REF!,"Non Trouvé")</f>
        <v>#REF!</v>
      </c>
      <c r="P346" s="11" t="e">
        <f>_xlfn.XLOOKUP(Mvt_Inter_entrepot[[#This Row],[Num OF]],#REF!,#REF!,"Non Trouvé")</f>
        <v>#REF!</v>
      </c>
      <c r="Q346" s="11" t="str">
        <f>IF(
   COUNTIFS($A$2:A346,A346,
             $B$2:B346,B346,
             $C$2:C346,C346,
             $D$2:D346,D346,
             $E$2:E346,E346,
             $H$2:H346,H346
             )&gt;1,
   "Doublon",
   "Correcte"
)</f>
        <v>Correcte</v>
      </c>
    </row>
    <row r="347" spans="1:17" x14ac:dyDescent="0.25">
      <c r="A347" s="11" t="s">
        <v>3166</v>
      </c>
      <c r="B347" s="11" t="s">
        <v>1153</v>
      </c>
      <c r="C347" s="11" t="s">
        <v>662</v>
      </c>
      <c r="D347" s="11" t="s">
        <v>1154</v>
      </c>
      <c r="E347" s="11">
        <v>29</v>
      </c>
      <c r="F347" s="11"/>
      <c r="G347" s="11" t="s">
        <v>664</v>
      </c>
      <c r="H347" s="14">
        <v>45915</v>
      </c>
      <c r="I347" s="12">
        <f>-Mvt_Inter_entrepot[[#This Row],[QTE]]</f>
        <v>-29</v>
      </c>
      <c r="J347" s="11" t="s">
        <v>264</v>
      </c>
      <c r="K347" s="11" t="str">
        <f>_xlfn.TEXTBEFORE(Mvt_Inter_entrepot[[#This Row],[Num Suivis]],"-",,,1)</f>
        <v>OF246000</v>
      </c>
      <c r="L347" s="11" t="e">
        <f>_xlfn.XLOOKUP(Mvt_Inter_entrepot[[#This Row],[Num OF]],#REF!,#REF!,"Non Trouvé")</f>
        <v>#REF!</v>
      </c>
      <c r="M347" s="11" t="e">
        <f>_xlfn.XLOOKUP(Mvt_Inter_entrepot[[#This Row],[Num OF]],#REF!,#REF!,"Non Trouvé")</f>
        <v>#REF!</v>
      </c>
      <c r="N347" s="11" t="e">
        <f>_xlfn.XLOOKUP(Mvt_Inter_entrepot[[#This Row],[Num OF]],#REF!,#REF!,"Non Trouvé")</f>
        <v>#REF!</v>
      </c>
      <c r="O347" s="11" t="e">
        <f>_xlfn.XLOOKUP(Mvt_Inter_entrepot[[#This Row],[Num OF]],#REF!,#REF!,"Non Trouvé")</f>
        <v>#REF!</v>
      </c>
      <c r="P347" s="11" t="e">
        <f>_xlfn.XLOOKUP(Mvt_Inter_entrepot[[#This Row],[Num OF]],#REF!,#REF!,"Non Trouvé")</f>
        <v>#REF!</v>
      </c>
      <c r="Q347" s="11" t="str">
        <f>IF(
   COUNTIFS($A$2:A347,A347,
             $B$2:B347,B347,
             $C$2:C347,C347,
             $D$2:D347,D347,
             $E$2:E347,E347,
             $H$2:H347,H347
             )&gt;1,
   "Doublon",
   "Correcte"
)</f>
        <v>Correcte</v>
      </c>
    </row>
    <row r="348" spans="1:17" x14ac:dyDescent="0.25">
      <c r="A348" s="11" t="s">
        <v>3167</v>
      </c>
      <c r="B348" s="11" t="s">
        <v>1153</v>
      </c>
      <c r="C348" s="11" t="s">
        <v>662</v>
      </c>
      <c r="D348" s="11" t="s">
        <v>1154</v>
      </c>
      <c r="E348" s="11">
        <v>14</v>
      </c>
      <c r="F348" s="11"/>
      <c r="G348" s="11" t="s">
        <v>664</v>
      </c>
      <c r="H348" s="14">
        <v>45915</v>
      </c>
      <c r="I348" s="12">
        <f>-Mvt_Inter_entrepot[[#This Row],[QTE]]</f>
        <v>-14</v>
      </c>
      <c r="J348" s="11" t="s">
        <v>265</v>
      </c>
      <c r="K348" s="11" t="str">
        <f>_xlfn.TEXTBEFORE(Mvt_Inter_entrepot[[#This Row],[Num Suivis]],"-",,,1)</f>
        <v>OF246001</v>
      </c>
      <c r="L348" s="11" t="e">
        <f>_xlfn.XLOOKUP(Mvt_Inter_entrepot[[#This Row],[Num OF]],#REF!,#REF!,"Non Trouvé")</f>
        <v>#REF!</v>
      </c>
      <c r="M348" s="11" t="e">
        <f>_xlfn.XLOOKUP(Mvt_Inter_entrepot[[#This Row],[Num OF]],#REF!,#REF!,"Non Trouvé")</f>
        <v>#REF!</v>
      </c>
      <c r="N348" s="11" t="e">
        <f>_xlfn.XLOOKUP(Mvt_Inter_entrepot[[#This Row],[Num OF]],#REF!,#REF!,"Non Trouvé")</f>
        <v>#REF!</v>
      </c>
      <c r="O348" s="11" t="e">
        <f>_xlfn.XLOOKUP(Mvt_Inter_entrepot[[#This Row],[Num OF]],#REF!,#REF!,"Non Trouvé")</f>
        <v>#REF!</v>
      </c>
      <c r="P348" s="11" t="e">
        <f>_xlfn.XLOOKUP(Mvt_Inter_entrepot[[#This Row],[Num OF]],#REF!,#REF!,"Non Trouvé")</f>
        <v>#REF!</v>
      </c>
      <c r="Q348" s="11" t="str">
        <f>IF(
   COUNTIFS($A$2:A348,A348,
             $B$2:B348,B348,
             $C$2:C348,C348,
             $D$2:D348,D348,
             $E$2:E348,E348,
             $H$2:H348,H348
             )&gt;1,
   "Doublon",
   "Correcte"
)</f>
        <v>Correcte</v>
      </c>
    </row>
    <row r="349" spans="1:17" x14ac:dyDescent="0.25">
      <c r="A349" s="11" t="s">
        <v>3168</v>
      </c>
      <c r="B349" s="11" t="s">
        <v>1153</v>
      </c>
      <c r="C349" s="11" t="s">
        <v>662</v>
      </c>
      <c r="D349" s="11" t="s">
        <v>1154</v>
      </c>
      <c r="E349" s="11">
        <v>30</v>
      </c>
      <c r="F349" s="11"/>
      <c r="G349" s="11" t="s">
        <v>664</v>
      </c>
      <c r="H349" s="14">
        <v>45915</v>
      </c>
      <c r="I349" s="12">
        <f>-Mvt_Inter_entrepot[[#This Row],[QTE]]</f>
        <v>-30</v>
      </c>
      <c r="J349" s="11" t="s">
        <v>266</v>
      </c>
      <c r="K349" s="11" t="str">
        <f>_xlfn.TEXTBEFORE(Mvt_Inter_entrepot[[#This Row],[Num Suivis]],"-",,,1)</f>
        <v>OF246002</v>
      </c>
      <c r="L349" s="11" t="e">
        <f>_xlfn.XLOOKUP(Mvt_Inter_entrepot[[#This Row],[Num OF]],#REF!,#REF!,"Non Trouvé")</f>
        <v>#REF!</v>
      </c>
      <c r="M349" s="11" t="e">
        <f>_xlfn.XLOOKUP(Mvt_Inter_entrepot[[#This Row],[Num OF]],#REF!,#REF!,"Non Trouvé")</f>
        <v>#REF!</v>
      </c>
      <c r="N349" s="11" t="e">
        <f>_xlfn.XLOOKUP(Mvt_Inter_entrepot[[#This Row],[Num OF]],#REF!,#REF!,"Non Trouvé")</f>
        <v>#REF!</v>
      </c>
      <c r="O349" s="11" t="e">
        <f>_xlfn.XLOOKUP(Mvt_Inter_entrepot[[#This Row],[Num OF]],#REF!,#REF!,"Non Trouvé")</f>
        <v>#REF!</v>
      </c>
      <c r="P349" s="11" t="e">
        <f>_xlfn.XLOOKUP(Mvt_Inter_entrepot[[#This Row],[Num OF]],#REF!,#REF!,"Non Trouvé")</f>
        <v>#REF!</v>
      </c>
      <c r="Q349" s="11" t="str">
        <f>IF(
   COUNTIFS($A$2:A349,A349,
             $B$2:B349,B349,
             $C$2:C349,C349,
             $D$2:D349,D349,
             $E$2:E349,E349,
             $H$2:H349,H349
             )&gt;1,
   "Doublon",
   "Correcte"
)</f>
        <v>Correcte</v>
      </c>
    </row>
    <row r="350" spans="1:17" x14ac:dyDescent="0.25">
      <c r="A350" s="11" t="s">
        <v>3169</v>
      </c>
      <c r="B350" s="11" t="s">
        <v>1153</v>
      </c>
      <c r="C350" s="11" t="s">
        <v>662</v>
      </c>
      <c r="D350" s="11" t="s">
        <v>1154</v>
      </c>
      <c r="E350" s="11">
        <v>21</v>
      </c>
      <c r="F350" s="11"/>
      <c r="G350" s="11" t="s">
        <v>664</v>
      </c>
      <c r="H350" s="14">
        <v>45915</v>
      </c>
      <c r="I350" s="12">
        <f>-Mvt_Inter_entrepot[[#This Row],[QTE]]</f>
        <v>-21</v>
      </c>
      <c r="J350" s="11" t="s">
        <v>267</v>
      </c>
      <c r="K350" s="11" t="str">
        <f>_xlfn.TEXTBEFORE(Mvt_Inter_entrepot[[#This Row],[Num Suivis]],"-",,,1)</f>
        <v>OF246003</v>
      </c>
      <c r="L350" s="11" t="e">
        <f>_xlfn.XLOOKUP(Mvt_Inter_entrepot[[#This Row],[Num OF]],#REF!,#REF!,"Non Trouvé")</f>
        <v>#REF!</v>
      </c>
      <c r="M350" s="11" t="e">
        <f>_xlfn.XLOOKUP(Mvt_Inter_entrepot[[#This Row],[Num OF]],#REF!,#REF!,"Non Trouvé")</f>
        <v>#REF!</v>
      </c>
      <c r="N350" s="11" t="e">
        <f>_xlfn.XLOOKUP(Mvt_Inter_entrepot[[#This Row],[Num OF]],#REF!,#REF!,"Non Trouvé")</f>
        <v>#REF!</v>
      </c>
      <c r="O350" s="11" t="e">
        <f>_xlfn.XLOOKUP(Mvt_Inter_entrepot[[#This Row],[Num OF]],#REF!,#REF!,"Non Trouvé")</f>
        <v>#REF!</v>
      </c>
      <c r="P350" s="11" t="e">
        <f>_xlfn.XLOOKUP(Mvt_Inter_entrepot[[#This Row],[Num OF]],#REF!,#REF!,"Non Trouvé")</f>
        <v>#REF!</v>
      </c>
      <c r="Q350" s="11" t="str">
        <f>IF(
   COUNTIFS($A$2:A350,A350,
             $B$2:B350,B350,
             $C$2:C350,C350,
             $D$2:D350,D350,
             $E$2:E350,E350,
             $H$2:H350,H350
             )&gt;1,
   "Doublon",
   "Correcte"
)</f>
        <v>Correcte</v>
      </c>
    </row>
    <row r="351" spans="1:17" x14ac:dyDescent="0.25">
      <c r="A351" s="11" t="s">
        <v>3170</v>
      </c>
      <c r="B351" s="11" t="s">
        <v>1153</v>
      </c>
      <c r="C351" s="11" t="s">
        <v>662</v>
      </c>
      <c r="D351" s="11" t="s">
        <v>1154</v>
      </c>
      <c r="E351" s="11">
        <v>23</v>
      </c>
      <c r="F351" s="11"/>
      <c r="G351" s="11" t="s">
        <v>664</v>
      </c>
      <c r="H351" s="14">
        <v>45915</v>
      </c>
      <c r="I351" s="12">
        <f>-Mvt_Inter_entrepot[[#This Row],[QTE]]</f>
        <v>-23</v>
      </c>
      <c r="J351" s="11" t="s">
        <v>268</v>
      </c>
      <c r="K351" s="11" t="str">
        <f>_xlfn.TEXTBEFORE(Mvt_Inter_entrepot[[#This Row],[Num Suivis]],"-",,,1)</f>
        <v>OF246004</v>
      </c>
      <c r="L351" s="11" t="e">
        <f>_xlfn.XLOOKUP(Mvt_Inter_entrepot[[#This Row],[Num OF]],#REF!,#REF!,"Non Trouvé")</f>
        <v>#REF!</v>
      </c>
      <c r="M351" s="11" t="e">
        <f>_xlfn.XLOOKUP(Mvt_Inter_entrepot[[#This Row],[Num OF]],#REF!,#REF!,"Non Trouvé")</f>
        <v>#REF!</v>
      </c>
      <c r="N351" s="11" t="e">
        <f>_xlfn.XLOOKUP(Mvt_Inter_entrepot[[#This Row],[Num OF]],#REF!,#REF!,"Non Trouvé")</f>
        <v>#REF!</v>
      </c>
      <c r="O351" s="11" t="e">
        <f>_xlfn.XLOOKUP(Mvt_Inter_entrepot[[#This Row],[Num OF]],#REF!,#REF!,"Non Trouvé")</f>
        <v>#REF!</v>
      </c>
      <c r="P351" s="11" t="e">
        <f>_xlfn.XLOOKUP(Mvt_Inter_entrepot[[#This Row],[Num OF]],#REF!,#REF!,"Non Trouvé")</f>
        <v>#REF!</v>
      </c>
      <c r="Q351" s="11" t="str">
        <f>IF(
   COUNTIFS($A$2:A351,A351,
             $B$2:B351,B351,
             $C$2:C351,C351,
             $D$2:D351,D351,
             $E$2:E351,E351,
             $H$2:H351,H351
             )&gt;1,
   "Doublon",
   "Correcte"
)</f>
        <v>Correcte</v>
      </c>
    </row>
    <row r="352" spans="1:17" x14ac:dyDescent="0.25">
      <c r="A352" s="11" t="s">
        <v>3171</v>
      </c>
      <c r="B352" s="11" t="s">
        <v>1153</v>
      </c>
      <c r="C352" s="11" t="s">
        <v>662</v>
      </c>
      <c r="D352" s="11" t="s">
        <v>1154</v>
      </c>
      <c r="E352" s="11">
        <v>29</v>
      </c>
      <c r="F352" s="11"/>
      <c r="G352" s="11" t="s">
        <v>664</v>
      </c>
      <c r="H352" s="14">
        <v>45915</v>
      </c>
      <c r="I352" s="12">
        <f>-Mvt_Inter_entrepot[[#This Row],[QTE]]</f>
        <v>-29</v>
      </c>
      <c r="J352" s="11" t="s">
        <v>269</v>
      </c>
      <c r="K352" s="11" t="str">
        <f>_xlfn.TEXTBEFORE(Mvt_Inter_entrepot[[#This Row],[Num Suivis]],"-",,,1)</f>
        <v>OF246005</v>
      </c>
      <c r="L352" s="11" t="e">
        <f>_xlfn.XLOOKUP(Mvt_Inter_entrepot[[#This Row],[Num OF]],#REF!,#REF!,"Non Trouvé")</f>
        <v>#REF!</v>
      </c>
      <c r="M352" s="11" t="e">
        <f>_xlfn.XLOOKUP(Mvt_Inter_entrepot[[#This Row],[Num OF]],#REF!,#REF!,"Non Trouvé")</f>
        <v>#REF!</v>
      </c>
      <c r="N352" s="11" t="e">
        <f>_xlfn.XLOOKUP(Mvt_Inter_entrepot[[#This Row],[Num OF]],#REF!,#REF!,"Non Trouvé")</f>
        <v>#REF!</v>
      </c>
      <c r="O352" s="11" t="e">
        <f>_xlfn.XLOOKUP(Mvt_Inter_entrepot[[#This Row],[Num OF]],#REF!,#REF!,"Non Trouvé")</f>
        <v>#REF!</v>
      </c>
      <c r="P352" s="11" t="e">
        <f>_xlfn.XLOOKUP(Mvt_Inter_entrepot[[#This Row],[Num OF]],#REF!,#REF!,"Non Trouvé")</f>
        <v>#REF!</v>
      </c>
      <c r="Q352" s="11" t="str">
        <f>IF(
   COUNTIFS($A$2:A352,A352,
             $B$2:B352,B352,
             $C$2:C352,C352,
             $D$2:D352,D352,
             $E$2:E352,E352,
             $H$2:H352,H352
             )&gt;1,
   "Doublon",
   "Correcte"
)</f>
        <v>Correcte</v>
      </c>
    </row>
    <row r="353" spans="1:17" x14ac:dyDescent="0.25">
      <c r="A353" s="11" t="s">
        <v>3172</v>
      </c>
      <c r="B353" s="11" t="s">
        <v>1153</v>
      </c>
      <c r="C353" s="11" t="s">
        <v>662</v>
      </c>
      <c r="D353" s="11" t="s">
        <v>1154</v>
      </c>
      <c r="E353" s="11">
        <v>15</v>
      </c>
      <c r="F353" s="11"/>
      <c r="G353" s="11" t="s">
        <v>664</v>
      </c>
      <c r="H353" s="14">
        <v>45915</v>
      </c>
      <c r="I353" s="12">
        <f>-Mvt_Inter_entrepot[[#This Row],[QTE]]</f>
        <v>-15</v>
      </c>
      <c r="J353" s="11" t="s">
        <v>270</v>
      </c>
      <c r="K353" s="11" t="str">
        <f>_xlfn.TEXTBEFORE(Mvt_Inter_entrepot[[#This Row],[Num Suivis]],"-",,,1)</f>
        <v>OF246006</v>
      </c>
      <c r="L353" s="11" t="e">
        <f>_xlfn.XLOOKUP(Mvt_Inter_entrepot[[#This Row],[Num OF]],#REF!,#REF!,"Non Trouvé")</f>
        <v>#REF!</v>
      </c>
      <c r="M353" s="11" t="e">
        <f>_xlfn.XLOOKUP(Mvt_Inter_entrepot[[#This Row],[Num OF]],#REF!,#REF!,"Non Trouvé")</f>
        <v>#REF!</v>
      </c>
      <c r="N353" s="11" t="e">
        <f>_xlfn.XLOOKUP(Mvt_Inter_entrepot[[#This Row],[Num OF]],#REF!,#REF!,"Non Trouvé")</f>
        <v>#REF!</v>
      </c>
      <c r="O353" s="11" t="e">
        <f>_xlfn.XLOOKUP(Mvt_Inter_entrepot[[#This Row],[Num OF]],#REF!,#REF!,"Non Trouvé")</f>
        <v>#REF!</v>
      </c>
      <c r="P353" s="11" t="e">
        <f>_xlfn.XLOOKUP(Mvt_Inter_entrepot[[#This Row],[Num OF]],#REF!,#REF!,"Non Trouvé")</f>
        <v>#REF!</v>
      </c>
      <c r="Q353" s="11" t="str">
        <f>IF(
   COUNTIFS($A$2:A353,A353,
             $B$2:B353,B353,
             $C$2:C353,C353,
             $D$2:D353,D353,
             $E$2:E353,E353,
             $H$2:H353,H353
             )&gt;1,
   "Doublon",
   "Correcte"
)</f>
        <v>Correcte</v>
      </c>
    </row>
    <row r="354" spans="1:17" x14ac:dyDescent="0.25">
      <c r="A354" s="11" t="s">
        <v>3173</v>
      </c>
      <c r="B354" s="11" t="s">
        <v>1153</v>
      </c>
      <c r="C354" s="11" t="s">
        <v>662</v>
      </c>
      <c r="D354" s="11" t="s">
        <v>1154</v>
      </c>
      <c r="E354" s="11">
        <v>22</v>
      </c>
      <c r="F354" s="11"/>
      <c r="G354" s="11" t="s">
        <v>664</v>
      </c>
      <c r="H354" s="14">
        <v>45915</v>
      </c>
      <c r="I354" s="12">
        <f>-Mvt_Inter_entrepot[[#This Row],[QTE]]</f>
        <v>-22</v>
      </c>
      <c r="J354" s="11" t="s">
        <v>271</v>
      </c>
      <c r="K354" s="11" t="str">
        <f>_xlfn.TEXTBEFORE(Mvt_Inter_entrepot[[#This Row],[Num Suivis]],"-",,,1)</f>
        <v>OF246007</v>
      </c>
      <c r="L354" s="11" t="e">
        <f>_xlfn.XLOOKUP(Mvt_Inter_entrepot[[#This Row],[Num OF]],#REF!,#REF!,"Non Trouvé")</f>
        <v>#REF!</v>
      </c>
      <c r="M354" s="11" t="e">
        <f>_xlfn.XLOOKUP(Mvt_Inter_entrepot[[#This Row],[Num OF]],#REF!,#REF!,"Non Trouvé")</f>
        <v>#REF!</v>
      </c>
      <c r="N354" s="11" t="e">
        <f>_xlfn.XLOOKUP(Mvt_Inter_entrepot[[#This Row],[Num OF]],#REF!,#REF!,"Non Trouvé")</f>
        <v>#REF!</v>
      </c>
      <c r="O354" s="11" t="e">
        <f>_xlfn.XLOOKUP(Mvt_Inter_entrepot[[#This Row],[Num OF]],#REF!,#REF!,"Non Trouvé")</f>
        <v>#REF!</v>
      </c>
      <c r="P354" s="11" t="e">
        <f>_xlfn.XLOOKUP(Mvt_Inter_entrepot[[#This Row],[Num OF]],#REF!,#REF!,"Non Trouvé")</f>
        <v>#REF!</v>
      </c>
      <c r="Q354" s="11" t="str">
        <f>IF(
   COUNTIFS($A$2:A354,A354,
             $B$2:B354,B354,
             $C$2:C354,C354,
             $D$2:D354,D354,
             $E$2:E354,E354,
             $H$2:H354,H354
             )&gt;1,
   "Doublon",
   "Correcte"
)</f>
        <v>Correcte</v>
      </c>
    </row>
    <row r="355" spans="1:17" x14ac:dyDescent="0.25">
      <c r="A355" s="11" t="s">
        <v>3174</v>
      </c>
      <c r="B355" s="11" t="s">
        <v>1153</v>
      </c>
      <c r="C355" s="11" t="s">
        <v>662</v>
      </c>
      <c r="D355" s="11" t="s">
        <v>1154</v>
      </c>
      <c r="E355" s="11">
        <v>25</v>
      </c>
      <c r="F355" s="11"/>
      <c r="G355" s="11" t="s">
        <v>664</v>
      </c>
      <c r="H355" s="14">
        <v>45915</v>
      </c>
      <c r="I355" s="12">
        <f>-Mvt_Inter_entrepot[[#This Row],[QTE]]</f>
        <v>-25</v>
      </c>
      <c r="J355" s="11" t="s">
        <v>272</v>
      </c>
      <c r="K355" s="11" t="str">
        <f>_xlfn.TEXTBEFORE(Mvt_Inter_entrepot[[#This Row],[Num Suivis]],"-",,,1)</f>
        <v>OF246008</v>
      </c>
      <c r="L355" s="11" t="e">
        <f>_xlfn.XLOOKUP(Mvt_Inter_entrepot[[#This Row],[Num OF]],#REF!,#REF!,"Non Trouvé")</f>
        <v>#REF!</v>
      </c>
      <c r="M355" s="11" t="e">
        <f>_xlfn.XLOOKUP(Mvt_Inter_entrepot[[#This Row],[Num OF]],#REF!,#REF!,"Non Trouvé")</f>
        <v>#REF!</v>
      </c>
      <c r="N355" s="11" t="e">
        <f>_xlfn.XLOOKUP(Mvt_Inter_entrepot[[#This Row],[Num OF]],#REF!,#REF!,"Non Trouvé")</f>
        <v>#REF!</v>
      </c>
      <c r="O355" s="11" t="e">
        <f>_xlfn.XLOOKUP(Mvt_Inter_entrepot[[#This Row],[Num OF]],#REF!,#REF!,"Non Trouvé")</f>
        <v>#REF!</v>
      </c>
      <c r="P355" s="11" t="e">
        <f>_xlfn.XLOOKUP(Mvt_Inter_entrepot[[#This Row],[Num OF]],#REF!,#REF!,"Non Trouvé")</f>
        <v>#REF!</v>
      </c>
      <c r="Q355" s="11" t="str">
        <f>IF(
   COUNTIFS($A$2:A355,A355,
             $B$2:B355,B355,
             $C$2:C355,C355,
             $D$2:D355,D355,
             $E$2:E355,E355,
             $H$2:H355,H355
             )&gt;1,
   "Doublon",
   "Correcte"
)</f>
        <v>Correcte</v>
      </c>
    </row>
    <row r="356" spans="1:17" x14ac:dyDescent="0.25">
      <c r="A356" s="11" t="s">
        <v>3175</v>
      </c>
      <c r="B356" s="11" t="s">
        <v>1153</v>
      </c>
      <c r="C356" s="11" t="s">
        <v>662</v>
      </c>
      <c r="D356" s="11" t="s">
        <v>1154</v>
      </c>
      <c r="E356" s="11">
        <v>23</v>
      </c>
      <c r="F356" s="11"/>
      <c r="G356" s="11" t="s">
        <v>664</v>
      </c>
      <c r="H356" s="14">
        <v>45915</v>
      </c>
      <c r="I356" s="12">
        <f>-Mvt_Inter_entrepot[[#This Row],[QTE]]</f>
        <v>-23</v>
      </c>
      <c r="J356" s="11" t="s">
        <v>273</v>
      </c>
      <c r="K356" s="11" t="str">
        <f>_xlfn.TEXTBEFORE(Mvt_Inter_entrepot[[#This Row],[Num Suivis]],"-",,,1)</f>
        <v>OF246009</v>
      </c>
      <c r="L356" s="11" t="e">
        <f>_xlfn.XLOOKUP(Mvt_Inter_entrepot[[#This Row],[Num OF]],#REF!,#REF!,"Non Trouvé")</f>
        <v>#REF!</v>
      </c>
      <c r="M356" s="11" t="e">
        <f>_xlfn.XLOOKUP(Mvt_Inter_entrepot[[#This Row],[Num OF]],#REF!,#REF!,"Non Trouvé")</f>
        <v>#REF!</v>
      </c>
      <c r="N356" s="11" t="e">
        <f>_xlfn.XLOOKUP(Mvt_Inter_entrepot[[#This Row],[Num OF]],#REF!,#REF!,"Non Trouvé")</f>
        <v>#REF!</v>
      </c>
      <c r="O356" s="11" t="e">
        <f>_xlfn.XLOOKUP(Mvt_Inter_entrepot[[#This Row],[Num OF]],#REF!,#REF!,"Non Trouvé")</f>
        <v>#REF!</v>
      </c>
      <c r="P356" s="11" t="e">
        <f>_xlfn.XLOOKUP(Mvt_Inter_entrepot[[#This Row],[Num OF]],#REF!,#REF!,"Non Trouvé")</f>
        <v>#REF!</v>
      </c>
      <c r="Q356" s="11" t="str">
        <f>IF(
   COUNTIFS($A$2:A356,A356,
             $B$2:B356,B356,
             $C$2:C356,C356,
             $D$2:D356,D356,
             $E$2:E356,E356,
             $H$2:H356,H356
             )&gt;1,
   "Doublon",
   "Correcte"
)</f>
        <v>Correcte</v>
      </c>
    </row>
    <row r="357" spans="1:17" x14ac:dyDescent="0.25">
      <c r="A357" s="11" t="s">
        <v>3176</v>
      </c>
      <c r="B357" s="11" t="s">
        <v>1153</v>
      </c>
      <c r="C357" s="11" t="s">
        <v>662</v>
      </c>
      <c r="D357" s="11" t="s">
        <v>1154</v>
      </c>
      <c r="E357" s="11">
        <v>16</v>
      </c>
      <c r="F357" s="11"/>
      <c r="G357" s="11" t="s">
        <v>664</v>
      </c>
      <c r="H357" s="14">
        <v>45915</v>
      </c>
      <c r="I357" s="12">
        <f>-Mvt_Inter_entrepot[[#This Row],[QTE]]</f>
        <v>-16</v>
      </c>
      <c r="J357" s="11" t="s">
        <v>274</v>
      </c>
      <c r="K357" s="11" t="str">
        <f>_xlfn.TEXTBEFORE(Mvt_Inter_entrepot[[#This Row],[Num Suivis]],"-",,,1)</f>
        <v>OF246010</v>
      </c>
      <c r="L357" s="11" t="e">
        <f>_xlfn.XLOOKUP(Mvt_Inter_entrepot[[#This Row],[Num OF]],#REF!,#REF!,"Non Trouvé")</f>
        <v>#REF!</v>
      </c>
      <c r="M357" s="11" t="e">
        <f>_xlfn.XLOOKUP(Mvt_Inter_entrepot[[#This Row],[Num OF]],#REF!,#REF!,"Non Trouvé")</f>
        <v>#REF!</v>
      </c>
      <c r="N357" s="11" t="e">
        <f>_xlfn.XLOOKUP(Mvt_Inter_entrepot[[#This Row],[Num OF]],#REF!,#REF!,"Non Trouvé")</f>
        <v>#REF!</v>
      </c>
      <c r="O357" s="11" t="e">
        <f>_xlfn.XLOOKUP(Mvt_Inter_entrepot[[#This Row],[Num OF]],#REF!,#REF!,"Non Trouvé")</f>
        <v>#REF!</v>
      </c>
      <c r="P357" s="11" t="e">
        <f>_xlfn.XLOOKUP(Mvt_Inter_entrepot[[#This Row],[Num OF]],#REF!,#REF!,"Non Trouvé")</f>
        <v>#REF!</v>
      </c>
      <c r="Q357" s="11" t="str">
        <f>IF(
   COUNTIFS($A$2:A357,A357,
             $B$2:B357,B357,
             $C$2:C357,C357,
             $D$2:D357,D357,
             $E$2:E357,E357,
             $H$2:H357,H357
             )&gt;1,
   "Doublon",
   "Correcte"
)</f>
        <v>Correcte</v>
      </c>
    </row>
    <row r="358" spans="1:17" x14ac:dyDescent="0.25">
      <c r="A358" s="11" t="s">
        <v>3177</v>
      </c>
      <c r="B358" s="11" t="s">
        <v>1153</v>
      </c>
      <c r="C358" s="11" t="s">
        <v>662</v>
      </c>
      <c r="D358" s="11" t="s">
        <v>1154</v>
      </c>
      <c r="E358" s="11">
        <v>73</v>
      </c>
      <c r="F358" s="11"/>
      <c r="G358" s="11" t="s">
        <v>664</v>
      </c>
      <c r="H358" s="14">
        <v>45915</v>
      </c>
      <c r="I358" s="12">
        <f>-Mvt_Inter_entrepot[[#This Row],[QTE]]</f>
        <v>-73</v>
      </c>
      <c r="J358" s="11" t="s">
        <v>275</v>
      </c>
      <c r="K358" s="11" t="str">
        <f>_xlfn.TEXTBEFORE(Mvt_Inter_entrepot[[#This Row],[Num Suivis]],"-",,,1)</f>
        <v>OF246011</v>
      </c>
      <c r="L358" s="11" t="e">
        <f>_xlfn.XLOOKUP(Mvt_Inter_entrepot[[#This Row],[Num OF]],#REF!,#REF!,"Non Trouvé")</f>
        <v>#REF!</v>
      </c>
      <c r="M358" s="11" t="e">
        <f>_xlfn.XLOOKUP(Mvt_Inter_entrepot[[#This Row],[Num OF]],#REF!,#REF!,"Non Trouvé")</f>
        <v>#REF!</v>
      </c>
      <c r="N358" s="11" t="e">
        <f>_xlfn.XLOOKUP(Mvt_Inter_entrepot[[#This Row],[Num OF]],#REF!,#REF!,"Non Trouvé")</f>
        <v>#REF!</v>
      </c>
      <c r="O358" s="11" t="e">
        <f>_xlfn.XLOOKUP(Mvt_Inter_entrepot[[#This Row],[Num OF]],#REF!,#REF!,"Non Trouvé")</f>
        <v>#REF!</v>
      </c>
      <c r="P358" s="11" t="e">
        <f>_xlfn.XLOOKUP(Mvt_Inter_entrepot[[#This Row],[Num OF]],#REF!,#REF!,"Non Trouvé")</f>
        <v>#REF!</v>
      </c>
      <c r="Q358" s="11" t="str">
        <f>IF(
   COUNTIFS($A$2:A358,A358,
             $B$2:B358,B358,
             $C$2:C358,C358,
             $D$2:D358,D358,
             $E$2:E358,E358,
             $H$2:H358,H358
             )&gt;1,
   "Doublon",
   "Correcte"
)</f>
        <v>Correcte</v>
      </c>
    </row>
    <row r="359" spans="1:17" x14ac:dyDescent="0.25">
      <c r="A359" s="11" t="s">
        <v>3178</v>
      </c>
      <c r="B359" s="11" t="s">
        <v>1153</v>
      </c>
      <c r="C359" s="11" t="s">
        <v>662</v>
      </c>
      <c r="D359" s="11" t="s">
        <v>1154</v>
      </c>
      <c r="E359" s="11">
        <v>30</v>
      </c>
      <c r="F359" s="11"/>
      <c r="G359" s="11" t="s">
        <v>664</v>
      </c>
      <c r="H359" s="14">
        <v>45915</v>
      </c>
      <c r="I359" s="12">
        <f>-Mvt_Inter_entrepot[[#This Row],[QTE]]</f>
        <v>-30</v>
      </c>
      <c r="J359" s="11" t="s">
        <v>276</v>
      </c>
      <c r="K359" s="11" t="str">
        <f>_xlfn.TEXTBEFORE(Mvt_Inter_entrepot[[#This Row],[Num Suivis]],"-",,,1)</f>
        <v>OF246012</v>
      </c>
      <c r="L359" s="11" t="e">
        <f>_xlfn.XLOOKUP(Mvt_Inter_entrepot[[#This Row],[Num OF]],#REF!,#REF!,"Non Trouvé")</f>
        <v>#REF!</v>
      </c>
      <c r="M359" s="11" t="e">
        <f>_xlfn.XLOOKUP(Mvt_Inter_entrepot[[#This Row],[Num OF]],#REF!,#REF!,"Non Trouvé")</f>
        <v>#REF!</v>
      </c>
      <c r="N359" s="11" t="e">
        <f>_xlfn.XLOOKUP(Mvt_Inter_entrepot[[#This Row],[Num OF]],#REF!,#REF!,"Non Trouvé")</f>
        <v>#REF!</v>
      </c>
      <c r="O359" s="11" t="e">
        <f>_xlfn.XLOOKUP(Mvt_Inter_entrepot[[#This Row],[Num OF]],#REF!,#REF!,"Non Trouvé")</f>
        <v>#REF!</v>
      </c>
      <c r="P359" s="11" t="e">
        <f>_xlfn.XLOOKUP(Mvt_Inter_entrepot[[#This Row],[Num OF]],#REF!,#REF!,"Non Trouvé")</f>
        <v>#REF!</v>
      </c>
      <c r="Q359" s="11" t="str">
        <f>IF(
   COUNTIFS($A$2:A359,A359,
             $B$2:B359,B359,
             $C$2:C359,C359,
             $D$2:D359,D359,
             $E$2:E359,E359,
             $H$2:H359,H359
             )&gt;1,
   "Doublon",
   "Correcte"
)</f>
        <v>Correcte</v>
      </c>
    </row>
    <row r="360" spans="1:17" x14ac:dyDescent="0.25">
      <c r="A360" s="11" t="s">
        <v>3179</v>
      </c>
      <c r="B360" s="11" t="s">
        <v>1153</v>
      </c>
      <c r="C360" s="11" t="s">
        <v>662</v>
      </c>
      <c r="D360" s="11" t="s">
        <v>1154</v>
      </c>
      <c r="E360" s="11">
        <v>22</v>
      </c>
      <c r="F360" s="11"/>
      <c r="G360" s="11" t="s">
        <v>664</v>
      </c>
      <c r="H360" s="14">
        <v>45915</v>
      </c>
      <c r="I360" s="12">
        <f>-Mvt_Inter_entrepot[[#This Row],[QTE]]</f>
        <v>-22</v>
      </c>
      <c r="J360" s="11" t="s">
        <v>277</v>
      </c>
      <c r="K360" s="11" t="str">
        <f>_xlfn.TEXTBEFORE(Mvt_Inter_entrepot[[#This Row],[Num Suivis]],"-",,,1)</f>
        <v>OF246013</v>
      </c>
      <c r="L360" s="11" t="e">
        <f>_xlfn.XLOOKUP(Mvt_Inter_entrepot[[#This Row],[Num OF]],#REF!,#REF!,"Non Trouvé")</f>
        <v>#REF!</v>
      </c>
      <c r="M360" s="11" t="e">
        <f>_xlfn.XLOOKUP(Mvt_Inter_entrepot[[#This Row],[Num OF]],#REF!,#REF!,"Non Trouvé")</f>
        <v>#REF!</v>
      </c>
      <c r="N360" s="11" t="e">
        <f>_xlfn.XLOOKUP(Mvt_Inter_entrepot[[#This Row],[Num OF]],#REF!,#REF!,"Non Trouvé")</f>
        <v>#REF!</v>
      </c>
      <c r="O360" s="11" t="e">
        <f>_xlfn.XLOOKUP(Mvt_Inter_entrepot[[#This Row],[Num OF]],#REF!,#REF!,"Non Trouvé")</f>
        <v>#REF!</v>
      </c>
      <c r="P360" s="11" t="e">
        <f>_xlfn.XLOOKUP(Mvt_Inter_entrepot[[#This Row],[Num OF]],#REF!,#REF!,"Non Trouvé")</f>
        <v>#REF!</v>
      </c>
      <c r="Q360" s="11" t="str">
        <f>IF(
   COUNTIFS($A$2:A360,A360,
             $B$2:B360,B360,
             $C$2:C360,C360,
             $D$2:D360,D360,
             $E$2:E360,E360,
             $H$2:H360,H360
             )&gt;1,
   "Doublon",
   "Correcte"
)</f>
        <v>Correcte</v>
      </c>
    </row>
    <row r="361" spans="1:17" x14ac:dyDescent="0.25">
      <c r="A361" s="11" t="s">
        <v>3180</v>
      </c>
      <c r="B361" s="11" t="s">
        <v>1153</v>
      </c>
      <c r="C361" s="11" t="s">
        <v>662</v>
      </c>
      <c r="D361" s="11" t="s">
        <v>1154</v>
      </c>
      <c r="E361" s="11">
        <v>33</v>
      </c>
      <c r="F361" s="11"/>
      <c r="G361" s="11" t="s">
        <v>664</v>
      </c>
      <c r="H361" s="14">
        <v>45915</v>
      </c>
      <c r="I361" s="12">
        <f>-Mvt_Inter_entrepot[[#This Row],[QTE]]</f>
        <v>-33</v>
      </c>
      <c r="J361" s="11" t="s">
        <v>278</v>
      </c>
      <c r="K361" s="11" t="str">
        <f>_xlfn.TEXTBEFORE(Mvt_Inter_entrepot[[#This Row],[Num Suivis]],"-",,,1)</f>
        <v>OF246014</v>
      </c>
      <c r="L361" s="11" t="e">
        <f>_xlfn.XLOOKUP(Mvt_Inter_entrepot[[#This Row],[Num OF]],#REF!,#REF!,"Non Trouvé")</f>
        <v>#REF!</v>
      </c>
      <c r="M361" s="11" t="e">
        <f>_xlfn.XLOOKUP(Mvt_Inter_entrepot[[#This Row],[Num OF]],#REF!,#REF!,"Non Trouvé")</f>
        <v>#REF!</v>
      </c>
      <c r="N361" s="11" t="e">
        <f>_xlfn.XLOOKUP(Mvt_Inter_entrepot[[#This Row],[Num OF]],#REF!,#REF!,"Non Trouvé")</f>
        <v>#REF!</v>
      </c>
      <c r="O361" s="11" t="e">
        <f>_xlfn.XLOOKUP(Mvt_Inter_entrepot[[#This Row],[Num OF]],#REF!,#REF!,"Non Trouvé")</f>
        <v>#REF!</v>
      </c>
      <c r="P361" s="11" t="e">
        <f>_xlfn.XLOOKUP(Mvt_Inter_entrepot[[#This Row],[Num OF]],#REF!,#REF!,"Non Trouvé")</f>
        <v>#REF!</v>
      </c>
      <c r="Q361" s="11" t="str">
        <f>IF(
   COUNTIFS($A$2:A361,A361,
             $B$2:B361,B361,
             $C$2:C361,C361,
             $D$2:D361,D361,
             $E$2:E361,E361,
             $H$2:H361,H361
             )&gt;1,
   "Doublon",
   "Correcte"
)</f>
        <v>Correcte</v>
      </c>
    </row>
    <row r="362" spans="1:17" x14ac:dyDescent="0.25">
      <c r="A362" s="11" t="s">
        <v>3181</v>
      </c>
      <c r="B362" s="11" t="s">
        <v>1153</v>
      </c>
      <c r="C362" s="11" t="s">
        <v>662</v>
      </c>
      <c r="D362" s="11" t="s">
        <v>1154</v>
      </c>
      <c r="E362" s="11">
        <v>23</v>
      </c>
      <c r="F362" s="11"/>
      <c r="G362" s="11" t="s">
        <v>664</v>
      </c>
      <c r="H362" s="14">
        <v>45915</v>
      </c>
      <c r="I362" s="12">
        <f>-Mvt_Inter_entrepot[[#This Row],[QTE]]</f>
        <v>-23</v>
      </c>
      <c r="J362" s="11" t="s">
        <v>279</v>
      </c>
      <c r="K362" s="11" t="str">
        <f>_xlfn.TEXTBEFORE(Mvt_Inter_entrepot[[#This Row],[Num Suivis]],"-",,,1)</f>
        <v>OF246015</v>
      </c>
      <c r="L362" s="11" t="e">
        <f>_xlfn.XLOOKUP(Mvt_Inter_entrepot[[#This Row],[Num OF]],#REF!,#REF!,"Non Trouvé")</f>
        <v>#REF!</v>
      </c>
      <c r="M362" s="11" t="e">
        <f>_xlfn.XLOOKUP(Mvt_Inter_entrepot[[#This Row],[Num OF]],#REF!,#REF!,"Non Trouvé")</f>
        <v>#REF!</v>
      </c>
      <c r="N362" s="11" t="e">
        <f>_xlfn.XLOOKUP(Mvt_Inter_entrepot[[#This Row],[Num OF]],#REF!,#REF!,"Non Trouvé")</f>
        <v>#REF!</v>
      </c>
      <c r="O362" s="11" t="e">
        <f>_xlfn.XLOOKUP(Mvt_Inter_entrepot[[#This Row],[Num OF]],#REF!,#REF!,"Non Trouvé")</f>
        <v>#REF!</v>
      </c>
      <c r="P362" s="11" t="e">
        <f>_xlfn.XLOOKUP(Mvt_Inter_entrepot[[#This Row],[Num OF]],#REF!,#REF!,"Non Trouvé")</f>
        <v>#REF!</v>
      </c>
      <c r="Q362" s="11" t="str">
        <f>IF(
   COUNTIFS($A$2:A362,A362,
             $B$2:B362,B362,
             $C$2:C362,C362,
             $D$2:D362,D362,
             $E$2:E362,E362,
             $H$2:H362,H362
             )&gt;1,
   "Doublon",
   "Correcte"
)</f>
        <v>Correcte</v>
      </c>
    </row>
    <row r="363" spans="1:17" x14ac:dyDescent="0.25">
      <c r="A363" s="11" t="s">
        <v>3182</v>
      </c>
      <c r="B363" s="11" t="s">
        <v>1153</v>
      </c>
      <c r="C363" s="11" t="s">
        <v>662</v>
      </c>
      <c r="D363" s="11" t="s">
        <v>1154</v>
      </c>
      <c r="E363" s="11">
        <v>23</v>
      </c>
      <c r="F363" s="11"/>
      <c r="G363" s="11" t="s">
        <v>664</v>
      </c>
      <c r="H363" s="14">
        <v>45915</v>
      </c>
      <c r="I363" s="12">
        <f>-Mvt_Inter_entrepot[[#This Row],[QTE]]</f>
        <v>-23</v>
      </c>
      <c r="J363" s="11" t="s">
        <v>280</v>
      </c>
      <c r="K363" s="11" t="str">
        <f>_xlfn.TEXTBEFORE(Mvt_Inter_entrepot[[#This Row],[Num Suivis]],"-",,,1)</f>
        <v>OF246016</v>
      </c>
      <c r="L363" s="11" t="e">
        <f>_xlfn.XLOOKUP(Mvt_Inter_entrepot[[#This Row],[Num OF]],#REF!,#REF!,"Non Trouvé")</f>
        <v>#REF!</v>
      </c>
      <c r="M363" s="11" t="e">
        <f>_xlfn.XLOOKUP(Mvt_Inter_entrepot[[#This Row],[Num OF]],#REF!,#REF!,"Non Trouvé")</f>
        <v>#REF!</v>
      </c>
      <c r="N363" s="11" t="e">
        <f>_xlfn.XLOOKUP(Mvt_Inter_entrepot[[#This Row],[Num OF]],#REF!,#REF!,"Non Trouvé")</f>
        <v>#REF!</v>
      </c>
      <c r="O363" s="11" t="e">
        <f>_xlfn.XLOOKUP(Mvt_Inter_entrepot[[#This Row],[Num OF]],#REF!,#REF!,"Non Trouvé")</f>
        <v>#REF!</v>
      </c>
      <c r="P363" s="11" t="e">
        <f>_xlfn.XLOOKUP(Mvt_Inter_entrepot[[#This Row],[Num OF]],#REF!,#REF!,"Non Trouvé")</f>
        <v>#REF!</v>
      </c>
      <c r="Q363" s="11" t="str">
        <f>IF(
   COUNTIFS($A$2:A363,A363,
             $B$2:B363,B363,
             $C$2:C363,C363,
             $D$2:D363,D363,
             $E$2:E363,E363,
             $H$2:H363,H363
             )&gt;1,
   "Doublon",
   "Correcte"
)</f>
        <v>Correcte</v>
      </c>
    </row>
    <row r="364" spans="1:17" x14ac:dyDescent="0.25">
      <c r="A364" s="11" t="s">
        <v>3183</v>
      </c>
      <c r="B364" s="11" t="s">
        <v>1153</v>
      </c>
      <c r="C364" s="11" t="s">
        <v>662</v>
      </c>
      <c r="D364" s="11" t="s">
        <v>1154</v>
      </c>
      <c r="E364" s="11">
        <v>22</v>
      </c>
      <c r="F364" s="11"/>
      <c r="G364" s="11" t="s">
        <v>664</v>
      </c>
      <c r="H364" s="14">
        <v>45915</v>
      </c>
      <c r="I364" s="12">
        <f>-Mvt_Inter_entrepot[[#This Row],[QTE]]</f>
        <v>-22</v>
      </c>
      <c r="J364" s="11" t="s">
        <v>281</v>
      </c>
      <c r="K364" s="11" t="str">
        <f>_xlfn.TEXTBEFORE(Mvt_Inter_entrepot[[#This Row],[Num Suivis]],"-",,,1)</f>
        <v>OF246017</v>
      </c>
      <c r="L364" s="11" t="e">
        <f>_xlfn.XLOOKUP(Mvt_Inter_entrepot[[#This Row],[Num OF]],#REF!,#REF!,"Non Trouvé")</f>
        <v>#REF!</v>
      </c>
      <c r="M364" s="11" t="e">
        <f>_xlfn.XLOOKUP(Mvt_Inter_entrepot[[#This Row],[Num OF]],#REF!,#REF!,"Non Trouvé")</f>
        <v>#REF!</v>
      </c>
      <c r="N364" s="11" t="e">
        <f>_xlfn.XLOOKUP(Mvt_Inter_entrepot[[#This Row],[Num OF]],#REF!,#REF!,"Non Trouvé")</f>
        <v>#REF!</v>
      </c>
      <c r="O364" s="11" t="e">
        <f>_xlfn.XLOOKUP(Mvt_Inter_entrepot[[#This Row],[Num OF]],#REF!,#REF!,"Non Trouvé")</f>
        <v>#REF!</v>
      </c>
      <c r="P364" s="11" t="e">
        <f>_xlfn.XLOOKUP(Mvt_Inter_entrepot[[#This Row],[Num OF]],#REF!,#REF!,"Non Trouvé")</f>
        <v>#REF!</v>
      </c>
      <c r="Q364" s="11" t="str">
        <f>IF(
   COUNTIFS($A$2:A364,A364,
             $B$2:B364,B364,
             $C$2:C364,C364,
             $D$2:D364,D364,
             $E$2:E364,E364,
             $H$2:H364,H364
             )&gt;1,
   "Doublon",
   "Correcte"
)</f>
        <v>Correcte</v>
      </c>
    </row>
    <row r="365" spans="1:17" x14ac:dyDescent="0.25">
      <c r="A365" s="11" t="s">
        <v>3184</v>
      </c>
      <c r="B365" s="11" t="s">
        <v>1153</v>
      </c>
      <c r="C365" s="11" t="s">
        <v>662</v>
      </c>
      <c r="D365" s="11" t="s">
        <v>1154</v>
      </c>
      <c r="E365" s="11">
        <v>30</v>
      </c>
      <c r="F365" s="11"/>
      <c r="G365" s="11" t="s">
        <v>664</v>
      </c>
      <c r="H365" s="14">
        <v>45915</v>
      </c>
      <c r="I365" s="12">
        <f>-Mvt_Inter_entrepot[[#This Row],[QTE]]</f>
        <v>-30</v>
      </c>
      <c r="J365" s="11" t="s">
        <v>282</v>
      </c>
      <c r="K365" s="11" t="str">
        <f>_xlfn.TEXTBEFORE(Mvt_Inter_entrepot[[#This Row],[Num Suivis]],"-",,,1)</f>
        <v>OF246018</v>
      </c>
      <c r="L365" s="11" t="e">
        <f>_xlfn.XLOOKUP(Mvt_Inter_entrepot[[#This Row],[Num OF]],#REF!,#REF!,"Non Trouvé")</f>
        <v>#REF!</v>
      </c>
      <c r="M365" s="11" t="e">
        <f>_xlfn.XLOOKUP(Mvt_Inter_entrepot[[#This Row],[Num OF]],#REF!,#REF!,"Non Trouvé")</f>
        <v>#REF!</v>
      </c>
      <c r="N365" s="11" t="e">
        <f>_xlfn.XLOOKUP(Mvt_Inter_entrepot[[#This Row],[Num OF]],#REF!,#REF!,"Non Trouvé")</f>
        <v>#REF!</v>
      </c>
      <c r="O365" s="11" t="e">
        <f>_xlfn.XLOOKUP(Mvt_Inter_entrepot[[#This Row],[Num OF]],#REF!,#REF!,"Non Trouvé")</f>
        <v>#REF!</v>
      </c>
      <c r="P365" s="11" t="e">
        <f>_xlfn.XLOOKUP(Mvt_Inter_entrepot[[#This Row],[Num OF]],#REF!,#REF!,"Non Trouvé")</f>
        <v>#REF!</v>
      </c>
      <c r="Q365" s="11" t="str">
        <f>IF(
   COUNTIFS($A$2:A365,A365,
             $B$2:B365,B365,
             $C$2:C365,C365,
             $D$2:D365,D365,
             $E$2:E365,E365,
             $H$2:H365,H365
             )&gt;1,
   "Doublon",
   "Correcte"
)</f>
        <v>Correcte</v>
      </c>
    </row>
    <row r="366" spans="1:17" x14ac:dyDescent="0.25">
      <c r="A366" s="11" t="s">
        <v>3185</v>
      </c>
      <c r="B366" s="11" t="s">
        <v>1153</v>
      </c>
      <c r="C366" s="11" t="s">
        <v>662</v>
      </c>
      <c r="D366" s="11" t="s">
        <v>1154</v>
      </c>
      <c r="E366" s="11">
        <v>40</v>
      </c>
      <c r="F366" s="11"/>
      <c r="G366" s="11" t="s">
        <v>664</v>
      </c>
      <c r="H366" s="14">
        <v>45915</v>
      </c>
      <c r="I366" s="12">
        <f>-Mvt_Inter_entrepot[[#This Row],[QTE]]</f>
        <v>-40</v>
      </c>
      <c r="J366" s="11" t="s">
        <v>283</v>
      </c>
      <c r="K366" s="11" t="str">
        <f>_xlfn.TEXTBEFORE(Mvt_Inter_entrepot[[#This Row],[Num Suivis]],"-",,,1)</f>
        <v>OF246027</v>
      </c>
      <c r="L366" s="11" t="e">
        <f>_xlfn.XLOOKUP(Mvt_Inter_entrepot[[#This Row],[Num OF]],#REF!,#REF!,"Non Trouvé")</f>
        <v>#REF!</v>
      </c>
      <c r="M366" s="11" t="e">
        <f>_xlfn.XLOOKUP(Mvt_Inter_entrepot[[#This Row],[Num OF]],#REF!,#REF!,"Non Trouvé")</f>
        <v>#REF!</v>
      </c>
      <c r="N366" s="11" t="e">
        <f>_xlfn.XLOOKUP(Mvt_Inter_entrepot[[#This Row],[Num OF]],#REF!,#REF!,"Non Trouvé")</f>
        <v>#REF!</v>
      </c>
      <c r="O366" s="11" t="e">
        <f>_xlfn.XLOOKUP(Mvt_Inter_entrepot[[#This Row],[Num OF]],#REF!,#REF!,"Non Trouvé")</f>
        <v>#REF!</v>
      </c>
      <c r="P366" s="11" t="e">
        <f>_xlfn.XLOOKUP(Mvt_Inter_entrepot[[#This Row],[Num OF]],#REF!,#REF!,"Non Trouvé")</f>
        <v>#REF!</v>
      </c>
      <c r="Q366" s="11" t="str">
        <f>IF(
   COUNTIFS($A$2:A366,A366,
             $B$2:B366,B366,
             $C$2:C366,C366,
             $D$2:D366,D366,
             $E$2:E366,E366,
             $H$2:H366,H366
             )&gt;1,
   "Doublon",
   "Correcte"
)</f>
        <v>Correcte</v>
      </c>
    </row>
    <row r="367" spans="1:17" x14ac:dyDescent="0.25">
      <c r="A367" s="11" t="s">
        <v>3185</v>
      </c>
      <c r="B367" s="11" t="s">
        <v>1153</v>
      </c>
      <c r="C367" s="11" t="s">
        <v>662</v>
      </c>
      <c r="D367" s="11" t="s">
        <v>665</v>
      </c>
      <c r="E367" s="11">
        <v>12</v>
      </c>
      <c r="F367" s="11"/>
      <c r="G367" s="11" t="s">
        <v>664</v>
      </c>
      <c r="H367" s="14">
        <v>45915</v>
      </c>
      <c r="I367" s="12">
        <f>-Mvt_Inter_entrepot[[#This Row],[QTE]]</f>
        <v>-12</v>
      </c>
      <c r="J367" s="11" t="s">
        <v>283</v>
      </c>
      <c r="K367" s="11" t="str">
        <f>_xlfn.TEXTBEFORE(Mvt_Inter_entrepot[[#This Row],[Num Suivis]],"-",,,1)</f>
        <v>OF246027</v>
      </c>
      <c r="L367" s="11" t="e">
        <f>_xlfn.XLOOKUP(Mvt_Inter_entrepot[[#This Row],[Num OF]],#REF!,#REF!,"Non Trouvé")</f>
        <v>#REF!</v>
      </c>
      <c r="M367" s="11" t="e">
        <f>_xlfn.XLOOKUP(Mvt_Inter_entrepot[[#This Row],[Num OF]],#REF!,#REF!,"Non Trouvé")</f>
        <v>#REF!</v>
      </c>
      <c r="N367" s="11" t="e">
        <f>_xlfn.XLOOKUP(Mvt_Inter_entrepot[[#This Row],[Num OF]],#REF!,#REF!,"Non Trouvé")</f>
        <v>#REF!</v>
      </c>
      <c r="O367" s="11" t="e">
        <f>_xlfn.XLOOKUP(Mvt_Inter_entrepot[[#This Row],[Num OF]],#REF!,#REF!,"Non Trouvé")</f>
        <v>#REF!</v>
      </c>
      <c r="P367" s="11" t="e">
        <f>_xlfn.XLOOKUP(Mvt_Inter_entrepot[[#This Row],[Num OF]],#REF!,#REF!,"Non Trouvé")</f>
        <v>#REF!</v>
      </c>
      <c r="Q367" s="11" t="str">
        <f>IF(
   COUNTIFS($A$2:A367,A367,
             $B$2:B367,B367,
             $C$2:C367,C367,
             $D$2:D367,D367,
             $E$2:E367,E367,
             $H$2:H367,H367
             )&gt;1,
   "Doublon",
   "Correcte"
)</f>
        <v>Correcte</v>
      </c>
    </row>
    <row r="368" spans="1:17" x14ac:dyDescent="0.25">
      <c r="A368" s="11" t="s">
        <v>3186</v>
      </c>
      <c r="B368" s="11" t="s">
        <v>1153</v>
      </c>
      <c r="C368" s="11" t="s">
        <v>662</v>
      </c>
      <c r="D368" s="11" t="s">
        <v>1154</v>
      </c>
      <c r="E368" s="11">
        <v>16</v>
      </c>
      <c r="F368" s="11"/>
      <c r="G368" s="11" t="s">
        <v>664</v>
      </c>
      <c r="H368" s="14">
        <v>45915</v>
      </c>
      <c r="I368" s="12">
        <f>-Mvt_Inter_entrepot[[#This Row],[QTE]]</f>
        <v>-16</v>
      </c>
      <c r="J368" s="11" t="s">
        <v>284</v>
      </c>
      <c r="K368" s="11" t="str">
        <f>_xlfn.TEXTBEFORE(Mvt_Inter_entrepot[[#This Row],[Num Suivis]],"-",,,1)</f>
        <v>OF246028</v>
      </c>
      <c r="L368" s="11" t="e">
        <f>_xlfn.XLOOKUP(Mvt_Inter_entrepot[[#This Row],[Num OF]],#REF!,#REF!,"Non Trouvé")</f>
        <v>#REF!</v>
      </c>
      <c r="M368" s="11" t="e">
        <f>_xlfn.XLOOKUP(Mvt_Inter_entrepot[[#This Row],[Num OF]],#REF!,#REF!,"Non Trouvé")</f>
        <v>#REF!</v>
      </c>
      <c r="N368" s="11" t="e">
        <f>_xlfn.XLOOKUP(Mvt_Inter_entrepot[[#This Row],[Num OF]],#REF!,#REF!,"Non Trouvé")</f>
        <v>#REF!</v>
      </c>
      <c r="O368" s="11" t="e">
        <f>_xlfn.XLOOKUP(Mvt_Inter_entrepot[[#This Row],[Num OF]],#REF!,#REF!,"Non Trouvé")</f>
        <v>#REF!</v>
      </c>
      <c r="P368" s="11" t="e">
        <f>_xlfn.XLOOKUP(Mvt_Inter_entrepot[[#This Row],[Num OF]],#REF!,#REF!,"Non Trouvé")</f>
        <v>#REF!</v>
      </c>
      <c r="Q368" s="11" t="str">
        <f>IF(
   COUNTIFS($A$2:A368,A368,
             $B$2:B368,B368,
             $C$2:C368,C368,
             $D$2:D368,D368,
             $E$2:E368,E368,
             $H$2:H368,H368
             )&gt;1,
   "Doublon",
   "Correcte"
)</f>
        <v>Correcte</v>
      </c>
    </row>
    <row r="369" spans="1:17" x14ac:dyDescent="0.25">
      <c r="A369" s="11" t="s">
        <v>3187</v>
      </c>
      <c r="B369" s="11" t="s">
        <v>1153</v>
      </c>
      <c r="C369" s="11" t="s">
        <v>662</v>
      </c>
      <c r="D369" s="11" t="s">
        <v>1154</v>
      </c>
      <c r="E369" s="11">
        <v>12</v>
      </c>
      <c r="F369" s="11"/>
      <c r="G369" s="11" t="s">
        <v>664</v>
      </c>
      <c r="H369" s="14">
        <v>45915</v>
      </c>
      <c r="I369" s="12">
        <f>-Mvt_Inter_entrepot[[#This Row],[QTE]]</f>
        <v>-12</v>
      </c>
      <c r="J369" s="11" t="s">
        <v>285</v>
      </c>
      <c r="K369" s="11" t="str">
        <f>_xlfn.TEXTBEFORE(Mvt_Inter_entrepot[[#This Row],[Num Suivis]],"-",,,1)</f>
        <v>OF246030</v>
      </c>
      <c r="L369" s="11" t="e">
        <f>_xlfn.XLOOKUP(Mvt_Inter_entrepot[[#This Row],[Num OF]],#REF!,#REF!,"Non Trouvé")</f>
        <v>#REF!</v>
      </c>
      <c r="M369" s="11" t="e">
        <f>_xlfn.XLOOKUP(Mvt_Inter_entrepot[[#This Row],[Num OF]],#REF!,#REF!,"Non Trouvé")</f>
        <v>#REF!</v>
      </c>
      <c r="N369" s="11" t="e">
        <f>_xlfn.XLOOKUP(Mvt_Inter_entrepot[[#This Row],[Num OF]],#REF!,#REF!,"Non Trouvé")</f>
        <v>#REF!</v>
      </c>
      <c r="O369" s="11" t="e">
        <f>_xlfn.XLOOKUP(Mvt_Inter_entrepot[[#This Row],[Num OF]],#REF!,#REF!,"Non Trouvé")</f>
        <v>#REF!</v>
      </c>
      <c r="P369" s="11" t="e">
        <f>_xlfn.XLOOKUP(Mvt_Inter_entrepot[[#This Row],[Num OF]],#REF!,#REF!,"Non Trouvé")</f>
        <v>#REF!</v>
      </c>
      <c r="Q369" s="11" t="str">
        <f>IF(
   COUNTIFS($A$2:A369,A369,
             $B$2:B369,B369,
             $C$2:C369,C369,
             $D$2:D369,D369,
             $E$2:E369,E369,
             $H$2:H369,H369
             )&gt;1,
   "Doublon",
   "Correcte"
)</f>
        <v>Correcte</v>
      </c>
    </row>
    <row r="370" spans="1:17" x14ac:dyDescent="0.25">
      <c r="A370" s="11" t="s">
        <v>3188</v>
      </c>
      <c r="B370" s="11" t="s">
        <v>1153</v>
      </c>
      <c r="C370" s="11" t="s">
        <v>662</v>
      </c>
      <c r="D370" s="11" t="s">
        <v>665</v>
      </c>
      <c r="E370" s="11">
        <v>32</v>
      </c>
      <c r="F370" s="11"/>
      <c r="G370" s="11" t="s">
        <v>664</v>
      </c>
      <c r="H370" s="14">
        <v>45915</v>
      </c>
      <c r="I370" s="12">
        <f>-Mvt_Inter_entrepot[[#This Row],[QTE]]</f>
        <v>-32</v>
      </c>
      <c r="J370" s="11" t="s">
        <v>286</v>
      </c>
      <c r="K370" s="11" t="str">
        <f>_xlfn.TEXTBEFORE(Mvt_Inter_entrepot[[#This Row],[Num Suivis]],"-",,,1)</f>
        <v>OF246031</v>
      </c>
      <c r="L370" s="11" t="e">
        <f>_xlfn.XLOOKUP(Mvt_Inter_entrepot[[#This Row],[Num OF]],#REF!,#REF!,"Non Trouvé")</f>
        <v>#REF!</v>
      </c>
      <c r="M370" s="11" t="e">
        <f>_xlfn.XLOOKUP(Mvt_Inter_entrepot[[#This Row],[Num OF]],#REF!,#REF!,"Non Trouvé")</f>
        <v>#REF!</v>
      </c>
      <c r="N370" s="11" t="e">
        <f>_xlfn.XLOOKUP(Mvt_Inter_entrepot[[#This Row],[Num OF]],#REF!,#REF!,"Non Trouvé")</f>
        <v>#REF!</v>
      </c>
      <c r="O370" s="11" t="e">
        <f>_xlfn.XLOOKUP(Mvt_Inter_entrepot[[#This Row],[Num OF]],#REF!,#REF!,"Non Trouvé")</f>
        <v>#REF!</v>
      </c>
      <c r="P370" s="11" t="e">
        <f>_xlfn.XLOOKUP(Mvt_Inter_entrepot[[#This Row],[Num OF]],#REF!,#REF!,"Non Trouvé")</f>
        <v>#REF!</v>
      </c>
      <c r="Q370" s="11" t="str">
        <f>IF(
   COUNTIFS($A$2:A370,A370,
             $B$2:B370,B370,
             $C$2:C370,C370,
             $D$2:D370,D370,
             $E$2:E370,E370,
             $H$2:H370,H370
             )&gt;1,
   "Doublon",
   "Correcte"
)</f>
        <v>Correcte</v>
      </c>
    </row>
    <row r="371" spans="1:17" x14ac:dyDescent="0.25">
      <c r="A371" s="11" t="s">
        <v>3189</v>
      </c>
      <c r="B371" s="11" t="s">
        <v>1153</v>
      </c>
      <c r="C371" s="11" t="s">
        <v>662</v>
      </c>
      <c r="D371" s="11" t="s">
        <v>665</v>
      </c>
      <c r="E371" s="11">
        <v>30</v>
      </c>
      <c r="F371" s="11"/>
      <c r="G371" s="11" t="s">
        <v>664</v>
      </c>
      <c r="H371" s="14">
        <v>45915</v>
      </c>
      <c r="I371" s="12">
        <f>-Mvt_Inter_entrepot[[#This Row],[QTE]]</f>
        <v>-30</v>
      </c>
      <c r="J371" s="11" t="s">
        <v>287</v>
      </c>
      <c r="K371" s="11" t="str">
        <f>_xlfn.TEXTBEFORE(Mvt_Inter_entrepot[[#This Row],[Num Suivis]],"-",,,1)</f>
        <v>OF246032</v>
      </c>
      <c r="L371" s="11" t="e">
        <f>_xlfn.XLOOKUP(Mvt_Inter_entrepot[[#This Row],[Num OF]],#REF!,#REF!,"Non Trouvé")</f>
        <v>#REF!</v>
      </c>
      <c r="M371" s="11" t="e">
        <f>_xlfn.XLOOKUP(Mvt_Inter_entrepot[[#This Row],[Num OF]],#REF!,#REF!,"Non Trouvé")</f>
        <v>#REF!</v>
      </c>
      <c r="N371" s="11" t="e">
        <f>_xlfn.XLOOKUP(Mvt_Inter_entrepot[[#This Row],[Num OF]],#REF!,#REF!,"Non Trouvé")</f>
        <v>#REF!</v>
      </c>
      <c r="O371" s="11" t="e">
        <f>_xlfn.XLOOKUP(Mvt_Inter_entrepot[[#This Row],[Num OF]],#REF!,#REF!,"Non Trouvé")</f>
        <v>#REF!</v>
      </c>
      <c r="P371" s="11" t="e">
        <f>_xlfn.XLOOKUP(Mvt_Inter_entrepot[[#This Row],[Num OF]],#REF!,#REF!,"Non Trouvé")</f>
        <v>#REF!</v>
      </c>
      <c r="Q371" s="11" t="str">
        <f>IF(
   COUNTIFS($A$2:A371,A371,
             $B$2:B371,B371,
             $C$2:C371,C371,
             $D$2:D371,D371,
             $E$2:E371,E371,
             $H$2:H371,H371
             )&gt;1,
   "Doublon",
   "Correcte"
)</f>
        <v>Correcte</v>
      </c>
    </row>
    <row r="372" spans="1:17" x14ac:dyDescent="0.25">
      <c r="A372" s="11" t="s">
        <v>3190</v>
      </c>
      <c r="B372" s="11" t="s">
        <v>1153</v>
      </c>
      <c r="C372" s="11" t="s">
        <v>662</v>
      </c>
      <c r="D372" s="11" t="s">
        <v>665</v>
      </c>
      <c r="E372" s="11">
        <v>40</v>
      </c>
      <c r="F372" s="11"/>
      <c r="G372" s="11" t="s">
        <v>664</v>
      </c>
      <c r="H372" s="14">
        <v>45915</v>
      </c>
      <c r="I372" s="12">
        <f>-Mvt_Inter_entrepot[[#This Row],[QTE]]</f>
        <v>-40</v>
      </c>
      <c r="J372" s="11" t="s">
        <v>288</v>
      </c>
      <c r="K372" s="11" t="str">
        <f>_xlfn.TEXTBEFORE(Mvt_Inter_entrepot[[#This Row],[Num Suivis]],"-",,,1)</f>
        <v>OF246033</v>
      </c>
      <c r="L372" s="11" t="e">
        <f>_xlfn.XLOOKUP(Mvt_Inter_entrepot[[#This Row],[Num OF]],#REF!,#REF!,"Non Trouvé")</f>
        <v>#REF!</v>
      </c>
      <c r="M372" s="11" t="e">
        <f>_xlfn.XLOOKUP(Mvt_Inter_entrepot[[#This Row],[Num OF]],#REF!,#REF!,"Non Trouvé")</f>
        <v>#REF!</v>
      </c>
      <c r="N372" s="11" t="e">
        <f>_xlfn.XLOOKUP(Mvt_Inter_entrepot[[#This Row],[Num OF]],#REF!,#REF!,"Non Trouvé")</f>
        <v>#REF!</v>
      </c>
      <c r="O372" s="11" t="e">
        <f>_xlfn.XLOOKUP(Mvt_Inter_entrepot[[#This Row],[Num OF]],#REF!,#REF!,"Non Trouvé")</f>
        <v>#REF!</v>
      </c>
      <c r="P372" s="11" t="e">
        <f>_xlfn.XLOOKUP(Mvt_Inter_entrepot[[#This Row],[Num OF]],#REF!,#REF!,"Non Trouvé")</f>
        <v>#REF!</v>
      </c>
      <c r="Q372" s="11" t="str">
        <f>IF(
   COUNTIFS($A$2:A372,A372,
             $B$2:B372,B372,
             $C$2:C372,C372,
             $D$2:D372,D372,
             $E$2:E372,E372,
             $H$2:H372,H372
             )&gt;1,
   "Doublon",
   "Correcte"
)</f>
        <v>Correcte</v>
      </c>
    </row>
    <row r="373" spans="1:17" x14ac:dyDescent="0.25">
      <c r="A373" s="11" t="s">
        <v>3191</v>
      </c>
      <c r="B373" s="11" t="s">
        <v>1153</v>
      </c>
      <c r="C373" s="11" t="s">
        <v>662</v>
      </c>
      <c r="D373" s="11" t="s">
        <v>665</v>
      </c>
      <c r="E373" s="11">
        <v>17</v>
      </c>
      <c r="F373" s="11"/>
      <c r="G373" s="11" t="s">
        <v>664</v>
      </c>
      <c r="H373" s="14">
        <v>45915</v>
      </c>
      <c r="I373" s="12">
        <f>-Mvt_Inter_entrepot[[#This Row],[QTE]]</f>
        <v>-17</v>
      </c>
      <c r="J373" s="11" t="s">
        <v>289</v>
      </c>
      <c r="K373" s="11" t="str">
        <f>_xlfn.TEXTBEFORE(Mvt_Inter_entrepot[[#This Row],[Num Suivis]],"-",,,1)</f>
        <v>OF246041</v>
      </c>
      <c r="L373" s="11" t="e">
        <f>_xlfn.XLOOKUP(Mvt_Inter_entrepot[[#This Row],[Num OF]],#REF!,#REF!,"Non Trouvé")</f>
        <v>#REF!</v>
      </c>
      <c r="M373" s="11" t="e">
        <f>_xlfn.XLOOKUP(Mvt_Inter_entrepot[[#This Row],[Num OF]],#REF!,#REF!,"Non Trouvé")</f>
        <v>#REF!</v>
      </c>
      <c r="N373" s="11" t="e">
        <f>_xlfn.XLOOKUP(Mvt_Inter_entrepot[[#This Row],[Num OF]],#REF!,#REF!,"Non Trouvé")</f>
        <v>#REF!</v>
      </c>
      <c r="O373" s="11" t="e">
        <f>_xlfn.XLOOKUP(Mvt_Inter_entrepot[[#This Row],[Num OF]],#REF!,#REF!,"Non Trouvé")</f>
        <v>#REF!</v>
      </c>
      <c r="P373" s="11" t="e">
        <f>_xlfn.XLOOKUP(Mvt_Inter_entrepot[[#This Row],[Num OF]],#REF!,#REF!,"Non Trouvé")</f>
        <v>#REF!</v>
      </c>
      <c r="Q373" s="11" t="str">
        <f>IF(
   COUNTIFS($A$2:A373,A373,
             $B$2:B373,B373,
             $C$2:C373,C373,
             $D$2:D373,D373,
             $E$2:E373,E373,
             $H$2:H373,H373
             )&gt;1,
   "Doublon",
   "Correcte"
)</f>
        <v>Correcte</v>
      </c>
    </row>
    <row r="374" spans="1:17" x14ac:dyDescent="0.25">
      <c r="A374" s="11" t="s">
        <v>3192</v>
      </c>
      <c r="B374" s="11" t="s">
        <v>1153</v>
      </c>
      <c r="C374" s="11" t="s">
        <v>662</v>
      </c>
      <c r="D374" s="11" t="s">
        <v>665</v>
      </c>
      <c r="E374" s="11">
        <v>27</v>
      </c>
      <c r="F374" s="11"/>
      <c r="G374" s="11" t="s">
        <v>664</v>
      </c>
      <c r="H374" s="14">
        <v>45915</v>
      </c>
      <c r="I374" s="12">
        <f>-Mvt_Inter_entrepot[[#This Row],[QTE]]</f>
        <v>-27</v>
      </c>
      <c r="J374" s="11" t="s">
        <v>290</v>
      </c>
      <c r="K374" s="11" t="str">
        <f>_xlfn.TEXTBEFORE(Mvt_Inter_entrepot[[#This Row],[Num Suivis]],"-",,,1)</f>
        <v>OF246042</v>
      </c>
      <c r="L374" s="11" t="e">
        <f>_xlfn.XLOOKUP(Mvt_Inter_entrepot[[#This Row],[Num OF]],#REF!,#REF!,"Non Trouvé")</f>
        <v>#REF!</v>
      </c>
      <c r="M374" s="11" t="e">
        <f>_xlfn.XLOOKUP(Mvt_Inter_entrepot[[#This Row],[Num OF]],#REF!,#REF!,"Non Trouvé")</f>
        <v>#REF!</v>
      </c>
      <c r="N374" s="11" t="e">
        <f>_xlfn.XLOOKUP(Mvt_Inter_entrepot[[#This Row],[Num OF]],#REF!,#REF!,"Non Trouvé")</f>
        <v>#REF!</v>
      </c>
      <c r="O374" s="11" t="e">
        <f>_xlfn.XLOOKUP(Mvt_Inter_entrepot[[#This Row],[Num OF]],#REF!,#REF!,"Non Trouvé")</f>
        <v>#REF!</v>
      </c>
      <c r="P374" s="11" t="e">
        <f>_xlfn.XLOOKUP(Mvt_Inter_entrepot[[#This Row],[Num OF]],#REF!,#REF!,"Non Trouvé")</f>
        <v>#REF!</v>
      </c>
      <c r="Q374" s="11" t="str">
        <f>IF(
   COUNTIFS($A$2:A374,A374,
             $B$2:B374,B374,
             $C$2:C374,C374,
             $D$2:D374,D374,
             $E$2:E374,E374,
             $H$2:H374,H374
             )&gt;1,
   "Doublon",
   "Correcte"
)</f>
        <v>Correcte</v>
      </c>
    </row>
    <row r="375" spans="1:17" x14ac:dyDescent="0.25">
      <c r="A375" s="11" t="s">
        <v>3193</v>
      </c>
      <c r="B375" s="11" t="s">
        <v>1153</v>
      </c>
      <c r="C375" s="11" t="s">
        <v>662</v>
      </c>
      <c r="D375" s="11" t="s">
        <v>665</v>
      </c>
      <c r="E375" s="11">
        <v>29</v>
      </c>
      <c r="F375" s="11"/>
      <c r="G375" s="11" t="s">
        <v>664</v>
      </c>
      <c r="H375" s="14">
        <v>45915</v>
      </c>
      <c r="I375" s="12">
        <f>-Mvt_Inter_entrepot[[#This Row],[QTE]]</f>
        <v>-29</v>
      </c>
      <c r="J375" s="11" t="s">
        <v>291</v>
      </c>
      <c r="K375" s="11" t="str">
        <f>_xlfn.TEXTBEFORE(Mvt_Inter_entrepot[[#This Row],[Num Suivis]],"-",,,1)</f>
        <v>OF246043</v>
      </c>
      <c r="L375" s="11" t="e">
        <f>_xlfn.XLOOKUP(Mvt_Inter_entrepot[[#This Row],[Num OF]],#REF!,#REF!,"Non Trouvé")</f>
        <v>#REF!</v>
      </c>
      <c r="M375" s="11" t="e">
        <f>_xlfn.XLOOKUP(Mvt_Inter_entrepot[[#This Row],[Num OF]],#REF!,#REF!,"Non Trouvé")</f>
        <v>#REF!</v>
      </c>
      <c r="N375" s="11" t="e">
        <f>_xlfn.XLOOKUP(Mvt_Inter_entrepot[[#This Row],[Num OF]],#REF!,#REF!,"Non Trouvé")</f>
        <v>#REF!</v>
      </c>
      <c r="O375" s="11" t="e">
        <f>_xlfn.XLOOKUP(Mvt_Inter_entrepot[[#This Row],[Num OF]],#REF!,#REF!,"Non Trouvé")</f>
        <v>#REF!</v>
      </c>
      <c r="P375" s="11" t="e">
        <f>_xlfn.XLOOKUP(Mvt_Inter_entrepot[[#This Row],[Num OF]],#REF!,#REF!,"Non Trouvé")</f>
        <v>#REF!</v>
      </c>
      <c r="Q375" s="11" t="str">
        <f>IF(
   COUNTIFS($A$2:A375,A375,
             $B$2:B375,B375,
             $C$2:C375,C375,
             $D$2:D375,D375,
             $E$2:E375,E375,
             $H$2:H375,H375
             )&gt;1,
   "Doublon",
   "Correcte"
)</f>
        <v>Correcte</v>
      </c>
    </row>
    <row r="376" spans="1:17" x14ac:dyDescent="0.25">
      <c r="A376" s="11" t="s">
        <v>3194</v>
      </c>
      <c r="B376" s="11" t="s">
        <v>1153</v>
      </c>
      <c r="C376" s="11" t="s">
        <v>662</v>
      </c>
      <c r="D376" s="11" t="s">
        <v>1154</v>
      </c>
      <c r="E376" s="11">
        <v>3</v>
      </c>
      <c r="F376" s="11"/>
      <c r="G376" s="11" t="s">
        <v>664</v>
      </c>
      <c r="H376" s="14">
        <v>45915</v>
      </c>
      <c r="I376" s="12">
        <f>-Mvt_Inter_entrepot[[#This Row],[QTE]]</f>
        <v>-3</v>
      </c>
      <c r="J376" s="11" t="s">
        <v>496</v>
      </c>
      <c r="K376" s="11" t="str">
        <f>_xlfn.TEXTBEFORE(Mvt_Inter_entrepot[[#This Row],[Num Suivis]],"-",,,1)</f>
        <v>OF246044</v>
      </c>
      <c r="L376" s="11" t="e">
        <f>_xlfn.XLOOKUP(Mvt_Inter_entrepot[[#This Row],[Num OF]],#REF!,#REF!,"Non Trouvé")</f>
        <v>#REF!</v>
      </c>
      <c r="M376" s="11" t="e">
        <f>_xlfn.XLOOKUP(Mvt_Inter_entrepot[[#This Row],[Num OF]],#REF!,#REF!,"Non Trouvé")</f>
        <v>#REF!</v>
      </c>
      <c r="N376" s="11" t="e">
        <f>_xlfn.XLOOKUP(Mvt_Inter_entrepot[[#This Row],[Num OF]],#REF!,#REF!,"Non Trouvé")</f>
        <v>#REF!</v>
      </c>
      <c r="O376" s="11" t="e">
        <f>_xlfn.XLOOKUP(Mvt_Inter_entrepot[[#This Row],[Num OF]],#REF!,#REF!,"Non Trouvé")</f>
        <v>#REF!</v>
      </c>
      <c r="P376" s="11" t="e">
        <f>_xlfn.XLOOKUP(Mvt_Inter_entrepot[[#This Row],[Num OF]],#REF!,#REF!,"Non Trouvé")</f>
        <v>#REF!</v>
      </c>
      <c r="Q376" s="11" t="str">
        <f>IF(
   COUNTIFS($A$2:A376,A376,
             $B$2:B376,B376,
             $C$2:C376,C376,
             $D$2:D376,D376,
             $E$2:E376,E376,
             $H$2:H376,H376
             )&gt;1,
   "Doublon",
   "Correcte"
)</f>
        <v>Correcte</v>
      </c>
    </row>
    <row r="377" spans="1:17" x14ac:dyDescent="0.25">
      <c r="A377" s="11" t="s">
        <v>3195</v>
      </c>
      <c r="B377" s="11" t="s">
        <v>1153</v>
      </c>
      <c r="C377" s="11" t="s">
        <v>662</v>
      </c>
      <c r="D377" s="11" t="s">
        <v>1154</v>
      </c>
      <c r="E377" s="11">
        <v>0</v>
      </c>
      <c r="F377" s="11"/>
      <c r="G377" s="11" t="s">
        <v>664</v>
      </c>
      <c r="H377" s="14">
        <v>45915</v>
      </c>
      <c r="I377" s="12">
        <f>-Mvt_Inter_entrepot[[#This Row],[QTE]]</f>
        <v>0</v>
      </c>
      <c r="J377" s="11" t="s">
        <v>497</v>
      </c>
      <c r="K377" s="11" t="str">
        <f>_xlfn.TEXTBEFORE(Mvt_Inter_entrepot[[#This Row],[Num Suivis]],"-",,,1)</f>
        <v>OF246046</v>
      </c>
      <c r="L377" s="11" t="e">
        <f>_xlfn.XLOOKUP(Mvt_Inter_entrepot[[#This Row],[Num OF]],#REF!,#REF!,"Non Trouvé")</f>
        <v>#REF!</v>
      </c>
      <c r="M377" s="11" t="e">
        <f>_xlfn.XLOOKUP(Mvt_Inter_entrepot[[#This Row],[Num OF]],#REF!,#REF!,"Non Trouvé")</f>
        <v>#REF!</v>
      </c>
      <c r="N377" s="11" t="e">
        <f>_xlfn.XLOOKUP(Mvt_Inter_entrepot[[#This Row],[Num OF]],#REF!,#REF!,"Non Trouvé")</f>
        <v>#REF!</v>
      </c>
      <c r="O377" s="11" t="e">
        <f>_xlfn.XLOOKUP(Mvt_Inter_entrepot[[#This Row],[Num OF]],#REF!,#REF!,"Non Trouvé")</f>
        <v>#REF!</v>
      </c>
      <c r="P377" s="11" t="e">
        <f>_xlfn.XLOOKUP(Mvt_Inter_entrepot[[#This Row],[Num OF]],#REF!,#REF!,"Non Trouvé")</f>
        <v>#REF!</v>
      </c>
      <c r="Q377" s="11" t="str">
        <f>IF(
   COUNTIFS($A$2:A377,A377,
             $B$2:B377,B377,
             $C$2:C377,C377,
             $D$2:D377,D377,
             $E$2:E377,E377,
             $H$2:H377,H377
             )&gt;1,
   "Doublon",
   "Correcte"
)</f>
        <v>Correcte</v>
      </c>
    </row>
    <row r="378" spans="1:17" x14ac:dyDescent="0.25">
      <c r="A378" s="11" t="s">
        <v>3196</v>
      </c>
      <c r="B378" s="11" t="s">
        <v>1153</v>
      </c>
      <c r="C378" s="11" t="s">
        <v>662</v>
      </c>
      <c r="D378" s="11" t="s">
        <v>1154</v>
      </c>
      <c r="E378" s="11">
        <v>4</v>
      </c>
      <c r="F378" s="11"/>
      <c r="G378" s="11" t="s">
        <v>664</v>
      </c>
      <c r="H378" s="14">
        <v>45915</v>
      </c>
      <c r="I378" s="12">
        <f>-Mvt_Inter_entrepot[[#This Row],[QTE]]</f>
        <v>-4</v>
      </c>
      <c r="J378" s="11" t="s">
        <v>500</v>
      </c>
      <c r="K378" s="11" t="str">
        <f>_xlfn.TEXTBEFORE(Mvt_Inter_entrepot[[#This Row],[Num Suivis]],"-",,,1)</f>
        <v>OF246306</v>
      </c>
      <c r="L378" s="11" t="e">
        <f>_xlfn.XLOOKUP(Mvt_Inter_entrepot[[#This Row],[Num OF]],#REF!,#REF!,"Non Trouvé")</f>
        <v>#REF!</v>
      </c>
      <c r="M378" s="11" t="e">
        <f>_xlfn.XLOOKUP(Mvt_Inter_entrepot[[#This Row],[Num OF]],#REF!,#REF!,"Non Trouvé")</f>
        <v>#REF!</v>
      </c>
      <c r="N378" s="11" t="e">
        <f>_xlfn.XLOOKUP(Mvt_Inter_entrepot[[#This Row],[Num OF]],#REF!,#REF!,"Non Trouvé")</f>
        <v>#REF!</v>
      </c>
      <c r="O378" s="11" t="e">
        <f>_xlfn.XLOOKUP(Mvt_Inter_entrepot[[#This Row],[Num OF]],#REF!,#REF!,"Non Trouvé")</f>
        <v>#REF!</v>
      </c>
      <c r="P378" s="11" t="e">
        <f>_xlfn.XLOOKUP(Mvt_Inter_entrepot[[#This Row],[Num OF]],#REF!,#REF!,"Non Trouvé")</f>
        <v>#REF!</v>
      </c>
      <c r="Q378" s="11" t="str">
        <f>IF(
   COUNTIFS($A$2:A378,A378,
             $B$2:B378,B378,
             $C$2:C378,C378,
             $D$2:D378,D378,
             $E$2:E378,E378,
             $H$2:H378,H378
             )&gt;1,
   "Doublon",
   "Correcte"
)</f>
        <v>Correcte</v>
      </c>
    </row>
    <row r="379" spans="1:17" x14ac:dyDescent="0.25">
      <c r="A379" s="11" t="s">
        <v>3197</v>
      </c>
      <c r="B379" s="11" t="s">
        <v>1153</v>
      </c>
      <c r="C379" s="11" t="s">
        <v>662</v>
      </c>
      <c r="D379" s="11" t="s">
        <v>1154</v>
      </c>
      <c r="E379" s="11">
        <v>0</v>
      </c>
      <c r="F379" s="11"/>
      <c r="G379" s="11" t="s">
        <v>664</v>
      </c>
      <c r="H379" s="14">
        <v>45915</v>
      </c>
      <c r="I379" s="12">
        <f>-Mvt_Inter_entrepot[[#This Row],[QTE]]</f>
        <v>0</v>
      </c>
      <c r="J379" s="11" t="s">
        <v>501</v>
      </c>
      <c r="K379" s="11" t="str">
        <f>_xlfn.TEXTBEFORE(Mvt_Inter_entrepot[[#This Row],[Num Suivis]],"-",,,1)</f>
        <v>OF246338</v>
      </c>
      <c r="L379" s="11" t="e">
        <f>_xlfn.XLOOKUP(Mvt_Inter_entrepot[[#This Row],[Num OF]],#REF!,#REF!,"Non Trouvé")</f>
        <v>#REF!</v>
      </c>
      <c r="M379" s="11" t="e">
        <f>_xlfn.XLOOKUP(Mvt_Inter_entrepot[[#This Row],[Num OF]],#REF!,#REF!,"Non Trouvé")</f>
        <v>#REF!</v>
      </c>
      <c r="N379" s="11" t="e">
        <f>_xlfn.XLOOKUP(Mvt_Inter_entrepot[[#This Row],[Num OF]],#REF!,#REF!,"Non Trouvé")</f>
        <v>#REF!</v>
      </c>
      <c r="O379" s="11" t="e">
        <f>_xlfn.XLOOKUP(Mvt_Inter_entrepot[[#This Row],[Num OF]],#REF!,#REF!,"Non Trouvé")</f>
        <v>#REF!</v>
      </c>
      <c r="P379" s="11" t="e">
        <f>_xlfn.XLOOKUP(Mvt_Inter_entrepot[[#This Row],[Num OF]],#REF!,#REF!,"Non Trouvé")</f>
        <v>#REF!</v>
      </c>
      <c r="Q379" s="11" t="str">
        <f>IF(
   COUNTIFS($A$2:A379,A379,
             $B$2:B379,B379,
             $C$2:C379,C379,
             $D$2:D379,D379,
             $E$2:E379,E379,
             $H$2:H379,H379
             )&gt;1,
   "Doublon",
   "Correcte"
)</f>
        <v>Correcte</v>
      </c>
    </row>
    <row r="380" spans="1:17" x14ac:dyDescent="0.25">
      <c r="A380" s="11" t="s">
        <v>3198</v>
      </c>
      <c r="B380" s="11" t="s">
        <v>1153</v>
      </c>
      <c r="C380" s="11" t="s">
        <v>662</v>
      </c>
      <c r="D380" s="11" t="s">
        <v>1154</v>
      </c>
      <c r="E380" s="11">
        <v>1</v>
      </c>
      <c r="F380" s="11"/>
      <c r="G380" s="11" t="s">
        <v>664</v>
      </c>
      <c r="H380" s="14">
        <v>45915</v>
      </c>
      <c r="I380" s="12">
        <f>-Mvt_Inter_entrepot[[#This Row],[QTE]]</f>
        <v>-1</v>
      </c>
      <c r="J380" s="11" t="s">
        <v>502</v>
      </c>
      <c r="K380" s="11" t="str">
        <f>_xlfn.TEXTBEFORE(Mvt_Inter_entrepot[[#This Row],[Num Suivis]],"-",,,1)</f>
        <v>OF246339</v>
      </c>
      <c r="L380" s="11" t="e">
        <f>_xlfn.XLOOKUP(Mvt_Inter_entrepot[[#This Row],[Num OF]],#REF!,#REF!,"Non Trouvé")</f>
        <v>#REF!</v>
      </c>
      <c r="M380" s="11" t="e">
        <f>_xlfn.XLOOKUP(Mvt_Inter_entrepot[[#This Row],[Num OF]],#REF!,#REF!,"Non Trouvé")</f>
        <v>#REF!</v>
      </c>
      <c r="N380" s="11" t="e">
        <f>_xlfn.XLOOKUP(Mvt_Inter_entrepot[[#This Row],[Num OF]],#REF!,#REF!,"Non Trouvé")</f>
        <v>#REF!</v>
      </c>
      <c r="O380" s="11" t="e">
        <f>_xlfn.XLOOKUP(Mvt_Inter_entrepot[[#This Row],[Num OF]],#REF!,#REF!,"Non Trouvé")</f>
        <v>#REF!</v>
      </c>
      <c r="P380" s="11" t="e">
        <f>_xlfn.XLOOKUP(Mvt_Inter_entrepot[[#This Row],[Num OF]],#REF!,#REF!,"Non Trouvé")</f>
        <v>#REF!</v>
      </c>
      <c r="Q380" s="11" t="str">
        <f>IF(
   COUNTIFS($A$2:A380,A380,
             $B$2:B380,B380,
             $C$2:C380,C380,
             $D$2:D380,D380,
             $E$2:E380,E380,
             $H$2:H380,H380
             )&gt;1,
   "Doublon",
   "Correcte"
)</f>
        <v>Correcte</v>
      </c>
    </row>
    <row r="381" spans="1:17" x14ac:dyDescent="0.25">
      <c r="A381" s="11" t="s">
        <v>3199</v>
      </c>
      <c r="B381" s="11" t="s">
        <v>1153</v>
      </c>
      <c r="C381" s="11" t="s">
        <v>662</v>
      </c>
      <c r="D381" s="11" t="s">
        <v>665</v>
      </c>
      <c r="E381" s="11">
        <v>10</v>
      </c>
      <c r="F381" s="11"/>
      <c r="G381" s="11" t="s">
        <v>664</v>
      </c>
      <c r="H381" s="14">
        <v>45915</v>
      </c>
      <c r="I381" s="12">
        <f>-Mvt_Inter_entrepot[[#This Row],[QTE]]</f>
        <v>-10</v>
      </c>
      <c r="J381" s="11" t="s">
        <v>503</v>
      </c>
      <c r="K381" s="11" t="str">
        <f>_xlfn.TEXTBEFORE(Mvt_Inter_entrepot[[#This Row],[Num Suivis]],"-",,,1)</f>
        <v>OF246340</v>
      </c>
      <c r="L381" s="11" t="e">
        <f>_xlfn.XLOOKUP(Mvt_Inter_entrepot[[#This Row],[Num OF]],#REF!,#REF!,"Non Trouvé")</f>
        <v>#REF!</v>
      </c>
      <c r="M381" s="11" t="e">
        <f>_xlfn.XLOOKUP(Mvt_Inter_entrepot[[#This Row],[Num OF]],#REF!,#REF!,"Non Trouvé")</f>
        <v>#REF!</v>
      </c>
      <c r="N381" s="11" t="e">
        <f>_xlfn.XLOOKUP(Mvt_Inter_entrepot[[#This Row],[Num OF]],#REF!,#REF!,"Non Trouvé")</f>
        <v>#REF!</v>
      </c>
      <c r="O381" s="11" t="e">
        <f>_xlfn.XLOOKUP(Mvt_Inter_entrepot[[#This Row],[Num OF]],#REF!,#REF!,"Non Trouvé")</f>
        <v>#REF!</v>
      </c>
      <c r="P381" s="11" t="e">
        <f>_xlfn.XLOOKUP(Mvt_Inter_entrepot[[#This Row],[Num OF]],#REF!,#REF!,"Non Trouvé")</f>
        <v>#REF!</v>
      </c>
      <c r="Q381" s="11" t="str">
        <f>IF(
   COUNTIFS($A$2:A381,A381,
             $B$2:B381,B381,
             $C$2:C381,C381,
             $D$2:D381,D381,
             $E$2:E381,E381,
             $H$2:H381,H381
             )&gt;1,
   "Doublon",
   "Correcte"
)</f>
        <v>Correcte</v>
      </c>
    </row>
    <row r="382" spans="1:17" x14ac:dyDescent="0.25">
      <c r="A382" s="11" t="s">
        <v>3199</v>
      </c>
      <c r="B382" s="11" t="s">
        <v>1153</v>
      </c>
      <c r="C382" s="11" t="s">
        <v>662</v>
      </c>
      <c r="D382" s="11" t="s">
        <v>1154</v>
      </c>
      <c r="E382" s="11">
        <v>10</v>
      </c>
      <c r="F382" s="11"/>
      <c r="G382" s="11" t="s">
        <v>664</v>
      </c>
      <c r="H382" s="14">
        <v>45915</v>
      </c>
      <c r="I382" s="12">
        <f>-Mvt_Inter_entrepot[[#This Row],[QTE]]</f>
        <v>-10</v>
      </c>
      <c r="J382" s="11" t="s">
        <v>503</v>
      </c>
      <c r="K382" s="11" t="str">
        <f>_xlfn.TEXTBEFORE(Mvt_Inter_entrepot[[#This Row],[Num Suivis]],"-",,,1)</f>
        <v>OF246340</v>
      </c>
      <c r="L382" s="11" t="e">
        <f>_xlfn.XLOOKUP(Mvt_Inter_entrepot[[#This Row],[Num OF]],#REF!,#REF!,"Non Trouvé")</f>
        <v>#REF!</v>
      </c>
      <c r="M382" s="11" t="e">
        <f>_xlfn.XLOOKUP(Mvt_Inter_entrepot[[#This Row],[Num OF]],#REF!,#REF!,"Non Trouvé")</f>
        <v>#REF!</v>
      </c>
      <c r="N382" s="11" t="e">
        <f>_xlfn.XLOOKUP(Mvt_Inter_entrepot[[#This Row],[Num OF]],#REF!,#REF!,"Non Trouvé")</f>
        <v>#REF!</v>
      </c>
      <c r="O382" s="11" t="e">
        <f>_xlfn.XLOOKUP(Mvt_Inter_entrepot[[#This Row],[Num OF]],#REF!,#REF!,"Non Trouvé")</f>
        <v>#REF!</v>
      </c>
      <c r="P382" s="11" t="e">
        <f>_xlfn.XLOOKUP(Mvt_Inter_entrepot[[#This Row],[Num OF]],#REF!,#REF!,"Non Trouvé")</f>
        <v>#REF!</v>
      </c>
      <c r="Q382" s="11" t="str">
        <f>IF(
   COUNTIFS($A$2:A382,A382,
             $B$2:B382,B382,
             $C$2:C382,C382,
             $D$2:D382,D382,
             $E$2:E382,E382,
             $H$2:H382,H382
             )&gt;1,
   "Doublon",
   "Correcte"
)</f>
        <v>Correcte</v>
      </c>
    </row>
    <row r="383" spans="1:17" x14ac:dyDescent="0.25">
      <c r="A383" s="11" t="s">
        <v>3200</v>
      </c>
      <c r="B383" s="11" t="s">
        <v>1153</v>
      </c>
      <c r="C383" s="11" t="s">
        <v>662</v>
      </c>
      <c r="D383" s="11" t="s">
        <v>1154</v>
      </c>
      <c r="E383" s="11">
        <v>15</v>
      </c>
      <c r="F383" s="11"/>
      <c r="G383" s="11" t="s">
        <v>664</v>
      </c>
      <c r="H383" s="14">
        <v>45915</v>
      </c>
      <c r="I383" s="12">
        <f>-Mvt_Inter_entrepot[[#This Row],[QTE]]</f>
        <v>-15</v>
      </c>
      <c r="J383" s="11" t="s">
        <v>292</v>
      </c>
      <c r="K383" s="11" t="str">
        <f>_xlfn.TEXTBEFORE(Mvt_Inter_entrepot[[#This Row],[Num Suivis]],"-",,,1)</f>
        <v>OF246341</v>
      </c>
      <c r="L383" s="11" t="e">
        <f>_xlfn.XLOOKUP(Mvt_Inter_entrepot[[#This Row],[Num OF]],#REF!,#REF!,"Non Trouvé")</f>
        <v>#REF!</v>
      </c>
      <c r="M383" s="11" t="e">
        <f>_xlfn.XLOOKUP(Mvt_Inter_entrepot[[#This Row],[Num OF]],#REF!,#REF!,"Non Trouvé")</f>
        <v>#REF!</v>
      </c>
      <c r="N383" s="11" t="e">
        <f>_xlfn.XLOOKUP(Mvt_Inter_entrepot[[#This Row],[Num OF]],#REF!,#REF!,"Non Trouvé")</f>
        <v>#REF!</v>
      </c>
      <c r="O383" s="11" t="e">
        <f>_xlfn.XLOOKUP(Mvt_Inter_entrepot[[#This Row],[Num OF]],#REF!,#REF!,"Non Trouvé")</f>
        <v>#REF!</v>
      </c>
      <c r="P383" s="11" t="e">
        <f>_xlfn.XLOOKUP(Mvt_Inter_entrepot[[#This Row],[Num OF]],#REF!,#REF!,"Non Trouvé")</f>
        <v>#REF!</v>
      </c>
      <c r="Q383" s="11" t="str">
        <f>IF(
   COUNTIFS($A$2:A383,A383,
             $B$2:B383,B383,
             $C$2:C383,C383,
             $D$2:D383,D383,
             $E$2:E383,E383,
             $H$2:H383,H383
             )&gt;1,
   "Doublon",
   "Correcte"
)</f>
        <v>Correcte</v>
      </c>
    </row>
    <row r="384" spans="1:17" x14ac:dyDescent="0.25">
      <c r="A384" s="11" t="s">
        <v>3201</v>
      </c>
      <c r="B384" s="11" t="s">
        <v>1153</v>
      </c>
      <c r="C384" s="11" t="s">
        <v>662</v>
      </c>
      <c r="D384" s="11" t="s">
        <v>1154</v>
      </c>
      <c r="E384" s="11">
        <v>1</v>
      </c>
      <c r="F384" s="11"/>
      <c r="G384" s="11" t="s">
        <v>664</v>
      </c>
      <c r="H384" s="14">
        <v>45915</v>
      </c>
      <c r="I384" s="12">
        <f>-Mvt_Inter_entrepot[[#This Row],[QTE]]</f>
        <v>-1</v>
      </c>
      <c r="J384" s="11" t="s">
        <v>504</v>
      </c>
      <c r="K384" s="11" t="str">
        <f>_xlfn.TEXTBEFORE(Mvt_Inter_entrepot[[#This Row],[Num Suivis]],"-",,,1)</f>
        <v>OF246346</v>
      </c>
      <c r="L384" s="11" t="e">
        <f>_xlfn.XLOOKUP(Mvt_Inter_entrepot[[#This Row],[Num OF]],#REF!,#REF!,"Non Trouvé")</f>
        <v>#REF!</v>
      </c>
      <c r="M384" s="11" t="e">
        <f>_xlfn.XLOOKUP(Mvt_Inter_entrepot[[#This Row],[Num OF]],#REF!,#REF!,"Non Trouvé")</f>
        <v>#REF!</v>
      </c>
      <c r="N384" s="11" t="e">
        <f>_xlfn.XLOOKUP(Mvt_Inter_entrepot[[#This Row],[Num OF]],#REF!,#REF!,"Non Trouvé")</f>
        <v>#REF!</v>
      </c>
      <c r="O384" s="11" t="e">
        <f>_xlfn.XLOOKUP(Mvt_Inter_entrepot[[#This Row],[Num OF]],#REF!,#REF!,"Non Trouvé")</f>
        <v>#REF!</v>
      </c>
      <c r="P384" s="11" t="e">
        <f>_xlfn.XLOOKUP(Mvt_Inter_entrepot[[#This Row],[Num OF]],#REF!,#REF!,"Non Trouvé")</f>
        <v>#REF!</v>
      </c>
      <c r="Q384" s="11" t="str">
        <f>IF(
   COUNTIFS($A$2:A384,A384,
             $B$2:B384,B384,
             $C$2:C384,C384,
             $D$2:D384,D384,
             $E$2:E384,E384,
             $H$2:H384,H384
             )&gt;1,
   "Doublon",
   "Correcte"
)</f>
        <v>Correcte</v>
      </c>
    </row>
    <row r="385" spans="1:17" x14ac:dyDescent="0.25">
      <c r="A385" s="11" t="s">
        <v>3202</v>
      </c>
      <c r="B385" s="11" t="s">
        <v>1153</v>
      </c>
      <c r="C385" s="11" t="s">
        <v>662</v>
      </c>
      <c r="D385" s="11" t="s">
        <v>1154</v>
      </c>
      <c r="E385" s="11">
        <v>0</v>
      </c>
      <c r="F385" s="11"/>
      <c r="G385" s="11" t="s">
        <v>664</v>
      </c>
      <c r="H385" s="14">
        <v>45915</v>
      </c>
      <c r="I385" s="12">
        <f>-Mvt_Inter_entrepot[[#This Row],[QTE]]</f>
        <v>0</v>
      </c>
      <c r="J385" s="11" t="s">
        <v>505</v>
      </c>
      <c r="K385" s="11" t="str">
        <f>_xlfn.TEXTBEFORE(Mvt_Inter_entrepot[[#This Row],[Num Suivis]],"-",,,1)</f>
        <v>OF246349</v>
      </c>
      <c r="L385" s="11" t="e">
        <f>_xlfn.XLOOKUP(Mvt_Inter_entrepot[[#This Row],[Num OF]],#REF!,#REF!,"Non Trouvé")</f>
        <v>#REF!</v>
      </c>
      <c r="M385" s="11" t="e">
        <f>_xlfn.XLOOKUP(Mvt_Inter_entrepot[[#This Row],[Num OF]],#REF!,#REF!,"Non Trouvé")</f>
        <v>#REF!</v>
      </c>
      <c r="N385" s="11" t="e">
        <f>_xlfn.XLOOKUP(Mvt_Inter_entrepot[[#This Row],[Num OF]],#REF!,#REF!,"Non Trouvé")</f>
        <v>#REF!</v>
      </c>
      <c r="O385" s="11" t="e">
        <f>_xlfn.XLOOKUP(Mvt_Inter_entrepot[[#This Row],[Num OF]],#REF!,#REF!,"Non Trouvé")</f>
        <v>#REF!</v>
      </c>
      <c r="P385" s="11" t="e">
        <f>_xlfn.XLOOKUP(Mvt_Inter_entrepot[[#This Row],[Num OF]],#REF!,#REF!,"Non Trouvé")</f>
        <v>#REF!</v>
      </c>
      <c r="Q385" s="11" t="str">
        <f>IF(
   COUNTIFS($A$2:A385,A385,
             $B$2:B385,B385,
             $C$2:C385,C385,
             $D$2:D385,D385,
             $E$2:E385,E385,
             $H$2:H385,H385
             )&gt;1,
   "Doublon",
   "Correcte"
)</f>
        <v>Correcte</v>
      </c>
    </row>
    <row r="386" spans="1:17" x14ac:dyDescent="0.25">
      <c r="A386" s="11" t="s">
        <v>3203</v>
      </c>
      <c r="B386" s="11" t="s">
        <v>1153</v>
      </c>
      <c r="C386" s="11" t="s">
        <v>662</v>
      </c>
      <c r="D386" s="11" t="s">
        <v>1154</v>
      </c>
      <c r="E386" s="11">
        <v>1</v>
      </c>
      <c r="F386" s="11"/>
      <c r="G386" s="11" t="s">
        <v>664</v>
      </c>
      <c r="H386" s="14">
        <v>45915</v>
      </c>
      <c r="I386" s="12">
        <f>-Mvt_Inter_entrepot[[#This Row],[QTE]]</f>
        <v>-1</v>
      </c>
      <c r="J386" s="11" t="s">
        <v>506</v>
      </c>
      <c r="K386" s="11" t="str">
        <f>_xlfn.TEXTBEFORE(Mvt_Inter_entrepot[[#This Row],[Num Suivis]],"-",,,1)</f>
        <v>OF246352</v>
      </c>
      <c r="L386" s="11" t="e">
        <f>_xlfn.XLOOKUP(Mvt_Inter_entrepot[[#This Row],[Num OF]],#REF!,#REF!,"Non Trouvé")</f>
        <v>#REF!</v>
      </c>
      <c r="M386" s="11" t="e">
        <f>_xlfn.XLOOKUP(Mvt_Inter_entrepot[[#This Row],[Num OF]],#REF!,#REF!,"Non Trouvé")</f>
        <v>#REF!</v>
      </c>
      <c r="N386" s="11" t="e">
        <f>_xlfn.XLOOKUP(Mvt_Inter_entrepot[[#This Row],[Num OF]],#REF!,#REF!,"Non Trouvé")</f>
        <v>#REF!</v>
      </c>
      <c r="O386" s="11" t="e">
        <f>_xlfn.XLOOKUP(Mvt_Inter_entrepot[[#This Row],[Num OF]],#REF!,#REF!,"Non Trouvé")</f>
        <v>#REF!</v>
      </c>
      <c r="P386" s="11" t="e">
        <f>_xlfn.XLOOKUP(Mvt_Inter_entrepot[[#This Row],[Num OF]],#REF!,#REF!,"Non Trouvé")</f>
        <v>#REF!</v>
      </c>
      <c r="Q386" s="11" t="str">
        <f>IF(
   COUNTIFS($A$2:A386,A386,
             $B$2:B386,B386,
             $C$2:C386,C386,
             $D$2:D386,D386,
             $E$2:E386,E386,
             $H$2:H386,H386
             )&gt;1,
   "Doublon",
   "Correcte"
)</f>
        <v>Correcte</v>
      </c>
    </row>
    <row r="387" spans="1:17" x14ac:dyDescent="0.25">
      <c r="A387" s="11" t="s">
        <v>3204</v>
      </c>
      <c r="B387" s="11" t="s">
        <v>1153</v>
      </c>
      <c r="C387" s="11" t="s">
        <v>662</v>
      </c>
      <c r="D387" s="11" t="s">
        <v>1154</v>
      </c>
      <c r="E387" s="11">
        <v>1</v>
      </c>
      <c r="F387" s="11"/>
      <c r="G387" s="11" t="s">
        <v>664</v>
      </c>
      <c r="H387" s="14">
        <v>45915</v>
      </c>
      <c r="I387" s="12">
        <f>-Mvt_Inter_entrepot[[#This Row],[QTE]]</f>
        <v>-1</v>
      </c>
      <c r="J387" s="11" t="s">
        <v>507</v>
      </c>
      <c r="K387" s="11" t="str">
        <f>_xlfn.TEXTBEFORE(Mvt_Inter_entrepot[[#This Row],[Num Suivis]],"-",,,1)</f>
        <v>OF246353</v>
      </c>
      <c r="L387" s="11" t="e">
        <f>_xlfn.XLOOKUP(Mvt_Inter_entrepot[[#This Row],[Num OF]],#REF!,#REF!,"Non Trouvé")</f>
        <v>#REF!</v>
      </c>
      <c r="M387" s="11" t="e">
        <f>_xlfn.XLOOKUP(Mvt_Inter_entrepot[[#This Row],[Num OF]],#REF!,#REF!,"Non Trouvé")</f>
        <v>#REF!</v>
      </c>
      <c r="N387" s="11" t="e">
        <f>_xlfn.XLOOKUP(Mvt_Inter_entrepot[[#This Row],[Num OF]],#REF!,#REF!,"Non Trouvé")</f>
        <v>#REF!</v>
      </c>
      <c r="O387" s="11" t="e">
        <f>_xlfn.XLOOKUP(Mvt_Inter_entrepot[[#This Row],[Num OF]],#REF!,#REF!,"Non Trouvé")</f>
        <v>#REF!</v>
      </c>
      <c r="P387" s="11" t="e">
        <f>_xlfn.XLOOKUP(Mvt_Inter_entrepot[[#This Row],[Num OF]],#REF!,#REF!,"Non Trouvé")</f>
        <v>#REF!</v>
      </c>
      <c r="Q387" s="11" t="str">
        <f>IF(
   COUNTIFS($A$2:A387,A387,
             $B$2:B387,B387,
             $C$2:C387,C387,
             $D$2:D387,D387,
             $E$2:E387,E387,
             $H$2:H387,H387
             )&gt;1,
   "Doublon",
   "Correcte"
)</f>
        <v>Correcte</v>
      </c>
    </row>
    <row r="388" spans="1:17" x14ac:dyDescent="0.25">
      <c r="A388" s="11" t="s">
        <v>3205</v>
      </c>
      <c r="B388" s="11" t="s">
        <v>1153</v>
      </c>
      <c r="C388" s="11" t="s">
        <v>662</v>
      </c>
      <c r="D388" s="11" t="s">
        <v>1154</v>
      </c>
      <c r="E388" s="11">
        <v>1</v>
      </c>
      <c r="F388" s="11"/>
      <c r="G388" s="11" t="s">
        <v>664</v>
      </c>
      <c r="H388" s="14">
        <v>45915</v>
      </c>
      <c r="I388" s="12">
        <f>-Mvt_Inter_entrepot[[#This Row],[QTE]]</f>
        <v>-1</v>
      </c>
      <c r="J388" s="11" t="s">
        <v>509</v>
      </c>
      <c r="K388" s="11" t="str">
        <f>_xlfn.TEXTBEFORE(Mvt_Inter_entrepot[[#This Row],[Num Suivis]],"-",,,1)</f>
        <v>OF246398</v>
      </c>
      <c r="L388" s="11" t="e">
        <f>_xlfn.XLOOKUP(Mvt_Inter_entrepot[[#This Row],[Num OF]],#REF!,#REF!,"Non Trouvé")</f>
        <v>#REF!</v>
      </c>
      <c r="M388" s="11" t="e">
        <f>_xlfn.XLOOKUP(Mvt_Inter_entrepot[[#This Row],[Num OF]],#REF!,#REF!,"Non Trouvé")</f>
        <v>#REF!</v>
      </c>
      <c r="N388" s="11" t="e">
        <f>_xlfn.XLOOKUP(Mvt_Inter_entrepot[[#This Row],[Num OF]],#REF!,#REF!,"Non Trouvé")</f>
        <v>#REF!</v>
      </c>
      <c r="O388" s="11" t="e">
        <f>_xlfn.XLOOKUP(Mvt_Inter_entrepot[[#This Row],[Num OF]],#REF!,#REF!,"Non Trouvé")</f>
        <v>#REF!</v>
      </c>
      <c r="P388" s="11" t="e">
        <f>_xlfn.XLOOKUP(Mvt_Inter_entrepot[[#This Row],[Num OF]],#REF!,#REF!,"Non Trouvé")</f>
        <v>#REF!</v>
      </c>
      <c r="Q388" s="11" t="str">
        <f>IF(
   COUNTIFS($A$2:A388,A388,
             $B$2:B388,B388,
             $C$2:C388,C388,
             $D$2:D388,D388,
             $E$2:E388,E388,
             $H$2:H388,H388
             )&gt;1,
   "Doublon",
   "Correcte"
)</f>
        <v>Correcte</v>
      </c>
    </row>
    <row r="389" spans="1:17" x14ac:dyDescent="0.25">
      <c r="A389" s="11" t="s">
        <v>3206</v>
      </c>
      <c r="B389" s="11" t="s">
        <v>1153</v>
      </c>
      <c r="C389" s="11" t="s">
        <v>662</v>
      </c>
      <c r="D389" s="11" t="s">
        <v>1154</v>
      </c>
      <c r="E389" s="11">
        <v>5</v>
      </c>
      <c r="F389" s="11"/>
      <c r="G389" s="11" t="s">
        <v>664</v>
      </c>
      <c r="H389" s="14">
        <v>45915</v>
      </c>
      <c r="I389" s="12">
        <f>-Mvt_Inter_entrepot[[#This Row],[QTE]]</f>
        <v>-5</v>
      </c>
      <c r="J389" s="11" t="s">
        <v>510</v>
      </c>
      <c r="K389" s="11" t="str">
        <f>_xlfn.TEXTBEFORE(Mvt_Inter_entrepot[[#This Row],[Num Suivis]],"-",,,1)</f>
        <v>OF246413</v>
      </c>
      <c r="L389" s="11" t="e">
        <f>_xlfn.XLOOKUP(Mvt_Inter_entrepot[[#This Row],[Num OF]],#REF!,#REF!,"Non Trouvé")</f>
        <v>#REF!</v>
      </c>
      <c r="M389" s="11" t="e">
        <f>_xlfn.XLOOKUP(Mvt_Inter_entrepot[[#This Row],[Num OF]],#REF!,#REF!,"Non Trouvé")</f>
        <v>#REF!</v>
      </c>
      <c r="N389" s="11" t="e">
        <f>_xlfn.XLOOKUP(Mvt_Inter_entrepot[[#This Row],[Num OF]],#REF!,#REF!,"Non Trouvé")</f>
        <v>#REF!</v>
      </c>
      <c r="O389" s="11" t="e">
        <f>_xlfn.XLOOKUP(Mvt_Inter_entrepot[[#This Row],[Num OF]],#REF!,#REF!,"Non Trouvé")</f>
        <v>#REF!</v>
      </c>
      <c r="P389" s="11" t="e">
        <f>_xlfn.XLOOKUP(Mvt_Inter_entrepot[[#This Row],[Num OF]],#REF!,#REF!,"Non Trouvé")</f>
        <v>#REF!</v>
      </c>
      <c r="Q389" s="11" t="str">
        <f>IF(
   COUNTIFS($A$2:A389,A389,
             $B$2:B389,B389,
             $C$2:C389,C389,
             $D$2:D389,D389,
             $E$2:E389,E389,
             $H$2:H389,H389
             )&gt;1,
   "Doublon",
   "Correcte"
)</f>
        <v>Correcte</v>
      </c>
    </row>
    <row r="390" spans="1:17" x14ac:dyDescent="0.25">
      <c r="A390" s="11" t="s">
        <v>3207</v>
      </c>
      <c r="B390" s="11" t="s">
        <v>1153</v>
      </c>
      <c r="C390" s="11" t="s">
        <v>662</v>
      </c>
      <c r="D390" s="11" t="s">
        <v>1154</v>
      </c>
      <c r="E390" s="11">
        <v>1</v>
      </c>
      <c r="F390" s="11"/>
      <c r="G390" s="11" t="s">
        <v>664</v>
      </c>
      <c r="H390" s="14">
        <v>45915</v>
      </c>
      <c r="I390" s="12">
        <f>-Mvt_Inter_entrepot[[#This Row],[QTE]]</f>
        <v>-1</v>
      </c>
      <c r="J390" s="11" t="s">
        <v>512</v>
      </c>
      <c r="K390" s="11" t="str">
        <f>_xlfn.TEXTBEFORE(Mvt_Inter_entrepot[[#This Row],[Num Suivis]],"-",,,1)</f>
        <v>OF246449</v>
      </c>
      <c r="L390" s="11" t="e">
        <f>_xlfn.XLOOKUP(Mvt_Inter_entrepot[[#This Row],[Num OF]],#REF!,#REF!,"Non Trouvé")</f>
        <v>#REF!</v>
      </c>
      <c r="M390" s="11" t="e">
        <f>_xlfn.XLOOKUP(Mvt_Inter_entrepot[[#This Row],[Num OF]],#REF!,#REF!,"Non Trouvé")</f>
        <v>#REF!</v>
      </c>
      <c r="N390" s="11" t="e">
        <f>_xlfn.XLOOKUP(Mvt_Inter_entrepot[[#This Row],[Num OF]],#REF!,#REF!,"Non Trouvé")</f>
        <v>#REF!</v>
      </c>
      <c r="O390" s="11" t="e">
        <f>_xlfn.XLOOKUP(Mvt_Inter_entrepot[[#This Row],[Num OF]],#REF!,#REF!,"Non Trouvé")</f>
        <v>#REF!</v>
      </c>
      <c r="P390" s="11" t="e">
        <f>_xlfn.XLOOKUP(Mvt_Inter_entrepot[[#This Row],[Num OF]],#REF!,#REF!,"Non Trouvé")</f>
        <v>#REF!</v>
      </c>
      <c r="Q390" s="11" t="str">
        <f>IF(
   COUNTIFS($A$2:A390,A390,
             $B$2:B390,B390,
             $C$2:C390,C390,
             $D$2:D390,D390,
             $E$2:E390,E390,
             $H$2:H390,H390
             )&gt;1,
   "Doublon",
   "Correcte"
)</f>
        <v>Correcte</v>
      </c>
    </row>
    <row r="391" spans="1:17" x14ac:dyDescent="0.25">
      <c r="A391" s="11" t="s">
        <v>3208</v>
      </c>
      <c r="B391" s="11" t="s">
        <v>1153</v>
      </c>
      <c r="C391" s="11" t="s">
        <v>662</v>
      </c>
      <c r="D391" s="11" t="s">
        <v>1154</v>
      </c>
      <c r="E391" s="11">
        <v>1</v>
      </c>
      <c r="F391" s="11"/>
      <c r="G391" s="11" t="s">
        <v>664</v>
      </c>
      <c r="H391" s="14">
        <v>45915</v>
      </c>
      <c r="I391" s="12">
        <f>-Mvt_Inter_entrepot[[#This Row],[QTE]]</f>
        <v>-1</v>
      </c>
      <c r="J391" s="11" t="s">
        <v>513</v>
      </c>
      <c r="K391" s="11" t="str">
        <f>_xlfn.TEXTBEFORE(Mvt_Inter_entrepot[[#This Row],[Num Suivis]],"-",,,1)</f>
        <v>OF246450</v>
      </c>
      <c r="L391" s="11" t="e">
        <f>_xlfn.XLOOKUP(Mvt_Inter_entrepot[[#This Row],[Num OF]],#REF!,#REF!,"Non Trouvé")</f>
        <v>#REF!</v>
      </c>
      <c r="M391" s="11" t="e">
        <f>_xlfn.XLOOKUP(Mvt_Inter_entrepot[[#This Row],[Num OF]],#REF!,#REF!,"Non Trouvé")</f>
        <v>#REF!</v>
      </c>
      <c r="N391" s="11" t="e">
        <f>_xlfn.XLOOKUP(Mvt_Inter_entrepot[[#This Row],[Num OF]],#REF!,#REF!,"Non Trouvé")</f>
        <v>#REF!</v>
      </c>
      <c r="O391" s="11" t="e">
        <f>_xlfn.XLOOKUP(Mvt_Inter_entrepot[[#This Row],[Num OF]],#REF!,#REF!,"Non Trouvé")</f>
        <v>#REF!</v>
      </c>
      <c r="P391" s="11" t="e">
        <f>_xlfn.XLOOKUP(Mvt_Inter_entrepot[[#This Row],[Num OF]],#REF!,#REF!,"Non Trouvé")</f>
        <v>#REF!</v>
      </c>
      <c r="Q391" s="11" t="str">
        <f>IF(
   COUNTIFS($A$2:A391,A391,
             $B$2:B391,B391,
             $C$2:C391,C391,
             $D$2:D391,D391,
             $E$2:E391,E391,
             $H$2:H391,H391
             )&gt;1,
   "Doublon",
   "Correcte"
)</f>
        <v>Correcte</v>
      </c>
    </row>
    <row r="392" spans="1:17" x14ac:dyDescent="0.25">
      <c r="A392" s="11" t="s">
        <v>3209</v>
      </c>
      <c r="B392" s="11" t="s">
        <v>1153</v>
      </c>
      <c r="C392" s="11" t="s">
        <v>662</v>
      </c>
      <c r="D392" s="11" t="s">
        <v>1154</v>
      </c>
      <c r="E392" s="11">
        <v>16</v>
      </c>
      <c r="F392" s="11"/>
      <c r="G392" s="11" t="s">
        <v>664</v>
      </c>
      <c r="H392" s="14">
        <v>45915</v>
      </c>
      <c r="I392" s="12">
        <f>-Mvt_Inter_entrepot[[#This Row],[QTE]]</f>
        <v>-16</v>
      </c>
      <c r="J392" s="11" t="s">
        <v>293</v>
      </c>
      <c r="K392" s="11" t="str">
        <f>_xlfn.TEXTBEFORE(Mvt_Inter_entrepot[[#This Row],[Num Suivis]],"-",,,1)</f>
        <v>OF246453</v>
      </c>
      <c r="L392" s="11" t="e">
        <f>_xlfn.XLOOKUP(Mvt_Inter_entrepot[[#This Row],[Num OF]],#REF!,#REF!,"Non Trouvé")</f>
        <v>#REF!</v>
      </c>
      <c r="M392" s="11" t="e">
        <f>_xlfn.XLOOKUP(Mvt_Inter_entrepot[[#This Row],[Num OF]],#REF!,#REF!,"Non Trouvé")</f>
        <v>#REF!</v>
      </c>
      <c r="N392" s="11" t="e">
        <f>_xlfn.XLOOKUP(Mvt_Inter_entrepot[[#This Row],[Num OF]],#REF!,#REF!,"Non Trouvé")</f>
        <v>#REF!</v>
      </c>
      <c r="O392" s="11" t="e">
        <f>_xlfn.XLOOKUP(Mvt_Inter_entrepot[[#This Row],[Num OF]],#REF!,#REF!,"Non Trouvé")</f>
        <v>#REF!</v>
      </c>
      <c r="P392" s="11" t="e">
        <f>_xlfn.XLOOKUP(Mvt_Inter_entrepot[[#This Row],[Num OF]],#REF!,#REF!,"Non Trouvé")</f>
        <v>#REF!</v>
      </c>
      <c r="Q392" s="11" t="str">
        <f>IF(
   COUNTIFS($A$2:A392,A392,
             $B$2:B392,B392,
             $C$2:C392,C392,
             $D$2:D392,D392,
             $E$2:E392,E392,
             $H$2:H392,H392
             )&gt;1,
   "Doublon",
   "Correcte"
)</f>
        <v>Correcte</v>
      </c>
    </row>
    <row r="393" spans="1:17" x14ac:dyDescent="0.25">
      <c r="A393" s="11" t="s">
        <v>3210</v>
      </c>
      <c r="B393" s="11" t="s">
        <v>1153</v>
      </c>
      <c r="C393" s="11" t="s">
        <v>662</v>
      </c>
      <c r="D393" s="11" t="s">
        <v>1154</v>
      </c>
      <c r="E393" s="11">
        <v>40</v>
      </c>
      <c r="F393" s="11"/>
      <c r="G393" s="11" t="s">
        <v>664</v>
      </c>
      <c r="H393" s="14">
        <v>45915</v>
      </c>
      <c r="I393" s="12">
        <f>-Mvt_Inter_entrepot[[#This Row],[QTE]]</f>
        <v>-40</v>
      </c>
      <c r="J393" s="11" t="s">
        <v>294</v>
      </c>
      <c r="K393" s="11" t="str">
        <f>_xlfn.TEXTBEFORE(Mvt_Inter_entrepot[[#This Row],[Num Suivis]],"-",,,1)</f>
        <v>OF246455</v>
      </c>
      <c r="L393" s="11" t="e">
        <f>_xlfn.XLOOKUP(Mvt_Inter_entrepot[[#This Row],[Num OF]],#REF!,#REF!,"Non Trouvé")</f>
        <v>#REF!</v>
      </c>
      <c r="M393" s="11" t="e">
        <f>_xlfn.XLOOKUP(Mvt_Inter_entrepot[[#This Row],[Num OF]],#REF!,#REF!,"Non Trouvé")</f>
        <v>#REF!</v>
      </c>
      <c r="N393" s="11" t="e">
        <f>_xlfn.XLOOKUP(Mvt_Inter_entrepot[[#This Row],[Num OF]],#REF!,#REF!,"Non Trouvé")</f>
        <v>#REF!</v>
      </c>
      <c r="O393" s="11" t="e">
        <f>_xlfn.XLOOKUP(Mvt_Inter_entrepot[[#This Row],[Num OF]],#REF!,#REF!,"Non Trouvé")</f>
        <v>#REF!</v>
      </c>
      <c r="P393" s="11" t="e">
        <f>_xlfn.XLOOKUP(Mvt_Inter_entrepot[[#This Row],[Num OF]],#REF!,#REF!,"Non Trouvé")</f>
        <v>#REF!</v>
      </c>
      <c r="Q393" s="11" t="str">
        <f>IF(
   COUNTIFS($A$2:A393,A393,
             $B$2:B393,B393,
             $C$2:C393,C393,
             $D$2:D393,D393,
             $E$2:E393,E393,
             $H$2:H393,H393
             )&gt;1,
   "Doublon",
   "Correcte"
)</f>
        <v>Correcte</v>
      </c>
    </row>
    <row r="394" spans="1:17" x14ac:dyDescent="0.25">
      <c r="A394" s="11" t="s">
        <v>3211</v>
      </c>
      <c r="B394" s="11" t="s">
        <v>1153</v>
      </c>
      <c r="C394" s="11" t="s">
        <v>662</v>
      </c>
      <c r="D394" s="11" t="s">
        <v>1154</v>
      </c>
      <c r="E394" s="11">
        <v>1</v>
      </c>
      <c r="F394" s="11"/>
      <c r="G394" s="11" t="s">
        <v>664</v>
      </c>
      <c r="H394" s="14">
        <v>45915</v>
      </c>
      <c r="I394" s="12">
        <f>-Mvt_Inter_entrepot[[#This Row],[QTE]]</f>
        <v>-1</v>
      </c>
      <c r="J394" s="11" t="s">
        <v>514</v>
      </c>
      <c r="K394" s="11" t="str">
        <f>_xlfn.TEXTBEFORE(Mvt_Inter_entrepot[[#This Row],[Num Suivis]],"-",,,1)</f>
        <v>OF246490</v>
      </c>
      <c r="L394" s="11" t="e">
        <f>_xlfn.XLOOKUP(Mvt_Inter_entrepot[[#This Row],[Num OF]],#REF!,#REF!,"Non Trouvé")</f>
        <v>#REF!</v>
      </c>
      <c r="M394" s="11" t="e">
        <f>_xlfn.XLOOKUP(Mvt_Inter_entrepot[[#This Row],[Num OF]],#REF!,#REF!,"Non Trouvé")</f>
        <v>#REF!</v>
      </c>
      <c r="N394" s="11" t="e">
        <f>_xlfn.XLOOKUP(Mvt_Inter_entrepot[[#This Row],[Num OF]],#REF!,#REF!,"Non Trouvé")</f>
        <v>#REF!</v>
      </c>
      <c r="O394" s="11" t="e">
        <f>_xlfn.XLOOKUP(Mvt_Inter_entrepot[[#This Row],[Num OF]],#REF!,#REF!,"Non Trouvé")</f>
        <v>#REF!</v>
      </c>
      <c r="P394" s="11" t="e">
        <f>_xlfn.XLOOKUP(Mvt_Inter_entrepot[[#This Row],[Num OF]],#REF!,#REF!,"Non Trouvé")</f>
        <v>#REF!</v>
      </c>
      <c r="Q394" s="11" t="str">
        <f>IF(
   COUNTIFS($A$2:A394,A394,
             $B$2:B394,B394,
             $C$2:C394,C394,
             $D$2:D394,D394,
             $E$2:E394,E394,
             $H$2:H394,H394
             )&gt;1,
   "Doublon",
   "Correcte"
)</f>
        <v>Correcte</v>
      </c>
    </row>
    <row r="395" spans="1:17" x14ac:dyDescent="0.25">
      <c r="A395" s="11" t="s">
        <v>3212</v>
      </c>
      <c r="B395" s="11" t="s">
        <v>1153</v>
      </c>
      <c r="C395" s="11" t="s">
        <v>662</v>
      </c>
      <c r="D395" s="11" t="s">
        <v>1154</v>
      </c>
      <c r="E395" s="11">
        <v>1</v>
      </c>
      <c r="F395" s="11"/>
      <c r="G395" s="11" t="s">
        <v>664</v>
      </c>
      <c r="H395" s="14">
        <v>45915</v>
      </c>
      <c r="I395" s="12">
        <f>-Mvt_Inter_entrepot[[#This Row],[QTE]]</f>
        <v>-1</v>
      </c>
      <c r="J395" s="11" t="s">
        <v>515</v>
      </c>
      <c r="K395" s="11" t="str">
        <f>_xlfn.TEXTBEFORE(Mvt_Inter_entrepot[[#This Row],[Num Suivis]],"-",,,1)</f>
        <v>OF246491</v>
      </c>
      <c r="L395" s="11" t="e">
        <f>_xlfn.XLOOKUP(Mvt_Inter_entrepot[[#This Row],[Num OF]],#REF!,#REF!,"Non Trouvé")</f>
        <v>#REF!</v>
      </c>
      <c r="M395" s="11" t="e">
        <f>_xlfn.XLOOKUP(Mvt_Inter_entrepot[[#This Row],[Num OF]],#REF!,#REF!,"Non Trouvé")</f>
        <v>#REF!</v>
      </c>
      <c r="N395" s="11" t="e">
        <f>_xlfn.XLOOKUP(Mvt_Inter_entrepot[[#This Row],[Num OF]],#REF!,#REF!,"Non Trouvé")</f>
        <v>#REF!</v>
      </c>
      <c r="O395" s="11" t="e">
        <f>_xlfn.XLOOKUP(Mvt_Inter_entrepot[[#This Row],[Num OF]],#REF!,#REF!,"Non Trouvé")</f>
        <v>#REF!</v>
      </c>
      <c r="P395" s="11" t="e">
        <f>_xlfn.XLOOKUP(Mvt_Inter_entrepot[[#This Row],[Num OF]],#REF!,#REF!,"Non Trouvé")</f>
        <v>#REF!</v>
      </c>
      <c r="Q395" s="11" t="str">
        <f>IF(
   COUNTIFS($A$2:A395,A395,
             $B$2:B395,B395,
             $C$2:C395,C395,
             $D$2:D395,D395,
             $E$2:E395,E395,
             $H$2:H395,H395
             )&gt;1,
   "Doublon",
   "Correcte"
)</f>
        <v>Correcte</v>
      </c>
    </row>
    <row r="396" spans="1:17" x14ac:dyDescent="0.25">
      <c r="A396" s="11" t="s">
        <v>3213</v>
      </c>
      <c r="B396" s="11" t="s">
        <v>1153</v>
      </c>
      <c r="C396" s="11" t="s">
        <v>662</v>
      </c>
      <c r="D396" s="11" t="s">
        <v>1154</v>
      </c>
      <c r="E396" s="11">
        <v>2</v>
      </c>
      <c r="F396" s="11"/>
      <c r="G396" s="11" t="s">
        <v>664</v>
      </c>
      <c r="H396" s="14">
        <v>45915</v>
      </c>
      <c r="I396" s="12">
        <f>-Mvt_Inter_entrepot[[#This Row],[QTE]]</f>
        <v>-2</v>
      </c>
      <c r="J396" s="11" t="s">
        <v>516</v>
      </c>
      <c r="K396" s="11" t="str">
        <f>_xlfn.TEXTBEFORE(Mvt_Inter_entrepot[[#This Row],[Num Suivis]],"-",,,1)</f>
        <v>OF246496</v>
      </c>
      <c r="L396" s="11" t="e">
        <f>_xlfn.XLOOKUP(Mvt_Inter_entrepot[[#This Row],[Num OF]],#REF!,#REF!,"Non Trouvé")</f>
        <v>#REF!</v>
      </c>
      <c r="M396" s="11" t="e">
        <f>_xlfn.XLOOKUP(Mvt_Inter_entrepot[[#This Row],[Num OF]],#REF!,#REF!,"Non Trouvé")</f>
        <v>#REF!</v>
      </c>
      <c r="N396" s="11" t="e">
        <f>_xlfn.XLOOKUP(Mvt_Inter_entrepot[[#This Row],[Num OF]],#REF!,#REF!,"Non Trouvé")</f>
        <v>#REF!</v>
      </c>
      <c r="O396" s="11" t="e">
        <f>_xlfn.XLOOKUP(Mvt_Inter_entrepot[[#This Row],[Num OF]],#REF!,#REF!,"Non Trouvé")</f>
        <v>#REF!</v>
      </c>
      <c r="P396" s="11" t="e">
        <f>_xlfn.XLOOKUP(Mvt_Inter_entrepot[[#This Row],[Num OF]],#REF!,#REF!,"Non Trouvé")</f>
        <v>#REF!</v>
      </c>
      <c r="Q396" s="11" t="str">
        <f>IF(
   COUNTIFS($A$2:A396,A396,
             $B$2:B396,B396,
             $C$2:C396,C396,
             $D$2:D396,D396,
             $E$2:E396,E396,
             $H$2:H396,H396
             )&gt;1,
   "Doublon",
   "Correcte"
)</f>
        <v>Correcte</v>
      </c>
    </row>
    <row r="397" spans="1:17" x14ac:dyDescent="0.25">
      <c r="A397" s="11" t="s">
        <v>3214</v>
      </c>
      <c r="B397" s="11" t="s">
        <v>1153</v>
      </c>
      <c r="C397" s="11" t="s">
        <v>662</v>
      </c>
      <c r="D397" s="11" t="s">
        <v>665</v>
      </c>
      <c r="E397" s="11">
        <v>1</v>
      </c>
      <c r="F397" s="11"/>
      <c r="G397" s="11" t="s">
        <v>664</v>
      </c>
      <c r="H397" s="14">
        <v>45915</v>
      </c>
      <c r="I397" s="12">
        <f>-Mvt_Inter_entrepot[[#This Row],[QTE]]</f>
        <v>-1</v>
      </c>
      <c r="J397" s="11" t="s">
        <v>518</v>
      </c>
      <c r="K397" s="11" t="str">
        <f>_xlfn.TEXTBEFORE(Mvt_Inter_entrepot[[#This Row],[Num Suivis]],"-",,,1)</f>
        <v>OF246506</v>
      </c>
      <c r="L397" s="11" t="e">
        <f>_xlfn.XLOOKUP(Mvt_Inter_entrepot[[#This Row],[Num OF]],#REF!,#REF!,"Non Trouvé")</f>
        <v>#REF!</v>
      </c>
      <c r="M397" s="11" t="e">
        <f>_xlfn.XLOOKUP(Mvt_Inter_entrepot[[#This Row],[Num OF]],#REF!,#REF!,"Non Trouvé")</f>
        <v>#REF!</v>
      </c>
      <c r="N397" s="11" t="e">
        <f>_xlfn.XLOOKUP(Mvt_Inter_entrepot[[#This Row],[Num OF]],#REF!,#REF!,"Non Trouvé")</f>
        <v>#REF!</v>
      </c>
      <c r="O397" s="11" t="e">
        <f>_xlfn.XLOOKUP(Mvt_Inter_entrepot[[#This Row],[Num OF]],#REF!,#REF!,"Non Trouvé")</f>
        <v>#REF!</v>
      </c>
      <c r="P397" s="11" t="e">
        <f>_xlfn.XLOOKUP(Mvt_Inter_entrepot[[#This Row],[Num OF]],#REF!,#REF!,"Non Trouvé")</f>
        <v>#REF!</v>
      </c>
      <c r="Q397" s="11" t="str">
        <f>IF(
   COUNTIFS($A$2:A397,A397,
             $B$2:B397,B397,
             $C$2:C397,C397,
             $D$2:D397,D397,
             $E$2:E397,E397,
             $H$2:H397,H397
             )&gt;1,
   "Doublon",
   "Correcte"
)</f>
        <v>Correcte</v>
      </c>
    </row>
    <row r="398" spans="1:17" x14ac:dyDescent="0.25">
      <c r="A398" s="11" t="s">
        <v>3215</v>
      </c>
      <c r="B398" s="11" t="s">
        <v>1153</v>
      </c>
      <c r="C398" s="11" t="s">
        <v>662</v>
      </c>
      <c r="D398" s="11" t="s">
        <v>665</v>
      </c>
      <c r="E398" s="11">
        <v>2</v>
      </c>
      <c r="F398" s="11"/>
      <c r="G398" s="11" t="s">
        <v>664</v>
      </c>
      <c r="H398" s="14">
        <v>45915</v>
      </c>
      <c r="I398" s="12">
        <f>-Mvt_Inter_entrepot[[#This Row],[QTE]]</f>
        <v>-2</v>
      </c>
      <c r="J398" s="11" t="s">
        <v>519</v>
      </c>
      <c r="K398" s="11" t="str">
        <f>_xlfn.TEXTBEFORE(Mvt_Inter_entrepot[[#This Row],[Num Suivis]],"-",,,1)</f>
        <v>OF246507</v>
      </c>
      <c r="L398" s="11" t="e">
        <f>_xlfn.XLOOKUP(Mvt_Inter_entrepot[[#This Row],[Num OF]],#REF!,#REF!,"Non Trouvé")</f>
        <v>#REF!</v>
      </c>
      <c r="M398" s="11" t="e">
        <f>_xlfn.XLOOKUP(Mvt_Inter_entrepot[[#This Row],[Num OF]],#REF!,#REF!,"Non Trouvé")</f>
        <v>#REF!</v>
      </c>
      <c r="N398" s="11" t="e">
        <f>_xlfn.XLOOKUP(Mvt_Inter_entrepot[[#This Row],[Num OF]],#REF!,#REF!,"Non Trouvé")</f>
        <v>#REF!</v>
      </c>
      <c r="O398" s="11" t="e">
        <f>_xlfn.XLOOKUP(Mvt_Inter_entrepot[[#This Row],[Num OF]],#REF!,#REF!,"Non Trouvé")</f>
        <v>#REF!</v>
      </c>
      <c r="P398" s="11" t="e">
        <f>_xlfn.XLOOKUP(Mvt_Inter_entrepot[[#This Row],[Num OF]],#REF!,#REF!,"Non Trouvé")</f>
        <v>#REF!</v>
      </c>
      <c r="Q398" s="11" t="str">
        <f>IF(
   COUNTIFS($A$2:A398,A398,
             $B$2:B398,B398,
             $C$2:C398,C398,
             $D$2:D398,D398,
             $E$2:E398,E398,
             $H$2:H398,H398
             )&gt;1,
   "Doublon",
   "Correcte"
)</f>
        <v>Correcte</v>
      </c>
    </row>
    <row r="399" spans="1:17" x14ac:dyDescent="0.25">
      <c r="A399" s="11" t="s">
        <v>3216</v>
      </c>
      <c r="B399" s="11" t="s">
        <v>1153</v>
      </c>
      <c r="C399" s="11" t="s">
        <v>662</v>
      </c>
      <c r="D399" s="11" t="s">
        <v>1154</v>
      </c>
      <c r="E399" s="11">
        <v>1</v>
      </c>
      <c r="F399" s="11"/>
      <c r="G399" s="11" t="s">
        <v>664</v>
      </c>
      <c r="H399" s="14">
        <v>45915</v>
      </c>
      <c r="I399" s="12">
        <f>-Mvt_Inter_entrepot[[#This Row],[QTE]]</f>
        <v>-1</v>
      </c>
      <c r="J399" s="11" t="s">
        <v>520</v>
      </c>
      <c r="K399" s="11" t="str">
        <f>_xlfn.TEXTBEFORE(Mvt_Inter_entrepot[[#This Row],[Num Suivis]],"-",,,1)</f>
        <v>OF246508</v>
      </c>
      <c r="L399" s="11" t="e">
        <f>_xlfn.XLOOKUP(Mvt_Inter_entrepot[[#This Row],[Num OF]],#REF!,#REF!,"Non Trouvé")</f>
        <v>#REF!</v>
      </c>
      <c r="M399" s="11" t="e">
        <f>_xlfn.XLOOKUP(Mvt_Inter_entrepot[[#This Row],[Num OF]],#REF!,#REF!,"Non Trouvé")</f>
        <v>#REF!</v>
      </c>
      <c r="N399" s="11" t="e">
        <f>_xlfn.XLOOKUP(Mvt_Inter_entrepot[[#This Row],[Num OF]],#REF!,#REF!,"Non Trouvé")</f>
        <v>#REF!</v>
      </c>
      <c r="O399" s="11" t="e">
        <f>_xlfn.XLOOKUP(Mvt_Inter_entrepot[[#This Row],[Num OF]],#REF!,#REF!,"Non Trouvé")</f>
        <v>#REF!</v>
      </c>
      <c r="P399" s="11" t="e">
        <f>_xlfn.XLOOKUP(Mvt_Inter_entrepot[[#This Row],[Num OF]],#REF!,#REF!,"Non Trouvé")</f>
        <v>#REF!</v>
      </c>
      <c r="Q399" s="11" t="str">
        <f>IF(
   COUNTIFS($A$2:A399,A399,
             $B$2:B399,B399,
             $C$2:C399,C399,
             $D$2:D399,D399,
             $E$2:E399,E399,
             $H$2:H399,H399
             )&gt;1,
   "Doublon",
   "Correcte"
)</f>
        <v>Correcte</v>
      </c>
    </row>
    <row r="400" spans="1:17" x14ac:dyDescent="0.25">
      <c r="A400" s="11" t="s">
        <v>3217</v>
      </c>
      <c r="B400" s="11" t="s">
        <v>1153</v>
      </c>
      <c r="C400" s="11" t="s">
        <v>662</v>
      </c>
      <c r="D400" s="11" t="s">
        <v>1154</v>
      </c>
      <c r="E400" s="11">
        <v>4</v>
      </c>
      <c r="F400" s="11"/>
      <c r="G400" s="11" t="s">
        <v>664</v>
      </c>
      <c r="H400" s="14">
        <v>45915</v>
      </c>
      <c r="I400" s="12">
        <f>-Mvt_Inter_entrepot[[#This Row],[QTE]]</f>
        <v>-4</v>
      </c>
      <c r="J400" s="11" t="s">
        <v>521</v>
      </c>
      <c r="K400" s="11" t="str">
        <f>_xlfn.TEXTBEFORE(Mvt_Inter_entrepot[[#This Row],[Num Suivis]],"-",,,1)</f>
        <v>OF246509</v>
      </c>
      <c r="L400" s="11" t="e">
        <f>_xlfn.XLOOKUP(Mvt_Inter_entrepot[[#This Row],[Num OF]],#REF!,#REF!,"Non Trouvé")</f>
        <v>#REF!</v>
      </c>
      <c r="M400" s="11" t="e">
        <f>_xlfn.XLOOKUP(Mvt_Inter_entrepot[[#This Row],[Num OF]],#REF!,#REF!,"Non Trouvé")</f>
        <v>#REF!</v>
      </c>
      <c r="N400" s="11" t="e">
        <f>_xlfn.XLOOKUP(Mvt_Inter_entrepot[[#This Row],[Num OF]],#REF!,#REF!,"Non Trouvé")</f>
        <v>#REF!</v>
      </c>
      <c r="O400" s="11" t="e">
        <f>_xlfn.XLOOKUP(Mvt_Inter_entrepot[[#This Row],[Num OF]],#REF!,#REF!,"Non Trouvé")</f>
        <v>#REF!</v>
      </c>
      <c r="P400" s="11" t="e">
        <f>_xlfn.XLOOKUP(Mvt_Inter_entrepot[[#This Row],[Num OF]],#REF!,#REF!,"Non Trouvé")</f>
        <v>#REF!</v>
      </c>
      <c r="Q400" s="11" t="str">
        <f>IF(
   COUNTIFS($A$2:A400,A400,
             $B$2:B400,B400,
             $C$2:C400,C400,
             $D$2:D400,D400,
             $E$2:E400,E400,
             $H$2:H400,H400
             )&gt;1,
   "Doublon",
   "Correcte"
)</f>
        <v>Correcte</v>
      </c>
    </row>
    <row r="401" spans="1:17" x14ac:dyDescent="0.25">
      <c r="A401" s="11" t="s">
        <v>3218</v>
      </c>
      <c r="B401" s="11" t="s">
        <v>1153</v>
      </c>
      <c r="C401" s="11" t="s">
        <v>662</v>
      </c>
      <c r="D401" s="11" t="s">
        <v>1154</v>
      </c>
      <c r="E401" s="11">
        <v>2</v>
      </c>
      <c r="F401" s="11"/>
      <c r="G401" s="11" t="s">
        <v>664</v>
      </c>
      <c r="H401" s="14">
        <v>45915</v>
      </c>
      <c r="I401" s="12">
        <f>-Mvt_Inter_entrepot[[#This Row],[QTE]]</f>
        <v>-2</v>
      </c>
      <c r="J401" s="11" t="s">
        <v>522</v>
      </c>
      <c r="K401" s="11" t="str">
        <f>_xlfn.TEXTBEFORE(Mvt_Inter_entrepot[[#This Row],[Num Suivis]],"-",,,1)</f>
        <v>OF246510</v>
      </c>
      <c r="L401" s="11" t="e">
        <f>_xlfn.XLOOKUP(Mvt_Inter_entrepot[[#This Row],[Num OF]],#REF!,#REF!,"Non Trouvé")</f>
        <v>#REF!</v>
      </c>
      <c r="M401" s="11" t="e">
        <f>_xlfn.XLOOKUP(Mvt_Inter_entrepot[[#This Row],[Num OF]],#REF!,#REF!,"Non Trouvé")</f>
        <v>#REF!</v>
      </c>
      <c r="N401" s="11" t="e">
        <f>_xlfn.XLOOKUP(Mvt_Inter_entrepot[[#This Row],[Num OF]],#REF!,#REF!,"Non Trouvé")</f>
        <v>#REF!</v>
      </c>
      <c r="O401" s="11" t="e">
        <f>_xlfn.XLOOKUP(Mvt_Inter_entrepot[[#This Row],[Num OF]],#REF!,#REF!,"Non Trouvé")</f>
        <v>#REF!</v>
      </c>
      <c r="P401" s="11" t="e">
        <f>_xlfn.XLOOKUP(Mvt_Inter_entrepot[[#This Row],[Num OF]],#REF!,#REF!,"Non Trouvé")</f>
        <v>#REF!</v>
      </c>
      <c r="Q401" s="11" t="str">
        <f>IF(
   COUNTIFS($A$2:A401,A401,
             $B$2:B401,B401,
             $C$2:C401,C401,
             $D$2:D401,D401,
             $E$2:E401,E401,
             $H$2:H401,H401
             )&gt;1,
   "Doublon",
   "Correcte"
)</f>
        <v>Correcte</v>
      </c>
    </row>
    <row r="402" spans="1:17" x14ac:dyDescent="0.25">
      <c r="A402" s="11" t="s">
        <v>3219</v>
      </c>
      <c r="B402" s="11" t="s">
        <v>1153</v>
      </c>
      <c r="C402" s="11" t="s">
        <v>662</v>
      </c>
      <c r="D402" s="11" t="s">
        <v>1154</v>
      </c>
      <c r="E402" s="11">
        <v>2</v>
      </c>
      <c r="F402" s="11"/>
      <c r="G402" s="11" t="s">
        <v>664</v>
      </c>
      <c r="H402" s="14">
        <v>45915</v>
      </c>
      <c r="I402" s="12">
        <f>-Mvt_Inter_entrepot[[#This Row],[QTE]]</f>
        <v>-2</v>
      </c>
      <c r="J402" s="11" t="s">
        <v>523</v>
      </c>
      <c r="K402" s="11" t="str">
        <f>_xlfn.TEXTBEFORE(Mvt_Inter_entrepot[[#This Row],[Num Suivis]],"-",,,1)</f>
        <v>OF246512</v>
      </c>
      <c r="L402" s="11" t="e">
        <f>_xlfn.XLOOKUP(Mvt_Inter_entrepot[[#This Row],[Num OF]],#REF!,#REF!,"Non Trouvé")</f>
        <v>#REF!</v>
      </c>
      <c r="M402" s="11" t="e">
        <f>_xlfn.XLOOKUP(Mvt_Inter_entrepot[[#This Row],[Num OF]],#REF!,#REF!,"Non Trouvé")</f>
        <v>#REF!</v>
      </c>
      <c r="N402" s="11" t="e">
        <f>_xlfn.XLOOKUP(Mvt_Inter_entrepot[[#This Row],[Num OF]],#REF!,#REF!,"Non Trouvé")</f>
        <v>#REF!</v>
      </c>
      <c r="O402" s="11" t="e">
        <f>_xlfn.XLOOKUP(Mvt_Inter_entrepot[[#This Row],[Num OF]],#REF!,#REF!,"Non Trouvé")</f>
        <v>#REF!</v>
      </c>
      <c r="P402" s="11" t="e">
        <f>_xlfn.XLOOKUP(Mvt_Inter_entrepot[[#This Row],[Num OF]],#REF!,#REF!,"Non Trouvé")</f>
        <v>#REF!</v>
      </c>
      <c r="Q402" s="11" t="str">
        <f>IF(
   COUNTIFS($A$2:A402,A402,
             $B$2:B402,B402,
             $C$2:C402,C402,
             $D$2:D402,D402,
             $E$2:E402,E402,
             $H$2:H402,H402
             )&gt;1,
   "Doublon",
   "Correcte"
)</f>
        <v>Correcte</v>
      </c>
    </row>
    <row r="403" spans="1:17" x14ac:dyDescent="0.25">
      <c r="A403" s="11" t="s">
        <v>3220</v>
      </c>
      <c r="B403" s="11" t="s">
        <v>1153</v>
      </c>
      <c r="C403" s="11" t="s">
        <v>662</v>
      </c>
      <c r="D403" s="11" t="s">
        <v>665</v>
      </c>
      <c r="E403" s="11">
        <v>63</v>
      </c>
      <c r="F403" s="11"/>
      <c r="G403" s="11" t="s">
        <v>664</v>
      </c>
      <c r="H403" s="14">
        <v>45915</v>
      </c>
      <c r="I403" s="12">
        <f>-Mvt_Inter_entrepot[[#This Row],[QTE]]</f>
        <v>-63</v>
      </c>
      <c r="J403" s="11" t="s">
        <v>524</v>
      </c>
      <c r="K403" s="11" t="str">
        <f>_xlfn.TEXTBEFORE(Mvt_Inter_entrepot[[#This Row],[Num Suivis]],"-",,,1)</f>
        <v>OF246513</v>
      </c>
      <c r="L403" s="11" t="e">
        <f>_xlfn.XLOOKUP(Mvt_Inter_entrepot[[#This Row],[Num OF]],#REF!,#REF!,"Non Trouvé")</f>
        <v>#REF!</v>
      </c>
      <c r="M403" s="11" t="e">
        <f>_xlfn.XLOOKUP(Mvt_Inter_entrepot[[#This Row],[Num OF]],#REF!,#REF!,"Non Trouvé")</f>
        <v>#REF!</v>
      </c>
      <c r="N403" s="11" t="e">
        <f>_xlfn.XLOOKUP(Mvt_Inter_entrepot[[#This Row],[Num OF]],#REF!,#REF!,"Non Trouvé")</f>
        <v>#REF!</v>
      </c>
      <c r="O403" s="11" t="e">
        <f>_xlfn.XLOOKUP(Mvt_Inter_entrepot[[#This Row],[Num OF]],#REF!,#REF!,"Non Trouvé")</f>
        <v>#REF!</v>
      </c>
      <c r="P403" s="11" t="e">
        <f>_xlfn.XLOOKUP(Mvt_Inter_entrepot[[#This Row],[Num OF]],#REF!,#REF!,"Non Trouvé")</f>
        <v>#REF!</v>
      </c>
      <c r="Q403" s="11" t="str">
        <f>IF(
   COUNTIFS($A$2:A403,A403,
             $B$2:B403,B403,
             $C$2:C403,C403,
             $D$2:D403,D403,
             $E$2:E403,E403,
             $H$2:H403,H403
             )&gt;1,
   "Doublon",
   "Correcte"
)</f>
        <v>Correcte</v>
      </c>
    </row>
    <row r="404" spans="1:17" x14ac:dyDescent="0.25">
      <c r="A404" s="11" t="s">
        <v>3221</v>
      </c>
      <c r="B404" s="11" t="s">
        <v>1153</v>
      </c>
      <c r="C404" s="11" t="s">
        <v>662</v>
      </c>
      <c r="D404" s="11" t="s">
        <v>665</v>
      </c>
      <c r="E404" s="11">
        <v>24</v>
      </c>
      <c r="F404" s="11"/>
      <c r="G404" s="11" t="s">
        <v>664</v>
      </c>
      <c r="H404" s="14">
        <v>45915</v>
      </c>
      <c r="I404" s="12">
        <f>-Mvt_Inter_entrepot[[#This Row],[QTE]]</f>
        <v>-24</v>
      </c>
      <c r="J404" s="11" t="s">
        <v>526</v>
      </c>
      <c r="K404" s="11" t="str">
        <f>_xlfn.TEXTBEFORE(Mvt_Inter_entrepot[[#This Row],[Num Suivis]],"-",,,1)</f>
        <v>OF246515</v>
      </c>
      <c r="L404" s="11" t="e">
        <f>_xlfn.XLOOKUP(Mvt_Inter_entrepot[[#This Row],[Num OF]],#REF!,#REF!,"Non Trouvé")</f>
        <v>#REF!</v>
      </c>
      <c r="M404" s="11" t="e">
        <f>_xlfn.XLOOKUP(Mvt_Inter_entrepot[[#This Row],[Num OF]],#REF!,#REF!,"Non Trouvé")</f>
        <v>#REF!</v>
      </c>
      <c r="N404" s="11" t="e">
        <f>_xlfn.XLOOKUP(Mvt_Inter_entrepot[[#This Row],[Num OF]],#REF!,#REF!,"Non Trouvé")</f>
        <v>#REF!</v>
      </c>
      <c r="O404" s="11" t="e">
        <f>_xlfn.XLOOKUP(Mvt_Inter_entrepot[[#This Row],[Num OF]],#REF!,#REF!,"Non Trouvé")</f>
        <v>#REF!</v>
      </c>
      <c r="P404" s="11" t="e">
        <f>_xlfn.XLOOKUP(Mvt_Inter_entrepot[[#This Row],[Num OF]],#REF!,#REF!,"Non Trouvé")</f>
        <v>#REF!</v>
      </c>
      <c r="Q404" s="11" t="str">
        <f>IF(
   COUNTIFS($A$2:A404,A404,
             $B$2:B404,B404,
             $C$2:C404,C404,
             $D$2:D404,D404,
             $E$2:E404,E404,
             $H$2:H404,H404
             )&gt;1,
   "Doublon",
   "Correcte"
)</f>
        <v>Correcte</v>
      </c>
    </row>
    <row r="405" spans="1:17" x14ac:dyDescent="0.25">
      <c r="A405" s="11" t="s">
        <v>3222</v>
      </c>
      <c r="B405" s="11" t="s">
        <v>1153</v>
      </c>
      <c r="C405" s="11" t="s">
        <v>662</v>
      </c>
      <c r="D405" s="11" t="s">
        <v>665</v>
      </c>
      <c r="E405" s="11">
        <v>64</v>
      </c>
      <c r="F405" s="11"/>
      <c r="G405" s="11" t="s">
        <v>664</v>
      </c>
      <c r="H405" s="14">
        <v>45915</v>
      </c>
      <c r="I405" s="12">
        <f>-Mvt_Inter_entrepot[[#This Row],[QTE]]</f>
        <v>-64</v>
      </c>
      <c r="J405" s="11" t="s">
        <v>528</v>
      </c>
      <c r="K405" s="11" t="str">
        <f>_xlfn.TEXTBEFORE(Mvt_Inter_entrepot[[#This Row],[Num Suivis]],"-",,,1)</f>
        <v>OF246517</v>
      </c>
      <c r="L405" s="11" t="e">
        <f>_xlfn.XLOOKUP(Mvt_Inter_entrepot[[#This Row],[Num OF]],#REF!,#REF!,"Non Trouvé")</f>
        <v>#REF!</v>
      </c>
      <c r="M405" s="11" t="e">
        <f>_xlfn.XLOOKUP(Mvt_Inter_entrepot[[#This Row],[Num OF]],#REF!,#REF!,"Non Trouvé")</f>
        <v>#REF!</v>
      </c>
      <c r="N405" s="11" t="e">
        <f>_xlfn.XLOOKUP(Mvt_Inter_entrepot[[#This Row],[Num OF]],#REF!,#REF!,"Non Trouvé")</f>
        <v>#REF!</v>
      </c>
      <c r="O405" s="11" t="e">
        <f>_xlfn.XLOOKUP(Mvt_Inter_entrepot[[#This Row],[Num OF]],#REF!,#REF!,"Non Trouvé")</f>
        <v>#REF!</v>
      </c>
      <c r="P405" s="11" t="e">
        <f>_xlfn.XLOOKUP(Mvt_Inter_entrepot[[#This Row],[Num OF]],#REF!,#REF!,"Non Trouvé")</f>
        <v>#REF!</v>
      </c>
      <c r="Q405" s="11" t="str">
        <f>IF(
   COUNTIFS($A$2:A405,A405,
             $B$2:B405,B405,
             $C$2:C405,C405,
             $D$2:D405,D405,
             $E$2:E405,E405,
             $H$2:H405,H405
             )&gt;1,
   "Doublon",
   "Correcte"
)</f>
        <v>Correcte</v>
      </c>
    </row>
    <row r="406" spans="1:17" x14ac:dyDescent="0.25">
      <c r="A406" s="11" t="s">
        <v>3223</v>
      </c>
      <c r="B406" s="11" t="s">
        <v>1153</v>
      </c>
      <c r="C406" s="11" t="s">
        <v>662</v>
      </c>
      <c r="D406" s="11" t="s">
        <v>665</v>
      </c>
      <c r="E406" s="11">
        <v>61</v>
      </c>
      <c r="F406" s="11"/>
      <c r="G406" s="11" t="s">
        <v>664</v>
      </c>
      <c r="H406" s="14">
        <v>45915</v>
      </c>
      <c r="I406" s="12">
        <f>-Mvt_Inter_entrepot[[#This Row],[QTE]]</f>
        <v>-61</v>
      </c>
      <c r="J406" s="11" t="s">
        <v>530</v>
      </c>
      <c r="K406" s="11" t="str">
        <f>_xlfn.TEXTBEFORE(Mvt_Inter_entrepot[[#This Row],[Num Suivis]],"-",,,1)</f>
        <v>OF246519</v>
      </c>
      <c r="L406" s="11" t="e">
        <f>_xlfn.XLOOKUP(Mvt_Inter_entrepot[[#This Row],[Num OF]],#REF!,#REF!,"Non Trouvé")</f>
        <v>#REF!</v>
      </c>
      <c r="M406" s="11" t="e">
        <f>_xlfn.XLOOKUP(Mvt_Inter_entrepot[[#This Row],[Num OF]],#REF!,#REF!,"Non Trouvé")</f>
        <v>#REF!</v>
      </c>
      <c r="N406" s="11" t="e">
        <f>_xlfn.XLOOKUP(Mvt_Inter_entrepot[[#This Row],[Num OF]],#REF!,#REF!,"Non Trouvé")</f>
        <v>#REF!</v>
      </c>
      <c r="O406" s="11" t="e">
        <f>_xlfn.XLOOKUP(Mvt_Inter_entrepot[[#This Row],[Num OF]],#REF!,#REF!,"Non Trouvé")</f>
        <v>#REF!</v>
      </c>
      <c r="P406" s="11" t="e">
        <f>_xlfn.XLOOKUP(Mvt_Inter_entrepot[[#This Row],[Num OF]],#REF!,#REF!,"Non Trouvé")</f>
        <v>#REF!</v>
      </c>
      <c r="Q406" s="11" t="str">
        <f>IF(
   COUNTIFS($A$2:A406,A406,
             $B$2:B406,B406,
             $C$2:C406,C406,
             $D$2:D406,D406,
             $E$2:E406,E406,
             $H$2:H406,H406
             )&gt;1,
   "Doublon",
   "Correcte"
)</f>
        <v>Correcte</v>
      </c>
    </row>
    <row r="407" spans="1:17" x14ac:dyDescent="0.25">
      <c r="A407" s="11" t="s">
        <v>3224</v>
      </c>
      <c r="B407" s="11" t="s">
        <v>1153</v>
      </c>
      <c r="C407" s="11" t="s">
        <v>662</v>
      </c>
      <c r="D407" s="11" t="s">
        <v>665</v>
      </c>
      <c r="E407" s="11">
        <v>58</v>
      </c>
      <c r="F407" s="11"/>
      <c r="G407" s="11" t="s">
        <v>664</v>
      </c>
      <c r="H407" s="14">
        <v>45915</v>
      </c>
      <c r="I407" s="12">
        <f>-Mvt_Inter_entrepot[[#This Row],[QTE]]</f>
        <v>-58</v>
      </c>
      <c r="J407" s="11" t="s">
        <v>532</v>
      </c>
      <c r="K407" s="11" t="str">
        <f>_xlfn.TEXTBEFORE(Mvt_Inter_entrepot[[#This Row],[Num Suivis]],"-",,,1)</f>
        <v>OF246521</v>
      </c>
      <c r="L407" s="11" t="e">
        <f>_xlfn.XLOOKUP(Mvt_Inter_entrepot[[#This Row],[Num OF]],#REF!,#REF!,"Non Trouvé")</f>
        <v>#REF!</v>
      </c>
      <c r="M407" s="11" t="e">
        <f>_xlfn.XLOOKUP(Mvt_Inter_entrepot[[#This Row],[Num OF]],#REF!,#REF!,"Non Trouvé")</f>
        <v>#REF!</v>
      </c>
      <c r="N407" s="11" t="e">
        <f>_xlfn.XLOOKUP(Mvt_Inter_entrepot[[#This Row],[Num OF]],#REF!,#REF!,"Non Trouvé")</f>
        <v>#REF!</v>
      </c>
      <c r="O407" s="11" t="e">
        <f>_xlfn.XLOOKUP(Mvt_Inter_entrepot[[#This Row],[Num OF]],#REF!,#REF!,"Non Trouvé")</f>
        <v>#REF!</v>
      </c>
      <c r="P407" s="11" t="e">
        <f>_xlfn.XLOOKUP(Mvt_Inter_entrepot[[#This Row],[Num OF]],#REF!,#REF!,"Non Trouvé")</f>
        <v>#REF!</v>
      </c>
      <c r="Q407" s="11" t="str">
        <f>IF(
   COUNTIFS($A$2:A407,A407,
             $B$2:B407,B407,
             $C$2:C407,C407,
             $D$2:D407,D407,
             $E$2:E407,E407,
             $H$2:H407,H407
             )&gt;1,
   "Doublon",
   "Correcte"
)</f>
        <v>Correcte</v>
      </c>
    </row>
    <row r="408" spans="1:17" x14ac:dyDescent="0.25">
      <c r="A408" s="11" t="s">
        <v>3225</v>
      </c>
      <c r="B408" s="11" t="s">
        <v>1153</v>
      </c>
      <c r="C408" s="11" t="s">
        <v>662</v>
      </c>
      <c r="D408" s="11" t="s">
        <v>665</v>
      </c>
      <c r="E408" s="11">
        <v>62</v>
      </c>
      <c r="F408" s="11"/>
      <c r="G408" s="11" t="s">
        <v>664</v>
      </c>
      <c r="H408" s="14">
        <v>45915</v>
      </c>
      <c r="I408" s="12">
        <f>-Mvt_Inter_entrepot[[#This Row],[QTE]]</f>
        <v>-62</v>
      </c>
      <c r="J408" s="11" t="s">
        <v>534</v>
      </c>
      <c r="K408" s="11" t="str">
        <f>_xlfn.TEXTBEFORE(Mvt_Inter_entrepot[[#This Row],[Num Suivis]],"-",,,1)</f>
        <v>OF246523</v>
      </c>
      <c r="L408" s="11" t="e">
        <f>_xlfn.XLOOKUP(Mvt_Inter_entrepot[[#This Row],[Num OF]],#REF!,#REF!,"Non Trouvé")</f>
        <v>#REF!</v>
      </c>
      <c r="M408" s="11" t="e">
        <f>_xlfn.XLOOKUP(Mvt_Inter_entrepot[[#This Row],[Num OF]],#REF!,#REF!,"Non Trouvé")</f>
        <v>#REF!</v>
      </c>
      <c r="N408" s="11" t="e">
        <f>_xlfn.XLOOKUP(Mvt_Inter_entrepot[[#This Row],[Num OF]],#REF!,#REF!,"Non Trouvé")</f>
        <v>#REF!</v>
      </c>
      <c r="O408" s="11" t="e">
        <f>_xlfn.XLOOKUP(Mvt_Inter_entrepot[[#This Row],[Num OF]],#REF!,#REF!,"Non Trouvé")</f>
        <v>#REF!</v>
      </c>
      <c r="P408" s="11" t="e">
        <f>_xlfn.XLOOKUP(Mvt_Inter_entrepot[[#This Row],[Num OF]],#REF!,#REF!,"Non Trouvé")</f>
        <v>#REF!</v>
      </c>
      <c r="Q408" s="11" t="str">
        <f>IF(
   COUNTIFS($A$2:A408,A408,
             $B$2:B408,B408,
             $C$2:C408,C408,
             $D$2:D408,D408,
             $E$2:E408,E408,
             $H$2:H408,H408
             )&gt;1,
   "Doublon",
   "Correcte"
)</f>
        <v>Correcte</v>
      </c>
    </row>
    <row r="409" spans="1:17" x14ac:dyDescent="0.25">
      <c r="A409" s="11" t="s">
        <v>3226</v>
      </c>
      <c r="B409" s="11" t="s">
        <v>1153</v>
      </c>
      <c r="C409" s="11" t="s">
        <v>662</v>
      </c>
      <c r="D409" s="11" t="s">
        <v>665</v>
      </c>
      <c r="E409" s="11">
        <v>60</v>
      </c>
      <c r="F409" s="11"/>
      <c r="G409" s="11" t="s">
        <v>664</v>
      </c>
      <c r="H409" s="14">
        <v>45915</v>
      </c>
      <c r="I409" s="12">
        <f>-Mvt_Inter_entrepot[[#This Row],[QTE]]</f>
        <v>-60</v>
      </c>
      <c r="J409" s="11" t="s">
        <v>536</v>
      </c>
      <c r="K409" s="11" t="str">
        <f>_xlfn.TEXTBEFORE(Mvt_Inter_entrepot[[#This Row],[Num Suivis]],"-",,,1)</f>
        <v>OF246525</v>
      </c>
      <c r="L409" s="11" t="e">
        <f>_xlfn.XLOOKUP(Mvt_Inter_entrepot[[#This Row],[Num OF]],#REF!,#REF!,"Non Trouvé")</f>
        <v>#REF!</v>
      </c>
      <c r="M409" s="11" t="e">
        <f>_xlfn.XLOOKUP(Mvt_Inter_entrepot[[#This Row],[Num OF]],#REF!,#REF!,"Non Trouvé")</f>
        <v>#REF!</v>
      </c>
      <c r="N409" s="11" t="e">
        <f>_xlfn.XLOOKUP(Mvt_Inter_entrepot[[#This Row],[Num OF]],#REF!,#REF!,"Non Trouvé")</f>
        <v>#REF!</v>
      </c>
      <c r="O409" s="11" t="e">
        <f>_xlfn.XLOOKUP(Mvt_Inter_entrepot[[#This Row],[Num OF]],#REF!,#REF!,"Non Trouvé")</f>
        <v>#REF!</v>
      </c>
      <c r="P409" s="11" t="e">
        <f>_xlfn.XLOOKUP(Mvt_Inter_entrepot[[#This Row],[Num OF]],#REF!,#REF!,"Non Trouvé")</f>
        <v>#REF!</v>
      </c>
      <c r="Q409" s="11" t="str">
        <f>IF(
   COUNTIFS($A$2:A409,A409,
             $B$2:B409,B409,
             $C$2:C409,C409,
             $D$2:D409,D409,
             $E$2:E409,E409,
             $H$2:H409,H409
             )&gt;1,
   "Doublon",
   "Correcte"
)</f>
        <v>Correcte</v>
      </c>
    </row>
    <row r="410" spans="1:17" x14ac:dyDescent="0.25">
      <c r="A410" s="11" t="s">
        <v>3227</v>
      </c>
      <c r="B410" s="11" t="s">
        <v>1153</v>
      </c>
      <c r="C410" s="11" t="s">
        <v>662</v>
      </c>
      <c r="D410" s="11" t="s">
        <v>665</v>
      </c>
      <c r="E410" s="11">
        <v>65</v>
      </c>
      <c r="F410" s="11"/>
      <c r="G410" s="11" t="s">
        <v>664</v>
      </c>
      <c r="H410" s="14">
        <v>45915</v>
      </c>
      <c r="I410" s="12">
        <f>-Mvt_Inter_entrepot[[#This Row],[QTE]]</f>
        <v>-65</v>
      </c>
      <c r="J410" s="11" t="s">
        <v>538</v>
      </c>
      <c r="K410" s="11" t="str">
        <f>_xlfn.TEXTBEFORE(Mvt_Inter_entrepot[[#This Row],[Num Suivis]],"-",,,1)</f>
        <v>OF246527</v>
      </c>
      <c r="L410" s="11" t="e">
        <f>_xlfn.XLOOKUP(Mvt_Inter_entrepot[[#This Row],[Num OF]],#REF!,#REF!,"Non Trouvé")</f>
        <v>#REF!</v>
      </c>
      <c r="M410" s="11" t="e">
        <f>_xlfn.XLOOKUP(Mvt_Inter_entrepot[[#This Row],[Num OF]],#REF!,#REF!,"Non Trouvé")</f>
        <v>#REF!</v>
      </c>
      <c r="N410" s="11" t="e">
        <f>_xlfn.XLOOKUP(Mvt_Inter_entrepot[[#This Row],[Num OF]],#REF!,#REF!,"Non Trouvé")</f>
        <v>#REF!</v>
      </c>
      <c r="O410" s="11" t="e">
        <f>_xlfn.XLOOKUP(Mvt_Inter_entrepot[[#This Row],[Num OF]],#REF!,#REF!,"Non Trouvé")</f>
        <v>#REF!</v>
      </c>
      <c r="P410" s="11" t="e">
        <f>_xlfn.XLOOKUP(Mvt_Inter_entrepot[[#This Row],[Num OF]],#REF!,#REF!,"Non Trouvé")</f>
        <v>#REF!</v>
      </c>
      <c r="Q410" s="11" t="str">
        <f>IF(
   COUNTIFS($A$2:A410,A410,
             $B$2:B410,B410,
             $C$2:C410,C410,
             $D$2:D410,D410,
             $E$2:E410,E410,
             $H$2:H410,H410
             )&gt;1,
   "Doublon",
   "Correcte"
)</f>
        <v>Correcte</v>
      </c>
    </row>
    <row r="411" spans="1:17" x14ac:dyDescent="0.25">
      <c r="A411" s="11" t="s">
        <v>3228</v>
      </c>
      <c r="B411" s="11" t="s">
        <v>1153</v>
      </c>
      <c r="C411" s="11" t="s">
        <v>662</v>
      </c>
      <c r="D411" s="11" t="s">
        <v>665</v>
      </c>
      <c r="E411" s="11">
        <v>60</v>
      </c>
      <c r="F411" s="11"/>
      <c r="G411" s="11" t="s">
        <v>664</v>
      </c>
      <c r="H411" s="14">
        <v>45915</v>
      </c>
      <c r="I411" s="12">
        <f>-Mvt_Inter_entrepot[[#This Row],[QTE]]</f>
        <v>-60</v>
      </c>
      <c r="J411" s="11" t="s">
        <v>540</v>
      </c>
      <c r="K411" s="11" t="str">
        <f>_xlfn.TEXTBEFORE(Mvt_Inter_entrepot[[#This Row],[Num Suivis]],"-",,,1)</f>
        <v>OF246529</v>
      </c>
      <c r="L411" s="11" t="e">
        <f>_xlfn.XLOOKUP(Mvt_Inter_entrepot[[#This Row],[Num OF]],#REF!,#REF!,"Non Trouvé")</f>
        <v>#REF!</v>
      </c>
      <c r="M411" s="11" t="e">
        <f>_xlfn.XLOOKUP(Mvt_Inter_entrepot[[#This Row],[Num OF]],#REF!,#REF!,"Non Trouvé")</f>
        <v>#REF!</v>
      </c>
      <c r="N411" s="11" t="e">
        <f>_xlfn.XLOOKUP(Mvt_Inter_entrepot[[#This Row],[Num OF]],#REF!,#REF!,"Non Trouvé")</f>
        <v>#REF!</v>
      </c>
      <c r="O411" s="11" t="e">
        <f>_xlfn.XLOOKUP(Mvt_Inter_entrepot[[#This Row],[Num OF]],#REF!,#REF!,"Non Trouvé")</f>
        <v>#REF!</v>
      </c>
      <c r="P411" s="11" t="e">
        <f>_xlfn.XLOOKUP(Mvt_Inter_entrepot[[#This Row],[Num OF]],#REF!,#REF!,"Non Trouvé")</f>
        <v>#REF!</v>
      </c>
      <c r="Q411" s="11" t="str">
        <f>IF(
   COUNTIFS($A$2:A411,A411,
             $B$2:B411,B411,
             $C$2:C411,C411,
             $D$2:D411,D411,
             $E$2:E411,E411,
             $H$2:H411,H411
             )&gt;1,
   "Doublon",
   "Correcte"
)</f>
        <v>Correcte</v>
      </c>
    </row>
    <row r="412" spans="1:17" x14ac:dyDescent="0.25">
      <c r="A412" s="11" t="s">
        <v>3229</v>
      </c>
      <c r="B412" s="11" t="s">
        <v>1153</v>
      </c>
      <c r="C412" s="11" t="s">
        <v>662</v>
      </c>
      <c r="D412" s="11" t="s">
        <v>665</v>
      </c>
      <c r="E412" s="11">
        <v>64</v>
      </c>
      <c r="F412" s="11"/>
      <c r="G412" s="11" t="s">
        <v>664</v>
      </c>
      <c r="H412" s="14">
        <v>45915</v>
      </c>
      <c r="I412" s="12">
        <f>-Mvt_Inter_entrepot[[#This Row],[QTE]]</f>
        <v>-64</v>
      </c>
      <c r="J412" s="11" t="s">
        <v>542</v>
      </c>
      <c r="K412" s="11" t="str">
        <f>_xlfn.TEXTBEFORE(Mvt_Inter_entrepot[[#This Row],[Num Suivis]],"-",,,1)</f>
        <v>OF246531</v>
      </c>
      <c r="L412" s="11" t="e">
        <f>_xlfn.XLOOKUP(Mvt_Inter_entrepot[[#This Row],[Num OF]],#REF!,#REF!,"Non Trouvé")</f>
        <v>#REF!</v>
      </c>
      <c r="M412" s="11" t="e">
        <f>_xlfn.XLOOKUP(Mvt_Inter_entrepot[[#This Row],[Num OF]],#REF!,#REF!,"Non Trouvé")</f>
        <v>#REF!</v>
      </c>
      <c r="N412" s="11" t="e">
        <f>_xlfn.XLOOKUP(Mvt_Inter_entrepot[[#This Row],[Num OF]],#REF!,#REF!,"Non Trouvé")</f>
        <v>#REF!</v>
      </c>
      <c r="O412" s="11" t="e">
        <f>_xlfn.XLOOKUP(Mvt_Inter_entrepot[[#This Row],[Num OF]],#REF!,#REF!,"Non Trouvé")</f>
        <v>#REF!</v>
      </c>
      <c r="P412" s="11" t="e">
        <f>_xlfn.XLOOKUP(Mvt_Inter_entrepot[[#This Row],[Num OF]],#REF!,#REF!,"Non Trouvé")</f>
        <v>#REF!</v>
      </c>
      <c r="Q412" s="11" t="str">
        <f>IF(
   COUNTIFS($A$2:A412,A412,
             $B$2:B412,B412,
             $C$2:C412,C412,
             $D$2:D412,D412,
             $E$2:E412,E412,
             $H$2:H412,H412
             )&gt;1,
   "Doublon",
   "Correcte"
)</f>
        <v>Correcte</v>
      </c>
    </row>
    <row r="413" spans="1:17" x14ac:dyDescent="0.25">
      <c r="A413" s="11" t="s">
        <v>3230</v>
      </c>
      <c r="B413" s="11" t="s">
        <v>1153</v>
      </c>
      <c r="C413" s="11" t="s">
        <v>662</v>
      </c>
      <c r="D413" s="11" t="s">
        <v>665</v>
      </c>
      <c r="E413" s="11">
        <v>15</v>
      </c>
      <c r="F413" s="11"/>
      <c r="G413" s="11" t="s">
        <v>664</v>
      </c>
      <c r="H413" s="14">
        <v>45915</v>
      </c>
      <c r="I413" s="12">
        <f>-Mvt_Inter_entrepot[[#This Row],[QTE]]</f>
        <v>-15</v>
      </c>
      <c r="J413" s="11" t="s">
        <v>546</v>
      </c>
      <c r="K413" s="11" t="str">
        <f>_xlfn.TEXTBEFORE(Mvt_Inter_entrepot[[#This Row],[Num Suivis]],"-",,,1)</f>
        <v>OF246537</v>
      </c>
      <c r="L413" s="11" t="e">
        <f>_xlfn.XLOOKUP(Mvt_Inter_entrepot[[#This Row],[Num OF]],#REF!,#REF!,"Non Trouvé")</f>
        <v>#REF!</v>
      </c>
      <c r="M413" s="11" t="e">
        <f>_xlfn.XLOOKUP(Mvt_Inter_entrepot[[#This Row],[Num OF]],#REF!,#REF!,"Non Trouvé")</f>
        <v>#REF!</v>
      </c>
      <c r="N413" s="11" t="e">
        <f>_xlfn.XLOOKUP(Mvt_Inter_entrepot[[#This Row],[Num OF]],#REF!,#REF!,"Non Trouvé")</f>
        <v>#REF!</v>
      </c>
      <c r="O413" s="11" t="e">
        <f>_xlfn.XLOOKUP(Mvt_Inter_entrepot[[#This Row],[Num OF]],#REF!,#REF!,"Non Trouvé")</f>
        <v>#REF!</v>
      </c>
      <c r="P413" s="11" t="e">
        <f>_xlfn.XLOOKUP(Mvt_Inter_entrepot[[#This Row],[Num OF]],#REF!,#REF!,"Non Trouvé")</f>
        <v>#REF!</v>
      </c>
      <c r="Q413" s="11" t="str">
        <f>IF(
   COUNTIFS($A$2:A413,A413,
             $B$2:B413,B413,
             $C$2:C413,C413,
             $D$2:D413,D413,
             $E$2:E413,E413,
             $H$2:H413,H413
             )&gt;1,
   "Doublon",
   "Correcte"
)</f>
        <v>Correcte</v>
      </c>
    </row>
    <row r="414" spans="1:17" x14ac:dyDescent="0.25">
      <c r="A414" s="11" t="s">
        <v>3231</v>
      </c>
      <c r="B414" s="11" t="s">
        <v>1153</v>
      </c>
      <c r="C414" s="11" t="s">
        <v>662</v>
      </c>
      <c r="D414" s="11" t="s">
        <v>665</v>
      </c>
      <c r="E414" s="11">
        <v>8</v>
      </c>
      <c r="F414" s="11"/>
      <c r="G414" s="11" t="s">
        <v>664</v>
      </c>
      <c r="H414" s="14">
        <v>45915</v>
      </c>
      <c r="I414" s="12">
        <f>-Mvt_Inter_entrepot[[#This Row],[QTE]]</f>
        <v>-8</v>
      </c>
      <c r="J414" s="11" t="s">
        <v>550</v>
      </c>
      <c r="K414" s="11" t="str">
        <f>_xlfn.TEXTBEFORE(Mvt_Inter_entrepot[[#This Row],[Num Suivis]],"-",,,1)</f>
        <v>OF246544</v>
      </c>
      <c r="L414" s="11" t="e">
        <f>_xlfn.XLOOKUP(Mvt_Inter_entrepot[[#This Row],[Num OF]],#REF!,#REF!,"Non Trouvé")</f>
        <v>#REF!</v>
      </c>
      <c r="M414" s="11" t="e">
        <f>_xlfn.XLOOKUP(Mvt_Inter_entrepot[[#This Row],[Num OF]],#REF!,#REF!,"Non Trouvé")</f>
        <v>#REF!</v>
      </c>
      <c r="N414" s="11" t="e">
        <f>_xlfn.XLOOKUP(Mvt_Inter_entrepot[[#This Row],[Num OF]],#REF!,#REF!,"Non Trouvé")</f>
        <v>#REF!</v>
      </c>
      <c r="O414" s="11" t="e">
        <f>_xlfn.XLOOKUP(Mvt_Inter_entrepot[[#This Row],[Num OF]],#REF!,#REF!,"Non Trouvé")</f>
        <v>#REF!</v>
      </c>
      <c r="P414" s="11" t="e">
        <f>_xlfn.XLOOKUP(Mvt_Inter_entrepot[[#This Row],[Num OF]],#REF!,#REF!,"Non Trouvé")</f>
        <v>#REF!</v>
      </c>
      <c r="Q414" s="11" t="str">
        <f>IF(
   COUNTIFS($A$2:A414,A414,
             $B$2:B414,B414,
             $C$2:C414,C414,
             $D$2:D414,D414,
             $E$2:E414,E414,
             $H$2:H414,H414
             )&gt;1,
   "Doublon",
   "Correcte"
)</f>
        <v>Correcte</v>
      </c>
    </row>
    <row r="415" spans="1:17" x14ac:dyDescent="0.25">
      <c r="A415" s="11" t="s">
        <v>3232</v>
      </c>
      <c r="B415" s="11" t="s">
        <v>1153</v>
      </c>
      <c r="C415" s="11" t="s">
        <v>662</v>
      </c>
      <c r="D415" s="11" t="s">
        <v>1154</v>
      </c>
      <c r="E415" s="11">
        <v>15</v>
      </c>
      <c r="F415" s="11"/>
      <c r="G415" s="11" t="s">
        <v>664</v>
      </c>
      <c r="H415" s="14">
        <v>45915</v>
      </c>
      <c r="I415" s="12">
        <f>-Mvt_Inter_entrepot[[#This Row],[QTE]]</f>
        <v>-15</v>
      </c>
      <c r="J415" s="11" t="s">
        <v>551</v>
      </c>
      <c r="K415" s="11" t="str">
        <f>_xlfn.TEXTBEFORE(Mvt_Inter_entrepot[[#This Row],[Num Suivis]],"-",,,1)</f>
        <v>OF246545</v>
      </c>
      <c r="L415" s="11" t="e">
        <f>_xlfn.XLOOKUP(Mvt_Inter_entrepot[[#This Row],[Num OF]],#REF!,#REF!,"Non Trouvé")</f>
        <v>#REF!</v>
      </c>
      <c r="M415" s="11" t="e">
        <f>_xlfn.XLOOKUP(Mvt_Inter_entrepot[[#This Row],[Num OF]],#REF!,#REF!,"Non Trouvé")</f>
        <v>#REF!</v>
      </c>
      <c r="N415" s="11" t="e">
        <f>_xlfn.XLOOKUP(Mvt_Inter_entrepot[[#This Row],[Num OF]],#REF!,#REF!,"Non Trouvé")</f>
        <v>#REF!</v>
      </c>
      <c r="O415" s="11" t="e">
        <f>_xlfn.XLOOKUP(Mvt_Inter_entrepot[[#This Row],[Num OF]],#REF!,#REF!,"Non Trouvé")</f>
        <v>#REF!</v>
      </c>
      <c r="P415" s="11" t="e">
        <f>_xlfn.XLOOKUP(Mvt_Inter_entrepot[[#This Row],[Num OF]],#REF!,#REF!,"Non Trouvé")</f>
        <v>#REF!</v>
      </c>
      <c r="Q415" s="11" t="str">
        <f>IF(
   COUNTIFS($A$2:A415,A415,
             $B$2:B415,B415,
             $C$2:C415,C415,
             $D$2:D415,D415,
             $E$2:E415,E415,
             $H$2:H415,H415
             )&gt;1,
   "Doublon",
   "Correcte"
)</f>
        <v>Correcte</v>
      </c>
    </row>
    <row r="416" spans="1:17" x14ac:dyDescent="0.25">
      <c r="A416" s="11" t="s">
        <v>3233</v>
      </c>
      <c r="B416" s="11" t="s">
        <v>1153</v>
      </c>
      <c r="C416" s="11" t="s">
        <v>662</v>
      </c>
      <c r="D416" s="11" t="s">
        <v>1154</v>
      </c>
      <c r="E416" s="11">
        <v>1</v>
      </c>
      <c r="F416" s="11"/>
      <c r="G416" s="11" t="s">
        <v>664</v>
      </c>
      <c r="H416" s="14">
        <v>45915</v>
      </c>
      <c r="I416" s="12">
        <f>-Mvt_Inter_entrepot[[#This Row],[QTE]]</f>
        <v>-1</v>
      </c>
      <c r="J416" s="11" t="s">
        <v>552</v>
      </c>
      <c r="K416" s="11" t="str">
        <f>_xlfn.TEXTBEFORE(Mvt_Inter_entrepot[[#This Row],[Num Suivis]],"-",,,1)</f>
        <v>OF246802</v>
      </c>
      <c r="L416" s="11" t="e">
        <f>_xlfn.XLOOKUP(Mvt_Inter_entrepot[[#This Row],[Num OF]],#REF!,#REF!,"Non Trouvé")</f>
        <v>#REF!</v>
      </c>
      <c r="M416" s="11" t="e">
        <f>_xlfn.XLOOKUP(Mvt_Inter_entrepot[[#This Row],[Num OF]],#REF!,#REF!,"Non Trouvé")</f>
        <v>#REF!</v>
      </c>
      <c r="N416" s="11" t="e">
        <f>_xlfn.XLOOKUP(Mvt_Inter_entrepot[[#This Row],[Num OF]],#REF!,#REF!,"Non Trouvé")</f>
        <v>#REF!</v>
      </c>
      <c r="O416" s="11" t="e">
        <f>_xlfn.XLOOKUP(Mvt_Inter_entrepot[[#This Row],[Num OF]],#REF!,#REF!,"Non Trouvé")</f>
        <v>#REF!</v>
      </c>
      <c r="P416" s="11" t="e">
        <f>_xlfn.XLOOKUP(Mvt_Inter_entrepot[[#This Row],[Num OF]],#REF!,#REF!,"Non Trouvé")</f>
        <v>#REF!</v>
      </c>
      <c r="Q416" s="11" t="str">
        <f>IF(
   COUNTIFS($A$2:A416,A416,
             $B$2:B416,B416,
             $C$2:C416,C416,
             $D$2:D416,D416,
             $E$2:E416,E416,
             $H$2:H416,H416
             )&gt;1,
   "Doublon",
   "Correcte"
)</f>
        <v>Correcte</v>
      </c>
    </row>
    <row r="417" spans="1:17" x14ac:dyDescent="0.25">
      <c r="A417" s="11" t="s">
        <v>3234</v>
      </c>
      <c r="B417" s="11" t="s">
        <v>1153</v>
      </c>
      <c r="C417" s="11" t="s">
        <v>662</v>
      </c>
      <c r="D417" s="11" t="s">
        <v>1154</v>
      </c>
      <c r="E417" s="11">
        <v>2</v>
      </c>
      <c r="F417" s="11"/>
      <c r="G417" s="11" t="s">
        <v>664</v>
      </c>
      <c r="H417" s="14">
        <v>45915</v>
      </c>
      <c r="I417" s="12">
        <f>-Mvt_Inter_entrepot[[#This Row],[QTE]]</f>
        <v>-2</v>
      </c>
      <c r="J417" s="11" t="s">
        <v>553</v>
      </c>
      <c r="K417" s="11" t="str">
        <f>_xlfn.TEXTBEFORE(Mvt_Inter_entrepot[[#This Row],[Num Suivis]],"-",,,1)</f>
        <v>OF246816</v>
      </c>
      <c r="L417" s="11" t="e">
        <f>_xlfn.XLOOKUP(Mvt_Inter_entrepot[[#This Row],[Num OF]],#REF!,#REF!,"Non Trouvé")</f>
        <v>#REF!</v>
      </c>
      <c r="M417" s="11" t="e">
        <f>_xlfn.XLOOKUP(Mvt_Inter_entrepot[[#This Row],[Num OF]],#REF!,#REF!,"Non Trouvé")</f>
        <v>#REF!</v>
      </c>
      <c r="N417" s="11" t="e">
        <f>_xlfn.XLOOKUP(Mvt_Inter_entrepot[[#This Row],[Num OF]],#REF!,#REF!,"Non Trouvé")</f>
        <v>#REF!</v>
      </c>
      <c r="O417" s="11" t="e">
        <f>_xlfn.XLOOKUP(Mvt_Inter_entrepot[[#This Row],[Num OF]],#REF!,#REF!,"Non Trouvé")</f>
        <v>#REF!</v>
      </c>
      <c r="P417" s="11" t="e">
        <f>_xlfn.XLOOKUP(Mvt_Inter_entrepot[[#This Row],[Num OF]],#REF!,#REF!,"Non Trouvé")</f>
        <v>#REF!</v>
      </c>
      <c r="Q417" s="11" t="str">
        <f>IF(
   COUNTIFS($A$2:A417,A417,
             $B$2:B417,B417,
             $C$2:C417,C417,
             $D$2:D417,D417,
             $E$2:E417,E417,
             $H$2:H417,H417
             )&gt;1,
   "Doublon",
   "Correcte"
)</f>
        <v>Correcte</v>
      </c>
    </row>
    <row r="418" spans="1:17" x14ac:dyDescent="0.25">
      <c r="A418" s="11" t="s">
        <v>3235</v>
      </c>
      <c r="B418" s="11" t="s">
        <v>1153</v>
      </c>
      <c r="C418" s="11" t="s">
        <v>662</v>
      </c>
      <c r="D418" s="11" t="s">
        <v>1154</v>
      </c>
      <c r="E418" s="11">
        <v>1</v>
      </c>
      <c r="F418" s="11"/>
      <c r="G418" s="11" t="s">
        <v>664</v>
      </c>
      <c r="H418" s="14">
        <v>45915</v>
      </c>
      <c r="I418" s="12">
        <f>-Mvt_Inter_entrepot[[#This Row],[QTE]]</f>
        <v>-1</v>
      </c>
      <c r="J418" s="11" t="s">
        <v>554</v>
      </c>
      <c r="K418" s="11" t="str">
        <f>_xlfn.TEXTBEFORE(Mvt_Inter_entrepot[[#This Row],[Num Suivis]],"-",,,1)</f>
        <v>OF246817</v>
      </c>
      <c r="L418" s="11" t="e">
        <f>_xlfn.XLOOKUP(Mvt_Inter_entrepot[[#This Row],[Num OF]],#REF!,#REF!,"Non Trouvé")</f>
        <v>#REF!</v>
      </c>
      <c r="M418" s="11" t="e">
        <f>_xlfn.XLOOKUP(Mvt_Inter_entrepot[[#This Row],[Num OF]],#REF!,#REF!,"Non Trouvé")</f>
        <v>#REF!</v>
      </c>
      <c r="N418" s="11" t="e">
        <f>_xlfn.XLOOKUP(Mvt_Inter_entrepot[[#This Row],[Num OF]],#REF!,#REF!,"Non Trouvé")</f>
        <v>#REF!</v>
      </c>
      <c r="O418" s="11" t="e">
        <f>_xlfn.XLOOKUP(Mvt_Inter_entrepot[[#This Row],[Num OF]],#REF!,#REF!,"Non Trouvé")</f>
        <v>#REF!</v>
      </c>
      <c r="P418" s="11" t="e">
        <f>_xlfn.XLOOKUP(Mvt_Inter_entrepot[[#This Row],[Num OF]],#REF!,#REF!,"Non Trouvé")</f>
        <v>#REF!</v>
      </c>
      <c r="Q418" s="11" t="str">
        <f>IF(
   COUNTIFS($A$2:A418,A418,
             $B$2:B418,B418,
             $C$2:C418,C418,
             $D$2:D418,D418,
             $E$2:E418,E418,
             $H$2:H418,H418
             )&gt;1,
   "Doublon",
   "Correcte"
)</f>
        <v>Correcte</v>
      </c>
    </row>
    <row r="419" spans="1:17" x14ac:dyDescent="0.25">
      <c r="A419" s="11" t="s">
        <v>3236</v>
      </c>
      <c r="B419" s="11" t="s">
        <v>1153</v>
      </c>
      <c r="C419" s="11" t="s">
        <v>662</v>
      </c>
      <c r="D419" s="11" t="s">
        <v>1154</v>
      </c>
      <c r="E419" s="11">
        <v>1</v>
      </c>
      <c r="F419" s="11"/>
      <c r="G419" s="11" t="s">
        <v>664</v>
      </c>
      <c r="H419" s="14">
        <v>45915</v>
      </c>
      <c r="I419" s="12">
        <f>-Mvt_Inter_entrepot[[#This Row],[QTE]]</f>
        <v>-1</v>
      </c>
      <c r="J419" s="11" t="s">
        <v>555</v>
      </c>
      <c r="K419" s="11" t="str">
        <f>_xlfn.TEXTBEFORE(Mvt_Inter_entrepot[[#This Row],[Num Suivis]],"-",,,1)</f>
        <v>OF246820</v>
      </c>
      <c r="L419" s="11" t="e">
        <f>_xlfn.XLOOKUP(Mvt_Inter_entrepot[[#This Row],[Num OF]],#REF!,#REF!,"Non Trouvé")</f>
        <v>#REF!</v>
      </c>
      <c r="M419" s="11" t="e">
        <f>_xlfn.XLOOKUP(Mvt_Inter_entrepot[[#This Row],[Num OF]],#REF!,#REF!,"Non Trouvé")</f>
        <v>#REF!</v>
      </c>
      <c r="N419" s="11" t="e">
        <f>_xlfn.XLOOKUP(Mvt_Inter_entrepot[[#This Row],[Num OF]],#REF!,#REF!,"Non Trouvé")</f>
        <v>#REF!</v>
      </c>
      <c r="O419" s="11" t="e">
        <f>_xlfn.XLOOKUP(Mvt_Inter_entrepot[[#This Row],[Num OF]],#REF!,#REF!,"Non Trouvé")</f>
        <v>#REF!</v>
      </c>
      <c r="P419" s="11" t="e">
        <f>_xlfn.XLOOKUP(Mvt_Inter_entrepot[[#This Row],[Num OF]],#REF!,#REF!,"Non Trouvé")</f>
        <v>#REF!</v>
      </c>
      <c r="Q419" s="11" t="str">
        <f>IF(
   COUNTIFS($A$2:A419,A419,
             $B$2:B419,B419,
             $C$2:C419,C419,
             $D$2:D419,D419,
             $E$2:E419,E419,
             $H$2:H419,H419
             )&gt;1,
   "Doublon",
   "Correcte"
)</f>
        <v>Correcte</v>
      </c>
    </row>
    <row r="420" spans="1:17" x14ac:dyDescent="0.25">
      <c r="A420" s="11" t="s">
        <v>3237</v>
      </c>
      <c r="B420" s="11" t="s">
        <v>1153</v>
      </c>
      <c r="C420" s="11" t="s">
        <v>662</v>
      </c>
      <c r="D420" s="11" t="s">
        <v>1154</v>
      </c>
      <c r="E420" s="11">
        <v>3</v>
      </c>
      <c r="F420" s="11"/>
      <c r="G420" s="11" t="s">
        <v>664</v>
      </c>
      <c r="H420" s="14">
        <v>45915</v>
      </c>
      <c r="I420" s="12">
        <f>-Mvt_Inter_entrepot[[#This Row],[QTE]]</f>
        <v>-3</v>
      </c>
      <c r="J420" s="11" t="s">
        <v>556</v>
      </c>
      <c r="K420" s="11" t="str">
        <f>_xlfn.TEXTBEFORE(Mvt_Inter_entrepot[[#This Row],[Num Suivis]],"-",,,1)</f>
        <v>OF246821</v>
      </c>
      <c r="L420" s="11" t="e">
        <f>_xlfn.XLOOKUP(Mvt_Inter_entrepot[[#This Row],[Num OF]],#REF!,#REF!,"Non Trouvé")</f>
        <v>#REF!</v>
      </c>
      <c r="M420" s="11" t="e">
        <f>_xlfn.XLOOKUP(Mvt_Inter_entrepot[[#This Row],[Num OF]],#REF!,#REF!,"Non Trouvé")</f>
        <v>#REF!</v>
      </c>
      <c r="N420" s="11" t="e">
        <f>_xlfn.XLOOKUP(Mvt_Inter_entrepot[[#This Row],[Num OF]],#REF!,#REF!,"Non Trouvé")</f>
        <v>#REF!</v>
      </c>
      <c r="O420" s="11" t="e">
        <f>_xlfn.XLOOKUP(Mvt_Inter_entrepot[[#This Row],[Num OF]],#REF!,#REF!,"Non Trouvé")</f>
        <v>#REF!</v>
      </c>
      <c r="P420" s="11" t="e">
        <f>_xlfn.XLOOKUP(Mvt_Inter_entrepot[[#This Row],[Num OF]],#REF!,#REF!,"Non Trouvé")</f>
        <v>#REF!</v>
      </c>
      <c r="Q420" s="11" t="str">
        <f>IF(
   COUNTIFS($A$2:A420,A420,
             $B$2:B420,B420,
             $C$2:C420,C420,
             $D$2:D420,D420,
             $E$2:E420,E420,
             $H$2:H420,H420
             )&gt;1,
   "Doublon",
   "Correcte"
)</f>
        <v>Correcte</v>
      </c>
    </row>
    <row r="421" spans="1:17" x14ac:dyDescent="0.25">
      <c r="A421" s="11" t="s">
        <v>3238</v>
      </c>
      <c r="B421" s="11" t="s">
        <v>1153</v>
      </c>
      <c r="C421" s="11" t="s">
        <v>662</v>
      </c>
      <c r="D421" s="11" t="s">
        <v>1154</v>
      </c>
      <c r="E421" s="11">
        <v>2</v>
      </c>
      <c r="F421" s="11"/>
      <c r="G421" s="11" t="s">
        <v>664</v>
      </c>
      <c r="H421" s="14">
        <v>45915</v>
      </c>
      <c r="I421" s="12">
        <f>-Mvt_Inter_entrepot[[#This Row],[QTE]]</f>
        <v>-2</v>
      </c>
      <c r="J421" s="11" t="s">
        <v>557</v>
      </c>
      <c r="K421" s="11" t="str">
        <f>_xlfn.TEXTBEFORE(Mvt_Inter_entrepot[[#This Row],[Num Suivis]],"-",,,1)</f>
        <v>OF246827</v>
      </c>
      <c r="L421" s="11" t="e">
        <f>_xlfn.XLOOKUP(Mvt_Inter_entrepot[[#This Row],[Num OF]],#REF!,#REF!,"Non Trouvé")</f>
        <v>#REF!</v>
      </c>
      <c r="M421" s="11" t="e">
        <f>_xlfn.XLOOKUP(Mvt_Inter_entrepot[[#This Row],[Num OF]],#REF!,#REF!,"Non Trouvé")</f>
        <v>#REF!</v>
      </c>
      <c r="N421" s="11" t="e">
        <f>_xlfn.XLOOKUP(Mvt_Inter_entrepot[[#This Row],[Num OF]],#REF!,#REF!,"Non Trouvé")</f>
        <v>#REF!</v>
      </c>
      <c r="O421" s="11" t="e">
        <f>_xlfn.XLOOKUP(Mvt_Inter_entrepot[[#This Row],[Num OF]],#REF!,#REF!,"Non Trouvé")</f>
        <v>#REF!</v>
      </c>
      <c r="P421" s="11" t="e">
        <f>_xlfn.XLOOKUP(Mvt_Inter_entrepot[[#This Row],[Num OF]],#REF!,#REF!,"Non Trouvé")</f>
        <v>#REF!</v>
      </c>
      <c r="Q421" s="11" t="str">
        <f>IF(
   COUNTIFS($A$2:A421,A421,
             $B$2:B421,B421,
             $C$2:C421,C421,
             $D$2:D421,D421,
             $E$2:E421,E421,
             $H$2:H421,H421
             )&gt;1,
   "Doublon",
   "Correcte"
)</f>
        <v>Correcte</v>
      </c>
    </row>
    <row r="422" spans="1:17" x14ac:dyDescent="0.25">
      <c r="A422" s="11" t="s">
        <v>3239</v>
      </c>
      <c r="B422" s="11" t="s">
        <v>1153</v>
      </c>
      <c r="C422" s="11" t="s">
        <v>662</v>
      </c>
      <c r="D422" s="11" t="s">
        <v>1154</v>
      </c>
      <c r="E422" s="11">
        <v>1</v>
      </c>
      <c r="F422" s="11"/>
      <c r="G422" s="11" t="s">
        <v>664</v>
      </c>
      <c r="H422" s="14">
        <v>45915</v>
      </c>
      <c r="I422" s="12">
        <f>-Mvt_Inter_entrepot[[#This Row],[QTE]]</f>
        <v>-1</v>
      </c>
      <c r="J422" s="11" t="s">
        <v>558</v>
      </c>
      <c r="K422" s="11" t="str">
        <f>_xlfn.TEXTBEFORE(Mvt_Inter_entrepot[[#This Row],[Num Suivis]],"-",,,1)</f>
        <v>OF246831</v>
      </c>
      <c r="L422" s="11" t="e">
        <f>_xlfn.XLOOKUP(Mvt_Inter_entrepot[[#This Row],[Num OF]],#REF!,#REF!,"Non Trouvé")</f>
        <v>#REF!</v>
      </c>
      <c r="M422" s="11" t="e">
        <f>_xlfn.XLOOKUP(Mvt_Inter_entrepot[[#This Row],[Num OF]],#REF!,#REF!,"Non Trouvé")</f>
        <v>#REF!</v>
      </c>
      <c r="N422" s="11" t="e">
        <f>_xlfn.XLOOKUP(Mvt_Inter_entrepot[[#This Row],[Num OF]],#REF!,#REF!,"Non Trouvé")</f>
        <v>#REF!</v>
      </c>
      <c r="O422" s="11" t="e">
        <f>_xlfn.XLOOKUP(Mvt_Inter_entrepot[[#This Row],[Num OF]],#REF!,#REF!,"Non Trouvé")</f>
        <v>#REF!</v>
      </c>
      <c r="P422" s="11" t="e">
        <f>_xlfn.XLOOKUP(Mvt_Inter_entrepot[[#This Row],[Num OF]],#REF!,#REF!,"Non Trouvé")</f>
        <v>#REF!</v>
      </c>
      <c r="Q422" s="11" t="str">
        <f>IF(
   COUNTIFS($A$2:A422,A422,
             $B$2:B422,B422,
             $C$2:C422,C422,
             $D$2:D422,D422,
             $E$2:E422,E422,
             $H$2:H422,H422
             )&gt;1,
   "Doublon",
   "Correcte"
)</f>
        <v>Correcte</v>
      </c>
    </row>
    <row r="423" spans="1:17" x14ac:dyDescent="0.25">
      <c r="A423" s="11" t="s">
        <v>3240</v>
      </c>
      <c r="B423" s="11" t="s">
        <v>1153</v>
      </c>
      <c r="C423" s="11" t="s">
        <v>662</v>
      </c>
      <c r="D423" s="11" t="s">
        <v>1154</v>
      </c>
      <c r="E423" s="11">
        <v>1</v>
      </c>
      <c r="F423" s="11"/>
      <c r="G423" s="11" t="s">
        <v>664</v>
      </c>
      <c r="H423" s="14">
        <v>45915</v>
      </c>
      <c r="I423" s="12">
        <f>-Mvt_Inter_entrepot[[#This Row],[QTE]]</f>
        <v>-1</v>
      </c>
      <c r="J423" s="11" t="s">
        <v>559</v>
      </c>
      <c r="K423" s="11" t="str">
        <f>_xlfn.TEXTBEFORE(Mvt_Inter_entrepot[[#This Row],[Num Suivis]],"-",,,1)</f>
        <v>OF246833</v>
      </c>
      <c r="L423" s="11" t="e">
        <f>_xlfn.XLOOKUP(Mvt_Inter_entrepot[[#This Row],[Num OF]],#REF!,#REF!,"Non Trouvé")</f>
        <v>#REF!</v>
      </c>
      <c r="M423" s="11" t="e">
        <f>_xlfn.XLOOKUP(Mvt_Inter_entrepot[[#This Row],[Num OF]],#REF!,#REF!,"Non Trouvé")</f>
        <v>#REF!</v>
      </c>
      <c r="N423" s="11" t="e">
        <f>_xlfn.XLOOKUP(Mvt_Inter_entrepot[[#This Row],[Num OF]],#REF!,#REF!,"Non Trouvé")</f>
        <v>#REF!</v>
      </c>
      <c r="O423" s="11" t="e">
        <f>_xlfn.XLOOKUP(Mvt_Inter_entrepot[[#This Row],[Num OF]],#REF!,#REF!,"Non Trouvé")</f>
        <v>#REF!</v>
      </c>
      <c r="P423" s="11" t="e">
        <f>_xlfn.XLOOKUP(Mvt_Inter_entrepot[[#This Row],[Num OF]],#REF!,#REF!,"Non Trouvé")</f>
        <v>#REF!</v>
      </c>
      <c r="Q423" s="11" t="str">
        <f>IF(
   COUNTIFS($A$2:A423,A423,
             $B$2:B423,B423,
             $C$2:C423,C423,
             $D$2:D423,D423,
             $E$2:E423,E423,
             $H$2:H423,H423
             )&gt;1,
   "Doublon",
   "Correcte"
)</f>
        <v>Correcte</v>
      </c>
    </row>
    <row r="424" spans="1:17" x14ac:dyDescent="0.25">
      <c r="A424" s="11" t="s">
        <v>3241</v>
      </c>
      <c r="B424" s="11" t="s">
        <v>1153</v>
      </c>
      <c r="C424" s="11" t="s">
        <v>662</v>
      </c>
      <c r="D424" s="11" t="s">
        <v>1154</v>
      </c>
      <c r="E424" s="11">
        <v>5</v>
      </c>
      <c r="F424" s="11"/>
      <c r="G424" s="11" t="s">
        <v>664</v>
      </c>
      <c r="H424" s="14">
        <v>45915</v>
      </c>
      <c r="I424" s="12">
        <f>-Mvt_Inter_entrepot[[#This Row],[QTE]]</f>
        <v>-5</v>
      </c>
      <c r="J424" s="11" t="s">
        <v>560</v>
      </c>
      <c r="K424" s="11" t="str">
        <f>_xlfn.TEXTBEFORE(Mvt_Inter_entrepot[[#This Row],[Num Suivis]],"-",,,1)</f>
        <v>OF246834</v>
      </c>
      <c r="L424" s="11" t="e">
        <f>_xlfn.XLOOKUP(Mvt_Inter_entrepot[[#This Row],[Num OF]],#REF!,#REF!,"Non Trouvé")</f>
        <v>#REF!</v>
      </c>
      <c r="M424" s="11" t="e">
        <f>_xlfn.XLOOKUP(Mvt_Inter_entrepot[[#This Row],[Num OF]],#REF!,#REF!,"Non Trouvé")</f>
        <v>#REF!</v>
      </c>
      <c r="N424" s="11" t="e">
        <f>_xlfn.XLOOKUP(Mvt_Inter_entrepot[[#This Row],[Num OF]],#REF!,#REF!,"Non Trouvé")</f>
        <v>#REF!</v>
      </c>
      <c r="O424" s="11" t="e">
        <f>_xlfn.XLOOKUP(Mvt_Inter_entrepot[[#This Row],[Num OF]],#REF!,#REF!,"Non Trouvé")</f>
        <v>#REF!</v>
      </c>
      <c r="P424" s="11" t="e">
        <f>_xlfn.XLOOKUP(Mvt_Inter_entrepot[[#This Row],[Num OF]],#REF!,#REF!,"Non Trouvé")</f>
        <v>#REF!</v>
      </c>
      <c r="Q424" s="11" t="str">
        <f>IF(
   COUNTIFS($A$2:A424,A424,
             $B$2:B424,B424,
             $C$2:C424,C424,
             $D$2:D424,D424,
             $E$2:E424,E424,
             $H$2:H424,H424
             )&gt;1,
   "Doublon",
   "Correcte"
)</f>
        <v>Correcte</v>
      </c>
    </row>
    <row r="425" spans="1:17" x14ac:dyDescent="0.25">
      <c r="A425" s="11" t="s">
        <v>3242</v>
      </c>
      <c r="B425" s="11" t="s">
        <v>1153</v>
      </c>
      <c r="C425" s="11" t="s">
        <v>662</v>
      </c>
      <c r="D425" s="11" t="s">
        <v>1154</v>
      </c>
      <c r="E425" s="11">
        <v>1</v>
      </c>
      <c r="F425" s="11"/>
      <c r="G425" s="11" t="s">
        <v>664</v>
      </c>
      <c r="H425" s="14">
        <v>45915</v>
      </c>
      <c r="I425" s="12">
        <f>-Mvt_Inter_entrepot[[#This Row],[QTE]]</f>
        <v>-1</v>
      </c>
      <c r="J425" s="11" t="s">
        <v>561</v>
      </c>
      <c r="K425" s="11" t="str">
        <f>_xlfn.TEXTBEFORE(Mvt_Inter_entrepot[[#This Row],[Num Suivis]],"-",,,1)</f>
        <v>OF246839</v>
      </c>
      <c r="L425" s="11" t="e">
        <f>_xlfn.XLOOKUP(Mvt_Inter_entrepot[[#This Row],[Num OF]],#REF!,#REF!,"Non Trouvé")</f>
        <v>#REF!</v>
      </c>
      <c r="M425" s="11" t="e">
        <f>_xlfn.XLOOKUP(Mvt_Inter_entrepot[[#This Row],[Num OF]],#REF!,#REF!,"Non Trouvé")</f>
        <v>#REF!</v>
      </c>
      <c r="N425" s="11" t="e">
        <f>_xlfn.XLOOKUP(Mvt_Inter_entrepot[[#This Row],[Num OF]],#REF!,#REF!,"Non Trouvé")</f>
        <v>#REF!</v>
      </c>
      <c r="O425" s="11" t="e">
        <f>_xlfn.XLOOKUP(Mvt_Inter_entrepot[[#This Row],[Num OF]],#REF!,#REF!,"Non Trouvé")</f>
        <v>#REF!</v>
      </c>
      <c r="P425" s="11" t="e">
        <f>_xlfn.XLOOKUP(Mvt_Inter_entrepot[[#This Row],[Num OF]],#REF!,#REF!,"Non Trouvé")</f>
        <v>#REF!</v>
      </c>
      <c r="Q425" s="11" t="str">
        <f>IF(
   COUNTIFS($A$2:A425,A425,
             $B$2:B425,B425,
             $C$2:C425,C425,
             $D$2:D425,D425,
             $E$2:E425,E425,
             $H$2:H425,H425
             )&gt;1,
   "Doublon",
   "Correcte"
)</f>
        <v>Correcte</v>
      </c>
    </row>
    <row r="426" spans="1:17" x14ac:dyDescent="0.25">
      <c r="A426" s="11" t="s">
        <v>3243</v>
      </c>
      <c r="B426" s="11" t="s">
        <v>1153</v>
      </c>
      <c r="C426" s="11" t="s">
        <v>662</v>
      </c>
      <c r="D426" s="11" t="s">
        <v>1154</v>
      </c>
      <c r="E426" s="11">
        <v>6</v>
      </c>
      <c r="F426" s="11"/>
      <c r="G426" s="11" t="s">
        <v>664</v>
      </c>
      <c r="H426" s="14">
        <v>45915</v>
      </c>
      <c r="I426" s="12">
        <f>-Mvt_Inter_entrepot[[#This Row],[QTE]]</f>
        <v>-6</v>
      </c>
      <c r="J426" s="11" t="s">
        <v>562</v>
      </c>
      <c r="K426" s="11" t="str">
        <f>_xlfn.TEXTBEFORE(Mvt_Inter_entrepot[[#This Row],[Num Suivis]],"-",,,1)</f>
        <v>OF246840</v>
      </c>
      <c r="L426" s="11" t="e">
        <f>_xlfn.XLOOKUP(Mvt_Inter_entrepot[[#This Row],[Num OF]],#REF!,#REF!,"Non Trouvé")</f>
        <v>#REF!</v>
      </c>
      <c r="M426" s="11" t="e">
        <f>_xlfn.XLOOKUP(Mvt_Inter_entrepot[[#This Row],[Num OF]],#REF!,#REF!,"Non Trouvé")</f>
        <v>#REF!</v>
      </c>
      <c r="N426" s="11" t="e">
        <f>_xlfn.XLOOKUP(Mvt_Inter_entrepot[[#This Row],[Num OF]],#REF!,#REF!,"Non Trouvé")</f>
        <v>#REF!</v>
      </c>
      <c r="O426" s="11" t="e">
        <f>_xlfn.XLOOKUP(Mvt_Inter_entrepot[[#This Row],[Num OF]],#REF!,#REF!,"Non Trouvé")</f>
        <v>#REF!</v>
      </c>
      <c r="P426" s="11" t="e">
        <f>_xlfn.XLOOKUP(Mvt_Inter_entrepot[[#This Row],[Num OF]],#REF!,#REF!,"Non Trouvé")</f>
        <v>#REF!</v>
      </c>
      <c r="Q426" s="11" t="str">
        <f>IF(
   COUNTIFS($A$2:A426,A426,
             $B$2:B426,B426,
             $C$2:C426,C426,
             $D$2:D426,D426,
             $E$2:E426,E426,
             $H$2:H426,H426
             )&gt;1,
   "Doublon",
   "Correcte"
)</f>
        <v>Correcte</v>
      </c>
    </row>
    <row r="427" spans="1:17" x14ac:dyDescent="0.25">
      <c r="A427" s="11" t="s">
        <v>3244</v>
      </c>
      <c r="B427" s="11" t="s">
        <v>1153</v>
      </c>
      <c r="C427" s="11" t="s">
        <v>662</v>
      </c>
      <c r="D427" s="11" t="s">
        <v>1154</v>
      </c>
      <c r="E427" s="11">
        <v>11</v>
      </c>
      <c r="F427" s="11"/>
      <c r="G427" s="11" t="s">
        <v>664</v>
      </c>
      <c r="H427" s="14">
        <v>45915</v>
      </c>
      <c r="I427" s="12">
        <f>-Mvt_Inter_entrepot[[#This Row],[QTE]]</f>
        <v>-11</v>
      </c>
      <c r="J427" s="11" t="s">
        <v>563</v>
      </c>
      <c r="K427" s="11" t="str">
        <f>_xlfn.TEXTBEFORE(Mvt_Inter_entrepot[[#This Row],[Num Suivis]],"-",,,1)</f>
        <v>OF246842</v>
      </c>
      <c r="L427" s="11" t="e">
        <f>_xlfn.XLOOKUP(Mvt_Inter_entrepot[[#This Row],[Num OF]],#REF!,#REF!,"Non Trouvé")</f>
        <v>#REF!</v>
      </c>
      <c r="M427" s="11" t="e">
        <f>_xlfn.XLOOKUP(Mvt_Inter_entrepot[[#This Row],[Num OF]],#REF!,#REF!,"Non Trouvé")</f>
        <v>#REF!</v>
      </c>
      <c r="N427" s="11" t="e">
        <f>_xlfn.XLOOKUP(Mvt_Inter_entrepot[[#This Row],[Num OF]],#REF!,#REF!,"Non Trouvé")</f>
        <v>#REF!</v>
      </c>
      <c r="O427" s="11" t="e">
        <f>_xlfn.XLOOKUP(Mvt_Inter_entrepot[[#This Row],[Num OF]],#REF!,#REF!,"Non Trouvé")</f>
        <v>#REF!</v>
      </c>
      <c r="P427" s="11" t="e">
        <f>_xlfn.XLOOKUP(Mvt_Inter_entrepot[[#This Row],[Num OF]],#REF!,#REF!,"Non Trouvé")</f>
        <v>#REF!</v>
      </c>
      <c r="Q427" s="11" t="str">
        <f>IF(
   COUNTIFS($A$2:A427,A427,
             $B$2:B427,B427,
             $C$2:C427,C427,
             $D$2:D427,D427,
             $E$2:E427,E427,
             $H$2:H427,H427
             )&gt;1,
   "Doublon",
   "Correcte"
)</f>
        <v>Correcte</v>
      </c>
    </row>
    <row r="428" spans="1:17" x14ac:dyDescent="0.25">
      <c r="A428" s="11" t="s">
        <v>3245</v>
      </c>
      <c r="B428" s="11" t="s">
        <v>1153</v>
      </c>
      <c r="C428" s="11" t="s">
        <v>662</v>
      </c>
      <c r="D428" s="11" t="s">
        <v>1154</v>
      </c>
      <c r="E428" s="11">
        <v>1</v>
      </c>
      <c r="F428" s="11"/>
      <c r="G428" s="11" t="s">
        <v>664</v>
      </c>
      <c r="H428" s="14">
        <v>45915</v>
      </c>
      <c r="I428" s="12">
        <f>-Mvt_Inter_entrepot[[#This Row],[QTE]]</f>
        <v>-1</v>
      </c>
      <c r="J428" s="11" t="s">
        <v>564</v>
      </c>
      <c r="K428" s="11" t="str">
        <f>_xlfn.TEXTBEFORE(Mvt_Inter_entrepot[[#This Row],[Num Suivis]],"-",,,1)</f>
        <v>OF246849</v>
      </c>
      <c r="L428" s="11" t="e">
        <f>_xlfn.XLOOKUP(Mvt_Inter_entrepot[[#This Row],[Num OF]],#REF!,#REF!,"Non Trouvé")</f>
        <v>#REF!</v>
      </c>
      <c r="M428" s="11" t="e">
        <f>_xlfn.XLOOKUP(Mvt_Inter_entrepot[[#This Row],[Num OF]],#REF!,#REF!,"Non Trouvé")</f>
        <v>#REF!</v>
      </c>
      <c r="N428" s="11" t="e">
        <f>_xlfn.XLOOKUP(Mvt_Inter_entrepot[[#This Row],[Num OF]],#REF!,#REF!,"Non Trouvé")</f>
        <v>#REF!</v>
      </c>
      <c r="O428" s="11" t="e">
        <f>_xlfn.XLOOKUP(Mvt_Inter_entrepot[[#This Row],[Num OF]],#REF!,#REF!,"Non Trouvé")</f>
        <v>#REF!</v>
      </c>
      <c r="P428" s="11" t="e">
        <f>_xlfn.XLOOKUP(Mvt_Inter_entrepot[[#This Row],[Num OF]],#REF!,#REF!,"Non Trouvé")</f>
        <v>#REF!</v>
      </c>
      <c r="Q428" s="11" t="str">
        <f>IF(
   COUNTIFS($A$2:A428,A428,
             $B$2:B428,B428,
             $C$2:C428,C428,
             $D$2:D428,D428,
             $E$2:E428,E428,
             $H$2:H428,H428
             )&gt;1,
   "Doublon",
   "Correcte"
)</f>
        <v>Correcte</v>
      </c>
    </row>
    <row r="429" spans="1:17" x14ac:dyDescent="0.25">
      <c r="A429" s="11" t="s">
        <v>3246</v>
      </c>
      <c r="B429" s="11" t="s">
        <v>1153</v>
      </c>
      <c r="C429" s="11" t="s">
        <v>662</v>
      </c>
      <c r="D429" s="11" t="s">
        <v>1154</v>
      </c>
      <c r="E429" s="11">
        <v>2</v>
      </c>
      <c r="F429" s="11"/>
      <c r="G429" s="11" t="s">
        <v>664</v>
      </c>
      <c r="H429" s="14">
        <v>45915</v>
      </c>
      <c r="I429" s="12">
        <f>-Mvt_Inter_entrepot[[#This Row],[QTE]]</f>
        <v>-2</v>
      </c>
      <c r="J429" s="11" t="s">
        <v>565</v>
      </c>
      <c r="K429" s="11" t="str">
        <f>_xlfn.TEXTBEFORE(Mvt_Inter_entrepot[[#This Row],[Num Suivis]],"-",,,1)</f>
        <v>OF246852</v>
      </c>
      <c r="L429" s="11" t="e">
        <f>_xlfn.XLOOKUP(Mvt_Inter_entrepot[[#This Row],[Num OF]],#REF!,#REF!,"Non Trouvé")</f>
        <v>#REF!</v>
      </c>
      <c r="M429" s="11" t="e">
        <f>_xlfn.XLOOKUP(Mvt_Inter_entrepot[[#This Row],[Num OF]],#REF!,#REF!,"Non Trouvé")</f>
        <v>#REF!</v>
      </c>
      <c r="N429" s="11" t="e">
        <f>_xlfn.XLOOKUP(Mvt_Inter_entrepot[[#This Row],[Num OF]],#REF!,#REF!,"Non Trouvé")</f>
        <v>#REF!</v>
      </c>
      <c r="O429" s="11" t="e">
        <f>_xlfn.XLOOKUP(Mvt_Inter_entrepot[[#This Row],[Num OF]],#REF!,#REF!,"Non Trouvé")</f>
        <v>#REF!</v>
      </c>
      <c r="P429" s="11" t="e">
        <f>_xlfn.XLOOKUP(Mvt_Inter_entrepot[[#This Row],[Num OF]],#REF!,#REF!,"Non Trouvé")</f>
        <v>#REF!</v>
      </c>
      <c r="Q429" s="11" t="str">
        <f>IF(
   COUNTIFS($A$2:A429,A429,
             $B$2:B429,B429,
             $C$2:C429,C429,
             $D$2:D429,D429,
             $E$2:E429,E429,
             $H$2:H429,H429
             )&gt;1,
   "Doublon",
   "Correcte"
)</f>
        <v>Correcte</v>
      </c>
    </row>
    <row r="430" spans="1:17" x14ac:dyDescent="0.25">
      <c r="A430" s="11" t="s">
        <v>3247</v>
      </c>
      <c r="B430" s="11" t="s">
        <v>1153</v>
      </c>
      <c r="C430" s="11" t="s">
        <v>662</v>
      </c>
      <c r="D430" s="11" t="s">
        <v>1154</v>
      </c>
      <c r="E430" s="11">
        <v>1</v>
      </c>
      <c r="F430" s="11"/>
      <c r="G430" s="11" t="s">
        <v>664</v>
      </c>
      <c r="H430" s="14">
        <v>45915</v>
      </c>
      <c r="I430" s="12">
        <f>-Mvt_Inter_entrepot[[#This Row],[QTE]]</f>
        <v>-1</v>
      </c>
      <c r="J430" s="11" t="s">
        <v>566</v>
      </c>
      <c r="K430" s="11" t="str">
        <f>_xlfn.TEXTBEFORE(Mvt_Inter_entrepot[[#This Row],[Num Suivis]],"-",,,1)</f>
        <v>OF246856</v>
      </c>
      <c r="L430" s="11" t="e">
        <f>_xlfn.XLOOKUP(Mvt_Inter_entrepot[[#This Row],[Num OF]],#REF!,#REF!,"Non Trouvé")</f>
        <v>#REF!</v>
      </c>
      <c r="M430" s="11" t="e">
        <f>_xlfn.XLOOKUP(Mvt_Inter_entrepot[[#This Row],[Num OF]],#REF!,#REF!,"Non Trouvé")</f>
        <v>#REF!</v>
      </c>
      <c r="N430" s="11" t="e">
        <f>_xlfn.XLOOKUP(Mvt_Inter_entrepot[[#This Row],[Num OF]],#REF!,#REF!,"Non Trouvé")</f>
        <v>#REF!</v>
      </c>
      <c r="O430" s="11" t="e">
        <f>_xlfn.XLOOKUP(Mvt_Inter_entrepot[[#This Row],[Num OF]],#REF!,#REF!,"Non Trouvé")</f>
        <v>#REF!</v>
      </c>
      <c r="P430" s="11" t="e">
        <f>_xlfn.XLOOKUP(Mvt_Inter_entrepot[[#This Row],[Num OF]],#REF!,#REF!,"Non Trouvé")</f>
        <v>#REF!</v>
      </c>
      <c r="Q430" s="11" t="str">
        <f>IF(
   COUNTIFS($A$2:A430,A430,
             $B$2:B430,B430,
             $C$2:C430,C430,
             $D$2:D430,D430,
             $E$2:E430,E430,
             $H$2:H430,H430
             )&gt;1,
   "Doublon",
   "Correcte"
)</f>
        <v>Correcte</v>
      </c>
    </row>
    <row r="431" spans="1:17" x14ac:dyDescent="0.25">
      <c r="A431" s="11" t="s">
        <v>3248</v>
      </c>
      <c r="B431" s="11" t="s">
        <v>1153</v>
      </c>
      <c r="C431" s="11" t="s">
        <v>662</v>
      </c>
      <c r="D431" s="11" t="s">
        <v>1154</v>
      </c>
      <c r="E431" s="11">
        <v>5</v>
      </c>
      <c r="F431" s="11"/>
      <c r="G431" s="11" t="s">
        <v>664</v>
      </c>
      <c r="H431" s="14">
        <v>45915</v>
      </c>
      <c r="I431" s="12">
        <f>-Mvt_Inter_entrepot[[#This Row],[QTE]]</f>
        <v>-5</v>
      </c>
      <c r="J431" s="11" t="s">
        <v>567</v>
      </c>
      <c r="K431" s="11" t="str">
        <f>_xlfn.TEXTBEFORE(Mvt_Inter_entrepot[[#This Row],[Num Suivis]],"-",,,1)</f>
        <v>OF246861</v>
      </c>
      <c r="L431" s="11" t="e">
        <f>_xlfn.XLOOKUP(Mvt_Inter_entrepot[[#This Row],[Num OF]],#REF!,#REF!,"Non Trouvé")</f>
        <v>#REF!</v>
      </c>
      <c r="M431" s="11" t="e">
        <f>_xlfn.XLOOKUP(Mvt_Inter_entrepot[[#This Row],[Num OF]],#REF!,#REF!,"Non Trouvé")</f>
        <v>#REF!</v>
      </c>
      <c r="N431" s="11" t="e">
        <f>_xlfn.XLOOKUP(Mvt_Inter_entrepot[[#This Row],[Num OF]],#REF!,#REF!,"Non Trouvé")</f>
        <v>#REF!</v>
      </c>
      <c r="O431" s="11" t="e">
        <f>_xlfn.XLOOKUP(Mvt_Inter_entrepot[[#This Row],[Num OF]],#REF!,#REF!,"Non Trouvé")</f>
        <v>#REF!</v>
      </c>
      <c r="P431" s="11" t="e">
        <f>_xlfn.XLOOKUP(Mvt_Inter_entrepot[[#This Row],[Num OF]],#REF!,#REF!,"Non Trouvé")</f>
        <v>#REF!</v>
      </c>
      <c r="Q431" s="11" t="str">
        <f>IF(
   COUNTIFS($A$2:A431,A431,
             $B$2:B431,B431,
             $C$2:C431,C431,
             $D$2:D431,D431,
             $E$2:E431,E431,
             $H$2:H431,H431
             )&gt;1,
   "Doublon",
   "Correcte"
)</f>
        <v>Correcte</v>
      </c>
    </row>
    <row r="432" spans="1:17" x14ac:dyDescent="0.25">
      <c r="A432" s="11" t="s">
        <v>3249</v>
      </c>
      <c r="B432" s="11" t="s">
        <v>1153</v>
      </c>
      <c r="C432" s="11" t="s">
        <v>662</v>
      </c>
      <c r="D432" s="11" t="s">
        <v>1154</v>
      </c>
      <c r="E432" s="11">
        <v>1</v>
      </c>
      <c r="F432" s="11"/>
      <c r="G432" s="11" t="s">
        <v>664</v>
      </c>
      <c r="H432" s="14">
        <v>45915</v>
      </c>
      <c r="I432" s="12">
        <f>-Mvt_Inter_entrepot[[#This Row],[QTE]]</f>
        <v>-1</v>
      </c>
      <c r="J432" s="11" t="s">
        <v>568</v>
      </c>
      <c r="K432" s="11" t="str">
        <f>_xlfn.TEXTBEFORE(Mvt_Inter_entrepot[[#This Row],[Num Suivis]],"-",,,1)</f>
        <v>OF246862</v>
      </c>
      <c r="L432" s="11" t="e">
        <f>_xlfn.XLOOKUP(Mvt_Inter_entrepot[[#This Row],[Num OF]],#REF!,#REF!,"Non Trouvé")</f>
        <v>#REF!</v>
      </c>
      <c r="M432" s="11" t="e">
        <f>_xlfn.XLOOKUP(Mvt_Inter_entrepot[[#This Row],[Num OF]],#REF!,#REF!,"Non Trouvé")</f>
        <v>#REF!</v>
      </c>
      <c r="N432" s="11" t="e">
        <f>_xlfn.XLOOKUP(Mvt_Inter_entrepot[[#This Row],[Num OF]],#REF!,#REF!,"Non Trouvé")</f>
        <v>#REF!</v>
      </c>
      <c r="O432" s="11" t="e">
        <f>_xlfn.XLOOKUP(Mvt_Inter_entrepot[[#This Row],[Num OF]],#REF!,#REF!,"Non Trouvé")</f>
        <v>#REF!</v>
      </c>
      <c r="P432" s="11" t="e">
        <f>_xlfn.XLOOKUP(Mvt_Inter_entrepot[[#This Row],[Num OF]],#REF!,#REF!,"Non Trouvé")</f>
        <v>#REF!</v>
      </c>
      <c r="Q432" s="11" t="str">
        <f>IF(
   COUNTIFS($A$2:A432,A432,
             $B$2:B432,B432,
             $C$2:C432,C432,
             $D$2:D432,D432,
             $E$2:E432,E432,
             $H$2:H432,H432
             )&gt;1,
   "Doublon",
   "Correcte"
)</f>
        <v>Correcte</v>
      </c>
    </row>
    <row r="433" spans="1:17" x14ac:dyDescent="0.25">
      <c r="A433" s="11" t="s">
        <v>3250</v>
      </c>
      <c r="B433" s="11" t="s">
        <v>1153</v>
      </c>
      <c r="C433" s="11" t="s">
        <v>662</v>
      </c>
      <c r="D433" s="11" t="s">
        <v>1154</v>
      </c>
      <c r="E433" s="11">
        <v>1</v>
      </c>
      <c r="F433" s="11"/>
      <c r="G433" s="11" t="s">
        <v>664</v>
      </c>
      <c r="H433" s="14">
        <v>45915</v>
      </c>
      <c r="I433" s="12">
        <f>-Mvt_Inter_entrepot[[#This Row],[QTE]]</f>
        <v>-1</v>
      </c>
      <c r="J433" s="11" t="s">
        <v>569</v>
      </c>
      <c r="K433" s="11" t="str">
        <f>_xlfn.TEXTBEFORE(Mvt_Inter_entrepot[[#This Row],[Num Suivis]],"-",,,1)</f>
        <v>OF246863</v>
      </c>
      <c r="L433" s="11" t="e">
        <f>_xlfn.XLOOKUP(Mvt_Inter_entrepot[[#This Row],[Num OF]],#REF!,#REF!,"Non Trouvé")</f>
        <v>#REF!</v>
      </c>
      <c r="M433" s="11" t="e">
        <f>_xlfn.XLOOKUP(Mvt_Inter_entrepot[[#This Row],[Num OF]],#REF!,#REF!,"Non Trouvé")</f>
        <v>#REF!</v>
      </c>
      <c r="N433" s="11" t="e">
        <f>_xlfn.XLOOKUP(Mvt_Inter_entrepot[[#This Row],[Num OF]],#REF!,#REF!,"Non Trouvé")</f>
        <v>#REF!</v>
      </c>
      <c r="O433" s="11" t="e">
        <f>_xlfn.XLOOKUP(Mvt_Inter_entrepot[[#This Row],[Num OF]],#REF!,#REF!,"Non Trouvé")</f>
        <v>#REF!</v>
      </c>
      <c r="P433" s="11" t="e">
        <f>_xlfn.XLOOKUP(Mvt_Inter_entrepot[[#This Row],[Num OF]],#REF!,#REF!,"Non Trouvé")</f>
        <v>#REF!</v>
      </c>
      <c r="Q433" s="11" t="str">
        <f>IF(
   COUNTIFS($A$2:A433,A433,
             $B$2:B433,B433,
             $C$2:C433,C433,
             $D$2:D433,D433,
             $E$2:E433,E433,
             $H$2:H433,H433
             )&gt;1,
   "Doublon",
   "Correcte"
)</f>
        <v>Correcte</v>
      </c>
    </row>
    <row r="434" spans="1:17" x14ac:dyDescent="0.25">
      <c r="A434" s="11" t="s">
        <v>3251</v>
      </c>
      <c r="B434" s="11" t="s">
        <v>1153</v>
      </c>
      <c r="C434" s="11" t="s">
        <v>662</v>
      </c>
      <c r="D434" s="11" t="s">
        <v>1154</v>
      </c>
      <c r="E434" s="11">
        <v>1</v>
      </c>
      <c r="F434" s="11"/>
      <c r="G434" s="11" t="s">
        <v>664</v>
      </c>
      <c r="H434" s="14">
        <v>45915</v>
      </c>
      <c r="I434" s="12">
        <f>-Mvt_Inter_entrepot[[#This Row],[QTE]]</f>
        <v>-1</v>
      </c>
      <c r="J434" s="11" t="s">
        <v>570</v>
      </c>
      <c r="K434" s="11" t="str">
        <f>_xlfn.TEXTBEFORE(Mvt_Inter_entrepot[[#This Row],[Num Suivis]],"-",,,1)</f>
        <v>OF246868</v>
      </c>
      <c r="L434" s="11" t="e">
        <f>_xlfn.XLOOKUP(Mvt_Inter_entrepot[[#This Row],[Num OF]],#REF!,#REF!,"Non Trouvé")</f>
        <v>#REF!</v>
      </c>
      <c r="M434" s="11" t="e">
        <f>_xlfn.XLOOKUP(Mvt_Inter_entrepot[[#This Row],[Num OF]],#REF!,#REF!,"Non Trouvé")</f>
        <v>#REF!</v>
      </c>
      <c r="N434" s="11" t="e">
        <f>_xlfn.XLOOKUP(Mvt_Inter_entrepot[[#This Row],[Num OF]],#REF!,#REF!,"Non Trouvé")</f>
        <v>#REF!</v>
      </c>
      <c r="O434" s="11" t="e">
        <f>_xlfn.XLOOKUP(Mvt_Inter_entrepot[[#This Row],[Num OF]],#REF!,#REF!,"Non Trouvé")</f>
        <v>#REF!</v>
      </c>
      <c r="P434" s="11" t="e">
        <f>_xlfn.XLOOKUP(Mvt_Inter_entrepot[[#This Row],[Num OF]],#REF!,#REF!,"Non Trouvé")</f>
        <v>#REF!</v>
      </c>
      <c r="Q434" s="11" t="str">
        <f>IF(
   COUNTIFS($A$2:A434,A434,
             $B$2:B434,B434,
             $C$2:C434,C434,
             $D$2:D434,D434,
             $E$2:E434,E434,
             $H$2:H434,H434
             )&gt;1,
   "Doublon",
   "Correcte"
)</f>
        <v>Correcte</v>
      </c>
    </row>
    <row r="435" spans="1:17" x14ac:dyDescent="0.25">
      <c r="A435" s="11" t="s">
        <v>3252</v>
      </c>
      <c r="B435" s="11" t="s">
        <v>1153</v>
      </c>
      <c r="C435" s="11" t="s">
        <v>662</v>
      </c>
      <c r="D435" s="11" t="s">
        <v>1154</v>
      </c>
      <c r="E435" s="11">
        <v>2</v>
      </c>
      <c r="F435" s="11"/>
      <c r="G435" s="11" t="s">
        <v>664</v>
      </c>
      <c r="H435" s="14">
        <v>45915</v>
      </c>
      <c r="I435" s="12">
        <f>-Mvt_Inter_entrepot[[#This Row],[QTE]]</f>
        <v>-2</v>
      </c>
      <c r="J435" s="11" t="s">
        <v>571</v>
      </c>
      <c r="K435" s="11" t="str">
        <f>_xlfn.TEXTBEFORE(Mvt_Inter_entrepot[[#This Row],[Num Suivis]],"-",,,1)</f>
        <v>OF246871</v>
      </c>
      <c r="L435" s="11" t="e">
        <f>_xlfn.XLOOKUP(Mvt_Inter_entrepot[[#This Row],[Num OF]],#REF!,#REF!,"Non Trouvé")</f>
        <v>#REF!</v>
      </c>
      <c r="M435" s="11" t="e">
        <f>_xlfn.XLOOKUP(Mvt_Inter_entrepot[[#This Row],[Num OF]],#REF!,#REF!,"Non Trouvé")</f>
        <v>#REF!</v>
      </c>
      <c r="N435" s="11" t="e">
        <f>_xlfn.XLOOKUP(Mvt_Inter_entrepot[[#This Row],[Num OF]],#REF!,#REF!,"Non Trouvé")</f>
        <v>#REF!</v>
      </c>
      <c r="O435" s="11" t="e">
        <f>_xlfn.XLOOKUP(Mvt_Inter_entrepot[[#This Row],[Num OF]],#REF!,#REF!,"Non Trouvé")</f>
        <v>#REF!</v>
      </c>
      <c r="P435" s="11" t="e">
        <f>_xlfn.XLOOKUP(Mvt_Inter_entrepot[[#This Row],[Num OF]],#REF!,#REF!,"Non Trouvé")</f>
        <v>#REF!</v>
      </c>
      <c r="Q435" s="11" t="str">
        <f>IF(
   COUNTIFS($A$2:A435,A435,
             $B$2:B435,B435,
             $C$2:C435,C435,
             $D$2:D435,D435,
             $E$2:E435,E435,
             $H$2:H435,H435
             )&gt;1,
   "Doublon",
   "Correcte"
)</f>
        <v>Correcte</v>
      </c>
    </row>
    <row r="436" spans="1:17" x14ac:dyDescent="0.25">
      <c r="A436" s="11" t="s">
        <v>3253</v>
      </c>
      <c r="B436" s="11" t="s">
        <v>1153</v>
      </c>
      <c r="C436" s="11" t="s">
        <v>662</v>
      </c>
      <c r="D436" s="11" t="s">
        <v>1154</v>
      </c>
      <c r="E436" s="11">
        <v>1</v>
      </c>
      <c r="F436" s="11"/>
      <c r="G436" s="11" t="s">
        <v>664</v>
      </c>
      <c r="H436" s="14">
        <v>45915</v>
      </c>
      <c r="I436" s="12">
        <f>-Mvt_Inter_entrepot[[#This Row],[QTE]]</f>
        <v>-1</v>
      </c>
      <c r="J436" s="11" t="s">
        <v>572</v>
      </c>
      <c r="K436" s="11" t="str">
        <f>_xlfn.TEXTBEFORE(Mvt_Inter_entrepot[[#This Row],[Num Suivis]],"-",,,1)</f>
        <v>OF246874</v>
      </c>
      <c r="L436" s="11" t="e">
        <f>_xlfn.XLOOKUP(Mvt_Inter_entrepot[[#This Row],[Num OF]],#REF!,#REF!,"Non Trouvé")</f>
        <v>#REF!</v>
      </c>
      <c r="M436" s="11" t="e">
        <f>_xlfn.XLOOKUP(Mvt_Inter_entrepot[[#This Row],[Num OF]],#REF!,#REF!,"Non Trouvé")</f>
        <v>#REF!</v>
      </c>
      <c r="N436" s="11" t="e">
        <f>_xlfn.XLOOKUP(Mvt_Inter_entrepot[[#This Row],[Num OF]],#REF!,#REF!,"Non Trouvé")</f>
        <v>#REF!</v>
      </c>
      <c r="O436" s="11" t="e">
        <f>_xlfn.XLOOKUP(Mvt_Inter_entrepot[[#This Row],[Num OF]],#REF!,#REF!,"Non Trouvé")</f>
        <v>#REF!</v>
      </c>
      <c r="P436" s="11" t="e">
        <f>_xlfn.XLOOKUP(Mvt_Inter_entrepot[[#This Row],[Num OF]],#REF!,#REF!,"Non Trouvé")</f>
        <v>#REF!</v>
      </c>
      <c r="Q436" s="11" t="str">
        <f>IF(
   COUNTIFS($A$2:A436,A436,
             $B$2:B436,B436,
             $C$2:C436,C436,
             $D$2:D436,D436,
             $E$2:E436,E436,
             $H$2:H436,H436
             )&gt;1,
   "Doublon",
   "Correcte"
)</f>
        <v>Correcte</v>
      </c>
    </row>
    <row r="437" spans="1:17" x14ac:dyDescent="0.25">
      <c r="A437" s="11" t="s">
        <v>3254</v>
      </c>
      <c r="B437" s="11" t="s">
        <v>1153</v>
      </c>
      <c r="C437" s="11" t="s">
        <v>662</v>
      </c>
      <c r="D437" s="11" t="s">
        <v>1154</v>
      </c>
      <c r="E437" s="11">
        <v>27</v>
      </c>
      <c r="F437" s="11"/>
      <c r="G437" s="11" t="s">
        <v>664</v>
      </c>
      <c r="H437" s="14">
        <v>45915</v>
      </c>
      <c r="I437" s="12">
        <f>-Mvt_Inter_entrepot[[#This Row],[QTE]]</f>
        <v>-27</v>
      </c>
      <c r="J437" s="11" t="s">
        <v>295</v>
      </c>
      <c r="K437" s="11" t="str">
        <f>_xlfn.TEXTBEFORE(Mvt_Inter_entrepot[[#This Row],[Num Suivis]],"-",,,1)</f>
        <v>OF246884</v>
      </c>
      <c r="L437" s="11" t="e">
        <f>_xlfn.XLOOKUP(Mvt_Inter_entrepot[[#This Row],[Num OF]],#REF!,#REF!,"Non Trouvé")</f>
        <v>#REF!</v>
      </c>
      <c r="M437" s="11" t="e">
        <f>_xlfn.XLOOKUP(Mvt_Inter_entrepot[[#This Row],[Num OF]],#REF!,#REF!,"Non Trouvé")</f>
        <v>#REF!</v>
      </c>
      <c r="N437" s="11" t="e">
        <f>_xlfn.XLOOKUP(Mvt_Inter_entrepot[[#This Row],[Num OF]],#REF!,#REF!,"Non Trouvé")</f>
        <v>#REF!</v>
      </c>
      <c r="O437" s="11" t="e">
        <f>_xlfn.XLOOKUP(Mvt_Inter_entrepot[[#This Row],[Num OF]],#REF!,#REF!,"Non Trouvé")</f>
        <v>#REF!</v>
      </c>
      <c r="P437" s="11" t="e">
        <f>_xlfn.XLOOKUP(Mvt_Inter_entrepot[[#This Row],[Num OF]],#REF!,#REF!,"Non Trouvé")</f>
        <v>#REF!</v>
      </c>
      <c r="Q437" s="11" t="str">
        <f>IF(
   COUNTIFS($A$2:A437,A437,
             $B$2:B437,B437,
             $C$2:C437,C437,
             $D$2:D437,D437,
             $E$2:E437,E437,
             $H$2:H437,H437
             )&gt;1,
   "Doublon",
   "Correcte"
)</f>
        <v>Correcte</v>
      </c>
    </row>
    <row r="438" spans="1:17" x14ac:dyDescent="0.25">
      <c r="A438" s="11" t="s">
        <v>3255</v>
      </c>
      <c r="B438" s="11" t="s">
        <v>1153</v>
      </c>
      <c r="C438" s="11" t="s">
        <v>662</v>
      </c>
      <c r="D438" s="11" t="s">
        <v>1154</v>
      </c>
      <c r="E438" s="11">
        <v>14</v>
      </c>
      <c r="F438" s="11"/>
      <c r="G438" s="11" t="s">
        <v>664</v>
      </c>
      <c r="H438" s="14">
        <v>45915</v>
      </c>
      <c r="I438" s="12">
        <f>-Mvt_Inter_entrepot[[#This Row],[QTE]]</f>
        <v>-14</v>
      </c>
      <c r="J438" s="11" t="s">
        <v>296</v>
      </c>
      <c r="K438" s="11" t="str">
        <f>_xlfn.TEXTBEFORE(Mvt_Inter_entrepot[[#This Row],[Num Suivis]],"-",,,1)</f>
        <v>OF246885</v>
      </c>
      <c r="L438" s="11" t="e">
        <f>_xlfn.XLOOKUP(Mvt_Inter_entrepot[[#This Row],[Num OF]],#REF!,#REF!,"Non Trouvé")</f>
        <v>#REF!</v>
      </c>
      <c r="M438" s="11" t="e">
        <f>_xlfn.XLOOKUP(Mvt_Inter_entrepot[[#This Row],[Num OF]],#REF!,#REF!,"Non Trouvé")</f>
        <v>#REF!</v>
      </c>
      <c r="N438" s="11" t="e">
        <f>_xlfn.XLOOKUP(Mvt_Inter_entrepot[[#This Row],[Num OF]],#REF!,#REF!,"Non Trouvé")</f>
        <v>#REF!</v>
      </c>
      <c r="O438" s="11" t="e">
        <f>_xlfn.XLOOKUP(Mvt_Inter_entrepot[[#This Row],[Num OF]],#REF!,#REF!,"Non Trouvé")</f>
        <v>#REF!</v>
      </c>
      <c r="P438" s="11" t="e">
        <f>_xlfn.XLOOKUP(Mvt_Inter_entrepot[[#This Row],[Num OF]],#REF!,#REF!,"Non Trouvé")</f>
        <v>#REF!</v>
      </c>
      <c r="Q438" s="11" t="str">
        <f>IF(
   COUNTIFS($A$2:A438,A438,
             $B$2:B438,B438,
             $C$2:C438,C438,
             $D$2:D438,D438,
             $E$2:E438,E438,
             $H$2:H438,H438
             )&gt;1,
   "Doublon",
   "Correcte"
)</f>
        <v>Correcte</v>
      </c>
    </row>
    <row r="439" spans="1:17" x14ac:dyDescent="0.25">
      <c r="A439" s="11" t="s">
        <v>3256</v>
      </c>
      <c r="B439" s="11" t="s">
        <v>1153</v>
      </c>
      <c r="C439" s="11" t="s">
        <v>662</v>
      </c>
      <c r="D439" s="11" t="s">
        <v>1154</v>
      </c>
      <c r="E439" s="11">
        <v>32</v>
      </c>
      <c r="F439" s="11"/>
      <c r="G439" s="11" t="s">
        <v>664</v>
      </c>
      <c r="H439" s="14">
        <v>45915</v>
      </c>
      <c r="I439" s="12">
        <f>-Mvt_Inter_entrepot[[#This Row],[QTE]]</f>
        <v>-32</v>
      </c>
      <c r="J439" s="11" t="s">
        <v>297</v>
      </c>
      <c r="K439" s="11" t="str">
        <f>_xlfn.TEXTBEFORE(Mvt_Inter_entrepot[[#This Row],[Num Suivis]],"-",,,1)</f>
        <v>OF246887</v>
      </c>
      <c r="L439" s="11" t="e">
        <f>_xlfn.XLOOKUP(Mvt_Inter_entrepot[[#This Row],[Num OF]],#REF!,#REF!,"Non Trouvé")</f>
        <v>#REF!</v>
      </c>
      <c r="M439" s="11" t="e">
        <f>_xlfn.XLOOKUP(Mvt_Inter_entrepot[[#This Row],[Num OF]],#REF!,#REF!,"Non Trouvé")</f>
        <v>#REF!</v>
      </c>
      <c r="N439" s="11" t="e">
        <f>_xlfn.XLOOKUP(Mvt_Inter_entrepot[[#This Row],[Num OF]],#REF!,#REF!,"Non Trouvé")</f>
        <v>#REF!</v>
      </c>
      <c r="O439" s="11" t="e">
        <f>_xlfn.XLOOKUP(Mvt_Inter_entrepot[[#This Row],[Num OF]],#REF!,#REF!,"Non Trouvé")</f>
        <v>#REF!</v>
      </c>
      <c r="P439" s="11" t="e">
        <f>_xlfn.XLOOKUP(Mvt_Inter_entrepot[[#This Row],[Num OF]],#REF!,#REF!,"Non Trouvé")</f>
        <v>#REF!</v>
      </c>
      <c r="Q439" s="11" t="str">
        <f>IF(
   COUNTIFS($A$2:A439,A439,
             $B$2:B439,B439,
             $C$2:C439,C439,
             $D$2:D439,D439,
             $E$2:E439,E439,
             $H$2:H439,H439
             )&gt;1,
   "Doublon",
   "Correcte"
)</f>
        <v>Correcte</v>
      </c>
    </row>
    <row r="440" spans="1:17" x14ac:dyDescent="0.25">
      <c r="A440" s="11" t="s">
        <v>3257</v>
      </c>
      <c r="B440" s="11" t="s">
        <v>1153</v>
      </c>
      <c r="C440" s="11" t="s">
        <v>662</v>
      </c>
      <c r="D440" s="11" t="s">
        <v>1154</v>
      </c>
      <c r="E440" s="11">
        <v>30</v>
      </c>
      <c r="F440" s="11"/>
      <c r="G440" s="11" t="s">
        <v>664</v>
      </c>
      <c r="H440" s="14">
        <v>45915</v>
      </c>
      <c r="I440" s="12">
        <f>-Mvt_Inter_entrepot[[#This Row],[QTE]]</f>
        <v>-30</v>
      </c>
      <c r="J440" s="11" t="s">
        <v>298</v>
      </c>
      <c r="K440" s="11" t="str">
        <f>_xlfn.TEXTBEFORE(Mvt_Inter_entrepot[[#This Row],[Num Suivis]],"-",,,1)</f>
        <v>OF246888</v>
      </c>
      <c r="L440" s="11" t="e">
        <f>_xlfn.XLOOKUP(Mvt_Inter_entrepot[[#This Row],[Num OF]],#REF!,#REF!,"Non Trouvé")</f>
        <v>#REF!</v>
      </c>
      <c r="M440" s="11" t="e">
        <f>_xlfn.XLOOKUP(Mvt_Inter_entrepot[[#This Row],[Num OF]],#REF!,#REF!,"Non Trouvé")</f>
        <v>#REF!</v>
      </c>
      <c r="N440" s="11" t="e">
        <f>_xlfn.XLOOKUP(Mvt_Inter_entrepot[[#This Row],[Num OF]],#REF!,#REF!,"Non Trouvé")</f>
        <v>#REF!</v>
      </c>
      <c r="O440" s="11" t="e">
        <f>_xlfn.XLOOKUP(Mvt_Inter_entrepot[[#This Row],[Num OF]],#REF!,#REF!,"Non Trouvé")</f>
        <v>#REF!</v>
      </c>
      <c r="P440" s="11" t="e">
        <f>_xlfn.XLOOKUP(Mvt_Inter_entrepot[[#This Row],[Num OF]],#REF!,#REF!,"Non Trouvé")</f>
        <v>#REF!</v>
      </c>
      <c r="Q440" s="11" t="str">
        <f>IF(
   COUNTIFS($A$2:A440,A440,
             $B$2:B440,B440,
             $C$2:C440,C440,
             $D$2:D440,D440,
             $E$2:E440,E440,
             $H$2:H440,H440
             )&gt;1,
   "Doublon",
   "Correcte"
)</f>
        <v>Correcte</v>
      </c>
    </row>
    <row r="441" spans="1:17" x14ac:dyDescent="0.25">
      <c r="A441" s="11" t="s">
        <v>3258</v>
      </c>
      <c r="B441" s="11" t="s">
        <v>1153</v>
      </c>
      <c r="C441" s="11" t="s">
        <v>662</v>
      </c>
      <c r="D441" s="11" t="s">
        <v>1154</v>
      </c>
      <c r="E441" s="11">
        <v>9</v>
      </c>
      <c r="F441" s="11"/>
      <c r="G441" s="11" t="s">
        <v>664</v>
      </c>
      <c r="H441" s="14">
        <v>45915</v>
      </c>
      <c r="I441" s="12">
        <f>-Mvt_Inter_entrepot[[#This Row],[QTE]]</f>
        <v>-9</v>
      </c>
      <c r="J441" s="11" t="s">
        <v>116</v>
      </c>
      <c r="K441" s="11" t="str">
        <f>_xlfn.TEXTBEFORE(Mvt_Inter_entrepot[[#This Row],[Num Suivis]],"-",,,1)</f>
        <v>CA250831</v>
      </c>
      <c r="L441" s="11" t="e">
        <f>_xlfn.XLOOKUP(Mvt_Inter_entrepot[[#This Row],[Num OF]],#REF!,#REF!,"Non Trouvé")</f>
        <v>#REF!</v>
      </c>
      <c r="M441" s="11" t="e">
        <f>_xlfn.XLOOKUP(Mvt_Inter_entrepot[[#This Row],[Num OF]],#REF!,#REF!,"Non Trouvé")</f>
        <v>#REF!</v>
      </c>
      <c r="N441" s="11" t="e">
        <f>_xlfn.XLOOKUP(Mvt_Inter_entrepot[[#This Row],[Num OF]],#REF!,#REF!,"Non Trouvé")</f>
        <v>#REF!</v>
      </c>
      <c r="O441" s="11" t="e">
        <f>_xlfn.XLOOKUP(Mvt_Inter_entrepot[[#This Row],[Num OF]],#REF!,#REF!,"Non Trouvé")</f>
        <v>#REF!</v>
      </c>
      <c r="P441" s="11" t="e">
        <f>_xlfn.XLOOKUP(Mvt_Inter_entrepot[[#This Row],[Num OF]],#REF!,#REF!,"Non Trouvé")</f>
        <v>#REF!</v>
      </c>
      <c r="Q441" s="11" t="str">
        <f>IF(
   COUNTIFS($A$2:A441,A441,
             $B$2:B441,B441,
             $C$2:C441,C441,
             $D$2:D441,D441,
             $E$2:E441,E441,
             $H$2:H441,H441
             )&gt;1,
   "Doublon",
   "Correcte"
)</f>
        <v>Correcte</v>
      </c>
    </row>
    <row r="442" spans="1:17" x14ac:dyDescent="0.25">
      <c r="A442" s="11" t="s">
        <v>3259</v>
      </c>
      <c r="B442" s="11" t="s">
        <v>1153</v>
      </c>
      <c r="C442" s="11" t="s">
        <v>662</v>
      </c>
      <c r="D442" s="11" t="s">
        <v>1154</v>
      </c>
      <c r="E442" s="11">
        <v>68</v>
      </c>
      <c r="F442" s="11"/>
      <c r="G442" s="11" t="s">
        <v>664</v>
      </c>
      <c r="H442" s="14">
        <v>45915</v>
      </c>
      <c r="I442" s="12">
        <f>-Mvt_Inter_entrepot[[#This Row],[QTE]]</f>
        <v>-68</v>
      </c>
      <c r="J442" s="11" t="s">
        <v>88</v>
      </c>
      <c r="K442" s="11" t="str">
        <f>_xlfn.TEXTBEFORE(Mvt_Inter_entrepot[[#This Row],[Num Suivis]],"-",,,1)</f>
        <v>CA250311</v>
      </c>
      <c r="L442" s="11" t="e">
        <f>_xlfn.XLOOKUP(Mvt_Inter_entrepot[[#This Row],[Num OF]],#REF!,#REF!,"Non Trouvé")</f>
        <v>#REF!</v>
      </c>
      <c r="M442" s="11" t="e">
        <f>_xlfn.XLOOKUP(Mvt_Inter_entrepot[[#This Row],[Num OF]],#REF!,#REF!,"Non Trouvé")</f>
        <v>#REF!</v>
      </c>
      <c r="N442" s="11" t="e">
        <f>_xlfn.XLOOKUP(Mvt_Inter_entrepot[[#This Row],[Num OF]],#REF!,#REF!,"Non Trouvé")</f>
        <v>#REF!</v>
      </c>
      <c r="O442" s="11" t="e">
        <f>_xlfn.XLOOKUP(Mvt_Inter_entrepot[[#This Row],[Num OF]],#REF!,#REF!,"Non Trouvé")</f>
        <v>#REF!</v>
      </c>
      <c r="P442" s="11" t="e">
        <f>_xlfn.XLOOKUP(Mvt_Inter_entrepot[[#This Row],[Num OF]],#REF!,#REF!,"Non Trouvé")</f>
        <v>#REF!</v>
      </c>
      <c r="Q442" s="11" t="str">
        <f>IF(
   COUNTIFS($A$2:A442,A442,
             $B$2:B442,B442,
             $C$2:C442,C442,
             $D$2:D442,D442,
             $E$2:E442,E442,
             $H$2:H442,H442
             )&gt;1,
   "Doublon",
   "Correcte"
)</f>
        <v>Correcte</v>
      </c>
    </row>
    <row r="443" spans="1:17" x14ac:dyDescent="0.25">
      <c r="A443" s="11" t="s">
        <v>2984</v>
      </c>
      <c r="B443" s="11" t="s">
        <v>1153</v>
      </c>
      <c r="C443" s="11" t="s">
        <v>662</v>
      </c>
      <c r="D443" s="11" t="s">
        <v>1154</v>
      </c>
      <c r="E443" s="11">
        <v>7</v>
      </c>
      <c r="F443" s="11"/>
      <c r="G443" s="11" t="s">
        <v>664</v>
      </c>
      <c r="H443" s="14">
        <v>45915</v>
      </c>
      <c r="I443" s="12">
        <f>-Mvt_Inter_entrepot[[#This Row],[QTE]]</f>
        <v>-7</v>
      </c>
      <c r="J443" s="11" t="s">
        <v>354</v>
      </c>
      <c r="K443" s="11" t="str">
        <f>_xlfn.TEXTBEFORE(Mvt_Inter_entrepot[[#This Row],[Num Suivis]],"-",,,1)</f>
        <v>OF242480</v>
      </c>
      <c r="L443" s="11" t="e">
        <f>_xlfn.XLOOKUP(Mvt_Inter_entrepot[[#This Row],[Num OF]],#REF!,#REF!,"Non Trouvé")</f>
        <v>#REF!</v>
      </c>
      <c r="M443" s="11" t="e">
        <f>_xlfn.XLOOKUP(Mvt_Inter_entrepot[[#This Row],[Num OF]],#REF!,#REF!,"Non Trouvé")</f>
        <v>#REF!</v>
      </c>
      <c r="N443" s="11" t="e">
        <f>_xlfn.XLOOKUP(Mvt_Inter_entrepot[[#This Row],[Num OF]],#REF!,#REF!,"Non Trouvé")</f>
        <v>#REF!</v>
      </c>
      <c r="O443" s="11" t="e">
        <f>_xlfn.XLOOKUP(Mvt_Inter_entrepot[[#This Row],[Num OF]],#REF!,#REF!,"Non Trouvé")</f>
        <v>#REF!</v>
      </c>
      <c r="P443" s="11" t="e">
        <f>_xlfn.XLOOKUP(Mvt_Inter_entrepot[[#This Row],[Num OF]],#REF!,#REF!,"Non Trouvé")</f>
        <v>#REF!</v>
      </c>
      <c r="Q443" s="11" t="str">
        <f>IF(
   COUNTIFS($A$2:A443,A443,
             $B$2:B443,B443,
             $C$2:C443,C443,
             $D$2:D443,D443,
             $E$2:E443,E443,
             $H$2:H443,H443
             )&gt;1,
   "Doublon",
   "Correcte"
)</f>
        <v>Correcte</v>
      </c>
    </row>
    <row r="444" spans="1:17" x14ac:dyDescent="0.25">
      <c r="A444" s="11" t="s">
        <v>3260</v>
      </c>
      <c r="B444" s="11" t="s">
        <v>1153</v>
      </c>
      <c r="C444" s="11" t="s">
        <v>662</v>
      </c>
      <c r="D444" s="11" t="s">
        <v>1154</v>
      </c>
      <c r="E444" s="11">
        <v>3</v>
      </c>
      <c r="F444" s="11"/>
      <c r="G444" s="11" t="s">
        <v>664</v>
      </c>
      <c r="H444" s="14">
        <v>45915</v>
      </c>
      <c r="I444" s="12">
        <f>-Mvt_Inter_entrepot[[#This Row],[QTE]]</f>
        <v>-3</v>
      </c>
      <c r="J444" s="11" t="s">
        <v>321</v>
      </c>
      <c r="K444" s="11" t="str">
        <f>_xlfn.TEXTBEFORE(Mvt_Inter_entrepot[[#This Row],[Num Suivis]],"-",,,1)</f>
        <v>OF241312</v>
      </c>
      <c r="L444" s="11" t="e">
        <f>_xlfn.XLOOKUP(Mvt_Inter_entrepot[[#This Row],[Num OF]],#REF!,#REF!,"Non Trouvé")</f>
        <v>#REF!</v>
      </c>
      <c r="M444" s="11" t="e">
        <f>_xlfn.XLOOKUP(Mvt_Inter_entrepot[[#This Row],[Num OF]],#REF!,#REF!,"Non Trouvé")</f>
        <v>#REF!</v>
      </c>
      <c r="N444" s="11" t="e">
        <f>_xlfn.XLOOKUP(Mvt_Inter_entrepot[[#This Row],[Num OF]],#REF!,#REF!,"Non Trouvé")</f>
        <v>#REF!</v>
      </c>
      <c r="O444" s="11" t="e">
        <f>_xlfn.XLOOKUP(Mvt_Inter_entrepot[[#This Row],[Num OF]],#REF!,#REF!,"Non Trouvé")</f>
        <v>#REF!</v>
      </c>
      <c r="P444" s="11" t="e">
        <f>_xlfn.XLOOKUP(Mvt_Inter_entrepot[[#This Row],[Num OF]],#REF!,#REF!,"Non Trouvé")</f>
        <v>#REF!</v>
      </c>
      <c r="Q444" s="11" t="str">
        <f>IF(
   COUNTIFS($A$2:A444,A444,
             $B$2:B444,B444,
             $C$2:C444,C444,
             $D$2:D444,D444,
             $E$2:E444,E444,
             $H$2:H444,H444
             )&gt;1,
   "Doublon",
   "Correcte"
)</f>
        <v>Correcte</v>
      </c>
    </row>
    <row r="445" spans="1:17" x14ac:dyDescent="0.25">
      <c r="A445" s="11" t="s">
        <v>3261</v>
      </c>
      <c r="B445" s="11" t="s">
        <v>1153</v>
      </c>
      <c r="C445" s="11" t="s">
        <v>662</v>
      </c>
      <c r="D445" s="11" t="s">
        <v>1154</v>
      </c>
      <c r="E445" s="11">
        <v>34</v>
      </c>
      <c r="F445" s="11"/>
      <c r="G445" s="11" t="s">
        <v>664</v>
      </c>
      <c r="H445" s="14">
        <v>45915</v>
      </c>
      <c r="I445" s="12">
        <f>-Mvt_Inter_entrepot[[#This Row],[QTE]]</f>
        <v>-34</v>
      </c>
      <c r="J445" s="11" t="s">
        <v>89</v>
      </c>
      <c r="K445" s="11" t="str">
        <f>_xlfn.TEXTBEFORE(Mvt_Inter_entrepot[[#This Row],[Num Suivis]],"-",,,1)</f>
        <v>CA250314</v>
      </c>
      <c r="L445" s="11" t="e">
        <f>_xlfn.XLOOKUP(Mvt_Inter_entrepot[[#This Row],[Num OF]],#REF!,#REF!,"Non Trouvé")</f>
        <v>#REF!</v>
      </c>
      <c r="M445" s="11" t="e">
        <f>_xlfn.XLOOKUP(Mvt_Inter_entrepot[[#This Row],[Num OF]],#REF!,#REF!,"Non Trouvé")</f>
        <v>#REF!</v>
      </c>
      <c r="N445" s="11" t="e">
        <f>_xlfn.XLOOKUP(Mvt_Inter_entrepot[[#This Row],[Num OF]],#REF!,#REF!,"Non Trouvé")</f>
        <v>#REF!</v>
      </c>
      <c r="O445" s="11" t="e">
        <f>_xlfn.XLOOKUP(Mvt_Inter_entrepot[[#This Row],[Num OF]],#REF!,#REF!,"Non Trouvé")</f>
        <v>#REF!</v>
      </c>
      <c r="P445" s="11" t="e">
        <f>_xlfn.XLOOKUP(Mvt_Inter_entrepot[[#This Row],[Num OF]],#REF!,#REF!,"Non Trouvé")</f>
        <v>#REF!</v>
      </c>
      <c r="Q445" s="11" t="str">
        <f>IF(
   COUNTIFS($A$2:A445,A445,
             $B$2:B445,B445,
             $C$2:C445,C445,
             $D$2:D445,D445,
             $E$2:E445,E445,
             $H$2:H445,H445
             )&gt;1,
   "Doublon",
   "Correcte"
)</f>
        <v>Correcte</v>
      </c>
    </row>
    <row r="446" spans="1:17" x14ac:dyDescent="0.25">
      <c r="A446" s="11" t="s">
        <v>3262</v>
      </c>
      <c r="B446" s="11" t="s">
        <v>1153</v>
      </c>
      <c r="C446" s="11" t="s">
        <v>662</v>
      </c>
      <c r="D446" s="11" t="s">
        <v>1154</v>
      </c>
      <c r="E446" s="11">
        <v>1</v>
      </c>
      <c r="F446" s="11"/>
      <c r="G446" s="11" t="s">
        <v>664</v>
      </c>
      <c r="H446" s="14">
        <v>45915</v>
      </c>
      <c r="I446" s="12">
        <f>-Mvt_Inter_entrepot[[#This Row],[QTE]]</f>
        <v>-1</v>
      </c>
      <c r="J446" s="11" t="s">
        <v>90</v>
      </c>
      <c r="K446" s="11" t="str">
        <f>_xlfn.TEXTBEFORE(Mvt_Inter_entrepot[[#This Row],[Num Suivis]],"-",,,1)</f>
        <v>CA250315</v>
      </c>
      <c r="L446" s="11" t="e">
        <f>_xlfn.XLOOKUP(Mvt_Inter_entrepot[[#This Row],[Num OF]],#REF!,#REF!,"Non Trouvé")</f>
        <v>#REF!</v>
      </c>
      <c r="M446" s="11" t="e">
        <f>_xlfn.XLOOKUP(Mvt_Inter_entrepot[[#This Row],[Num OF]],#REF!,#REF!,"Non Trouvé")</f>
        <v>#REF!</v>
      </c>
      <c r="N446" s="11" t="e">
        <f>_xlfn.XLOOKUP(Mvt_Inter_entrepot[[#This Row],[Num OF]],#REF!,#REF!,"Non Trouvé")</f>
        <v>#REF!</v>
      </c>
      <c r="O446" s="11" t="e">
        <f>_xlfn.XLOOKUP(Mvt_Inter_entrepot[[#This Row],[Num OF]],#REF!,#REF!,"Non Trouvé")</f>
        <v>#REF!</v>
      </c>
      <c r="P446" s="11" t="e">
        <f>_xlfn.XLOOKUP(Mvt_Inter_entrepot[[#This Row],[Num OF]],#REF!,#REF!,"Non Trouvé")</f>
        <v>#REF!</v>
      </c>
      <c r="Q446" s="11" t="str">
        <f>IF(
   COUNTIFS($A$2:A446,A446,
             $B$2:B446,B446,
             $C$2:C446,C446,
             $D$2:D446,D446,
             $E$2:E446,E446,
             $H$2:H446,H446
             )&gt;1,
   "Doublon",
   "Correcte"
)</f>
        <v>Correcte</v>
      </c>
    </row>
    <row r="447" spans="1:17" x14ac:dyDescent="0.25">
      <c r="A447" s="11" t="s">
        <v>3263</v>
      </c>
      <c r="B447" s="11" t="s">
        <v>1153</v>
      </c>
      <c r="C447" s="11" t="s">
        <v>662</v>
      </c>
      <c r="D447" s="11" t="s">
        <v>1154</v>
      </c>
      <c r="E447" s="11">
        <v>50</v>
      </c>
      <c r="F447" s="11"/>
      <c r="G447" s="11" t="s">
        <v>664</v>
      </c>
      <c r="H447" s="14">
        <v>45915</v>
      </c>
      <c r="I447" s="12">
        <f>-Mvt_Inter_entrepot[[#This Row],[QTE]]</f>
        <v>-50</v>
      </c>
      <c r="J447" s="11" t="s">
        <v>91</v>
      </c>
      <c r="K447" s="11" t="str">
        <f>_xlfn.TEXTBEFORE(Mvt_Inter_entrepot[[#This Row],[Num Suivis]],"-",,,1)</f>
        <v>CA250320</v>
      </c>
      <c r="L447" s="11" t="e">
        <f>_xlfn.XLOOKUP(Mvt_Inter_entrepot[[#This Row],[Num OF]],#REF!,#REF!,"Non Trouvé")</f>
        <v>#REF!</v>
      </c>
      <c r="M447" s="11" t="e">
        <f>_xlfn.XLOOKUP(Mvt_Inter_entrepot[[#This Row],[Num OF]],#REF!,#REF!,"Non Trouvé")</f>
        <v>#REF!</v>
      </c>
      <c r="N447" s="11" t="e">
        <f>_xlfn.XLOOKUP(Mvt_Inter_entrepot[[#This Row],[Num OF]],#REF!,#REF!,"Non Trouvé")</f>
        <v>#REF!</v>
      </c>
      <c r="O447" s="11" t="e">
        <f>_xlfn.XLOOKUP(Mvt_Inter_entrepot[[#This Row],[Num OF]],#REF!,#REF!,"Non Trouvé")</f>
        <v>#REF!</v>
      </c>
      <c r="P447" s="11" t="e">
        <f>_xlfn.XLOOKUP(Mvt_Inter_entrepot[[#This Row],[Num OF]],#REF!,#REF!,"Non Trouvé")</f>
        <v>#REF!</v>
      </c>
      <c r="Q447" s="11" t="str">
        <f>IF(
   COUNTIFS($A$2:A447,A447,
             $B$2:B447,B447,
             $C$2:C447,C447,
             $D$2:D447,D447,
             $E$2:E447,E447,
             $H$2:H447,H447
             )&gt;1,
   "Doublon",
   "Correcte"
)</f>
        <v>Correcte</v>
      </c>
    </row>
    <row r="448" spans="1:17" x14ac:dyDescent="0.25">
      <c r="A448" s="11" t="s">
        <v>3264</v>
      </c>
      <c r="B448" s="11" t="s">
        <v>1153</v>
      </c>
      <c r="C448" s="11" t="s">
        <v>662</v>
      </c>
      <c r="D448" s="11" t="s">
        <v>1154</v>
      </c>
      <c r="E448" s="11">
        <v>59</v>
      </c>
      <c r="F448" s="11"/>
      <c r="G448" s="11" t="s">
        <v>664</v>
      </c>
      <c r="H448" s="14">
        <v>45915</v>
      </c>
      <c r="I448" s="12">
        <f>-Mvt_Inter_entrepot[[#This Row],[QTE]]</f>
        <v>-59</v>
      </c>
      <c r="J448" s="11" t="s">
        <v>92</v>
      </c>
      <c r="K448" s="11" t="str">
        <f>_xlfn.TEXTBEFORE(Mvt_Inter_entrepot[[#This Row],[Num Suivis]],"-",,,1)</f>
        <v>CA250325</v>
      </c>
      <c r="L448" s="11" t="e">
        <f>_xlfn.XLOOKUP(Mvt_Inter_entrepot[[#This Row],[Num OF]],#REF!,#REF!,"Non Trouvé")</f>
        <v>#REF!</v>
      </c>
      <c r="M448" s="11" t="e">
        <f>_xlfn.XLOOKUP(Mvt_Inter_entrepot[[#This Row],[Num OF]],#REF!,#REF!,"Non Trouvé")</f>
        <v>#REF!</v>
      </c>
      <c r="N448" s="11" t="e">
        <f>_xlfn.XLOOKUP(Mvt_Inter_entrepot[[#This Row],[Num OF]],#REF!,#REF!,"Non Trouvé")</f>
        <v>#REF!</v>
      </c>
      <c r="O448" s="11" t="e">
        <f>_xlfn.XLOOKUP(Mvt_Inter_entrepot[[#This Row],[Num OF]],#REF!,#REF!,"Non Trouvé")</f>
        <v>#REF!</v>
      </c>
      <c r="P448" s="11" t="e">
        <f>_xlfn.XLOOKUP(Mvt_Inter_entrepot[[#This Row],[Num OF]],#REF!,#REF!,"Non Trouvé")</f>
        <v>#REF!</v>
      </c>
      <c r="Q448" s="11" t="str">
        <f>IF(
   COUNTIFS($A$2:A448,A448,
             $B$2:B448,B448,
             $C$2:C448,C448,
             $D$2:D448,D448,
             $E$2:E448,E448,
             $H$2:H448,H448
             )&gt;1,
   "Doublon",
   "Correcte"
)</f>
        <v>Correcte</v>
      </c>
    </row>
    <row r="449" spans="1:17" x14ac:dyDescent="0.25">
      <c r="A449" s="11" t="s">
        <v>3265</v>
      </c>
      <c r="B449" s="11" t="s">
        <v>1153</v>
      </c>
      <c r="C449" s="11" t="s">
        <v>662</v>
      </c>
      <c r="D449" s="11" t="s">
        <v>1154</v>
      </c>
      <c r="E449" s="11">
        <v>20</v>
      </c>
      <c r="F449" s="11"/>
      <c r="G449" s="11" t="s">
        <v>664</v>
      </c>
      <c r="H449" s="14">
        <v>45915</v>
      </c>
      <c r="I449" s="12">
        <f>-Mvt_Inter_entrepot[[#This Row],[QTE]]</f>
        <v>-20</v>
      </c>
      <c r="J449" s="11" t="s">
        <v>104</v>
      </c>
      <c r="K449" s="11" t="str">
        <f>_xlfn.TEXTBEFORE(Mvt_Inter_entrepot[[#This Row],[Num Suivis]],"-",,,1)</f>
        <v>CA250626</v>
      </c>
      <c r="L449" s="11" t="e">
        <f>_xlfn.XLOOKUP(Mvt_Inter_entrepot[[#This Row],[Num OF]],#REF!,#REF!,"Non Trouvé")</f>
        <v>#REF!</v>
      </c>
      <c r="M449" s="11" t="e">
        <f>_xlfn.XLOOKUP(Mvt_Inter_entrepot[[#This Row],[Num OF]],#REF!,#REF!,"Non Trouvé")</f>
        <v>#REF!</v>
      </c>
      <c r="N449" s="11" t="e">
        <f>_xlfn.XLOOKUP(Mvt_Inter_entrepot[[#This Row],[Num OF]],#REF!,#REF!,"Non Trouvé")</f>
        <v>#REF!</v>
      </c>
      <c r="O449" s="11" t="e">
        <f>_xlfn.XLOOKUP(Mvt_Inter_entrepot[[#This Row],[Num OF]],#REF!,#REF!,"Non Trouvé")</f>
        <v>#REF!</v>
      </c>
      <c r="P449" s="11" t="e">
        <f>_xlfn.XLOOKUP(Mvt_Inter_entrepot[[#This Row],[Num OF]],#REF!,#REF!,"Non Trouvé")</f>
        <v>#REF!</v>
      </c>
      <c r="Q449" s="11" t="str">
        <f>IF(
   COUNTIFS($A$2:A449,A449,
             $B$2:B449,B449,
             $C$2:C449,C449,
             $D$2:D449,D449,
             $E$2:E449,E449,
             $H$2:H449,H449
             )&gt;1,
   "Doublon",
   "Correcte"
)</f>
        <v>Correcte</v>
      </c>
    </row>
    <row r="450" spans="1:17" x14ac:dyDescent="0.25">
      <c r="A450" s="11" t="s">
        <v>3266</v>
      </c>
      <c r="B450" s="11" t="s">
        <v>1153</v>
      </c>
      <c r="C450" s="11" t="s">
        <v>662</v>
      </c>
      <c r="D450" s="11" t="s">
        <v>1154</v>
      </c>
      <c r="E450" s="11">
        <v>1</v>
      </c>
      <c r="F450" s="11"/>
      <c r="G450" s="11" t="s">
        <v>664</v>
      </c>
      <c r="H450" s="14">
        <v>45915</v>
      </c>
      <c r="I450" s="12">
        <f>-Mvt_Inter_entrepot[[#This Row],[QTE]]</f>
        <v>-1</v>
      </c>
      <c r="J450" s="11" t="s">
        <v>105</v>
      </c>
      <c r="K450" s="11" t="str">
        <f>_xlfn.TEXTBEFORE(Mvt_Inter_entrepot[[#This Row],[Num Suivis]],"-",,,1)</f>
        <v>CA250650</v>
      </c>
      <c r="L450" s="11" t="e">
        <f>_xlfn.XLOOKUP(Mvt_Inter_entrepot[[#This Row],[Num OF]],#REF!,#REF!,"Non Trouvé")</f>
        <v>#REF!</v>
      </c>
      <c r="M450" s="11" t="e">
        <f>_xlfn.XLOOKUP(Mvt_Inter_entrepot[[#This Row],[Num OF]],#REF!,#REF!,"Non Trouvé")</f>
        <v>#REF!</v>
      </c>
      <c r="N450" s="11" t="e">
        <f>_xlfn.XLOOKUP(Mvt_Inter_entrepot[[#This Row],[Num OF]],#REF!,#REF!,"Non Trouvé")</f>
        <v>#REF!</v>
      </c>
      <c r="O450" s="11" t="e">
        <f>_xlfn.XLOOKUP(Mvt_Inter_entrepot[[#This Row],[Num OF]],#REF!,#REF!,"Non Trouvé")</f>
        <v>#REF!</v>
      </c>
      <c r="P450" s="11" t="e">
        <f>_xlfn.XLOOKUP(Mvt_Inter_entrepot[[#This Row],[Num OF]],#REF!,#REF!,"Non Trouvé")</f>
        <v>#REF!</v>
      </c>
      <c r="Q450" s="11" t="str">
        <f>IF(
   COUNTIFS($A$2:A450,A450,
             $B$2:B450,B450,
             $C$2:C450,C450,
             $D$2:D450,D450,
             $E$2:E450,E450,
             $H$2:H450,H450
             )&gt;1,
   "Doublon",
   "Correcte"
)</f>
        <v>Correcte</v>
      </c>
    </row>
    <row r="451" spans="1:17" x14ac:dyDescent="0.25">
      <c r="A451" s="11" t="s">
        <v>3267</v>
      </c>
      <c r="B451" s="11" t="s">
        <v>1153</v>
      </c>
      <c r="C451" s="11" t="s">
        <v>662</v>
      </c>
      <c r="D451" s="11" t="s">
        <v>1154</v>
      </c>
      <c r="E451" s="11">
        <v>3</v>
      </c>
      <c r="F451" s="11"/>
      <c r="G451" s="11" t="s">
        <v>664</v>
      </c>
      <c r="H451" s="14">
        <v>45915</v>
      </c>
      <c r="I451" s="12">
        <f>-Mvt_Inter_entrepot[[#This Row],[QTE]]</f>
        <v>-3</v>
      </c>
      <c r="J451" s="11" t="s">
        <v>458</v>
      </c>
      <c r="K451" s="11" t="str">
        <f>_xlfn.TEXTBEFORE(Mvt_Inter_entrepot[[#This Row],[Num Suivis]],"-",,,1)</f>
        <v>OF245295</v>
      </c>
      <c r="L451" s="11" t="e">
        <f>_xlfn.XLOOKUP(Mvt_Inter_entrepot[[#This Row],[Num OF]],#REF!,#REF!,"Non Trouvé")</f>
        <v>#REF!</v>
      </c>
      <c r="M451" s="11" t="e">
        <f>_xlfn.XLOOKUP(Mvt_Inter_entrepot[[#This Row],[Num OF]],#REF!,#REF!,"Non Trouvé")</f>
        <v>#REF!</v>
      </c>
      <c r="N451" s="11" t="e">
        <f>_xlfn.XLOOKUP(Mvt_Inter_entrepot[[#This Row],[Num OF]],#REF!,#REF!,"Non Trouvé")</f>
        <v>#REF!</v>
      </c>
      <c r="O451" s="11" t="e">
        <f>_xlfn.XLOOKUP(Mvt_Inter_entrepot[[#This Row],[Num OF]],#REF!,#REF!,"Non Trouvé")</f>
        <v>#REF!</v>
      </c>
      <c r="P451" s="11" t="e">
        <f>_xlfn.XLOOKUP(Mvt_Inter_entrepot[[#This Row],[Num OF]],#REF!,#REF!,"Non Trouvé")</f>
        <v>#REF!</v>
      </c>
      <c r="Q451" s="11" t="str">
        <f>IF(
   COUNTIFS($A$2:A451,A451,
             $B$2:B451,B451,
             $C$2:C451,C451,
             $D$2:D451,D451,
             $E$2:E451,E451,
             $H$2:H451,H451
             )&gt;1,
   "Doublon",
   "Correcte"
)</f>
        <v>Correcte</v>
      </c>
    </row>
    <row r="452" spans="1:17" x14ac:dyDescent="0.25">
      <c r="A452" s="11" t="s">
        <v>3268</v>
      </c>
      <c r="B452" s="11" t="s">
        <v>1153</v>
      </c>
      <c r="C452" s="11" t="s">
        <v>662</v>
      </c>
      <c r="D452" s="11" t="s">
        <v>1154</v>
      </c>
      <c r="E452" s="11">
        <v>18</v>
      </c>
      <c r="F452" s="11"/>
      <c r="G452" s="11" t="s">
        <v>664</v>
      </c>
      <c r="H452" s="14">
        <v>45915</v>
      </c>
      <c r="I452" s="12">
        <f>-Mvt_Inter_entrepot[[#This Row],[QTE]]</f>
        <v>-18</v>
      </c>
      <c r="J452" s="11" t="s">
        <v>332</v>
      </c>
      <c r="K452" s="11" t="str">
        <f>_xlfn.TEXTBEFORE(Mvt_Inter_entrepot[[#This Row],[Num Suivis]],"-",,,1)</f>
        <v>OF242314</v>
      </c>
      <c r="L452" s="11" t="e">
        <f>_xlfn.XLOOKUP(Mvt_Inter_entrepot[[#This Row],[Num OF]],#REF!,#REF!,"Non Trouvé")</f>
        <v>#REF!</v>
      </c>
      <c r="M452" s="11" t="e">
        <f>_xlfn.XLOOKUP(Mvt_Inter_entrepot[[#This Row],[Num OF]],#REF!,#REF!,"Non Trouvé")</f>
        <v>#REF!</v>
      </c>
      <c r="N452" s="11" t="e">
        <f>_xlfn.XLOOKUP(Mvt_Inter_entrepot[[#This Row],[Num OF]],#REF!,#REF!,"Non Trouvé")</f>
        <v>#REF!</v>
      </c>
      <c r="O452" s="11" t="e">
        <f>_xlfn.XLOOKUP(Mvt_Inter_entrepot[[#This Row],[Num OF]],#REF!,#REF!,"Non Trouvé")</f>
        <v>#REF!</v>
      </c>
      <c r="P452" s="11" t="e">
        <f>_xlfn.XLOOKUP(Mvt_Inter_entrepot[[#This Row],[Num OF]],#REF!,#REF!,"Non Trouvé")</f>
        <v>#REF!</v>
      </c>
      <c r="Q452" s="11" t="str">
        <f>IF(
   COUNTIFS($A$2:A452,A452,
             $B$2:B452,B452,
             $C$2:C452,C452,
             $D$2:D452,D452,
             $E$2:E452,E452,
             $H$2:H452,H452
             )&gt;1,
   "Doublon",
   "Correcte"
)</f>
        <v>Correcte</v>
      </c>
    </row>
    <row r="453" spans="1:17" x14ac:dyDescent="0.25">
      <c r="A453" s="11" t="s">
        <v>3269</v>
      </c>
      <c r="B453" s="11" t="s">
        <v>1153</v>
      </c>
      <c r="C453" s="11" t="s">
        <v>662</v>
      </c>
      <c r="D453" s="11" t="s">
        <v>1154</v>
      </c>
      <c r="E453" s="11">
        <v>8</v>
      </c>
      <c r="F453" s="11"/>
      <c r="G453" s="11" t="s">
        <v>664</v>
      </c>
      <c r="H453" s="14">
        <v>45915</v>
      </c>
      <c r="I453" s="12">
        <f>-Mvt_Inter_entrepot[[#This Row],[QTE]]</f>
        <v>-8</v>
      </c>
      <c r="J453" s="11" t="s">
        <v>1162</v>
      </c>
      <c r="K453" s="11" t="str">
        <f>_xlfn.TEXTBEFORE(Mvt_Inter_entrepot[[#This Row],[Num Suivis]],"-",,,1)</f>
        <v>EC240001</v>
      </c>
      <c r="L453" s="11" t="e">
        <f>_xlfn.XLOOKUP(Mvt_Inter_entrepot[[#This Row],[Num OF]],#REF!,#REF!,"Non Trouvé")</f>
        <v>#REF!</v>
      </c>
      <c r="M453" s="11" t="e">
        <f>_xlfn.XLOOKUP(Mvt_Inter_entrepot[[#This Row],[Num OF]],#REF!,#REF!,"Non Trouvé")</f>
        <v>#REF!</v>
      </c>
      <c r="N453" s="11" t="e">
        <f>_xlfn.XLOOKUP(Mvt_Inter_entrepot[[#This Row],[Num OF]],#REF!,#REF!,"Non Trouvé")</f>
        <v>#REF!</v>
      </c>
      <c r="O453" s="11" t="e">
        <f>_xlfn.XLOOKUP(Mvt_Inter_entrepot[[#This Row],[Num OF]],#REF!,#REF!,"Non Trouvé")</f>
        <v>#REF!</v>
      </c>
      <c r="P453" s="11" t="e">
        <f>_xlfn.XLOOKUP(Mvt_Inter_entrepot[[#This Row],[Num OF]],#REF!,#REF!,"Non Trouvé")</f>
        <v>#REF!</v>
      </c>
      <c r="Q453" s="11" t="str">
        <f>IF(
   COUNTIFS($A$2:A453,A453,
             $B$2:B453,B453,
             $C$2:C453,C453,
             $D$2:D453,D453,
             $E$2:E453,E453,
             $H$2:H453,H453
             )&gt;1,
   "Doublon",
   "Correcte"
)</f>
        <v>Correcte</v>
      </c>
    </row>
    <row r="454" spans="1:17" x14ac:dyDescent="0.25">
      <c r="A454" s="11" t="s">
        <v>3270</v>
      </c>
      <c r="B454" s="11" t="s">
        <v>1153</v>
      </c>
      <c r="C454" s="11" t="s">
        <v>662</v>
      </c>
      <c r="D454" s="11" t="s">
        <v>1154</v>
      </c>
      <c r="E454" s="11">
        <v>1</v>
      </c>
      <c r="F454" s="11"/>
      <c r="G454" s="11" t="s">
        <v>664</v>
      </c>
      <c r="H454" s="14">
        <v>45915</v>
      </c>
      <c r="I454" s="12">
        <f>-Mvt_Inter_entrepot[[#This Row],[QTE]]</f>
        <v>-1</v>
      </c>
      <c r="J454" s="11" t="s">
        <v>1163</v>
      </c>
      <c r="K454" s="11" t="str">
        <f>_xlfn.TEXTBEFORE(Mvt_Inter_entrepot[[#This Row],[Num Suivis]],"-",,,1)</f>
        <v>EC240002</v>
      </c>
      <c r="L454" s="11" t="e">
        <f>_xlfn.XLOOKUP(Mvt_Inter_entrepot[[#This Row],[Num OF]],#REF!,#REF!,"Non Trouvé")</f>
        <v>#REF!</v>
      </c>
      <c r="M454" s="11" t="e">
        <f>_xlfn.XLOOKUP(Mvt_Inter_entrepot[[#This Row],[Num OF]],#REF!,#REF!,"Non Trouvé")</f>
        <v>#REF!</v>
      </c>
      <c r="N454" s="11" t="e">
        <f>_xlfn.XLOOKUP(Mvt_Inter_entrepot[[#This Row],[Num OF]],#REF!,#REF!,"Non Trouvé")</f>
        <v>#REF!</v>
      </c>
      <c r="O454" s="11" t="e">
        <f>_xlfn.XLOOKUP(Mvt_Inter_entrepot[[#This Row],[Num OF]],#REF!,#REF!,"Non Trouvé")</f>
        <v>#REF!</v>
      </c>
      <c r="P454" s="11" t="e">
        <f>_xlfn.XLOOKUP(Mvt_Inter_entrepot[[#This Row],[Num OF]],#REF!,#REF!,"Non Trouvé")</f>
        <v>#REF!</v>
      </c>
      <c r="Q454" s="11" t="str">
        <f>IF(
   COUNTIFS($A$2:A454,A454,
             $B$2:B454,B454,
             $C$2:C454,C454,
             $D$2:D454,D454,
             $E$2:E454,E454,
             $H$2:H454,H454
             )&gt;1,
   "Doublon",
   "Correcte"
)</f>
        <v>Correcte</v>
      </c>
    </row>
    <row r="455" spans="1:17" x14ac:dyDescent="0.25">
      <c r="A455" s="11" t="s">
        <v>3271</v>
      </c>
      <c r="B455" s="11" t="s">
        <v>1153</v>
      </c>
      <c r="C455" s="11" t="s">
        <v>662</v>
      </c>
      <c r="D455" s="11" t="s">
        <v>1154</v>
      </c>
      <c r="E455" s="11">
        <v>1</v>
      </c>
      <c r="F455" s="11"/>
      <c r="G455" s="11" t="s">
        <v>664</v>
      </c>
      <c r="H455" s="14">
        <v>45915</v>
      </c>
      <c r="I455" s="12">
        <f>-Mvt_Inter_entrepot[[#This Row],[QTE]]</f>
        <v>-1</v>
      </c>
      <c r="J455" s="11" t="s">
        <v>1164</v>
      </c>
      <c r="K455" s="11" t="str">
        <f>_xlfn.TEXTBEFORE(Mvt_Inter_entrepot[[#This Row],[Num Suivis]],"-",,,1)</f>
        <v>EC240003</v>
      </c>
      <c r="L455" s="11" t="e">
        <f>_xlfn.XLOOKUP(Mvt_Inter_entrepot[[#This Row],[Num OF]],#REF!,#REF!,"Non Trouvé")</f>
        <v>#REF!</v>
      </c>
      <c r="M455" s="11" t="e">
        <f>_xlfn.XLOOKUP(Mvt_Inter_entrepot[[#This Row],[Num OF]],#REF!,#REF!,"Non Trouvé")</f>
        <v>#REF!</v>
      </c>
      <c r="N455" s="11" t="e">
        <f>_xlfn.XLOOKUP(Mvt_Inter_entrepot[[#This Row],[Num OF]],#REF!,#REF!,"Non Trouvé")</f>
        <v>#REF!</v>
      </c>
      <c r="O455" s="11" t="e">
        <f>_xlfn.XLOOKUP(Mvt_Inter_entrepot[[#This Row],[Num OF]],#REF!,#REF!,"Non Trouvé")</f>
        <v>#REF!</v>
      </c>
      <c r="P455" s="11" t="e">
        <f>_xlfn.XLOOKUP(Mvt_Inter_entrepot[[#This Row],[Num OF]],#REF!,#REF!,"Non Trouvé")</f>
        <v>#REF!</v>
      </c>
      <c r="Q455" s="11" t="str">
        <f>IF(
   COUNTIFS($A$2:A455,A455,
             $B$2:B455,B455,
             $C$2:C455,C455,
             $D$2:D455,D455,
             $E$2:E455,E455,
             $H$2:H455,H455
             )&gt;1,
   "Doublon",
   "Correcte"
)</f>
        <v>Correcte</v>
      </c>
    </row>
    <row r="456" spans="1:17" x14ac:dyDescent="0.25">
      <c r="A456" s="11" t="s">
        <v>3272</v>
      </c>
      <c r="B456" s="11" t="s">
        <v>1153</v>
      </c>
      <c r="C456" s="11" t="s">
        <v>662</v>
      </c>
      <c r="D456" s="11" t="s">
        <v>1154</v>
      </c>
      <c r="E456" s="11">
        <v>1</v>
      </c>
      <c r="F456" s="11"/>
      <c r="G456" s="11" t="s">
        <v>664</v>
      </c>
      <c r="H456" s="14">
        <v>45915</v>
      </c>
      <c r="I456" s="12">
        <f>-Mvt_Inter_entrepot[[#This Row],[QTE]]</f>
        <v>-1</v>
      </c>
      <c r="J456" s="11" t="s">
        <v>1165</v>
      </c>
      <c r="K456" s="11" t="str">
        <f>_xlfn.TEXTBEFORE(Mvt_Inter_entrepot[[#This Row],[Num Suivis]],"-",,,1)</f>
        <v>EC240004</v>
      </c>
      <c r="L456" s="11" t="e">
        <f>_xlfn.XLOOKUP(Mvt_Inter_entrepot[[#This Row],[Num OF]],#REF!,#REF!,"Non Trouvé")</f>
        <v>#REF!</v>
      </c>
      <c r="M456" s="11" t="e">
        <f>_xlfn.XLOOKUP(Mvt_Inter_entrepot[[#This Row],[Num OF]],#REF!,#REF!,"Non Trouvé")</f>
        <v>#REF!</v>
      </c>
      <c r="N456" s="11" t="e">
        <f>_xlfn.XLOOKUP(Mvt_Inter_entrepot[[#This Row],[Num OF]],#REF!,#REF!,"Non Trouvé")</f>
        <v>#REF!</v>
      </c>
      <c r="O456" s="11" t="e">
        <f>_xlfn.XLOOKUP(Mvt_Inter_entrepot[[#This Row],[Num OF]],#REF!,#REF!,"Non Trouvé")</f>
        <v>#REF!</v>
      </c>
      <c r="P456" s="11" t="e">
        <f>_xlfn.XLOOKUP(Mvt_Inter_entrepot[[#This Row],[Num OF]],#REF!,#REF!,"Non Trouvé")</f>
        <v>#REF!</v>
      </c>
      <c r="Q456" s="11" t="str">
        <f>IF(
   COUNTIFS($A$2:A456,A456,
             $B$2:B456,B456,
             $C$2:C456,C456,
             $D$2:D456,D456,
             $E$2:E456,E456,
             $H$2:H456,H456
             )&gt;1,
   "Doublon",
   "Correcte"
)</f>
        <v>Correcte</v>
      </c>
    </row>
    <row r="457" spans="1:17" x14ac:dyDescent="0.25">
      <c r="A457" s="11" t="s">
        <v>3137</v>
      </c>
      <c r="B457" s="11" t="s">
        <v>1153</v>
      </c>
      <c r="C457" s="11" t="s">
        <v>662</v>
      </c>
      <c r="D457" s="11" t="s">
        <v>1154</v>
      </c>
      <c r="E457" s="11">
        <v>4</v>
      </c>
      <c r="F457" s="11"/>
      <c r="G457" s="11" t="s">
        <v>664</v>
      </c>
      <c r="H457" s="14">
        <v>45915</v>
      </c>
      <c r="I457" s="12">
        <f>-Mvt_Inter_entrepot[[#This Row],[QTE]]</f>
        <v>-4</v>
      </c>
      <c r="J457" s="11" t="s">
        <v>234</v>
      </c>
      <c r="K457" s="11" t="str">
        <f>_xlfn.TEXTBEFORE(Mvt_Inter_entrepot[[#This Row],[Num Suivis]],"-",,,1)</f>
        <v>OF245966</v>
      </c>
      <c r="L457" s="11" t="e">
        <f>_xlfn.XLOOKUP(Mvt_Inter_entrepot[[#This Row],[Num OF]],#REF!,#REF!,"Non Trouvé")</f>
        <v>#REF!</v>
      </c>
      <c r="M457" s="11" t="e">
        <f>_xlfn.XLOOKUP(Mvt_Inter_entrepot[[#This Row],[Num OF]],#REF!,#REF!,"Non Trouvé")</f>
        <v>#REF!</v>
      </c>
      <c r="N457" s="11" t="e">
        <f>_xlfn.XLOOKUP(Mvt_Inter_entrepot[[#This Row],[Num OF]],#REF!,#REF!,"Non Trouvé")</f>
        <v>#REF!</v>
      </c>
      <c r="O457" s="11" t="e">
        <f>_xlfn.XLOOKUP(Mvt_Inter_entrepot[[#This Row],[Num OF]],#REF!,#REF!,"Non Trouvé")</f>
        <v>#REF!</v>
      </c>
      <c r="P457" s="11" t="e">
        <f>_xlfn.XLOOKUP(Mvt_Inter_entrepot[[#This Row],[Num OF]],#REF!,#REF!,"Non Trouvé")</f>
        <v>#REF!</v>
      </c>
      <c r="Q457" s="11" t="str">
        <f>IF(
   COUNTIFS($A$2:A457,A457,
             $B$2:B457,B457,
             $C$2:C457,C457,
             $D$2:D457,D457,
             $E$2:E457,E457,
             $H$2:H457,H457
             )&gt;1,
   "Doublon",
   "Correcte"
)</f>
        <v>Correcte</v>
      </c>
    </row>
    <row r="458" spans="1:17" x14ac:dyDescent="0.25">
      <c r="A458" s="11" t="s">
        <v>3152</v>
      </c>
      <c r="B458" s="11" t="s">
        <v>1153</v>
      </c>
      <c r="C458" s="11" t="s">
        <v>662</v>
      </c>
      <c r="D458" s="11" t="s">
        <v>1154</v>
      </c>
      <c r="E458" s="11">
        <v>3</v>
      </c>
      <c r="F458" s="11"/>
      <c r="G458" s="11" t="s">
        <v>664</v>
      </c>
      <c r="H458" s="14">
        <v>45915</v>
      </c>
      <c r="I458" s="12">
        <f>-Mvt_Inter_entrepot[[#This Row],[QTE]]</f>
        <v>-3</v>
      </c>
      <c r="J458" s="11" t="s">
        <v>249</v>
      </c>
      <c r="K458" s="11" t="str">
        <f>_xlfn.TEXTBEFORE(Mvt_Inter_entrepot[[#This Row],[Num Suivis]],"-",,,1)</f>
        <v>OF245982</v>
      </c>
      <c r="L458" s="11" t="e">
        <f>_xlfn.XLOOKUP(Mvt_Inter_entrepot[[#This Row],[Num OF]],#REF!,#REF!,"Non Trouvé")</f>
        <v>#REF!</v>
      </c>
      <c r="M458" s="11" t="e">
        <f>_xlfn.XLOOKUP(Mvt_Inter_entrepot[[#This Row],[Num OF]],#REF!,#REF!,"Non Trouvé")</f>
        <v>#REF!</v>
      </c>
      <c r="N458" s="11" t="e">
        <f>_xlfn.XLOOKUP(Mvt_Inter_entrepot[[#This Row],[Num OF]],#REF!,#REF!,"Non Trouvé")</f>
        <v>#REF!</v>
      </c>
      <c r="O458" s="11" t="e">
        <f>_xlfn.XLOOKUP(Mvt_Inter_entrepot[[#This Row],[Num OF]],#REF!,#REF!,"Non Trouvé")</f>
        <v>#REF!</v>
      </c>
      <c r="P458" s="11" t="e">
        <f>_xlfn.XLOOKUP(Mvt_Inter_entrepot[[#This Row],[Num OF]],#REF!,#REF!,"Non Trouvé")</f>
        <v>#REF!</v>
      </c>
      <c r="Q458" s="11" t="str">
        <f>IF(
   COUNTIFS($A$2:A458,A458,
             $B$2:B458,B458,
             $C$2:C458,C458,
             $D$2:D458,D458,
             $E$2:E458,E458,
             $H$2:H458,H458
             )&gt;1,
   "Doublon",
   "Correcte"
)</f>
        <v>Correcte</v>
      </c>
    </row>
    <row r="459" spans="1:17" x14ac:dyDescent="0.25">
      <c r="A459" s="11" t="s">
        <v>3153</v>
      </c>
      <c r="B459" s="11" t="s">
        <v>1153</v>
      </c>
      <c r="C459" s="11" t="s">
        <v>662</v>
      </c>
      <c r="D459" s="11" t="s">
        <v>1154</v>
      </c>
      <c r="E459" s="11">
        <v>3</v>
      </c>
      <c r="F459" s="11"/>
      <c r="G459" s="11" t="s">
        <v>664</v>
      </c>
      <c r="H459" s="14">
        <v>45915</v>
      </c>
      <c r="I459" s="12">
        <f>-Mvt_Inter_entrepot[[#This Row],[QTE]]</f>
        <v>-3</v>
      </c>
      <c r="J459" s="11" t="s">
        <v>250</v>
      </c>
      <c r="K459" s="11" t="str">
        <f>_xlfn.TEXTBEFORE(Mvt_Inter_entrepot[[#This Row],[Num Suivis]],"-",,,1)</f>
        <v>OF245983</v>
      </c>
      <c r="L459" s="11" t="e">
        <f>_xlfn.XLOOKUP(Mvt_Inter_entrepot[[#This Row],[Num OF]],#REF!,#REF!,"Non Trouvé")</f>
        <v>#REF!</v>
      </c>
      <c r="M459" s="11" t="e">
        <f>_xlfn.XLOOKUP(Mvt_Inter_entrepot[[#This Row],[Num OF]],#REF!,#REF!,"Non Trouvé")</f>
        <v>#REF!</v>
      </c>
      <c r="N459" s="11" t="e">
        <f>_xlfn.XLOOKUP(Mvt_Inter_entrepot[[#This Row],[Num OF]],#REF!,#REF!,"Non Trouvé")</f>
        <v>#REF!</v>
      </c>
      <c r="O459" s="11" t="e">
        <f>_xlfn.XLOOKUP(Mvt_Inter_entrepot[[#This Row],[Num OF]],#REF!,#REF!,"Non Trouvé")</f>
        <v>#REF!</v>
      </c>
      <c r="P459" s="11" t="e">
        <f>_xlfn.XLOOKUP(Mvt_Inter_entrepot[[#This Row],[Num OF]],#REF!,#REF!,"Non Trouvé")</f>
        <v>#REF!</v>
      </c>
      <c r="Q459" s="11" t="str">
        <f>IF(
   COUNTIFS($A$2:A459,A459,
             $B$2:B459,B459,
             $C$2:C459,C459,
             $D$2:D459,D459,
             $E$2:E459,E459,
             $H$2:H459,H459
             )&gt;1,
   "Doublon",
   "Correcte"
)</f>
        <v>Correcte</v>
      </c>
    </row>
    <row r="460" spans="1:17" x14ac:dyDescent="0.25">
      <c r="A460" s="11" t="s">
        <v>3273</v>
      </c>
      <c r="B460" s="11" t="s">
        <v>1153</v>
      </c>
      <c r="C460" s="11" t="s">
        <v>662</v>
      </c>
      <c r="D460" s="11" t="s">
        <v>1154</v>
      </c>
      <c r="E460" s="11">
        <v>2</v>
      </c>
      <c r="F460" s="11"/>
      <c r="G460" s="11" t="s">
        <v>664</v>
      </c>
      <c r="H460" s="14">
        <v>45915</v>
      </c>
      <c r="I460" s="12">
        <f>-Mvt_Inter_entrepot[[#This Row],[QTE]]</f>
        <v>-2</v>
      </c>
      <c r="J460" s="11" t="s">
        <v>319</v>
      </c>
      <c r="K460" s="11" t="str">
        <f>_xlfn.TEXTBEFORE(Mvt_Inter_entrepot[[#This Row],[Num Suivis]],"-",,,1)</f>
        <v>OF240866</v>
      </c>
      <c r="L460" s="11" t="e">
        <f>_xlfn.XLOOKUP(Mvt_Inter_entrepot[[#This Row],[Num OF]],#REF!,#REF!,"Non Trouvé")</f>
        <v>#REF!</v>
      </c>
      <c r="M460" s="11" t="e">
        <f>_xlfn.XLOOKUP(Mvt_Inter_entrepot[[#This Row],[Num OF]],#REF!,#REF!,"Non Trouvé")</f>
        <v>#REF!</v>
      </c>
      <c r="N460" s="11" t="e">
        <f>_xlfn.XLOOKUP(Mvt_Inter_entrepot[[#This Row],[Num OF]],#REF!,#REF!,"Non Trouvé")</f>
        <v>#REF!</v>
      </c>
      <c r="O460" s="11" t="e">
        <f>_xlfn.XLOOKUP(Mvt_Inter_entrepot[[#This Row],[Num OF]],#REF!,#REF!,"Non Trouvé")</f>
        <v>#REF!</v>
      </c>
      <c r="P460" s="11" t="e">
        <f>_xlfn.XLOOKUP(Mvt_Inter_entrepot[[#This Row],[Num OF]],#REF!,#REF!,"Non Trouvé")</f>
        <v>#REF!</v>
      </c>
      <c r="Q460" s="11" t="str">
        <f>IF(
   COUNTIFS($A$2:A460,A460,
             $B$2:B460,B460,
             $C$2:C460,C460,
             $D$2:D460,D460,
             $E$2:E460,E460,
             $H$2:H460,H460
             )&gt;1,
   "Doublon",
   "Correcte"
)</f>
        <v>Correcte</v>
      </c>
    </row>
    <row r="461" spans="1:17" x14ac:dyDescent="0.25">
      <c r="A461" s="11" t="s">
        <v>3274</v>
      </c>
      <c r="B461" s="11" t="s">
        <v>1153</v>
      </c>
      <c r="C461" s="11" t="s">
        <v>662</v>
      </c>
      <c r="D461" s="11" t="s">
        <v>1154</v>
      </c>
      <c r="E461" s="11">
        <v>1</v>
      </c>
      <c r="F461" s="11"/>
      <c r="G461" s="11" t="s">
        <v>664</v>
      </c>
      <c r="H461" s="14">
        <v>45915</v>
      </c>
      <c r="I461" s="12">
        <f>-Mvt_Inter_entrepot[[#This Row],[QTE]]</f>
        <v>-1</v>
      </c>
      <c r="J461" s="11" t="s">
        <v>459</v>
      </c>
      <c r="K461" s="11" t="str">
        <f>_xlfn.TEXTBEFORE(Mvt_Inter_entrepot[[#This Row],[Num Suivis]],"-",,,1)</f>
        <v>OF245321</v>
      </c>
      <c r="L461" s="11" t="e">
        <f>_xlfn.XLOOKUP(Mvt_Inter_entrepot[[#This Row],[Num OF]],#REF!,#REF!,"Non Trouvé")</f>
        <v>#REF!</v>
      </c>
      <c r="M461" s="11" t="e">
        <f>_xlfn.XLOOKUP(Mvt_Inter_entrepot[[#This Row],[Num OF]],#REF!,#REF!,"Non Trouvé")</f>
        <v>#REF!</v>
      </c>
      <c r="N461" s="11" t="e">
        <f>_xlfn.XLOOKUP(Mvt_Inter_entrepot[[#This Row],[Num OF]],#REF!,#REF!,"Non Trouvé")</f>
        <v>#REF!</v>
      </c>
      <c r="O461" s="11" t="e">
        <f>_xlfn.XLOOKUP(Mvt_Inter_entrepot[[#This Row],[Num OF]],#REF!,#REF!,"Non Trouvé")</f>
        <v>#REF!</v>
      </c>
      <c r="P461" s="11" t="e">
        <f>_xlfn.XLOOKUP(Mvt_Inter_entrepot[[#This Row],[Num OF]],#REF!,#REF!,"Non Trouvé")</f>
        <v>#REF!</v>
      </c>
      <c r="Q461" s="11" t="str">
        <f>IF(
   COUNTIFS($A$2:A461,A461,
             $B$2:B461,B461,
             $C$2:C461,C461,
             $D$2:D461,D461,
             $E$2:E461,E461,
             $H$2:H461,H461
             )&gt;1,
   "Doublon",
   "Correcte"
)</f>
        <v>Correcte</v>
      </c>
    </row>
    <row r="462" spans="1:17" x14ac:dyDescent="0.25">
      <c r="A462" s="11" t="s">
        <v>3275</v>
      </c>
      <c r="B462" s="11" t="s">
        <v>1153</v>
      </c>
      <c r="C462" s="11" t="s">
        <v>662</v>
      </c>
      <c r="D462" s="11" t="s">
        <v>1154</v>
      </c>
      <c r="E462" s="11">
        <v>5</v>
      </c>
      <c r="F462" s="11"/>
      <c r="G462" s="11" t="s">
        <v>664</v>
      </c>
      <c r="H462" s="14">
        <v>45915</v>
      </c>
      <c r="I462" s="12">
        <f>-Mvt_Inter_entrepot[[#This Row],[QTE]]</f>
        <v>-5</v>
      </c>
      <c r="J462" s="11" t="s">
        <v>472</v>
      </c>
      <c r="K462" s="11" t="str">
        <f>_xlfn.TEXTBEFORE(Mvt_Inter_entrepot[[#This Row],[Num Suivis]],"-",,,1)</f>
        <v>OF245688</v>
      </c>
      <c r="L462" s="11" t="e">
        <f>_xlfn.XLOOKUP(Mvt_Inter_entrepot[[#This Row],[Num OF]],#REF!,#REF!,"Non Trouvé")</f>
        <v>#REF!</v>
      </c>
      <c r="M462" s="11" t="e">
        <f>_xlfn.XLOOKUP(Mvt_Inter_entrepot[[#This Row],[Num OF]],#REF!,#REF!,"Non Trouvé")</f>
        <v>#REF!</v>
      </c>
      <c r="N462" s="11" t="e">
        <f>_xlfn.XLOOKUP(Mvt_Inter_entrepot[[#This Row],[Num OF]],#REF!,#REF!,"Non Trouvé")</f>
        <v>#REF!</v>
      </c>
      <c r="O462" s="11" t="e">
        <f>_xlfn.XLOOKUP(Mvt_Inter_entrepot[[#This Row],[Num OF]],#REF!,#REF!,"Non Trouvé")</f>
        <v>#REF!</v>
      </c>
      <c r="P462" s="11" t="e">
        <f>_xlfn.XLOOKUP(Mvt_Inter_entrepot[[#This Row],[Num OF]],#REF!,#REF!,"Non Trouvé")</f>
        <v>#REF!</v>
      </c>
      <c r="Q462" s="11" t="str">
        <f>IF(
   COUNTIFS($A$2:A462,A462,
             $B$2:B462,B462,
             $C$2:C462,C462,
             $D$2:D462,D462,
             $E$2:E462,E462,
             $H$2:H462,H462
             )&gt;1,
   "Doublon",
   "Correcte"
)</f>
        <v>Correcte</v>
      </c>
    </row>
    <row r="463" spans="1:17" x14ac:dyDescent="0.25">
      <c r="A463" s="11" t="s">
        <v>3092</v>
      </c>
      <c r="B463" s="11" t="s">
        <v>1153</v>
      </c>
      <c r="C463" s="11" t="s">
        <v>662</v>
      </c>
      <c r="D463" s="11" t="s">
        <v>1154</v>
      </c>
      <c r="E463" s="11">
        <v>1</v>
      </c>
      <c r="F463" s="11"/>
      <c r="G463" s="11" t="s">
        <v>664</v>
      </c>
      <c r="H463" s="14">
        <v>45915</v>
      </c>
      <c r="I463" s="12">
        <f>-Mvt_Inter_entrepot[[#This Row],[QTE]]</f>
        <v>-1</v>
      </c>
      <c r="J463" s="11" t="s">
        <v>451</v>
      </c>
      <c r="K463" s="11" t="str">
        <f>_xlfn.TEXTBEFORE(Mvt_Inter_entrepot[[#This Row],[Num Suivis]],"-",,,1)</f>
        <v>OF244969</v>
      </c>
      <c r="L463" s="11" t="e">
        <f>_xlfn.XLOOKUP(Mvt_Inter_entrepot[[#This Row],[Num OF]],#REF!,#REF!,"Non Trouvé")</f>
        <v>#REF!</v>
      </c>
      <c r="M463" s="11" t="e">
        <f>_xlfn.XLOOKUP(Mvt_Inter_entrepot[[#This Row],[Num OF]],#REF!,#REF!,"Non Trouvé")</f>
        <v>#REF!</v>
      </c>
      <c r="N463" s="11" t="e">
        <f>_xlfn.XLOOKUP(Mvt_Inter_entrepot[[#This Row],[Num OF]],#REF!,#REF!,"Non Trouvé")</f>
        <v>#REF!</v>
      </c>
      <c r="O463" s="11" t="e">
        <f>_xlfn.XLOOKUP(Mvt_Inter_entrepot[[#This Row],[Num OF]],#REF!,#REF!,"Non Trouvé")</f>
        <v>#REF!</v>
      </c>
      <c r="P463" s="11" t="e">
        <f>_xlfn.XLOOKUP(Mvt_Inter_entrepot[[#This Row],[Num OF]],#REF!,#REF!,"Non Trouvé")</f>
        <v>#REF!</v>
      </c>
      <c r="Q463" s="11" t="str">
        <f>IF(
   COUNTIFS($A$2:A463,A463,
             $B$2:B463,B463,
             $C$2:C463,C463,
             $D$2:D463,D463,
             $E$2:E463,E463,
             $H$2:H463,H463
             )&gt;1,
   "Doublon",
   "Correcte"
)</f>
        <v>Correcte</v>
      </c>
    </row>
    <row r="464" spans="1:17" x14ac:dyDescent="0.25">
      <c r="A464" s="11" t="s">
        <v>3276</v>
      </c>
      <c r="B464" s="11" t="s">
        <v>1153</v>
      </c>
      <c r="C464" s="11" t="s">
        <v>662</v>
      </c>
      <c r="D464" s="11" t="s">
        <v>1154</v>
      </c>
      <c r="E464" s="11">
        <v>1</v>
      </c>
      <c r="F464" s="11"/>
      <c r="G464" s="11" t="s">
        <v>664</v>
      </c>
      <c r="H464" s="14">
        <v>45915</v>
      </c>
      <c r="I464" s="12">
        <f>-Mvt_Inter_entrepot[[#This Row],[QTE]]</f>
        <v>-1</v>
      </c>
      <c r="J464" s="11" t="s">
        <v>576</v>
      </c>
      <c r="K464" s="11" t="str">
        <f>_xlfn.TEXTBEFORE(Mvt_Inter_entrepot[[#This Row],[Num Suivis]],"-",,,1)</f>
        <v>OF248792</v>
      </c>
      <c r="L464" s="11" t="e">
        <f>_xlfn.XLOOKUP(Mvt_Inter_entrepot[[#This Row],[Num OF]],#REF!,#REF!,"Non Trouvé")</f>
        <v>#REF!</v>
      </c>
      <c r="M464" s="11" t="e">
        <f>_xlfn.XLOOKUP(Mvt_Inter_entrepot[[#This Row],[Num OF]],#REF!,#REF!,"Non Trouvé")</f>
        <v>#REF!</v>
      </c>
      <c r="N464" s="11" t="e">
        <f>_xlfn.XLOOKUP(Mvt_Inter_entrepot[[#This Row],[Num OF]],#REF!,#REF!,"Non Trouvé")</f>
        <v>#REF!</v>
      </c>
      <c r="O464" s="11" t="e">
        <f>_xlfn.XLOOKUP(Mvt_Inter_entrepot[[#This Row],[Num OF]],#REF!,#REF!,"Non Trouvé")</f>
        <v>#REF!</v>
      </c>
      <c r="P464" s="11" t="e">
        <f>_xlfn.XLOOKUP(Mvt_Inter_entrepot[[#This Row],[Num OF]],#REF!,#REF!,"Non Trouvé")</f>
        <v>#REF!</v>
      </c>
      <c r="Q464" s="11" t="str">
        <f>IF(
   COUNTIFS($A$2:A464,A464,
             $B$2:B464,B464,
             $C$2:C464,C464,
             $D$2:D464,D464,
             $E$2:E464,E464,
             $H$2:H464,H464
             )&gt;1,
   "Doublon",
   "Correcte"
)</f>
        <v>Correcte</v>
      </c>
    </row>
    <row r="465" spans="1:17" x14ac:dyDescent="0.25">
      <c r="A465" s="11" t="s">
        <v>3277</v>
      </c>
      <c r="B465" s="11" t="s">
        <v>1153</v>
      </c>
      <c r="C465" s="11" t="s">
        <v>662</v>
      </c>
      <c r="D465" s="11" t="s">
        <v>1154</v>
      </c>
      <c r="E465" s="11">
        <v>1</v>
      </c>
      <c r="F465" s="11"/>
      <c r="G465" s="11" t="s">
        <v>664</v>
      </c>
      <c r="H465" s="14">
        <v>45915</v>
      </c>
      <c r="I465" s="12">
        <f>-Mvt_Inter_entrepot[[#This Row],[QTE]]</f>
        <v>-1</v>
      </c>
      <c r="J465" s="11" t="s">
        <v>388</v>
      </c>
      <c r="K465" s="11" t="str">
        <f>_xlfn.TEXTBEFORE(Mvt_Inter_entrepot[[#This Row],[Num Suivis]],"-",,,1)</f>
        <v>OF243004</v>
      </c>
      <c r="L465" s="11" t="e">
        <f>_xlfn.XLOOKUP(Mvt_Inter_entrepot[[#This Row],[Num OF]],#REF!,#REF!,"Non Trouvé")</f>
        <v>#REF!</v>
      </c>
      <c r="M465" s="11" t="e">
        <f>_xlfn.XLOOKUP(Mvt_Inter_entrepot[[#This Row],[Num OF]],#REF!,#REF!,"Non Trouvé")</f>
        <v>#REF!</v>
      </c>
      <c r="N465" s="11" t="e">
        <f>_xlfn.XLOOKUP(Mvt_Inter_entrepot[[#This Row],[Num OF]],#REF!,#REF!,"Non Trouvé")</f>
        <v>#REF!</v>
      </c>
      <c r="O465" s="11" t="e">
        <f>_xlfn.XLOOKUP(Mvt_Inter_entrepot[[#This Row],[Num OF]],#REF!,#REF!,"Non Trouvé")</f>
        <v>#REF!</v>
      </c>
      <c r="P465" s="11" t="e">
        <f>_xlfn.XLOOKUP(Mvt_Inter_entrepot[[#This Row],[Num OF]],#REF!,#REF!,"Non Trouvé")</f>
        <v>#REF!</v>
      </c>
      <c r="Q465" s="11" t="str">
        <f>IF(
   COUNTIFS($A$2:A465,A465,
             $B$2:B465,B465,
             $C$2:C465,C465,
             $D$2:D465,D465,
             $E$2:E465,E465,
             $H$2:H465,H465
             )&gt;1,
   "Doublon",
   "Correcte"
)</f>
        <v>Correcte</v>
      </c>
    </row>
    <row r="466" spans="1:17" x14ac:dyDescent="0.25">
      <c r="A466" s="11" t="s">
        <v>3221</v>
      </c>
      <c r="B466" s="11" t="s">
        <v>1153</v>
      </c>
      <c r="C466" s="11" t="s">
        <v>662</v>
      </c>
      <c r="D466" s="11" t="s">
        <v>1154</v>
      </c>
      <c r="E466" s="11">
        <v>5</v>
      </c>
      <c r="F466" s="11"/>
      <c r="G466" s="11" t="s">
        <v>664</v>
      </c>
      <c r="H466" s="14">
        <v>45915</v>
      </c>
      <c r="I466" s="12">
        <f>-Mvt_Inter_entrepot[[#This Row],[QTE]]</f>
        <v>-5</v>
      </c>
      <c r="J466" s="11" t="s">
        <v>526</v>
      </c>
      <c r="K466" s="11" t="str">
        <f>_xlfn.TEXTBEFORE(Mvt_Inter_entrepot[[#This Row],[Num Suivis]],"-",,,1)</f>
        <v>OF246515</v>
      </c>
      <c r="L466" s="11" t="e">
        <f>_xlfn.XLOOKUP(Mvt_Inter_entrepot[[#This Row],[Num OF]],#REF!,#REF!,"Non Trouvé")</f>
        <v>#REF!</v>
      </c>
      <c r="M466" s="11" t="e">
        <f>_xlfn.XLOOKUP(Mvt_Inter_entrepot[[#This Row],[Num OF]],#REF!,#REF!,"Non Trouvé")</f>
        <v>#REF!</v>
      </c>
      <c r="N466" s="11" t="e">
        <f>_xlfn.XLOOKUP(Mvt_Inter_entrepot[[#This Row],[Num OF]],#REF!,#REF!,"Non Trouvé")</f>
        <v>#REF!</v>
      </c>
      <c r="O466" s="11" t="e">
        <f>_xlfn.XLOOKUP(Mvt_Inter_entrepot[[#This Row],[Num OF]],#REF!,#REF!,"Non Trouvé")</f>
        <v>#REF!</v>
      </c>
      <c r="P466" s="11" t="e">
        <f>_xlfn.XLOOKUP(Mvt_Inter_entrepot[[#This Row],[Num OF]],#REF!,#REF!,"Non Trouvé")</f>
        <v>#REF!</v>
      </c>
      <c r="Q466" s="11" t="str">
        <f>IF(
   COUNTIFS($A$2:A466,A466,
             $B$2:B466,B466,
             $C$2:C466,C466,
             $D$2:D466,D466,
             $E$2:E466,E466,
             $H$2:H466,H466
             )&gt;1,
   "Doublon",
   "Correcte"
)</f>
        <v>Correcte</v>
      </c>
    </row>
    <row r="467" spans="1:17" x14ac:dyDescent="0.25">
      <c r="A467" s="11" t="s">
        <v>3140</v>
      </c>
      <c r="B467" s="11" t="s">
        <v>1153</v>
      </c>
      <c r="C467" s="11" t="s">
        <v>662</v>
      </c>
      <c r="D467" s="11" t="s">
        <v>1154</v>
      </c>
      <c r="E467" s="11">
        <v>2</v>
      </c>
      <c r="F467" s="11"/>
      <c r="G467" s="11" t="s">
        <v>664</v>
      </c>
      <c r="H467" s="14">
        <v>45915</v>
      </c>
      <c r="I467" s="12">
        <f>-Mvt_Inter_entrepot[[#This Row],[QTE]]</f>
        <v>-2</v>
      </c>
      <c r="J467" s="11" t="s">
        <v>237</v>
      </c>
      <c r="K467" s="11" t="str">
        <f>_xlfn.TEXTBEFORE(Mvt_Inter_entrepot[[#This Row],[Num Suivis]],"-",,,1)</f>
        <v>OF245969</v>
      </c>
      <c r="L467" s="11" t="e">
        <f>_xlfn.XLOOKUP(Mvt_Inter_entrepot[[#This Row],[Num OF]],#REF!,#REF!,"Non Trouvé")</f>
        <v>#REF!</v>
      </c>
      <c r="M467" s="11" t="e">
        <f>_xlfn.XLOOKUP(Mvt_Inter_entrepot[[#This Row],[Num OF]],#REF!,#REF!,"Non Trouvé")</f>
        <v>#REF!</v>
      </c>
      <c r="N467" s="11" t="e">
        <f>_xlfn.XLOOKUP(Mvt_Inter_entrepot[[#This Row],[Num OF]],#REF!,#REF!,"Non Trouvé")</f>
        <v>#REF!</v>
      </c>
      <c r="O467" s="11" t="e">
        <f>_xlfn.XLOOKUP(Mvt_Inter_entrepot[[#This Row],[Num OF]],#REF!,#REF!,"Non Trouvé")</f>
        <v>#REF!</v>
      </c>
      <c r="P467" s="11" t="e">
        <f>_xlfn.XLOOKUP(Mvt_Inter_entrepot[[#This Row],[Num OF]],#REF!,#REF!,"Non Trouvé")</f>
        <v>#REF!</v>
      </c>
      <c r="Q467" s="11" t="str">
        <f>IF(
   COUNTIFS($A$2:A467,A467,
             $B$2:B467,B467,
             $C$2:C467,C467,
             $D$2:D467,D467,
             $E$2:E467,E467,
             $H$2:H467,H467
             )&gt;1,
   "Doublon",
   "Correcte"
)</f>
        <v>Correcte</v>
      </c>
    </row>
    <row r="468" spans="1:17" x14ac:dyDescent="0.25">
      <c r="A468" s="11" t="s">
        <v>3278</v>
      </c>
      <c r="B468" s="11" t="s">
        <v>1153</v>
      </c>
      <c r="C468" s="11" t="s">
        <v>662</v>
      </c>
      <c r="D468" s="11" t="s">
        <v>1154</v>
      </c>
      <c r="E468" s="11">
        <v>3</v>
      </c>
      <c r="F468" s="11"/>
      <c r="G468" s="11" t="s">
        <v>664</v>
      </c>
      <c r="H468" s="14">
        <v>45915</v>
      </c>
      <c r="I468" s="12">
        <f>-Mvt_Inter_entrepot[[#This Row],[QTE]]</f>
        <v>-3</v>
      </c>
      <c r="J468" s="11" t="s">
        <v>498</v>
      </c>
      <c r="K468" s="11" t="str">
        <f>_xlfn.TEXTBEFORE(Mvt_Inter_entrepot[[#This Row],[Num Suivis]],"-",,,1)</f>
        <v>OF246109</v>
      </c>
      <c r="L468" s="11" t="e">
        <f>_xlfn.XLOOKUP(Mvt_Inter_entrepot[[#This Row],[Num OF]],#REF!,#REF!,"Non Trouvé")</f>
        <v>#REF!</v>
      </c>
      <c r="M468" s="11" t="e">
        <f>_xlfn.XLOOKUP(Mvt_Inter_entrepot[[#This Row],[Num OF]],#REF!,#REF!,"Non Trouvé")</f>
        <v>#REF!</v>
      </c>
      <c r="N468" s="11" t="e">
        <f>_xlfn.XLOOKUP(Mvt_Inter_entrepot[[#This Row],[Num OF]],#REF!,#REF!,"Non Trouvé")</f>
        <v>#REF!</v>
      </c>
      <c r="O468" s="11" t="e">
        <f>_xlfn.XLOOKUP(Mvt_Inter_entrepot[[#This Row],[Num OF]],#REF!,#REF!,"Non Trouvé")</f>
        <v>#REF!</v>
      </c>
      <c r="P468" s="11" t="e">
        <f>_xlfn.XLOOKUP(Mvt_Inter_entrepot[[#This Row],[Num OF]],#REF!,#REF!,"Non Trouvé")</f>
        <v>#REF!</v>
      </c>
      <c r="Q468" s="11" t="str">
        <f>IF(
   COUNTIFS($A$2:A468,A468,
             $B$2:B468,B468,
             $C$2:C468,C468,
             $D$2:D468,D468,
             $E$2:E468,E468,
             $H$2:H468,H468
             )&gt;1,
   "Doublon",
   "Correcte"
)</f>
        <v>Correcte</v>
      </c>
    </row>
    <row r="469" spans="1:17" x14ac:dyDescent="0.25">
      <c r="A469" s="11" t="s">
        <v>3107</v>
      </c>
      <c r="B469" s="11" t="s">
        <v>1153</v>
      </c>
      <c r="C469" s="11" t="s">
        <v>662</v>
      </c>
      <c r="D469" s="11" t="s">
        <v>1154</v>
      </c>
      <c r="E469" s="11">
        <v>8</v>
      </c>
      <c r="F469" s="11"/>
      <c r="G469" s="11" t="s">
        <v>664</v>
      </c>
      <c r="H469" s="14">
        <v>45915</v>
      </c>
      <c r="I469" s="12">
        <f>-Mvt_Inter_entrepot[[#This Row],[QTE]]</f>
        <v>-8</v>
      </c>
      <c r="J469" s="11" t="s">
        <v>470</v>
      </c>
      <c r="K469" s="11" t="str">
        <f>_xlfn.TEXTBEFORE(Mvt_Inter_entrepot[[#This Row],[Num Suivis]],"-",,,1)</f>
        <v>OF245595</v>
      </c>
      <c r="L469" s="11" t="e">
        <f>_xlfn.XLOOKUP(Mvt_Inter_entrepot[[#This Row],[Num OF]],#REF!,#REF!,"Non Trouvé")</f>
        <v>#REF!</v>
      </c>
      <c r="M469" s="11" t="e">
        <f>_xlfn.XLOOKUP(Mvt_Inter_entrepot[[#This Row],[Num OF]],#REF!,#REF!,"Non Trouvé")</f>
        <v>#REF!</v>
      </c>
      <c r="N469" s="11" t="e">
        <f>_xlfn.XLOOKUP(Mvt_Inter_entrepot[[#This Row],[Num OF]],#REF!,#REF!,"Non Trouvé")</f>
        <v>#REF!</v>
      </c>
      <c r="O469" s="11" t="e">
        <f>_xlfn.XLOOKUP(Mvt_Inter_entrepot[[#This Row],[Num OF]],#REF!,#REF!,"Non Trouvé")</f>
        <v>#REF!</v>
      </c>
      <c r="P469" s="11" t="e">
        <f>_xlfn.XLOOKUP(Mvt_Inter_entrepot[[#This Row],[Num OF]],#REF!,#REF!,"Non Trouvé")</f>
        <v>#REF!</v>
      </c>
      <c r="Q469" s="11" t="str">
        <f>IF(
   COUNTIFS($A$2:A469,A469,
             $B$2:B469,B469,
             $C$2:C469,C469,
             $D$2:D469,D469,
             $E$2:E469,E469,
             $H$2:H469,H469
             )&gt;1,
   "Doublon",
   "Correcte"
)</f>
        <v>Correcte</v>
      </c>
    </row>
    <row r="470" spans="1:17" x14ac:dyDescent="0.25">
      <c r="A470" s="11" t="s">
        <v>3156</v>
      </c>
      <c r="B470" s="11" t="s">
        <v>1153</v>
      </c>
      <c r="C470" s="11" t="s">
        <v>662</v>
      </c>
      <c r="D470" s="11" t="s">
        <v>1154</v>
      </c>
      <c r="E470" s="11">
        <v>3</v>
      </c>
      <c r="F470" s="11"/>
      <c r="G470" s="11" t="s">
        <v>664</v>
      </c>
      <c r="H470" s="14">
        <v>45915</v>
      </c>
      <c r="I470" s="12">
        <f>-Mvt_Inter_entrepot[[#This Row],[QTE]]</f>
        <v>-3</v>
      </c>
      <c r="J470" s="11" t="s">
        <v>253</v>
      </c>
      <c r="K470" s="11" t="str">
        <f>_xlfn.TEXTBEFORE(Mvt_Inter_entrepot[[#This Row],[Num Suivis]],"-",,,1)</f>
        <v>OF245986</v>
      </c>
      <c r="L470" s="11" t="e">
        <f>_xlfn.XLOOKUP(Mvt_Inter_entrepot[[#This Row],[Num OF]],#REF!,#REF!,"Non Trouvé")</f>
        <v>#REF!</v>
      </c>
      <c r="M470" s="11" t="e">
        <f>_xlfn.XLOOKUP(Mvt_Inter_entrepot[[#This Row],[Num OF]],#REF!,#REF!,"Non Trouvé")</f>
        <v>#REF!</v>
      </c>
      <c r="N470" s="11" t="e">
        <f>_xlfn.XLOOKUP(Mvt_Inter_entrepot[[#This Row],[Num OF]],#REF!,#REF!,"Non Trouvé")</f>
        <v>#REF!</v>
      </c>
      <c r="O470" s="11" t="e">
        <f>_xlfn.XLOOKUP(Mvt_Inter_entrepot[[#This Row],[Num OF]],#REF!,#REF!,"Non Trouvé")</f>
        <v>#REF!</v>
      </c>
      <c r="P470" s="11" t="e">
        <f>_xlfn.XLOOKUP(Mvt_Inter_entrepot[[#This Row],[Num OF]],#REF!,#REF!,"Non Trouvé")</f>
        <v>#REF!</v>
      </c>
      <c r="Q470" s="11" t="str">
        <f>IF(
   COUNTIFS($A$2:A470,A470,
             $B$2:B470,B470,
             $C$2:C470,C470,
             $D$2:D470,D470,
             $E$2:E470,E470,
             $H$2:H470,H470
             )&gt;1,
   "Doublon",
   "Correcte"
)</f>
        <v>Correcte</v>
      </c>
    </row>
    <row r="471" spans="1:17" x14ac:dyDescent="0.25">
      <c r="A471" s="11" t="s">
        <v>3224</v>
      </c>
      <c r="B471" s="11" t="s">
        <v>1153</v>
      </c>
      <c r="C471" s="11" t="s">
        <v>662</v>
      </c>
      <c r="D471" s="11" t="s">
        <v>1154</v>
      </c>
      <c r="E471" s="11">
        <v>4</v>
      </c>
      <c r="F471" s="11"/>
      <c r="G471" s="11" t="s">
        <v>664</v>
      </c>
      <c r="H471" s="14">
        <v>45915</v>
      </c>
      <c r="I471" s="12">
        <f>-Mvt_Inter_entrepot[[#This Row],[QTE]]</f>
        <v>-4</v>
      </c>
      <c r="J471" s="11" t="s">
        <v>532</v>
      </c>
      <c r="K471" s="11" t="str">
        <f>_xlfn.TEXTBEFORE(Mvt_Inter_entrepot[[#This Row],[Num Suivis]],"-",,,1)</f>
        <v>OF246521</v>
      </c>
      <c r="L471" s="11" t="e">
        <f>_xlfn.XLOOKUP(Mvt_Inter_entrepot[[#This Row],[Num OF]],#REF!,#REF!,"Non Trouvé")</f>
        <v>#REF!</v>
      </c>
      <c r="M471" s="11" t="e">
        <f>_xlfn.XLOOKUP(Mvt_Inter_entrepot[[#This Row],[Num OF]],#REF!,#REF!,"Non Trouvé")</f>
        <v>#REF!</v>
      </c>
      <c r="N471" s="11" t="e">
        <f>_xlfn.XLOOKUP(Mvt_Inter_entrepot[[#This Row],[Num OF]],#REF!,#REF!,"Non Trouvé")</f>
        <v>#REF!</v>
      </c>
      <c r="O471" s="11" t="e">
        <f>_xlfn.XLOOKUP(Mvt_Inter_entrepot[[#This Row],[Num OF]],#REF!,#REF!,"Non Trouvé")</f>
        <v>#REF!</v>
      </c>
      <c r="P471" s="11" t="e">
        <f>_xlfn.XLOOKUP(Mvt_Inter_entrepot[[#This Row],[Num OF]],#REF!,#REF!,"Non Trouvé")</f>
        <v>#REF!</v>
      </c>
      <c r="Q471" s="11" t="str">
        <f>IF(
   COUNTIFS($A$2:A471,A471,
             $B$2:B471,B471,
             $C$2:C471,C471,
             $D$2:D471,D471,
             $E$2:E471,E471,
             $H$2:H471,H471
             )&gt;1,
   "Doublon",
   "Correcte"
)</f>
        <v>Correcte</v>
      </c>
    </row>
    <row r="472" spans="1:17" x14ac:dyDescent="0.25">
      <c r="A472" s="11" t="s">
        <v>3226</v>
      </c>
      <c r="B472" s="11" t="s">
        <v>1153</v>
      </c>
      <c r="C472" s="11" t="s">
        <v>662</v>
      </c>
      <c r="D472" s="11" t="s">
        <v>1154</v>
      </c>
      <c r="E472" s="11">
        <v>4</v>
      </c>
      <c r="F472" s="11"/>
      <c r="G472" s="11" t="s">
        <v>664</v>
      </c>
      <c r="H472" s="14">
        <v>45915</v>
      </c>
      <c r="I472" s="12">
        <f>-Mvt_Inter_entrepot[[#This Row],[QTE]]</f>
        <v>-4</v>
      </c>
      <c r="J472" s="11" t="s">
        <v>536</v>
      </c>
      <c r="K472" s="11" t="str">
        <f>_xlfn.TEXTBEFORE(Mvt_Inter_entrepot[[#This Row],[Num Suivis]],"-",,,1)</f>
        <v>OF246525</v>
      </c>
      <c r="L472" s="11" t="e">
        <f>_xlfn.XLOOKUP(Mvt_Inter_entrepot[[#This Row],[Num OF]],#REF!,#REF!,"Non Trouvé")</f>
        <v>#REF!</v>
      </c>
      <c r="M472" s="11" t="e">
        <f>_xlfn.XLOOKUP(Mvt_Inter_entrepot[[#This Row],[Num OF]],#REF!,#REF!,"Non Trouvé")</f>
        <v>#REF!</v>
      </c>
      <c r="N472" s="11" t="e">
        <f>_xlfn.XLOOKUP(Mvt_Inter_entrepot[[#This Row],[Num OF]],#REF!,#REF!,"Non Trouvé")</f>
        <v>#REF!</v>
      </c>
      <c r="O472" s="11" t="e">
        <f>_xlfn.XLOOKUP(Mvt_Inter_entrepot[[#This Row],[Num OF]],#REF!,#REF!,"Non Trouvé")</f>
        <v>#REF!</v>
      </c>
      <c r="P472" s="11" t="e">
        <f>_xlfn.XLOOKUP(Mvt_Inter_entrepot[[#This Row],[Num OF]],#REF!,#REF!,"Non Trouvé")</f>
        <v>#REF!</v>
      </c>
      <c r="Q472" s="11" t="str">
        <f>IF(
   COUNTIFS($A$2:A472,A472,
             $B$2:B472,B472,
             $C$2:C472,C472,
             $D$2:D472,D472,
             $E$2:E472,E472,
             $H$2:H472,H472
             )&gt;1,
   "Doublon",
   "Correcte"
)</f>
        <v>Correcte</v>
      </c>
    </row>
    <row r="473" spans="1:17" x14ac:dyDescent="0.25">
      <c r="A473" s="11" t="s">
        <v>3279</v>
      </c>
      <c r="B473" s="11" t="s">
        <v>1153</v>
      </c>
      <c r="C473" s="11" t="s">
        <v>662</v>
      </c>
      <c r="D473" s="11" t="s">
        <v>1154</v>
      </c>
      <c r="E473" s="11">
        <v>3</v>
      </c>
      <c r="F473" s="11"/>
      <c r="G473" s="11" t="s">
        <v>664</v>
      </c>
      <c r="H473" s="14">
        <v>45915</v>
      </c>
      <c r="I473" s="12">
        <f>-Mvt_Inter_entrepot[[#This Row],[QTE]]</f>
        <v>-3</v>
      </c>
      <c r="J473" s="11" t="s">
        <v>318</v>
      </c>
      <c r="K473" s="11" t="str">
        <f>_xlfn.TEXTBEFORE(Mvt_Inter_entrepot[[#This Row],[Num Suivis]],"-",,,1)</f>
        <v>OF240651</v>
      </c>
      <c r="L473" s="11" t="e">
        <f>_xlfn.XLOOKUP(Mvt_Inter_entrepot[[#This Row],[Num OF]],#REF!,#REF!,"Non Trouvé")</f>
        <v>#REF!</v>
      </c>
      <c r="M473" s="11" t="e">
        <f>_xlfn.XLOOKUP(Mvt_Inter_entrepot[[#This Row],[Num OF]],#REF!,#REF!,"Non Trouvé")</f>
        <v>#REF!</v>
      </c>
      <c r="N473" s="11" t="e">
        <f>_xlfn.XLOOKUP(Mvt_Inter_entrepot[[#This Row],[Num OF]],#REF!,#REF!,"Non Trouvé")</f>
        <v>#REF!</v>
      </c>
      <c r="O473" s="11" t="e">
        <f>_xlfn.XLOOKUP(Mvt_Inter_entrepot[[#This Row],[Num OF]],#REF!,#REF!,"Non Trouvé")</f>
        <v>#REF!</v>
      </c>
      <c r="P473" s="11" t="e">
        <f>_xlfn.XLOOKUP(Mvt_Inter_entrepot[[#This Row],[Num OF]],#REF!,#REF!,"Non Trouvé")</f>
        <v>#REF!</v>
      </c>
      <c r="Q473" s="11" t="str">
        <f>IF(
   COUNTIFS($A$2:A473,A473,
             $B$2:B473,B473,
             $C$2:C473,C473,
             $D$2:D473,D473,
             $E$2:E473,E473,
             $H$2:H473,H473
             )&gt;1,
   "Doublon",
   "Correcte"
)</f>
        <v>Correcte</v>
      </c>
    </row>
    <row r="474" spans="1:17" x14ac:dyDescent="0.25">
      <c r="A474" s="11" t="s">
        <v>3100</v>
      </c>
      <c r="B474" s="11" t="s">
        <v>1153</v>
      </c>
      <c r="C474" s="11" t="s">
        <v>662</v>
      </c>
      <c r="D474" s="11" t="s">
        <v>1154</v>
      </c>
      <c r="E474" s="11">
        <v>6</v>
      </c>
      <c r="F474" s="11"/>
      <c r="G474" s="11" t="s">
        <v>664</v>
      </c>
      <c r="H474" s="14">
        <v>45915</v>
      </c>
      <c r="I474" s="12">
        <f>-Mvt_Inter_entrepot[[#This Row],[QTE]]</f>
        <v>-6</v>
      </c>
      <c r="J474" s="11" t="s">
        <v>460</v>
      </c>
      <c r="K474" s="11" t="str">
        <f>_xlfn.TEXTBEFORE(Mvt_Inter_entrepot[[#This Row],[Num Suivis]],"-",,,1)</f>
        <v>OF245520</v>
      </c>
      <c r="L474" s="11" t="e">
        <f>_xlfn.XLOOKUP(Mvt_Inter_entrepot[[#This Row],[Num OF]],#REF!,#REF!,"Non Trouvé")</f>
        <v>#REF!</v>
      </c>
      <c r="M474" s="11" t="e">
        <f>_xlfn.XLOOKUP(Mvt_Inter_entrepot[[#This Row],[Num OF]],#REF!,#REF!,"Non Trouvé")</f>
        <v>#REF!</v>
      </c>
      <c r="N474" s="11" t="e">
        <f>_xlfn.XLOOKUP(Mvt_Inter_entrepot[[#This Row],[Num OF]],#REF!,#REF!,"Non Trouvé")</f>
        <v>#REF!</v>
      </c>
      <c r="O474" s="11" t="e">
        <f>_xlfn.XLOOKUP(Mvt_Inter_entrepot[[#This Row],[Num OF]],#REF!,#REF!,"Non Trouvé")</f>
        <v>#REF!</v>
      </c>
      <c r="P474" s="11" t="e">
        <f>_xlfn.XLOOKUP(Mvt_Inter_entrepot[[#This Row],[Num OF]],#REF!,#REF!,"Non Trouvé")</f>
        <v>#REF!</v>
      </c>
      <c r="Q474" s="11" t="str">
        <f>IF(
   COUNTIFS($A$2:A474,A474,
             $B$2:B474,B474,
             $C$2:C474,C474,
             $D$2:D474,D474,
             $E$2:E474,E474,
             $H$2:H474,H474
             )&gt;1,
   "Doublon",
   "Correcte"
)</f>
        <v>Correcte</v>
      </c>
    </row>
    <row r="475" spans="1:17" x14ac:dyDescent="0.25">
      <c r="A475" s="11" t="s">
        <v>3280</v>
      </c>
      <c r="B475" s="11" t="s">
        <v>1153</v>
      </c>
      <c r="C475" s="11" t="s">
        <v>662</v>
      </c>
      <c r="D475" s="11" t="s">
        <v>1154</v>
      </c>
      <c r="E475" s="11">
        <v>3</v>
      </c>
      <c r="F475" s="11"/>
      <c r="G475" s="11" t="s">
        <v>664</v>
      </c>
      <c r="H475" s="14">
        <v>45915</v>
      </c>
      <c r="I475" s="12">
        <f>-Mvt_Inter_entrepot[[#This Row],[QTE]]</f>
        <v>-3</v>
      </c>
      <c r="J475" s="11" t="s">
        <v>499</v>
      </c>
      <c r="K475" s="11" t="str">
        <f>_xlfn.TEXTBEFORE(Mvt_Inter_entrepot[[#This Row],[Num Suivis]],"-",,,1)</f>
        <v>OF246111</v>
      </c>
      <c r="L475" s="11" t="e">
        <f>_xlfn.XLOOKUP(Mvt_Inter_entrepot[[#This Row],[Num OF]],#REF!,#REF!,"Non Trouvé")</f>
        <v>#REF!</v>
      </c>
      <c r="M475" s="11" t="e">
        <f>_xlfn.XLOOKUP(Mvt_Inter_entrepot[[#This Row],[Num OF]],#REF!,#REF!,"Non Trouvé")</f>
        <v>#REF!</v>
      </c>
      <c r="N475" s="11" t="e">
        <f>_xlfn.XLOOKUP(Mvt_Inter_entrepot[[#This Row],[Num OF]],#REF!,#REF!,"Non Trouvé")</f>
        <v>#REF!</v>
      </c>
      <c r="O475" s="11" t="e">
        <f>_xlfn.XLOOKUP(Mvt_Inter_entrepot[[#This Row],[Num OF]],#REF!,#REF!,"Non Trouvé")</f>
        <v>#REF!</v>
      </c>
      <c r="P475" s="11" t="e">
        <f>_xlfn.XLOOKUP(Mvt_Inter_entrepot[[#This Row],[Num OF]],#REF!,#REF!,"Non Trouvé")</f>
        <v>#REF!</v>
      </c>
      <c r="Q475" s="11" t="str">
        <f>IF(
   COUNTIFS($A$2:A475,A475,
             $B$2:B475,B475,
             $C$2:C475,C475,
             $D$2:D475,D475,
             $E$2:E475,E475,
             $H$2:H475,H475
             )&gt;1,
   "Doublon",
   "Correcte"
)</f>
        <v>Correcte</v>
      </c>
    </row>
    <row r="476" spans="1:17" x14ac:dyDescent="0.25">
      <c r="A476" s="11" t="s">
        <v>3281</v>
      </c>
      <c r="B476" s="11" t="s">
        <v>1153</v>
      </c>
      <c r="C476" s="11" t="s">
        <v>662</v>
      </c>
      <c r="D476" s="11" t="s">
        <v>1154</v>
      </c>
      <c r="E476" s="11">
        <v>1</v>
      </c>
      <c r="F476" s="11"/>
      <c r="G476" s="11" t="s">
        <v>664</v>
      </c>
      <c r="H476" s="14">
        <v>45915</v>
      </c>
      <c r="I476" s="12">
        <f>-Mvt_Inter_entrepot[[#This Row],[QTE]]</f>
        <v>-1</v>
      </c>
      <c r="J476" s="11" t="s">
        <v>442</v>
      </c>
      <c r="K476" s="11" t="str">
        <f>_xlfn.TEXTBEFORE(Mvt_Inter_entrepot[[#This Row],[Num Suivis]],"-",,,1)</f>
        <v>OF244486</v>
      </c>
      <c r="L476" s="11" t="e">
        <f>_xlfn.XLOOKUP(Mvt_Inter_entrepot[[#This Row],[Num OF]],#REF!,#REF!,"Non Trouvé")</f>
        <v>#REF!</v>
      </c>
      <c r="M476" s="11" t="e">
        <f>_xlfn.XLOOKUP(Mvt_Inter_entrepot[[#This Row],[Num OF]],#REF!,#REF!,"Non Trouvé")</f>
        <v>#REF!</v>
      </c>
      <c r="N476" s="11" t="e">
        <f>_xlfn.XLOOKUP(Mvt_Inter_entrepot[[#This Row],[Num OF]],#REF!,#REF!,"Non Trouvé")</f>
        <v>#REF!</v>
      </c>
      <c r="O476" s="11" t="e">
        <f>_xlfn.XLOOKUP(Mvt_Inter_entrepot[[#This Row],[Num OF]],#REF!,#REF!,"Non Trouvé")</f>
        <v>#REF!</v>
      </c>
      <c r="P476" s="11" t="e">
        <f>_xlfn.XLOOKUP(Mvt_Inter_entrepot[[#This Row],[Num OF]],#REF!,#REF!,"Non Trouvé")</f>
        <v>#REF!</v>
      </c>
      <c r="Q476" s="11" t="str">
        <f>IF(
   COUNTIFS($A$2:A476,A476,
             $B$2:B476,B476,
             $C$2:C476,C476,
             $D$2:D476,D476,
             $E$2:E476,E476,
             $H$2:H476,H476
             )&gt;1,
   "Doublon",
   "Correcte"
)</f>
        <v>Correcte</v>
      </c>
    </row>
    <row r="477" spans="1:17" x14ac:dyDescent="0.25">
      <c r="A477" s="11" t="s">
        <v>3282</v>
      </c>
      <c r="B477" s="11" t="s">
        <v>1153</v>
      </c>
      <c r="C477" s="11" t="s">
        <v>662</v>
      </c>
      <c r="D477" s="11" t="s">
        <v>1154</v>
      </c>
      <c r="E477" s="11">
        <v>2</v>
      </c>
      <c r="F477" s="11"/>
      <c r="G477" s="11" t="s">
        <v>664</v>
      </c>
      <c r="H477" s="14">
        <v>45915</v>
      </c>
      <c r="I477" s="12">
        <f>-Mvt_Inter_entrepot[[#This Row],[QTE]]</f>
        <v>-2</v>
      </c>
      <c r="J477" s="11" t="s">
        <v>1166</v>
      </c>
      <c r="K477" s="11" t="str">
        <f>_xlfn.TEXTBEFORE(Mvt_Inter_entrepot[[#This Row],[Num Suivis]],"-",,,1)</f>
        <v>EC240005</v>
      </c>
      <c r="L477" s="11" t="e">
        <f>_xlfn.XLOOKUP(Mvt_Inter_entrepot[[#This Row],[Num OF]],#REF!,#REF!,"Non Trouvé")</f>
        <v>#REF!</v>
      </c>
      <c r="M477" s="11" t="e">
        <f>_xlfn.XLOOKUP(Mvt_Inter_entrepot[[#This Row],[Num OF]],#REF!,#REF!,"Non Trouvé")</f>
        <v>#REF!</v>
      </c>
      <c r="N477" s="11" t="e">
        <f>_xlfn.XLOOKUP(Mvt_Inter_entrepot[[#This Row],[Num OF]],#REF!,#REF!,"Non Trouvé")</f>
        <v>#REF!</v>
      </c>
      <c r="O477" s="11" t="e">
        <f>_xlfn.XLOOKUP(Mvt_Inter_entrepot[[#This Row],[Num OF]],#REF!,#REF!,"Non Trouvé")</f>
        <v>#REF!</v>
      </c>
      <c r="P477" s="11" t="e">
        <f>_xlfn.XLOOKUP(Mvt_Inter_entrepot[[#This Row],[Num OF]],#REF!,#REF!,"Non Trouvé")</f>
        <v>#REF!</v>
      </c>
      <c r="Q477" s="11" t="str">
        <f>IF(
   COUNTIFS($A$2:A477,A477,
             $B$2:B477,B477,
             $C$2:C477,C477,
             $D$2:D477,D477,
             $E$2:E477,E477,
             $H$2:H477,H477
             )&gt;1,
   "Doublon",
   "Correcte"
)</f>
        <v>Correcte</v>
      </c>
    </row>
    <row r="478" spans="1:17" x14ac:dyDescent="0.25">
      <c r="A478" s="11" t="s">
        <v>3283</v>
      </c>
      <c r="B478" s="11" t="s">
        <v>1153</v>
      </c>
      <c r="C478" s="11" t="s">
        <v>662</v>
      </c>
      <c r="D478" s="11" t="s">
        <v>1154</v>
      </c>
      <c r="E478" s="11">
        <v>3</v>
      </c>
      <c r="F478" s="11"/>
      <c r="G478" s="11" t="s">
        <v>664</v>
      </c>
      <c r="H478" s="14">
        <v>45915</v>
      </c>
      <c r="I478" s="12">
        <f>-Mvt_Inter_entrepot[[#This Row],[QTE]]</f>
        <v>-3</v>
      </c>
      <c r="J478" s="11" t="s">
        <v>414</v>
      </c>
      <c r="K478" s="11" t="str">
        <f>_xlfn.TEXTBEFORE(Mvt_Inter_entrepot[[#This Row],[Num Suivis]],"-",,,1)</f>
        <v>OF243827</v>
      </c>
      <c r="L478" s="11" t="e">
        <f>_xlfn.XLOOKUP(Mvt_Inter_entrepot[[#This Row],[Num OF]],#REF!,#REF!,"Non Trouvé")</f>
        <v>#REF!</v>
      </c>
      <c r="M478" s="11" t="e">
        <f>_xlfn.XLOOKUP(Mvt_Inter_entrepot[[#This Row],[Num OF]],#REF!,#REF!,"Non Trouvé")</f>
        <v>#REF!</v>
      </c>
      <c r="N478" s="11" t="e">
        <f>_xlfn.XLOOKUP(Mvt_Inter_entrepot[[#This Row],[Num OF]],#REF!,#REF!,"Non Trouvé")</f>
        <v>#REF!</v>
      </c>
      <c r="O478" s="11" t="e">
        <f>_xlfn.XLOOKUP(Mvt_Inter_entrepot[[#This Row],[Num OF]],#REF!,#REF!,"Non Trouvé")</f>
        <v>#REF!</v>
      </c>
      <c r="P478" s="11" t="e">
        <f>_xlfn.XLOOKUP(Mvt_Inter_entrepot[[#This Row],[Num OF]],#REF!,#REF!,"Non Trouvé")</f>
        <v>#REF!</v>
      </c>
      <c r="Q478" s="11" t="str">
        <f>IF(
   COUNTIFS($A$2:A478,A478,
             $B$2:B478,B478,
             $C$2:C478,C478,
             $D$2:D478,D478,
             $E$2:E478,E478,
             $H$2:H478,H478
             )&gt;1,
   "Doublon",
   "Correcte"
)</f>
        <v>Correcte</v>
      </c>
    </row>
    <row r="479" spans="1:17" x14ac:dyDescent="0.25">
      <c r="A479" s="11" t="s">
        <v>3284</v>
      </c>
      <c r="B479" s="11" t="s">
        <v>1153</v>
      </c>
      <c r="C479" s="11" t="s">
        <v>662</v>
      </c>
      <c r="D479" s="11" t="s">
        <v>1154</v>
      </c>
      <c r="E479" s="11">
        <v>1</v>
      </c>
      <c r="F479" s="11"/>
      <c r="G479" s="11" t="s">
        <v>664</v>
      </c>
      <c r="H479" s="14">
        <v>45915</v>
      </c>
      <c r="I479" s="12">
        <f>-Mvt_Inter_entrepot[[#This Row],[QTE]]</f>
        <v>-1</v>
      </c>
      <c r="J479" s="11" t="s">
        <v>1167</v>
      </c>
      <c r="K479" s="11" t="str">
        <f>_xlfn.TEXTBEFORE(Mvt_Inter_entrepot[[#This Row],[Num Suivis]],"-",,,1)</f>
        <v>EC240006</v>
      </c>
      <c r="L479" s="11" t="e">
        <f>_xlfn.XLOOKUP(Mvt_Inter_entrepot[[#This Row],[Num OF]],#REF!,#REF!,"Non Trouvé")</f>
        <v>#REF!</v>
      </c>
      <c r="M479" s="11" t="e">
        <f>_xlfn.XLOOKUP(Mvt_Inter_entrepot[[#This Row],[Num OF]],#REF!,#REF!,"Non Trouvé")</f>
        <v>#REF!</v>
      </c>
      <c r="N479" s="11" t="e">
        <f>_xlfn.XLOOKUP(Mvt_Inter_entrepot[[#This Row],[Num OF]],#REF!,#REF!,"Non Trouvé")</f>
        <v>#REF!</v>
      </c>
      <c r="O479" s="11" t="e">
        <f>_xlfn.XLOOKUP(Mvt_Inter_entrepot[[#This Row],[Num OF]],#REF!,#REF!,"Non Trouvé")</f>
        <v>#REF!</v>
      </c>
      <c r="P479" s="11" t="e">
        <f>_xlfn.XLOOKUP(Mvt_Inter_entrepot[[#This Row],[Num OF]],#REF!,#REF!,"Non Trouvé")</f>
        <v>#REF!</v>
      </c>
      <c r="Q479" s="11" t="str">
        <f>IF(
   COUNTIFS($A$2:A479,A479,
             $B$2:B479,B479,
             $C$2:C479,C479,
             $D$2:D479,D479,
             $E$2:E479,E479,
             $H$2:H479,H479
             )&gt;1,
   "Doublon",
   "Correcte"
)</f>
        <v>Correcte</v>
      </c>
    </row>
    <row r="480" spans="1:17" x14ac:dyDescent="0.25">
      <c r="A480" s="11" t="s">
        <v>3285</v>
      </c>
      <c r="B480" s="11" t="s">
        <v>1153</v>
      </c>
      <c r="C480" s="11" t="s">
        <v>662</v>
      </c>
      <c r="D480" s="11" t="s">
        <v>665</v>
      </c>
      <c r="E480" s="11">
        <v>55</v>
      </c>
      <c r="F480" s="11"/>
      <c r="G480" s="11" t="s">
        <v>664</v>
      </c>
      <c r="H480" s="14">
        <v>45915</v>
      </c>
      <c r="I480" s="12">
        <f>-Mvt_Inter_entrepot[[#This Row],[QTE]]</f>
        <v>-55</v>
      </c>
      <c r="J480" s="11" t="s">
        <v>31</v>
      </c>
      <c r="K480" s="11" t="str">
        <f>_xlfn.TEXTBEFORE(Mvt_Inter_entrepot[[#This Row],[Num Suivis]],"-",,,1)</f>
        <v>CA250004</v>
      </c>
      <c r="L480" s="11" t="e">
        <f>_xlfn.XLOOKUP(Mvt_Inter_entrepot[[#This Row],[Num OF]],#REF!,#REF!,"Non Trouvé")</f>
        <v>#REF!</v>
      </c>
      <c r="M480" s="11" t="e">
        <f>_xlfn.XLOOKUP(Mvt_Inter_entrepot[[#This Row],[Num OF]],#REF!,#REF!,"Non Trouvé")</f>
        <v>#REF!</v>
      </c>
      <c r="N480" s="11" t="e">
        <f>_xlfn.XLOOKUP(Mvt_Inter_entrepot[[#This Row],[Num OF]],#REF!,#REF!,"Non Trouvé")</f>
        <v>#REF!</v>
      </c>
      <c r="O480" s="11" t="e">
        <f>_xlfn.XLOOKUP(Mvt_Inter_entrepot[[#This Row],[Num OF]],#REF!,#REF!,"Non Trouvé")</f>
        <v>#REF!</v>
      </c>
      <c r="P480" s="11" t="e">
        <f>_xlfn.XLOOKUP(Mvt_Inter_entrepot[[#This Row],[Num OF]],#REF!,#REF!,"Non Trouvé")</f>
        <v>#REF!</v>
      </c>
      <c r="Q480" s="11" t="str">
        <f>IF(
   COUNTIFS($A$2:A480,A480,
             $B$2:B480,B480,
             $C$2:C480,C480,
             $D$2:D480,D480,
             $E$2:E480,E480,
             $H$2:H480,H480
             )&gt;1,
   "Doublon",
   "Correcte"
)</f>
        <v>Correcte</v>
      </c>
    </row>
    <row r="481" spans="1:17" x14ac:dyDescent="0.25">
      <c r="A481" s="11" t="s">
        <v>3286</v>
      </c>
      <c r="B481" s="11" t="s">
        <v>1153</v>
      </c>
      <c r="C481" s="11" t="s">
        <v>662</v>
      </c>
      <c r="D481" s="11" t="s">
        <v>665</v>
      </c>
      <c r="E481" s="11">
        <v>62</v>
      </c>
      <c r="F481" s="11"/>
      <c r="G481" s="11" t="s">
        <v>664</v>
      </c>
      <c r="H481" s="14">
        <v>45915</v>
      </c>
      <c r="I481" s="12">
        <f>-Mvt_Inter_entrepot[[#This Row],[QTE]]</f>
        <v>-62</v>
      </c>
      <c r="J481" s="11" t="s">
        <v>101</v>
      </c>
      <c r="K481" s="11" t="str">
        <f>_xlfn.TEXTBEFORE(Mvt_Inter_entrepot[[#This Row],[Num Suivis]],"-",,,1)</f>
        <v>CA250469</v>
      </c>
      <c r="L481" s="11" t="e">
        <f>_xlfn.XLOOKUP(Mvt_Inter_entrepot[[#This Row],[Num OF]],#REF!,#REF!,"Non Trouvé")</f>
        <v>#REF!</v>
      </c>
      <c r="M481" s="11" t="e">
        <f>_xlfn.XLOOKUP(Mvt_Inter_entrepot[[#This Row],[Num OF]],#REF!,#REF!,"Non Trouvé")</f>
        <v>#REF!</v>
      </c>
      <c r="N481" s="11" t="e">
        <f>_xlfn.XLOOKUP(Mvt_Inter_entrepot[[#This Row],[Num OF]],#REF!,#REF!,"Non Trouvé")</f>
        <v>#REF!</v>
      </c>
      <c r="O481" s="11" t="e">
        <f>_xlfn.XLOOKUP(Mvt_Inter_entrepot[[#This Row],[Num OF]],#REF!,#REF!,"Non Trouvé")</f>
        <v>#REF!</v>
      </c>
      <c r="P481" s="11" t="e">
        <f>_xlfn.XLOOKUP(Mvt_Inter_entrepot[[#This Row],[Num OF]],#REF!,#REF!,"Non Trouvé")</f>
        <v>#REF!</v>
      </c>
      <c r="Q481" s="11" t="str">
        <f>IF(
   COUNTIFS($A$2:A481,A481,
             $B$2:B481,B481,
             $C$2:C481,C481,
             $D$2:D481,D481,
             $E$2:E481,E481,
             $H$2:H481,H481
             )&gt;1,
   "Doublon",
   "Correcte"
)</f>
        <v>Correcte</v>
      </c>
    </row>
    <row r="482" spans="1:17" x14ac:dyDescent="0.25">
      <c r="A482" s="11" t="s">
        <v>3287</v>
      </c>
      <c r="B482" s="11" t="s">
        <v>1153</v>
      </c>
      <c r="C482" s="11" t="s">
        <v>662</v>
      </c>
      <c r="D482" s="11" t="s">
        <v>665</v>
      </c>
      <c r="E482" s="11">
        <v>55</v>
      </c>
      <c r="F482" s="11"/>
      <c r="G482" s="11" t="s">
        <v>664</v>
      </c>
      <c r="H482" s="14">
        <v>45915</v>
      </c>
      <c r="I482" s="12">
        <f>-Mvt_Inter_entrepot[[#This Row],[QTE]]</f>
        <v>-55</v>
      </c>
      <c r="J482" s="11" t="s">
        <v>34</v>
      </c>
      <c r="K482" s="11" t="str">
        <f>_xlfn.TEXTBEFORE(Mvt_Inter_entrepot[[#This Row],[Num Suivis]],"-",,,1)</f>
        <v>CA250009</v>
      </c>
      <c r="L482" s="11" t="e">
        <f>_xlfn.XLOOKUP(Mvt_Inter_entrepot[[#This Row],[Num OF]],#REF!,#REF!,"Non Trouvé")</f>
        <v>#REF!</v>
      </c>
      <c r="M482" s="11" t="e">
        <f>_xlfn.XLOOKUP(Mvt_Inter_entrepot[[#This Row],[Num OF]],#REF!,#REF!,"Non Trouvé")</f>
        <v>#REF!</v>
      </c>
      <c r="N482" s="11" t="e">
        <f>_xlfn.XLOOKUP(Mvt_Inter_entrepot[[#This Row],[Num OF]],#REF!,#REF!,"Non Trouvé")</f>
        <v>#REF!</v>
      </c>
      <c r="O482" s="11" t="e">
        <f>_xlfn.XLOOKUP(Mvt_Inter_entrepot[[#This Row],[Num OF]],#REF!,#REF!,"Non Trouvé")</f>
        <v>#REF!</v>
      </c>
      <c r="P482" s="11" t="e">
        <f>_xlfn.XLOOKUP(Mvt_Inter_entrepot[[#This Row],[Num OF]],#REF!,#REF!,"Non Trouvé")</f>
        <v>#REF!</v>
      </c>
      <c r="Q482" s="11" t="str">
        <f>IF(
   COUNTIFS($A$2:A482,A482,
             $B$2:B482,B482,
             $C$2:C482,C482,
             $D$2:D482,D482,
             $E$2:E482,E482,
             $H$2:H482,H482
             )&gt;1,
   "Doublon",
   "Correcte"
)</f>
        <v>Correcte</v>
      </c>
    </row>
    <row r="483" spans="1:17" x14ac:dyDescent="0.25">
      <c r="A483" s="11" t="s">
        <v>3288</v>
      </c>
      <c r="B483" s="11" t="s">
        <v>1153</v>
      </c>
      <c r="C483" s="11" t="s">
        <v>662</v>
      </c>
      <c r="D483" s="11" t="s">
        <v>665</v>
      </c>
      <c r="E483" s="11">
        <v>20</v>
      </c>
      <c r="F483" s="11"/>
      <c r="G483" s="11" t="s">
        <v>664</v>
      </c>
      <c r="H483" s="14">
        <v>45915</v>
      </c>
      <c r="I483" s="12">
        <f>-Mvt_Inter_entrepot[[#This Row],[QTE]]</f>
        <v>-20</v>
      </c>
      <c r="J483" s="11" t="s">
        <v>45</v>
      </c>
      <c r="K483" s="11" t="str">
        <f>_xlfn.TEXTBEFORE(Mvt_Inter_entrepot[[#This Row],[Num Suivis]],"-",,,1)</f>
        <v>CA250023</v>
      </c>
      <c r="L483" s="11" t="e">
        <f>_xlfn.XLOOKUP(Mvt_Inter_entrepot[[#This Row],[Num OF]],#REF!,#REF!,"Non Trouvé")</f>
        <v>#REF!</v>
      </c>
      <c r="M483" s="11" t="e">
        <f>_xlfn.XLOOKUP(Mvt_Inter_entrepot[[#This Row],[Num OF]],#REF!,#REF!,"Non Trouvé")</f>
        <v>#REF!</v>
      </c>
      <c r="N483" s="11" t="e">
        <f>_xlfn.XLOOKUP(Mvt_Inter_entrepot[[#This Row],[Num OF]],#REF!,#REF!,"Non Trouvé")</f>
        <v>#REF!</v>
      </c>
      <c r="O483" s="11" t="e">
        <f>_xlfn.XLOOKUP(Mvt_Inter_entrepot[[#This Row],[Num OF]],#REF!,#REF!,"Non Trouvé")</f>
        <v>#REF!</v>
      </c>
      <c r="P483" s="11" t="e">
        <f>_xlfn.XLOOKUP(Mvt_Inter_entrepot[[#This Row],[Num OF]],#REF!,#REF!,"Non Trouvé")</f>
        <v>#REF!</v>
      </c>
      <c r="Q483" s="11" t="str">
        <f>IF(
   COUNTIFS($A$2:A483,A483,
             $B$2:B483,B483,
             $C$2:C483,C483,
             $D$2:D483,D483,
             $E$2:E483,E483,
             $H$2:H483,H483
             )&gt;1,
   "Doublon",
   "Correcte"
)</f>
        <v>Correcte</v>
      </c>
    </row>
    <row r="484" spans="1:17" x14ac:dyDescent="0.25">
      <c r="A484" s="11" t="s">
        <v>3289</v>
      </c>
      <c r="B484" s="11" t="s">
        <v>1153</v>
      </c>
      <c r="C484" s="11" t="s">
        <v>662</v>
      </c>
      <c r="D484" s="11" t="s">
        <v>665</v>
      </c>
      <c r="E484" s="11">
        <v>60</v>
      </c>
      <c r="F484" s="11"/>
      <c r="G484" s="11" t="s">
        <v>664</v>
      </c>
      <c r="H484" s="14">
        <v>45915</v>
      </c>
      <c r="I484" s="12">
        <f>-Mvt_Inter_entrepot[[#This Row],[QTE]]</f>
        <v>-60</v>
      </c>
      <c r="J484" s="11" t="s">
        <v>33</v>
      </c>
      <c r="K484" s="11" t="str">
        <f>_xlfn.TEXTBEFORE(Mvt_Inter_entrepot[[#This Row],[Num Suivis]],"-",,,1)</f>
        <v>CA250008</v>
      </c>
      <c r="L484" s="11" t="e">
        <f>_xlfn.XLOOKUP(Mvt_Inter_entrepot[[#This Row],[Num OF]],#REF!,#REF!,"Non Trouvé")</f>
        <v>#REF!</v>
      </c>
      <c r="M484" s="11" t="e">
        <f>_xlfn.XLOOKUP(Mvt_Inter_entrepot[[#This Row],[Num OF]],#REF!,#REF!,"Non Trouvé")</f>
        <v>#REF!</v>
      </c>
      <c r="N484" s="11" t="e">
        <f>_xlfn.XLOOKUP(Mvt_Inter_entrepot[[#This Row],[Num OF]],#REF!,#REF!,"Non Trouvé")</f>
        <v>#REF!</v>
      </c>
      <c r="O484" s="11" t="e">
        <f>_xlfn.XLOOKUP(Mvt_Inter_entrepot[[#This Row],[Num OF]],#REF!,#REF!,"Non Trouvé")</f>
        <v>#REF!</v>
      </c>
      <c r="P484" s="11" t="e">
        <f>_xlfn.XLOOKUP(Mvt_Inter_entrepot[[#This Row],[Num OF]],#REF!,#REF!,"Non Trouvé")</f>
        <v>#REF!</v>
      </c>
      <c r="Q484" s="11" t="str">
        <f>IF(
   COUNTIFS($A$2:A484,A484,
             $B$2:B484,B484,
             $C$2:C484,C484,
             $D$2:D484,D484,
             $E$2:E484,E484,
             $H$2:H484,H484
             )&gt;1,
   "Doublon",
   "Correcte"
)</f>
        <v>Correcte</v>
      </c>
    </row>
    <row r="485" spans="1:17" x14ac:dyDescent="0.25">
      <c r="A485" s="11" t="s">
        <v>2853</v>
      </c>
      <c r="B485" s="11" t="s">
        <v>1153</v>
      </c>
      <c r="C485" s="11" t="s">
        <v>662</v>
      </c>
      <c r="D485" s="11" t="s">
        <v>665</v>
      </c>
      <c r="E485" s="11">
        <v>1</v>
      </c>
      <c r="F485" s="11"/>
      <c r="G485" s="11" t="s">
        <v>664</v>
      </c>
      <c r="H485" s="14">
        <v>45915</v>
      </c>
      <c r="I485" s="12">
        <f>-Mvt_Inter_entrepot[[#This Row],[QTE]]</f>
        <v>-1</v>
      </c>
      <c r="J485" s="11" t="s">
        <v>73</v>
      </c>
      <c r="K485" s="11" t="str">
        <f>_xlfn.TEXTBEFORE(Mvt_Inter_entrepot[[#This Row],[Num Suivis]],"-",,,1)</f>
        <v>CA250064</v>
      </c>
      <c r="L485" s="11" t="e">
        <f>_xlfn.XLOOKUP(Mvt_Inter_entrepot[[#This Row],[Num OF]],#REF!,#REF!,"Non Trouvé")</f>
        <v>#REF!</v>
      </c>
      <c r="M485" s="11" t="e">
        <f>_xlfn.XLOOKUP(Mvt_Inter_entrepot[[#This Row],[Num OF]],#REF!,#REF!,"Non Trouvé")</f>
        <v>#REF!</v>
      </c>
      <c r="N485" s="11" t="e">
        <f>_xlfn.XLOOKUP(Mvt_Inter_entrepot[[#This Row],[Num OF]],#REF!,#REF!,"Non Trouvé")</f>
        <v>#REF!</v>
      </c>
      <c r="O485" s="11" t="e">
        <f>_xlfn.XLOOKUP(Mvt_Inter_entrepot[[#This Row],[Num OF]],#REF!,#REF!,"Non Trouvé")</f>
        <v>#REF!</v>
      </c>
      <c r="P485" s="11" t="e">
        <f>_xlfn.XLOOKUP(Mvt_Inter_entrepot[[#This Row],[Num OF]],#REF!,#REF!,"Non Trouvé")</f>
        <v>#REF!</v>
      </c>
      <c r="Q485" s="11" t="str">
        <f>IF(
   COUNTIFS($A$2:A485,A485,
             $B$2:B485,B485,
             $C$2:C485,C485,
             $D$2:D485,D485,
             $E$2:E485,E485,
             $H$2:H485,H485
             )&gt;1,
   "Doublon",
   "Correcte"
)</f>
        <v>Correcte</v>
      </c>
    </row>
    <row r="486" spans="1:17" x14ac:dyDescent="0.25">
      <c r="A486" s="11" t="s">
        <v>3290</v>
      </c>
      <c r="B486" s="11" t="s">
        <v>1153</v>
      </c>
      <c r="C486" s="11" t="s">
        <v>662</v>
      </c>
      <c r="D486" s="11" t="s">
        <v>665</v>
      </c>
      <c r="E486" s="11">
        <v>56</v>
      </c>
      <c r="F486" s="11"/>
      <c r="G486" s="11" t="s">
        <v>664</v>
      </c>
      <c r="H486" s="14">
        <v>45915</v>
      </c>
      <c r="I486" s="12">
        <f>-Mvt_Inter_entrepot[[#This Row],[QTE]]</f>
        <v>-56</v>
      </c>
      <c r="J486" s="11" t="s">
        <v>102</v>
      </c>
      <c r="K486" s="11" t="str">
        <f>_xlfn.TEXTBEFORE(Mvt_Inter_entrepot[[#This Row],[Num Suivis]],"-",,,1)</f>
        <v>CA250473</v>
      </c>
      <c r="L486" s="11" t="e">
        <f>_xlfn.XLOOKUP(Mvt_Inter_entrepot[[#This Row],[Num OF]],#REF!,#REF!,"Non Trouvé")</f>
        <v>#REF!</v>
      </c>
      <c r="M486" s="11" t="e">
        <f>_xlfn.XLOOKUP(Mvt_Inter_entrepot[[#This Row],[Num OF]],#REF!,#REF!,"Non Trouvé")</f>
        <v>#REF!</v>
      </c>
      <c r="N486" s="11" t="e">
        <f>_xlfn.XLOOKUP(Mvt_Inter_entrepot[[#This Row],[Num OF]],#REF!,#REF!,"Non Trouvé")</f>
        <v>#REF!</v>
      </c>
      <c r="O486" s="11" t="e">
        <f>_xlfn.XLOOKUP(Mvt_Inter_entrepot[[#This Row],[Num OF]],#REF!,#REF!,"Non Trouvé")</f>
        <v>#REF!</v>
      </c>
      <c r="P486" s="11" t="e">
        <f>_xlfn.XLOOKUP(Mvt_Inter_entrepot[[#This Row],[Num OF]],#REF!,#REF!,"Non Trouvé")</f>
        <v>#REF!</v>
      </c>
      <c r="Q486" s="11" t="str">
        <f>IF(
   COUNTIFS($A$2:A486,A486,
             $B$2:B486,B486,
             $C$2:C486,C486,
             $D$2:D486,D486,
             $E$2:E486,E486,
             $H$2:H486,H486
             )&gt;1,
   "Doublon",
   "Correcte"
)</f>
        <v>Correcte</v>
      </c>
    </row>
    <row r="487" spans="1:17" x14ac:dyDescent="0.25">
      <c r="A487" s="11" t="s">
        <v>3291</v>
      </c>
      <c r="B487" s="11" t="s">
        <v>1153</v>
      </c>
      <c r="C487" s="11" t="s">
        <v>662</v>
      </c>
      <c r="D487" s="11" t="s">
        <v>665</v>
      </c>
      <c r="E487" s="11">
        <v>57</v>
      </c>
      <c r="F487" s="11"/>
      <c r="G487" s="11" t="s">
        <v>664</v>
      </c>
      <c r="H487" s="14">
        <v>45915</v>
      </c>
      <c r="I487" s="12">
        <f>-Mvt_Inter_entrepot[[#This Row],[QTE]]</f>
        <v>-57</v>
      </c>
      <c r="J487" s="11" t="s">
        <v>36</v>
      </c>
      <c r="K487" s="11" t="str">
        <f>_xlfn.TEXTBEFORE(Mvt_Inter_entrepot[[#This Row],[Num Suivis]],"-",,,1)</f>
        <v>CA250012</v>
      </c>
      <c r="L487" s="11" t="e">
        <f>_xlfn.XLOOKUP(Mvt_Inter_entrepot[[#This Row],[Num OF]],#REF!,#REF!,"Non Trouvé")</f>
        <v>#REF!</v>
      </c>
      <c r="M487" s="11" t="e">
        <f>_xlfn.XLOOKUP(Mvt_Inter_entrepot[[#This Row],[Num OF]],#REF!,#REF!,"Non Trouvé")</f>
        <v>#REF!</v>
      </c>
      <c r="N487" s="11" t="e">
        <f>_xlfn.XLOOKUP(Mvt_Inter_entrepot[[#This Row],[Num OF]],#REF!,#REF!,"Non Trouvé")</f>
        <v>#REF!</v>
      </c>
      <c r="O487" s="11" t="e">
        <f>_xlfn.XLOOKUP(Mvt_Inter_entrepot[[#This Row],[Num OF]],#REF!,#REF!,"Non Trouvé")</f>
        <v>#REF!</v>
      </c>
      <c r="P487" s="11" t="e">
        <f>_xlfn.XLOOKUP(Mvt_Inter_entrepot[[#This Row],[Num OF]],#REF!,#REF!,"Non Trouvé")</f>
        <v>#REF!</v>
      </c>
      <c r="Q487" s="11" t="str">
        <f>IF(
   COUNTIFS($A$2:A487,A487,
             $B$2:B487,B487,
             $C$2:C487,C487,
             $D$2:D487,D487,
             $E$2:E487,E487,
             $H$2:H487,H487
             )&gt;1,
   "Doublon",
   "Correcte"
)</f>
        <v>Correcte</v>
      </c>
    </row>
    <row r="488" spans="1:17" x14ac:dyDescent="0.25">
      <c r="A488" s="11" t="s">
        <v>3292</v>
      </c>
      <c r="B488" s="11" t="s">
        <v>1153</v>
      </c>
      <c r="C488" s="11" t="s">
        <v>662</v>
      </c>
      <c r="D488" s="11" t="s">
        <v>665</v>
      </c>
      <c r="E488" s="11">
        <v>61</v>
      </c>
      <c r="F488" s="11"/>
      <c r="G488" s="11" t="s">
        <v>664</v>
      </c>
      <c r="H488" s="14">
        <v>45915</v>
      </c>
      <c r="I488" s="12">
        <f>-Mvt_Inter_entrepot[[#This Row],[QTE]]</f>
        <v>-61</v>
      </c>
      <c r="J488" s="11" t="s">
        <v>99</v>
      </c>
      <c r="K488" s="11" t="str">
        <f>_xlfn.TEXTBEFORE(Mvt_Inter_entrepot[[#This Row],[Num Suivis]],"-",,,1)</f>
        <v>CA250392</v>
      </c>
      <c r="L488" s="11" t="e">
        <f>_xlfn.XLOOKUP(Mvt_Inter_entrepot[[#This Row],[Num OF]],#REF!,#REF!,"Non Trouvé")</f>
        <v>#REF!</v>
      </c>
      <c r="M488" s="11" t="e">
        <f>_xlfn.XLOOKUP(Mvt_Inter_entrepot[[#This Row],[Num OF]],#REF!,#REF!,"Non Trouvé")</f>
        <v>#REF!</v>
      </c>
      <c r="N488" s="11" t="e">
        <f>_xlfn.XLOOKUP(Mvt_Inter_entrepot[[#This Row],[Num OF]],#REF!,#REF!,"Non Trouvé")</f>
        <v>#REF!</v>
      </c>
      <c r="O488" s="11" t="e">
        <f>_xlfn.XLOOKUP(Mvt_Inter_entrepot[[#This Row],[Num OF]],#REF!,#REF!,"Non Trouvé")</f>
        <v>#REF!</v>
      </c>
      <c r="P488" s="11" t="e">
        <f>_xlfn.XLOOKUP(Mvt_Inter_entrepot[[#This Row],[Num OF]],#REF!,#REF!,"Non Trouvé")</f>
        <v>#REF!</v>
      </c>
      <c r="Q488" s="11" t="str">
        <f>IF(
   COUNTIFS($A$2:A488,A488,
             $B$2:B488,B488,
             $C$2:C488,C488,
             $D$2:D488,D488,
             $E$2:E488,E488,
             $H$2:H488,H488
             )&gt;1,
   "Doublon",
   "Correcte"
)</f>
        <v>Correcte</v>
      </c>
    </row>
    <row r="489" spans="1:17" x14ac:dyDescent="0.25">
      <c r="A489" s="11" t="s">
        <v>3293</v>
      </c>
      <c r="B489" s="11" t="s">
        <v>1153</v>
      </c>
      <c r="C489" s="11" t="s">
        <v>662</v>
      </c>
      <c r="D489" s="11" t="s">
        <v>665</v>
      </c>
      <c r="E489" s="11">
        <v>64</v>
      </c>
      <c r="F489" s="11"/>
      <c r="G489" s="11" t="s">
        <v>664</v>
      </c>
      <c r="H489" s="14">
        <v>45915</v>
      </c>
      <c r="I489" s="12">
        <f>-Mvt_Inter_entrepot[[#This Row],[QTE]]</f>
        <v>-64</v>
      </c>
      <c r="J489" s="11" t="s">
        <v>37</v>
      </c>
      <c r="K489" s="11" t="str">
        <f>_xlfn.TEXTBEFORE(Mvt_Inter_entrepot[[#This Row],[Num Suivis]],"-",,,1)</f>
        <v>CA250013</v>
      </c>
      <c r="L489" s="11" t="e">
        <f>_xlfn.XLOOKUP(Mvt_Inter_entrepot[[#This Row],[Num OF]],#REF!,#REF!,"Non Trouvé")</f>
        <v>#REF!</v>
      </c>
      <c r="M489" s="11" t="e">
        <f>_xlfn.XLOOKUP(Mvt_Inter_entrepot[[#This Row],[Num OF]],#REF!,#REF!,"Non Trouvé")</f>
        <v>#REF!</v>
      </c>
      <c r="N489" s="11" t="e">
        <f>_xlfn.XLOOKUP(Mvt_Inter_entrepot[[#This Row],[Num OF]],#REF!,#REF!,"Non Trouvé")</f>
        <v>#REF!</v>
      </c>
      <c r="O489" s="11" t="e">
        <f>_xlfn.XLOOKUP(Mvt_Inter_entrepot[[#This Row],[Num OF]],#REF!,#REF!,"Non Trouvé")</f>
        <v>#REF!</v>
      </c>
      <c r="P489" s="11" t="e">
        <f>_xlfn.XLOOKUP(Mvt_Inter_entrepot[[#This Row],[Num OF]],#REF!,#REF!,"Non Trouvé")</f>
        <v>#REF!</v>
      </c>
      <c r="Q489" s="11" t="str">
        <f>IF(
   COUNTIFS($A$2:A489,A489,
             $B$2:B489,B489,
             $C$2:C489,C489,
             $D$2:D489,D489,
             $E$2:E489,E489,
             $H$2:H489,H489
             )&gt;1,
   "Doublon",
   "Correcte"
)</f>
        <v>Correcte</v>
      </c>
    </row>
    <row r="490" spans="1:17" x14ac:dyDescent="0.25">
      <c r="A490" s="11" t="s">
        <v>3294</v>
      </c>
      <c r="B490" s="11" t="s">
        <v>1153</v>
      </c>
      <c r="C490" s="11" t="s">
        <v>662</v>
      </c>
      <c r="D490" s="11" t="s">
        <v>665</v>
      </c>
      <c r="E490" s="11">
        <v>31</v>
      </c>
      <c r="F490" s="11"/>
      <c r="G490" s="11" t="s">
        <v>664</v>
      </c>
      <c r="H490" s="14">
        <v>45915</v>
      </c>
      <c r="I490" s="12">
        <f>-Mvt_Inter_entrepot[[#This Row],[QTE]]</f>
        <v>-31</v>
      </c>
      <c r="J490" s="11" t="s">
        <v>44</v>
      </c>
      <c r="K490" s="11" t="str">
        <f>_xlfn.TEXTBEFORE(Mvt_Inter_entrepot[[#This Row],[Num Suivis]],"-",,,1)</f>
        <v>CA250022</v>
      </c>
      <c r="L490" s="11" t="e">
        <f>_xlfn.XLOOKUP(Mvt_Inter_entrepot[[#This Row],[Num OF]],#REF!,#REF!,"Non Trouvé")</f>
        <v>#REF!</v>
      </c>
      <c r="M490" s="11" t="e">
        <f>_xlfn.XLOOKUP(Mvt_Inter_entrepot[[#This Row],[Num OF]],#REF!,#REF!,"Non Trouvé")</f>
        <v>#REF!</v>
      </c>
      <c r="N490" s="11" t="e">
        <f>_xlfn.XLOOKUP(Mvt_Inter_entrepot[[#This Row],[Num OF]],#REF!,#REF!,"Non Trouvé")</f>
        <v>#REF!</v>
      </c>
      <c r="O490" s="11" t="e">
        <f>_xlfn.XLOOKUP(Mvt_Inter_entrepot[[#This Row],[Num OF]],#REF!,#REF!,"Non Trouvé")</f>
        <v>#REF!</v>
      </c>
      <c r="P490" s="11" t="e">
        <f>_xlfn.XLOOKUP(Mvt_Inter_entrepot[[#This Row],[Num OF]],#REF!,#REF!,"Non Trouvé")</f>
        <v>#REF!</v>
      </c>
      <c r="Q490" s="11" t="str">
        <f>IF(
   COUNTIFS($A$2:A490,A490,
             $B$2:B490,B490,
             $C$2:C490,C490,
             $D$2:D490,D490,
             $E$2:E490,E490,
             $H$2:H490,H490
             )&gt;1,
   "Doublon",
   "Correcte"
)</f>
        <v>Correcte</v>
      </c>
    </row>
    <row r="491" spans="1:17" x14ac:dyDescent="0.25">
      <c r="A491" s="11" t="s">
        <v>3295</v>
      </c>
      <c r="B491" s="11" t="s">
        <v>1153</v>
      </c>
      <c r="C491" s="11" t="s">
        <v>662</v>
      </c>
      <c r="D491" s="11" t="s">
        <v>665</v>
      </c>
      <c r="E491" s="11">
        <v>60</v>
      </c>
      <c r="F491" s="11"/>
      <c r="G491" s="11" t="s">
        <v>664</v>
      </c>
      <c r="H491" s="14">
        <v>45915</v>
      </c>
      <c r="I491" s="12">
        <f>-Mvt_Inter_entrepot[[#This Row],[QTE]]</f>
        <v>-60</v>
      </c>
      <c r="J491" s="11" t="s">
        <v>38</v>
      </c>
      <c r="K491" s="11" t="str">
        <f>_xlfn.TEXTBEFORE(Mvt_Inter_entrepot[[#This Row],[Num Suivis]],"-",,,1)</f>
        <v>CA250014</v>
      </c>
      <c r="L491" s="11" t="e">
        <f>_xlfn.XLOOKUP(Mvt_Inter_entrepot[[#This Row],[Num OF]],#REF!,#REF!,"Non Trouvé")</f>
        <v>#REF!</v>
      </c>
      <c r="M491" s="11" t="e">
        <f>_xlfn.XLOOKUP(Mvt_Inter_entrepot[[#This Row],[Num OF]],#REF!,#REF!,"Non Trouvé")</f>
        <v>#REF!</v>
      </c>
      <c r="N491" s="11" t="e">
        <f>_xlfn.XLOOKUP(Mvt_Inter_entrepot[[#This Row],[Num OF]],#REF!,#REF!,"Non Trouvé")</f>
        <v>#REF!</v>
      </c>
      <c r="O491" s="11" t="e">
        <f>_xlfn.XLOOKUP(Mvt_Inter_entrepot[[#This Row],[Num OF]],#REF!,#REF!,"Non Trouvé")</f>
        <v>#REF!</v>
      </c>
      <c r="P491" s="11" t="e">
        <f>_xlfn.XLOOKUP(Mvt_Inter_entrepot[[#This Row],[Num OF]],#REF!,#REF!,"Non Trouvé")</f>
        <v>#REF!</v>
      </c>
      <c r="Q491" s="11" t="str">
        <f>IF(
   COUNTIFS($A$2:A491,A491,
             $B$2:B491,B491,
             $C$2:C491,C491,
             $D$2:D491,D491,
             $E$2:E491,E491,
             $H$2:H491,H491
             )&gt;1,
   "Doublon",
   "Correcte"
)</f>
        <v>Correcte</v>
      </c>
    </row>
    <row r="492" spans="1:17" x14ac:dyDescent="0.25">
      <c r="A492" s="11" t="s">
        <v>3296</v>
      </c>
      <c r="B492" s="11" t="s">
        <v>1153</v>
      </c>
      <c r="C492" s="11" t="s">
        <v>662</v>
      </c>
      <c r="D492" s="11" t="s">
        <v>665</v>
      </c>
      <c r="E492" s="11">
        <v>62</v>
      </c>
      <c r="F492" s="11"/>
      <c r="G492" s="11" t="s">
        <v>664</v>
      </c>
      <c r="H492" s="14">
        <v>45915</v>
      </c>
      <c r="I492" s="12">
        <f>-Mvt_Inter_entrepot[[#This Row],[QTE]]</f>
        <v>-62</v>
      </c>
      <c r="J492" s="11" t="s">
        <v>103</v>
      </c>
      <c r="K492" s="11" t="str">
        <f>_xlfn.TEXTBEFORE(Mvt_Inter_entrepot[[#This Row],[Num Suivis]],"-",,,1)</f>
        <v>CA250474</v>
      </c>
      <c r="L492" s="11" t="e">
        <f>_xlfn.XLOOKUP(Mvt_Inter_entrepot[[#This Row],[Num OF]],#REF!,#REF!,"Non Trouvé")</f>
        <v>#REF!</v>
      </c>
      <c r="M492" s="11" t="e">
        <f>_xlfn.XLOOKUP(Mvt_Inter_entrepot[[#This Row],[Num OF]],#REF!,#REF!,"Non Trouvé")</f>
        <v>#REF!</v>
      </c>
      <c r="N492" s="11" t="e">
        <f>_xlfn.XLOOKUP(Mvt_Inter_entrepot[[#This Row],[Num OF]],#REF!,#REF!,"Non Trouvé")</f>
        <v>#REF!</v>
      </c>
      <c r="O492" s="11" t="e">
        <f>_xlfn.XLOOKUP(Mvt_Inter_entrepot[[#This Row],[Num OF]],#REF!,#REF!,"Non Trouvé")</f>
        <v>#REF!</v>
      </c>
      <c r="P492" s="11" t="e">
        <f>_xlfn.XLOOKUP(Mvt_Inter_entrepot[[#This Row],[Num OF]],#REF!,#REF!,"Non Trouvé")</f>
        <v>#REF!</v>
      </c>
      <c r="Q492" s="11" t="str">
        <f>IF(
   COUNTIFS($A$2:A492,A492,
             $B$2:B492,B492,
             $C$2:C492,C492,
             $D$2:D492,D492,
             $E$2:E492,E492,
             $H$2:H492,H492
             )&gt;1,
   "Doublon",
   "Correcte"
)</f>
        <v>Correcte</v>
      </c>
    </row>
    <row r="493" spans="1:17" x14ac:dyDescent="0.25">
      <c r="A493" s="11" t="s">
        <v>3297</v>
      </c>
      <c r="B493" s="11" t="s">
        <v>1153</v>
      </c>
      <c r="C493" s="11" t="s">
        <v>662</v>
      </c>
      <c r="D493" s="11" t="s">
        <v>665</v>
      </c>
      <c r="E493" s="11">
        <v>55</v>
      </c>
      <c r="F493" s="11"/>
      <c r="G493" s="11" t="s">
        <v>664</v>
      </c>
      <c r="H493" s="14">
        <v>45915</v>
      </c>
      <c r="I493" s="12">
        <f>-Mvt_Inter_entrepot[[#This Row],[QTE]]</f>
        <v>-55</v>
      </c>
      <c r="J493" s="11" t="s">
        <v>39</v>
      </c>
      <c r="K493" s="11" t="str">
        <f>_xlfn.TEXTBEFORE(Mvt_Inter_entrepot[[#This Row],[Num Suivis]],"-",,,1)</f>
        <v>CA250015</v>
      </c>
      <c r="L493" s="11" t="e">
        <f>_xlfn.XLOOKUP(Mvt_Inter_entrepot[[#This Row],[Num OF]],#REF!,#REF!,"Non Trouvé")</f>
        <v>#REF!</v>
      </c>
      <c r="M493" s="11" t="e">
        <f>_xlfn.XLOOKUP(Mvt_Inter_entrepot[[#This Row],[Num OF]],#REF!,#REF!,"Non Trouvé")</f>
        <v>#REF!</v>
      </c>
      <c r="N493" s="11" t="e">
        <f>_xlfn.XLOOKUP(Mvt_Inter_entrepot[[#This Row],[Num OF]],#REF!,#REF!,"Non Trouvé")</f>
        <v>#REF!</v>
      </c>
      <c r="O493" s="11" t="e">
        <f>_xlfn.XLOOKUP(Mvt_Inter_entrepot[[#This Row],[Num OF]],#REF!,#REF!,"Non Trouvé")</f>
        <v>#REF!</v>
      </c>
      <c r="P493" s="11" t="e">
        <f>_xlfn.XLOOKUP(Mvt_Inter_entrepot[[#This Row],[Num OF]],#REF!,#REF!,"Non Trouvé")</f>
        <v>#REF!</v>
      </c>
      <c r="Q493" s="11" t="str">
        <f>IF(
   COUNTIFS($A$2:A493,A493,
             $B$2:B493,B493,
             $C$2:C493,C493,
             $D$2:D493,D493,
             $E$2:E493,E493,
             $H$2:H493,H493
             )&gt;1,
   "Doublon",
   "Correcte"
)</f>
        <v>Correcte</v>
      </c>
    </row>
    <row r="494" spans="1:17" x14ac:dyDescent="0.25">
      <c r="A494" s="11" t="s">
        <v>3298</v>
      </c>
      <c r="B494" s="11" t="s">
        <v>1153</v>
      </c>
      <c r="C494" s="11" t="s">
        <v>662</v>
      </c>
      <c r="D494" s="11" t="s">
        <v>665</v>
      </c>
      <c r="E494" s="11">
        <v>60</v>
      </c>
      <c r="F494" s="11"/>
      <c r="G494" s="11" t="s">
        <v>664</v>
      </c>
      <c r="H494" s="14">
        <v>45915</v>
      </c>
      <c r="I494" s="12">
        <f>-Mvt_Inter_entrepot[[#This Row],[QTE]]</f>
        <v>-60</v>
      </c>
      <c r="J494" s="11" t="s">
        <v>40</v>
      </c>
      <c r="K494" s="11" t="str">
        <f>_xlfn.TEXTBEFORE(Mvt_Inter_entrepot[[#This Row],[Num Suivis]],"-",,,1)</f>
        <v>CA250017</v>
      </c>
      <c r="L494" s="11" t="e">
        <f>_xlfn.XLOOKUP(Mvt_Inter_entrepot[[#This Row],[Num OF]],#REF!,#REF!,"Non Trouvé")</f>
        <v>#REF!</v>
      </c>
      <c r="M494" s="11" t="e">
        <f>_xlfn.XLOOKUP(Mvt_Inter_entrepot[[#This Row],[Num OF]],#REF!,#REF!,"Non Trouvé")</f>
        <v>#REF!</v>
      </c>
      <c r="N494" s="11" t="e">
        <f>_xlfn.XLOOKUP(Mvt_Inter_entrepot[[#This Row],[Num OF]],#REF!,#REF!,"Non Trouvé")</f>
        <v>#REF!</v>
      </c>
      <c r="O494" s="11" t="e">
        <f>_xlfn.XLOOKUP(Mvt_Inter_entrepot[[#This Row],[Num OF]],#REF!,#REF!,"Non Trouvé")</f>
        <v>#REF!</v>
      </c>
      <c r="P494" s="11" t="e">
        <f>_xlfn.XLOOKUP(Mvt_Inter_entrepot[[#This Row],[Num OF]],#REF!,#REF!,"Non Trouvé")</f>
        <v>#REF!</v>
      </c>
      <c r="Q494" s="11" t="str">
        <f>IF(
   COUNTIFS($A$2:A494,A494,
             $B$2:B494,B494,
             $C$2:C494,C494,
             $D$2:D494,D494,
             $E$2:E494,E494,
             $H$2:H494,H494
             )&gt;1,
   "Doublon",
   "Correcte"
)</f>
        <v>Correcte</v>
      </c>
    </row>
    <row r="495" spans="1:17" x14ac:dyDescent="0.25">
      <c r="A495" s="11" t="s">
        <v>3299</v>
      </c>
      <c r="B495" s="11" t="s">
        <v>1153</v>
      </c>
      <c r="C495" s="11" t="s">
        <v>662</v>
      </c>
      <c r="D495" s="11" t="s">
        <v>665</v>
      </c>
      <c r="E495" s="11">
        <v>45</v>
      </c>
      <c r="F495" s="11"/>
      <c r="G495" s="11" t="s">
        <v>664</v>
      </c>
      <c r="H495" s="14">
        <v>45915</v>
      </c>
      <c r="I495" s="12">
        <f>-Mvt_Inter_entrepot[[#This Row],[QTE]]</f>
        <v>-45</v>
      </c>
      <c r="J495" s="11" t="s">
        <v>41</v>
      </c>
      <c r="K495" s="11" t="str">
        <f>_xlfn.TEXTBEFORE(Mvt_Inter_entrepot[[#This Row],[Num Suivis]],"-",,,1)</f>
        <v>CA250018</v>
      </c>
      <c r="L495" s="11" t="e">
        <f>_xlfn.XLOOKUP(Mvt_Inter_entrepot[[#This Row],[Num OF]],#REF!,#REF!,"Non Trouvé")</f>
        <v>#REF!</v>
      </c>
      <c r="M495" s="11" t="e">
        <f>_xlfn.XLOOKUP(Mvt_Inter_entrepot[[#This Row],[Num OF]],#REF!,#REF!,"Non Trouvé")</f>
        <v>#REF!</v>
      </c>
      <c r="N495" s="11" t="e">
        <f>_xlfn.XLOOKUP(Mvt_Inter_entrepot[[#This Row],[Num OF]],#REF!,#REF!,"Non Trouvé")</f>
        <v>#REF!</v>
      </c>
      <c r="O495" s="11" t="e">
        <f>_xlfn.XLOOKUP(Mvt_Inter_entrepot[[#This Row],[Num OF]],#REF!,#REF!,"Non Trouvé")</f>
        <v>#REF!</v>
      </c>
      <c r="P495" s="11" t="e">
        <f>_xlfn.XLOOKUP(Mvt_Inter_entrepot[[#This Row],[Num OF]],#REF!,#REF!,"Non Trouvé")</f>
        <v>#REF!</v>
      </c>
      <c r="Q495" s="11" t="str">
        <f>IF(
   COUNTIFS($A$2:A495,A495,
             $B$2:B495,B495,
             $C$2:C495,C495,
             $D$2:D495,D495,
             $E$2:E495,E495,
             $H$2:H495,H495
             )&gt;1,
   "Doublon",
   "Correcte"
)</f>
        <v>Correcte</v>
      </c>
    </row>
    <row r="496" spans="1:17" x14ac:dyDescent="0.25">
      <c r="A496" s="11" t="s">
        <v>3300</v>
      </c>
      <c r="B496" s="11" t="s">
        <v>1153</v>
      </c>
      <c r="C496" s="11" t="s">
        <v>662</v>
      </c>
      <c r="D496" s="11" t="s">
        <v>665</v>
      </c>
      <c r="E496" s="11">
        <v>5</v>
      </c>
      <c r="F496" s="11"/>
      <c r="G496" s="11" t="s">
        <v>664</v>
      </c>
      <c r="H496" s="14">
        <v>45915</v>
      </c>
      <c r="I496" s="12">
        <f>-Mvt_Inter_entrepot[[#This Row],[QTE]]</f>
        <v>-5</v>
      </c>
      <c r="J496" s="11" t="s">
        <v>42</v>
      </c>
      <c r="K496" s="11" t="str">
        <f>_xlfn.TEXTBEFORE(Mvt_Inter_entrepot[[#This Row],[Num Suivis]],"-",,,1)</f>
        <v>CA250019</v>
      </c>
      <c r="L496" s="11" t="e">
        <f>_xlfn.XLOOKUP(Mvt_Inter_entrepot[[#This Row],[Num OF]],#REF!,#REF!,"Non Trouvé")</f>
        <v>#REF!</v>
      </c>
      <c r="M496" s="11" t="e">
        <f>_xlfn.XLOOKUP(Mvt_Inter_entrepot[[#This Row],[Num OF]],#REF!,#REF!,"Non Trouvé")</f>
        <v>#REF!</v>
      </c>
      <c r="N496" s="11" t="e">
        <f>_xlfn.XLOOKUP(Mvt_Inter_entrepot[[#This Row],[Num OF]],#REF!,#REF!,"Non Trouvé")</f>
        <v>#REF!</v>
      </c>
      <c r="O496" s="11" t="e">
        <f>_xlfn.XLOOKUP(Mvt_Inter_entrepot[[#This Row],[Num OF]],#REF!,#REF!,"Non Trouvé")</f>
        <v>#REF!</v>
      </c>
      <c r="P496" s="11" t="e">
        <f>_xlfn.XLOOKUP(Mvt_Inter_entrepot[[#This Row],[Num OF]],#REF!,#REF!,"Non Trouvé")</f>
        <v>#REF!</v>
      </c>
      <c r="Q496" s="11" t="str">
        <f>IF(
   COUNTIFS($A$2:A496,A496,
             $B$2:B496,B496,
             $C$2:C496,C496,
             $D$2:D496,D496,
             $E$2:E496,E496,
             $H$2:H496,H496
             )&gt;1,
   "Doublon",
   "Correcte"
)</f>
        <v>Correcte</v>
      </c>
    </row>
    <row r="497" spans="1:17" x14ac:dyDescent="0.25">
      <c r="A497" s="11" t="s">
        <v>3301</v>
      </c>
      <c r="B497" s="11" t="s">
        <v>1153</v>
      </c>
      <c r="C497" s="11" t="s">
        <v>662</v>
      </c>
      <c r="D497" s="11" t="s">
        <v>665</v>
      </c>
      <c r="E497" s="11">
        <v>10</v>
      </c>
      <c r="F497" s="11"/>
      <c r="G497" s="11" t="s">
        <v>664</v>
      </c>
      <c r="H497" s="14">
        <v>45915</v>
      </c>
      <c r="I497" s="12">
        <f>-Mvt_Inter_entrepot[[#This Row],[QTE]]</f>
        <v>-10</v>
      </c>
      <c r="J497" s="11" t="s">
        <v>43</v>
      </c>
      <c r="K497" s="11" t="str">
        <f>_xlfn.TEXTBEFORE(Mvt_Inter_entrepot[[#This Row],[Num Suivis]],"-",,,1)</f>
        <v>CA250021</v>
      </c>
      <c r="L497" s="11" t="e">
        <f>_xlfn.XLOOKUP(Mvt_Inter_entrepot[[#This Row],[Num OF]],#REF!,#REF!,"Non Trouvé")</f>
        <v>#REF!</v>
      </c>
      <c r="M497" s="11" t="e">
        <f>_xlfn.XLOOKUP(Mvt_Inter_entrepot[[#This Row],[Num OF]],#REF!,#REF!,"Non Trouvé")</f>
        <v>#REF!</v>
      </c>
      <c r="N497" s="11" t="e">
        <f>_xlfn.XLOOKUP(Mvt_Inter_entrepot[[#This Row],[Num OF]],#REF!,#REF!,"Non Trouvé")</f>
        <v>#REF!</v>
      </c>
      <c r="O497" s="11" t="e">
        <f>_xlfn.XLOOKUP(Mvt_Inter_entrepot[[#This Row],[Num OF]],#REF!,#REF!,"Non Trouvé")</f>
        <v>#REF!</v>
      </c>
      <c r="P497" s="11" t="e">
        <f>_xlfn.XLOOKUP(Mvt_Inter_entrepot[[#This Row],[Num OF]],#REF!,#REF!,"Non Trouvé")</f>
        <v>#REF!</v>
      </c>
      <c r="Q497" s="11" t="str">
        <f>IF(
   COUNTIFS($A$2:A497,A497,
             $B$2:B497,B497,
             $C$2:C497,C497,
             $D$2:D497,D497,
             $E$2:E497,E497,
             $H$2:H497,H497
             )&gt;1,
   "Doublon",
   "Correcte"
)</f>
        <v>Correcte</v>
      </c>
    </row>
    <row r="498" spans="1:17" x14ac:dyDescent="0.25">
      <c r="A498" s="11" t="s">
        <v>3302</v>
      </c>
      <c r="B498" s="11" t="s">
        <v>1153</v>
      </c>
      <c r="C498" s="11" t="s">
        <v>662</v>
      </c>
      <c r="D498" s="11" t="s">
        <v>665</v>
      </c>
      <c r="E498" s="11">
        <v>30</v>
      </c>
      <c r="F498" s="11"/>
      <c r="G498" s="11" t="s">
        <v>664</v>
      </c>
      <c r="H498" s="14">
        <v>45915</v>
      </c>
      <c r="I498" s="12">
        <f>-Mvt_Inter_entrepot[[#This Row],[QTE]]</f>
        <v>-30</v>
      </c>
      <c r="J498" s="11" t="s">
        <v>47</v>
      </c>
      <c r="K498" s="11" t="str">
        <f>_xlfn.TEXTBEFORE(Mvt_Inter_entrepot[[#This Row],[Num Suivis]],"-",,,1)</f>
        <v>CA250025</v>
      </c>
      <c r="L498" s="11" t="e">
        <f>_xlfn.XLOOKUP(Mvt_Inter_entrepot[[#This Row],[Num OF]],#REF!,#REF!,"Non Trouvé")</f>
        <v>#REF!</v>
      </c>
      <c r="M498" s="11" t="e">
        <f>_xlfn.XLOOKUP(Mvt_Inter_entrepot[[#This Row],[Num OF]],#REF!,#REF!,"Non Trouvé")</f>
        <v>#REF!</v>
      </c>
      <c r="N498" s="11" t="e">
        <f>_xlfn.XLOOKUP(Mvt_Inter_entrepot[[#This Row],[Num OF]],#REF!,#REF!,"Non Trouvé")</f>
        <v>#REF!</v>
      </c>
      <c r="O498" s="11" t="e">
        <f>_xlfn.XLOOKUP(Mvt_Inter_entrepot[[#This Row],[Num OF]],#REF!,#REF!,"Non Trouvé")</f>
        <v>#REF!</v>
      </c>
      <c r="P498" s="11" t="e">
        <f>_xlfn.XLOOKUP(Mvt_Inter_entrepot[[#This Row],[Num OF]],#REF!,#REF!,"Non Trouvé")</f>
        <v>#REF!</v>
      </c>
      <c r="Q498" s="11" t="str">
        <f>IF(
   COUNTIFS($A$2:A498,A498,
             $B$2:B498,B498,
             $C$2:C498,C498,
             $D$2:D498,D498,
             $E$2:E498,E498,
             $H$2:H498,H498
             )&gt;1,
   "Doublon",
   "Correcte"
)</f>
        <v>Correcte</v>
      </c>
    </row>
    <row r="499" spans="1:17" x14ac:dyDescent="0.25">
      <c r="A499" s="11" t="s">
        <v>3303</v>
      </c>
      <c r="B499" s="11" t="s">
        <v>1153</v>
      </c>
      <c r="C499" s="11" t="s">
        <v>662</v>
      </c>
      <c r="D499" s="11" t="s">
        <v>665</v>
      </c>
      <c r="E499" s="11">
        <v>25</v>
      </c>
      <c r="F499" s="11"/>
      <c r="G499" s="11" t="s">
        <v>664</v>
      </c>
      <c r="H499" s="14">
        <v>45915</v>
      </c>
      <c r="I499" s="12">
        <f>-Mvt_Inter_entrepot[[#This Row],[QTE]]</f>
        <v>-25</v>
      </c>
      <c r="J499" s="11" t="s">
        <v>46</v>
      </c>
      <c r="K499" s="11" t="str">
        <f>_xlfn.TEXTBEFORE(Mvt_Inter_entrepot[[#This Row],[Num Suivis]],"-",,,1)</f>
        <v>CA250024</v>
      </c>
      <c r="L499" s="11" t="e">
        <f>_xlfn.XLOOKUP(Mvt_Inter_entrepot[[#This Row],[Num OF]],#REF!,#REF!,"Non Trouvé")</f>
        <v>#REF!</v>
      </c>
      <c r="M499" s="11" t="e">
        <f>_xlfn.XLOOKUP(Mvt_Inter_entrepot[[#This Row],[Num OF]],#REF!,#REF!,"Non Trouvé")</f>
        <v>#REF!</v>
      </c>
      <c r="N499" s="11" t="e">
        <f>_xlfn.XLOOKUP(Mvt_Inter_entrepot[[#This Row],[Num OF]],#REF!,#REF!,"Non Trouvé")</f>
        <v>#REF!</v>
      </c>
      <c r="O499" s="11" t="e">
        <f>_xlfn.XLOOKUP(Mvt_Inter_entrepot[[#This Row],[Num OF]],#REF!,#REF!,"Non Trouvé")</f>
        <v>#REF!</v>
      </c>
      <c r="P499" s="11" t="e">
        <f>_xlfn.XLOOKUP(Mvt_Inter_entrepot[[#This Row],[Num OF]],#REF!,#REF!,"Non Trouvé")</f>
        <v>#REF!</v>
      </c>
      <c r="Q499" s="11" t="str">
        <f>IF(
   COUNTIFS($A$2:A499,A499,
             $B$2:B499,B499,
             $C$2:C499,C499,
             $D$2:D499,D499,
             $E$2:E499,E499,
             $H$2:H499,H499
             )&gt;1,
   "Doublon",
   "Correcte"
)</f>
        <v>Correcte</v>
      </c>
    </row>
    <row r="500" spans="1:17" x14ac:dyDescent="0.25">
      <c r="A500" s="11" t="s">
        <v>2856</v>
      </c>
      <c r="B500" s="11" t="s">
        <v>1153</v>
      </c>
      <c r="C500" s="11" t="s">
        <v>662</v>
      </c>
      <c r="D500" s="11" t="s">
        <v>665</v>
      </c>
      <c r="E500" s="11">
        <v>10</v>
      </c>
      <c r="F500" s="11"/>
      <c r="G500" s="11" t="s">
        <v>664</v>
      </c>
      <c r="H500" s="14">
        <v>45915</v>
      </c>
      <c r="I500" s="12">
        <f>-Mvt_Inter_entrepot[[#This Row],[QTE]]</f>
        <v>-10</v>
      </c>
      <c r="J500" s="11" t="s">
        <v>76</v>
      </c>
      <c r="K500" s="11" t="str">
        <f>_xlfn.TEXTBEFORE(Mvt_Inter_entrepot[[#This Row],[Num Suivis]],"-",,,1)</f>
        <v>CA250068</v>
      </c>
      <c r="L500" s="11" t="e">
        <f>_xlfn.XLOOKUP(Mvt_Inter_entrepot[[#This Row],[Num OF]],#REF!,#REF!,"Non Trouvé")</f>
        <v>#REF!</v>
      </c>
      <c r="M500" s="11" t="e">
        <f>_xlfn.XLOOKUP(Mvt_Inter_entrepot[[#This Row],[Num OF]],#REF!,#REF!,"Non Trouvé")</f>
        <v>#REF!</v>
      </c>
      <c r="N500" s="11" t="e">
        <f>_xlfn.XLOOKUP(Mvt_Inter_entrepot[[#This Row],[Num OF]],#REF!,#REF!,"Non Trouvé")</f>
        <v>#REF!</v>
      </c>
      <c r="O500" s="11" t="e">
        <f>_xlfn.XLOOKUP(Mvt_Inter_entrepot[[#This Row],[Num OF]],#REF!,#REF!,"Non Trouvé")</f>
        <v>#REF!</v>
      </c>
      <c r="P500" s="11" t="e">
        <f>_xlfn.XLOOKUP(Mvt_Inter_entrepot[[#This Row],[Num OF]],#REF!,#REF!,"Non Trouvé")</f>
        <v>#REF!</v>
      </c>
      <c r="Q500" s="11" t="str">
        <f>IF(
   COUNTIFS($A$2:A500,A500,
             $B$2:B500,B500,
             $C$2:C500,C500,
             $D$2:D500,D500,
             $E$2:E500,E500,
             $H$2:H500,H500
             )&gt;1,
   "Doublon",
   "Correcte"
)</f>
        <v>Correcte</v>
      </c>
    </row>
    <row r="501" spans="1:17" x14ac:dyDescent="0.25">
      <c r="A501" s="11" t="s">
        <v>3304</v>
      </c>
      <c r="B501" s="11" t="s">
        <v>1153</v>
      </c>
      <c r="C501" s="11" t="s">
        <v>662</v>
      </c>
      <c r="D501" s="11" t="s">
        <v>665</v>
      </c>
      <c r="E501" s="11">
        <v>31</v>
      </c>
      <c r="F501" s="11"/>
      <c r="G501" s="11" t="s">
        <v>664</v>
      </c>
      <c r="H501" s="14">
        <v>45915</v>
      </c>
      <c r="I501" s="12">
        <f>-Mvt_Inter_entrepot[[#This Row],[QTE]]</f>
        <v>-31</v>
      </c>
      <c r="J501" s="11" t="s">
        <v>49</v>
      </c>
      <c r="K501" s="11" t="str">
        <f>_xlfn.TEXTBEFORE(Mvt_Inter_entrepot[[#This Row],[Num Suivis]],"-",,,1)</f>
        <v>CA250029</v>
      </c>
      <c r="L501" s="11" t="e">
        <f>_xlfn.XLOOKUP(Mvt_Inter_entrepot[[#This Row],[Num OF]],#REF!,#REF!,"Non Trouvé")</f>
        <v>#REF!</v>
      </c>
      <c r="M501" s="11" t="e">
        <f>_xlfn.XLOOKUP(Mvt_Inter_entrepot[[#This Row],[Num OF]],#REF!,#REF!,"Non Trouvé")</f>
        <v>#REF!</v>
      </c>
      <c r="N501" s="11" t="e">
        <f>_xlfn.XLOOKUP(Mvt_Inter_entrepot[[#This Row],[Num OF]],#REF!,#REF!,"Non Trouvé")</f>
        <v>#REF!</v>
      </c>
      <c r="O501" s="11" t="e">
        <f>_xlfn.XLOOKUP(Mvt_Inter_entrepot[[#This Row],[Num OF]],#REF!,#REF!,"Non Trouvé")</f>
        <v>#REF!</v>
      </c>
      <c r="P501" s="11" t="e">
        <f>_xlfn.XLOOKUP(Mvt_Inter_entrepot[[#This Row],[Num OF]],#REF!,#REF!,"Non Trouvé")</f>
        <v>#REF!</v>
      </c>
      <c r="Q501" s="11" t="str">
        <f>IF(
   COUNTIFS($A$2:A501,A501,
             $B$2:B501,B501,
             $C$2:C501,C501,
             $D$2:D501,D501,
             $E$2:E501,E501,
             $H$2:H501,H501
             )&gt;1,
   "Doublon",
   "Correcte"
)</f>
        <v>Correcte</v>
      </c>
    </row>
    <row r="502" spans="1:17" x14ac:dyDescent="0.25">
      <c r="A502" s="11" t="s">
        <v>3305</v>
      </c>
      <c r="B502" s="11" t="s">
        <v>1153</v>
      </c>
      <c r="C502" s="11" t="s">
        <v>662</v>
      </c>
      <c r="D502" s="11" t="s">
        <v>665</v>
      </c>
      <c r="E502" s="11">
        <v>31</v>
      </c>
      <c r="F502" s="11"/>
      <c r="G502" s="11" t="s">
        <v>664</v>
      </c>
      <c r="H502" s="14">
        <v>45915</v>
      </c>
      <c r="I502" s="12">
        <f>-Mvt_Inter_entrepot[[#This Row],[QTE]]</f>
        <v>-31</v>
      </c>
      <c r="J502" s="11" t="s">
        <v>50</v>
      </c>
      <c r="K502" s="11" t="str">
        <f>_xlfn.TEXTBEFORE(Mvt_Inter_entrepot[[#This Row],[Num Suivis]],"-",,,1)</f>
        <v>CA250030</v>
      </c>
      <c r="L502" s="11" t="e">
        <f>_xlfn.XLOOKUP(Mvt_Inter_entrepot[[#This Row],[Num OF]],#REF!,#REF!,"Non Trouvé")</f>
        <v>#REF!</v>
      </c>
      <c r="M502" s="11" t="e">
        <f>_xlfn.XLOOKUP(Mvt_Inter_entrepot[[#This Row],[Num OF]],#REF!,#REF!,"Non Trouvé")</f>
        <v>#REF!</v>
      </c>
      <c r="N502" s="11" t="e">
        <f>_xlfn.XLOOKUP(Mvt_Inter_entrepot[[#This Row],[Num OF]],#REF!,#REF!,"Non Trouvé")</f>
        <v>#REF!</v>
      </c>
      <c r="O502" s="11" t="e">
        <f>_xlfn.XLOOKUP(Mvt_Inter_entrepot[[#This Row],[Num OF]],#REF!,#REF!,"Non Trouvé")</f>
        <v>#REF!</v>
      </c>
      <c r="P502" s="11" t="e">
        <f>_xlfn.XLOOKUP(Mvt_Inter_entrepot[[#This Row],[Num OF]],#REF!,#REF!,"Non Trouvé")</f>
        <v>#REF!</v>
      </c>
      <c r="Q502" s="11" t="str">
        <f>IF(
   COUNTIFS($A$2:A502,A502,
             $B$2:B502,B502,
             $C$2:C502,C502,
             $D$2:D502,D502,
             $E$2:E502,E502,
             $H$2:H502,H502
             )&gt;1,
   "Doublon",
   "Correcte"
)</f>
        <v>Correcte</v>
      </c>
    </row>
    <row r="503" spans="1:17" x14ac:dyDescent="0.25">
      <c r="A503" s="11" t="s">
        <v>3306</v>
      </c>
      <c r="B503" s="11" t="s">
        <v>1153</v>
      </c>
      <c r="C503" s="11" t="s">
        <v>662</v>
      </c>
      <c r="D503" s="11" t="s">
        <v>665</v>
      </c>
      <c r="E503" s="11">
        <v>15</v>
      </c>
      <c r="F503" s="11"/>
      <c r="G503" s="11" t="s">
        <v>664</v>
      </c>
      <c r="H503" s="14">
        <v>45915</v>
      </c>
      <c r="I503" s="12">
        <f>-Mvt_Inter_entrepot[[#This Row],[QTE]]</f>
        <v>-15</v>
      </c>
      <c r="J503" s="11" t="s">
        <v>51</v>
      </c>
      <c r="K503" s="11" t="str">
        <f>_xlfn.TEXTBEFORE(Mvt_Inter_entrepot[[#This Row],[Num Suivis]],"-",,,1)</f>
        <v>CA250031</v>
      </c>
      <c r="L503" s="11" t="e">
        <f>_xlfn.XLOOKUP(Mvt_Inter_entrepot[[#This Row],[Num OF]],#REF!,#REF!,"Non Trouvé")</f>
        <v>#REF!</v>
      </c>
      <c r="M503" s="11" t="e">
        <f>_xlfn.XLOOKUP(Mvt_Inter_entrepot[[#This Row],[Num OF]],#REF!,#REF!,"Non Trouvé")</f>
        <v>#REF!</v>
      </c>
      <c r="N503" s="11" t="e">
        <f>_xlfn.XLOOKUP(Mvt_Inter_entrepot[[#This Row],[Num OF]],#REF!,#REF!,"Non Trouvé")</f>
        <v>#REF!</v>
      </c>
      <c r="O503" s="11" t="e">
        <f>_xlfn.XLOOKUP(Mvt_Inter_entrepot[[#This Row],[Num OF]],#REF!,#REF!,"Non Trouvé")</f>
        <v>#REF!</v>
      </c>
      <c r="P503" s="11" t="e">
        <f>_xlfn.XLOOKUP(Mvt_Inter_entrepot[[#This Row],[Num OF]],#REF!,#REF!,"Non Trouvé")</f>
        <v>#REF!</v>
      </c>
      <c r="Q503" s="11" t="str">
        <f>IF(
   COUNTIFS($A$2:A503,A503,
             $B$2:B503,B503,
             $C$2:C503,C503,
             $D$2:D503,D503,
             $E$2:E503,E503,
             $H$2:H503,H503
             )&gt;1,
   "Doublon",
   "Correcte"
)</f>
        <v>Correcte</v>
      </c>
    </row>
    <row r="504" spans="1:17" x14ac:dyDescent="0.25">
      <c r="A504" s="11" t="s">
        <v>3307</v>
      </c>
      <c r="B504" s="11" t="s">
        <v>1153</v>
      </c>
      <c r="C504" s="11" t="s">
        <v>662</v>
      </c>
      <c r="D504" s="11" t="s">
        <v>665</v>
      </c>
      <c r="E504" s="11">
        <v>21</v>
      </c>
      <c r="F504" s="11"/>
      <c r="G504" s="11" t="s">
        <v>664</v>
      </c>
      <c r="H504" s="14">
        <v>45915</v>
      </c>
      <c r="I504" s="12">
        <f>-Mvt_Inter_entrepot[[#This Row],[QTE]]</f>
        <v>-21</v>
      </c>
      <c r="J504" s="11" t="s">
        <v>52</v>
      </c>
      <c r="K504" s="11" t="str">
        <f>_xlfn.TEXTBEFORE(Mvt_Inter_entrepot[[#This Row],[Num Suivis]],"-",,,1)</f>
        <v>CA250032</v>
      </c>
      <c r="L504" s="11" t="e">
        <f>_xlfn.XLOOKUP(Mvt_Inter_entrepot[[#This Row],[Num OF]],#REF!,#REF!,"Non Trouvé")</f>
        <v>#REF!</v>
      </c>
      <c r="M504" s="11" t="e">
        <f>_xlfn.XLOOKUP(Mvt_Inter_entrepot[[#This Row],[Num OF]],#REF!,#REF!,"Non Trouvé")</f>
        <v>#REF!</v>
      </c>
      <c r="N504" s="11" t="e">
        <f>_xlfn.XLOOKUP(Mvt_Inter_entrepot[[#This Row],[Num OF]],#REF!,#REF!,"Non Trouvé")</f>
        <v>#REF!</v>
      </c>
      <c r="O504" s="11" t="e">
        <f>_xlfn.XLOOKUP(Mvt_Inter_entrepot[[#This Row],[Num OF]],#REF!,#REF!,"Non Trouvé")</f>
        <v>#REF!</v>
      </c>
      <c r="P504" s="11" t="e">
        <f>_xlfn.XLOOKUP(Mvt_Inter_entrepot[[#This Row],[Num OF]],#REF!,#REF!,"Non Trouvé")</f>
        <v>#REF!</v>
      </c>
      <c r="Q504" s="11" t="str">
        <f>IF(
   COUNTIFS($A$2:A504,A504,
             $B$2:B504,B504,
             $C$2:C504,C504,
             $D$2:D504,D504,
             $E$2:E504,E504,
             $H$2:H504,H504
             )&gt;1,
   "Doublon",
   "Correcte"
)</f>
        <v>Correcte</v>
      </c>
    </row>
    <row r="505" spans="1:17" x14ac:dyDescent="0.25">
      <c r="A505" s="11" t="s">
        <v>3308</v>
      </c>
      <c r="B505" s="11" t="s">
        <v>1153</v>
      </c>
      <c r="C505" s="11" t="s">
        <v>662</v>
      </c>
      <c r="D505" s="11" t="s">
        <v>665</v>
      </c>
      <c r="E505" s="11">
        <v>31</v>
      </c>
      <c r="F505" s="11"/>
      <c r="G505" s="11" t="s">
        <v>664</v>
      </c>
      <c r="H505" s="14">
        <v>45915</v>
      </c>
      <c r="I505" s="12">
        <f>-Mvt_Inter_entrepot[[#This Row],[QTE]]</f>
        <v>-31</v>
      </c>
      <c r="J505" s="11" t="s">
        <v>53</v>
      </c>
      <c r="K505" s="11" t="str">
        <f>_xlfn.TEXTBEFORE(Mvt_Inter_entrepot[[#This Row],[Num Suivis]],"-",,,1)</f>
        <v>CA250033</v>
      </c>
      <c r="L505" s="11" t="e">
        <f>_xlfn.XLOOKUP(Mvt_Inter_entrepot[[#This Row],[Num OF]],#REF!,#REF!,"Non Trouvé")</f>
        <v>#REF!</v>
      </c>
      <c r="M505" s="11" t="e">
        <f>_xlfn.XLOOKUP(Mvt_Inter_entrepot[[#This Row],[Num OF]],#REF!,#REF!,"Non Trouvé")</f>
        <v>#REF!</v>
      </c>
      <c r="N505" s="11" t="e">
        <f>_xlfn.XLOOKUP(Mvt_Inter_entrepot[[#This Row],[Num OF]],#REF!,#REF!,"Non Trouvé")</f>
        <v>#REF!</v>
      </c>
      <c r="O505" s="11" t="e">
        <f>_xlfn.XLOOKUP(Mvt_Inter_entrepot[[#This Row],[Num OF]],#REF!,#REF!,"Non Trouvé")</f>
        <v>#REF!</v>
      </c>
      <c r="P505" s="11" t="e">
        <f>_xlfn.XLOOKUP(Mvt_Inter_entrepot[[#This Row],[Num OF]],#REF!,#REF!,"Non Trouvé")</f>
        <v>#REF!</v>
      </c>
      <c r="Q505" s="11" t="str">
        <f>IF(
   COUNTIFS($A$2:A505,A505,
             $B$2:B505,B505,
             $C$2:C505,C505,
             $D$2:D505,D505,
             $E$2:E505,E505,
             $H$2:H505,H505
             )&gt;1,
   "Doublon",
   "Correcte"
)</f>
        <v>Correcte</v>
      </c>
    </row>
    <row r="506" spans="1:17" x14ac:dyDescent="0.25">
      <c r="A506" s="11" t="s">
        <v>3309</v>
      </c>
      <c r="B506" s="11" t="s">
        <v>1153</v>
      </c>
      <c r="C506" s="11" t="s">
        <v>662</v>
      </c>
      <c r="D506" s="11" t="s">
        <v>665</v>
      </c>
      <c r="E506" s="11">
        <v>21</v>
      </c>
      <c r="F506" s="11"/>
      <c r="G506" s="11" t="s">
        <v>664</v>
      </c>
      <c r="H506" s="14">
        <v>45915</v>
      </c>
      <c r="I506" s="12">
        <f>-Mvt_Inter_entrepot[[#This Row],[QTE]]</f>
        <v>-21</v>
      </c>
      <c r="J506" s="11" t="s">
        <v>59</v>
      </c>
      <c r="K506" s="11" t="str">
        <f>_xlfn.TEXTBEFORE(Mvt_Inter_entrepot[[#This Row],[Num Suivis]],"-",,,1)</f>
        <v>CA250043</v>
      </c>
      <c r="L506" s="11" t="e">
        <f>_xlfn.XLOOKUP(Mvt_Inter_entrepot[[#This Row],[Num OF]],#REF!,#REF!,"Non Trouvé")</f>
        <v>#REF!</v>
      </c>
      <c r="M506" s="11" t="e">
        <f>_xlfn.XLOOKUP(Mvt_Inter_entrepot[[#This Row],[Num OF]],#REF!,#REF!,"Non Trouvé")</f>
        <v>#REF!</v>
      </c>
      <c r="N506" s="11" t="e">
        <f>_xlfn.XLOOKUP(Mvt_Inter_entrepot[[#This Row],[Num OF]],#REF!,#REF!,"Non Trouvé")</f>
        <v>#REF!</v>
      </c>
      <c r="O506" s="11" t="e">
        <f>_xlfn.XLOOKUP(Mvt_Inter_entrepot[[#This Row],[Num OF]],#REF!,#REF!,"Non Trouvé")</f>
        <v>#REF!</v>
      </c>
      <c r="P506" s="11" t="e">
        <f>_xlfn.XLOOKUP(Mvt_Inter_entrepot[[#This Row],[Num OF]],#REF!,#REF!,"Non Trouvé")</f>
        <v>#REF!</v>
      </c>
      <c r="Q506" s="11" t="str">
        <f>IF(
   COUNTIFS($A$2:A506,A506,
             $B$2:B506,B506,
             $C$2:C506,C506,
             $D$2:D506,D506,
             $E$2:E506,E506,
             $H$2:H506,H506
             )&gt;1,
   "Doublon",
   "Correcte"
)</f>
        <v>Correcte</v>
      </c>
    </row>
    <row r="507" spans="1:17" x14ac:dyDescent="0.25">
      <c r="A507" s="11" t="s">
        <v>3310</v>
      </c>
      <c r="B507" s="11" t="s">
        <v>1153</v>
      </c>
      <c r="C507" s="11" t="s">
        <v>662</v>
      </c>
      <c r="D507" s="11" t="s">
        <v>665</v>
      </c>
      <c r="E507" s="11">
        <v>30</v>
      </c>
      <c r="F507" s="11"/>
      <c r="G507" s="11" t="s">
        <v>664</v>
      </c>
      <c r="H507" s="14">
        <v>45915</v>
      </c>
      <c r="I507" s="12">
        <f>-Mvt_Inter_entrepot[[#This Row],[QTE]]</f>
        <v>-30</v>
      </c>
      <c r="J507" s="11" t="s">
        <v>60</v>
      </c>
      <c r="K507" s="11" t="str">
        <f>_xlfn.TEXTBEFORE(Mvt_Inter_entrepot[[#This Row],[Num Suivis]],"-",,,1)</f>
        <v>CA250044</v>
      </c>
      <c r="L507" s="11" t="e">
        <f>_xlfn.XLOOKUP(Mvt_Inter_entrepot[[#This Row],[Num OF]],#REF!,#REF!,"Non Trouvé")</f>
        <v>#REF!</v>
      </c>
      <c r="M507" s="11" t="e">
        <f>_xlfn.XLOOKUP(Mvt_Inter_entrepot[[#This Row],[Num OF]],#REF!,#REF!,"Non Trouvé")</f>
        <v>#REF!</v>
      </c>
      <c r="N507" s="11" t="e">
        <f>_xlfn.XLOOKUP(Mvt_Inter_entrepot[[#This Row],[Num OF]],#REF!,#REF!,"Non Trouvé")</f>
        <v>#REF!</v>
      </c>
      <c r="O507" s="11" t="e">
        <f>_xlfn.XLOOKUP(Mvt_Inter_entrepot[[#This Row],[Num OF]],#REF!,#REF!,"Non Trouvé")</f>
        <v>#REF!</v>
      </c>
      <c r="P507" s="11" t="e">
        <f>_xlfn.XLOOKUP(Mvt_Inter_entrepot[[#This Row],[Num OF]],#REF!,#REF!,"Non Trouvé")</f>
        <v>#REF!</v>
      </c>
      <c r="Q507" s="11" t="str">
        <f>IF(
   COUNTIFS($A$2:A507,A507,
             $B$2:B507,B507,
             $C$2:C507,C507,
             $D$2:D507,D507,
             $E$2:E507,E507,
             $H$2:H507,H507
             )&gt;1,
   "Doublon",
   "Correcte"
)</f>
        <v>Correcte</v>
      </c>
    </row>
    <row r="508" spans="1:17" x14ac:dyDescent="0.25">
      <c r="A508" s="11" t="s">
        <v>3311</v>
      </c>
      <c r="B508" s="11" t="s">
        <v>1153</v>
      </c>
      <c r="C508" s="11" t="s">
        <v>662</v>
      </c>
      <c r="D508" s="11" t="s">
        <v>665</v>
      </c>
      <c r="E508" s="11">
        <v>25</v>
      </c>
      <c r="F508" s="11"/>
      <c r="G508" s="11" t="s">
        <v>664</v>
      </c>
      <c r="H508" s="14">
        <v>45915</v>
      </c>
      <c r="I508" s="12">
        <f>-Mvt_Inter_entrepot[[#This Row],[QTE]]</f>
        <v>-25</v>
      </c>
      <c r="J508" s="11" t="s">
        <v>54</v>
      </c>
      <c r="K508" s="11" t="str">
        <f>_xlfn.TEXTBEFORE(Mvt_Inter_entrepot[[#This Row],[Num Suivis]],"-",,,1)</f>
        <v>CA250036</v>
      </c>
      <c r="L508" s="11" t="e">
        <f>_xlfn.XLOOKUP(Mvt_Inter_entrepot[[#This Row],[Num OF]],#REF!,#REF!,"Non Trouvé")</f>
        <v>#REF!</v>
      </c>
      <c r="M508" s="11" t="e">
        <f>_xlfn.XLOOKUP(Mvt_Inter_entrepot[[#This Row],[Num OF]],#REF!,#REF!,"Non Trouvé")</f>
        <v>#REF!</v>
      </c>
      <c r="N508" s="11" t="e">
        <f>_xlfn.XLOOKUP(Mvt_Inter_entrepot[[#This Row],[Num OF]],#REF!,#REF!,"Non Trouvé")</f>
        <v>#REF!</v>
      </c>
      <c r="O508" s="11" t="e">
        <f>_xlfn.XLOOKUP(Mvt_Inter_entrepot[[#This Row],[Num OF]],#REF!,#REF!,"Non Trouvé")</f>
        <v>#REF!</v>
      </c>
      <c r="P508" s="11" t="e">
        <f>_xlfn.XLOOKUP(Mvt_Inter_entrepot[[#This Row],[Num OF]],#REF!,#REF!,"Non Trouvé")</f>
        <v>#REF!</v>
      </c>
      <c r="Q508" s="11" t="str">
        <f>IF(
   COUNTIFS($A$2:A508,A508,
             $B$2:B508,B508,
             $C$2:C508,C508,
             $D$2:D508,D508,
             $E$2:E508,E508,
             $H$2:H508,H508
             )&gt;1,
   "Doublon",
   "Correcte"
)</f>
        <v>Correcte</v>
      </c>
    </row>
    <row r="509" spans="1:17" x14ac:dyDescent="0.25">
      <c r="A509" s="11" t="s">
        <v>2860</v>
      </c>
      <c r="B509" s="11" t="s">
        <v>1153</v>
      </c>
      <c r="C509" s="11" t="s">
        <v>662</v>
      </c>
      <c r="D509" s="11" t="s">
        <v>665</v>
      </c>
      <c r="E509" s="11">
        <v>10</v>
      </c>
      <c r="F509" s="11"/>
      <c r="G509" s="11" t="s">
        <v>664</v>
      </c>
      <c r="H509" s="14">
        <v>45915</v>
      </c>
      <c r="I509" s="12">
        <f>-Mvt_Inter_entrepot[[#This Row],[QTE]]</f>
        <v>-10</v>
      </c>
      <c r="J509" s="11" t="s">
        <v>83</v>
      </c>
      <c r="K509" s="11" t="str">
        <f>_xlfn.TEXTBEFORE(Mvt_Inter_entrepot[[#This Row],[Num Suivis]],"-",,,1)</f>
        <v>CA250076</v>
      </c>
      <c r="L509" s="11" t="e">
        <f>_xlfn.XLOOKUP(Mvt_Inter_entrepot[[#This Row],[Num OF]],#REF!,#REF!,"Non Trouvé")</f>
        <v>#REF!</v>
      </c>
      <c r="M509" s="11" t="e">
        <f>_xlfn.XLOOKUP(Mvt_Inter_entrepot[[#This Row],[Num OF]],#REF!,#REF!,"Non Trouvé")</f>
        <v>#REF!</v>
      </c>
      <c r="N509" s="11" t="e">
        <f>_xlfn.XLOOKUP(Mvt_Inter_entrepot[[#This Row],[Num OF]],#REF!,#REF!,"Non Trouvé")</f>
        <v>#REF!</v>
      </c>
      <c r="O509" s="11" t="e">
        <f>_xlfn.XLOOKUP(Mvt_Inter_entrepot[[#This Row],[Num OF]],#REF!,#REF!,"Non Trouvé")</f>
        <v>#REF!</v>
      </c>
      <c r="P509" s="11" t="e">
        <f>_xlfn.XLOOKUP(Mvt_Inter_entrepot[[#This Row],[Num OF]],#REF!,#REF!,"Non Trouvé")</f>
        <v>#REF!</v>
      </c>
      <c r="Q509" s="11" t="str">
        <f>IF(
   COUNTIFS($A$2:A509,A509,
             $B$2:B509,B509,
             $C$2:C509,C509,
             $D$2:D509,D509,
             $E$2:E509,E509,
             $H$2:H509,H509
             )&gt;1,
   "Doublon",
   "Correcte"
)</f>
        <v>Correcte</v>
      </c>
    </row>
    <row r="510" spans="1:17" x14ac:dyDescent="0.25">
      <c r="A510" s="11" t="s">
        <v>3312</v>
      </c>
      <c r="B510" s="11" t="s">
        <v>1153</v>
      </c>
      <c r="C510" s="11" t="s">
        <v>662</v>
      </c>
      <c r="D510" s="11" t="s">
        <v>665</v>
      </c>
      <c r="E510" s="11">
        <v>26</v>
      </c>
      <c r="F510" s="11"/>
      <c r="G510" s="11" t="s">
        <v>664</v>
      </c>
      <c r="H510" s="14">
        <v>45915</v>
      </c>
      <c r="I510" s="12">
        <f>-Mvt_Inter_entrepot[[#This Row],[QTE]]</f>
        <v>-26</v>
      </c>
      <c r="J510" s="11" t="s">
        <v>55</v>
      </c>
      <c r="K510" s="11" t="str">
        <f>_xlfn.TEXTBEFORE(Mvt_Inter_entrepot[[#This Row],[Num Suivis]],"-",,,1)</f>
        <v>CA250039</v>
      </c>
      <c r="L510" s="11" t="e">
        <f>_xlfn.XLOOKUP(Mvt_Inter_entrepot[[#This Row],[Num OF]],#REF!,#REF!,"Non Trouvé")</f>
        <v>#REF!</v>
      </c>
      <c r="M510" s="11" t="e">
        <f>_xlfn.XLOOKUP(Mvt_Inter_entrepot[[#This Row],[Num OF]],#REF!,#REF!,"Non Trouvé")</f>
        <v>#REF!</v>
      </c>
      <c r="N510" s="11" t="e">
        <f>_xlfn.XLOOKUP(Mvt_Inter_entrepot[[#This Row],[Num OF]],#REF!,#REF!,"Non Trouvé")</f>
        <v>#REF!</v>
      </c>
      <c r="O510" s="11" t="e">
        <f>_xlfn.XLOOKUP(Mvt_Inter_entrepot[[#This Row],[Num OF]],#REF!,#REF!,"Non Trouvé")</f>
        <v>#REF!</v>
      </c>
      <c r="P510" s="11" t="e">
        <f>_xlfn.XLOOKUP(Mvt_Inter_entrepot[[#This Row],[Num OF]],#REF!,#REF!,"Non Trouvé")</f>
        <v>#REF!</v>
      </c>
      <c r="Q510" s="11" t="str">
        <f>IF(
   COUNTIFS($A$2:A510,A510,
             $B$2:B510,B510,
             $C$2:C510,C510,
             $D$2:D510,D510,
             $E$2:E510,E510,
             $H$2:H510,H510
             )&gt;1,
   "Doublon",
   "Correcte"
)</f>
        <v>Correcte</v>
      </c>
    </row>
    <row r="511" spans="1:17" x14ac:dyDescent="0.25">
      <c r="A511" s="11" t="s">
        <v>3313</v>
      </c>
      <c r="B511" s="11" t="s">
        <v>1153</v>
      </c>
      <c r="C511" s="11" t="s">
        <v>662</v>
      </c>
      <c r="D511" s="11" t="s">
        <v>665</v>
      </c>
      <c r="E511" s="11">
        <v>25</v>
      </c>
      <c r="F511" s="11"/>
      <c r="G511" s="11" t="s">
        <v>664</v>
      </c>
      <c r="H511" s="14">
        <v>45915</v>
      </c>
      <c r="I511" s="12">
        <f>-Mvt_Inter_entrepot[[#This Row],[QTE]]</f>
        <v>-25</v>
      </c>
      <c r="J511" s="11" t="s">
        <v>63</v>
      </c>
      <c r="K511" s="11" t="str">
        <f>_xlfn.TEXTBEFORE(Mvt_Inter_entrepot[[#This Row],[Num Suivis]],"-",,,1)</f>
        <v>CA250048</v>
      </c>
      <c r="L511" s="11" t="e">
        <f>_xlfn.XLOOKUP(Mvt_Inter_entrepot[[#This Row],[Num OF]],#REF!,#REF!,"Non Trouvé")</f>
        <v>#REF!</v>
      </c>
      <c r="M511" s="11" t="e">
        <f>_xlfn.XLOOKUP(Mvt_Inter_entrepot[[#This Row],[Num OF]],#REF!,#REF!,"Non Trouvé")</f>
        <v>#REF!</v>
      </c>
      <c r="N511" s="11" t="e">
        <f>_xlfn.XLOOKUP(Mvt_Inter_entrepot[[#This Row],[Num OF]],#REF!,#REF!,"Non Trouvé")</f>
        <v>#REF!</v>
      </c>
      <c r="O511" s="11" t="e">
        <f>_xlfn.XLOOKUP(Mvt_Inter_entrepot[[#This Row],[Num OF]],#REF!,#REF!,"Non Trouvé")</f>
        <v>#REF!</v>
      </c>
      <c r="P511" s="11" t="e">
        <f>_xlfn.XLOOKUP(Mvt_Inter_entrepot[[#This Row],[Num OF]],#REF!,#REF!,"Non Trouvé")</f>
        <v>#REF!</v>
      </c>
      <c r="Q511" s="11" t="str">
        <f>IF(
   COUNTIFS($A$2:A511,A511,
             $B$2:B511,B511,
             $C$2:C511,C511,
             $D$2:D511,D511,
             $E$2:E511,E511,
             $H$2:H511,H511
             )&gt;1,
   "Doublon",
   "Correcte"
)</f>
        <v>Correcte</v>
      </c>
    </row>
    <row r="512" spans="1:17" x14ac:dyDescent="0.25">
      <c r="A512" s="11" t="s">
        <v>3314</v>
      </c>
      <c r="B512" s="11" t="s">
        <v>1153</v>
      </c>
      <c r="C512" s="11" t="s">
        <v>662</v>
      </c>
      <c r="D512" s="11" t="s">
        <v>665</v>
      </c>
      <c r="E512" s="11">
        <v>30</v>
      </c>
      <c r="F512" s="11"/>
      <c r="G512" s="11" t="s">
        <v>664</v>
      </c>
      <c r="H512" s="14">
        <v>45915</v>
      </c>
      <c r="I512" s="12">
        <f>-Mvt_Inter_entrepot[[#This Row],[QTE]]</f>
        <v>-30</v>
      </c>
      <c r="J512" s="11" t="s">
        <v>62</v>
      </c>
      <c r="K512" s="11" t="str">
        <f>_xlfn.TEXTBEFORE(Mvt_Inter_entrepot[[#This Row],[Num Suivis]],"-",,,1)</f>
        <v>CA250046</v>
      </c>
      <c r="L512" s="11" t="e">
        <f>_xlfn.XLOOKUP(Mvt_Inter_entrepot[[#This Row],[Num OF]],#REF!,#REF!,"Non Trouvé")</f>
        <v>#REF!</v>
      </c>
      <c r="M512" s="11" t="e">
        <f>_xlfn.XLOOKUP(Mvt_Inter_entrepot[[#This Row],[Num OF]],#REF!,#REF!,"Non Trouvé")</f>
        <v>#REF!</v>
      </c>
      <c r="N512" s="11" t="e">
        <f>_xlfn.XLOOKUP(Mvt_Inter_entrepot[[#This Row],[Num OF]],#REF!,#REF!,"Non Trouvé")</f>
        <v>#REF!</v>
      </c>
      <c r="O512" s="11" t="e">
        <f>_xlfn.XLOOKUP(Mvt_Inter_entrepot[[#This Row],[Num OF]],#REF!,#REF!,"Non Trouvé")</f>
        <v>#REF!</v>
      </c>
      <c r="P512" s="11" t="e">
        <f>_xlfn.XLOOKUP(Mvt_Inter_entrepot[[#This Row],[Num OF]],#REF!,#REF!,"Non Trouvé")</f>
        <v>#REF!</v>
      </c>
      <c r="Q512" s="11" t="str">
        <f>IF(
   COUNTIFS($A$2:A512,A512,
             $B$2:B512,B512,
             $C$2:C512,C512,
             $D$2:D512,D512,
             $E$2:E512,E512,
             $H$2:H512,H512
             )&gt;1,
   "Doublon",
   "Correcte"
)</f>
        <v>Correcte</v>
      </c>
    </row>
    <row r="513" spans="1:17" x14ac:dyDescent="0.25">
      <c r="A513" s="11" t="s">
        <v>3315</v>
      </c>
      <c r="B513" s="11" t="s">
        <v>1153</v>
      </c>
      <c r="C513" s="11" t="s">
        <v>662</v>
      </c>
      <c r="D513" s="11" t="s">
        <v>665</v>
      </c>
      <c r="E513" s="11">
        <v>5</v>
      </c>
      <c r="F513" s="11"/>
      <c r="G513" s="11" t="s">
        <v>664</v>
      </c>
      <c r="H513" s="14">
        <v>45915</v>
      </c>
      <c r="I513" s="12">
        <f>-Mvt_Inter_entrepot[[#This Row],[QTE]]</f>
        <v>-5</v>
      </c>
      <c r="J513" s="11" t="s">
        <v>68</v>
      </c>
      <c r="K513" s="11" t="str">
        <f>_xlfn.TEXTBEFORE(Mvt_Inter_entrepot[[#This Row],[Num Suivis]],"-",,,1)</f>
        <v>CA250058</v>
      </c>
      <c r="L513" s="11" t="e">
        <f>_xlfn.XLOOKUP(Mvt_Inter_entrepot[[#This Row],[Num OF]],#REF!,#REF!,"Non Trouvé")</f>
        <v>#REF!</v>
      </c>
      <c r="M513" s="11" t="e">
        <f>_xlfn.XLOOKUP(Mvt_Inter_entrepot[[#This Row],[Num OF]],#REF!,#REF!,"Non Trouvé")</f>
        <v>#REF!</v>
      </c>
      <c r="N513" s="11" t="e">
        <f>_xlfn.XLOOKUP(Mvt_Inter_entrepot[[#This Row],[Num OF]],#REF!,#REF!,"Non Trouvé")</f>
        <v>#REF!</v>
      </c>
      <c r="O513" s="11" t="e">
        <f>_xlfn.XLOOKUP(Mvt_Inter_entrepot[[#This Row],[Num OF]],#REF!,#REF!,"Non Trouvé")</f>
        <v>#REF!</v>
      </c>
      <c r="P513" s="11" t="e">
        <f>_xlfn.XLOOKUP(Mvt_Inter_entrepot[[#This Row],[Num OF]],#REF!,#REF!,"Non Trouvé")</f>
        <v>#REF!</v>
      </c>
      <c r="Q513" s="11" t="str">
        <f>IF(
   COUNTIFS($A$2:A513,A513,
             $B$2:B513,B513,
             $C$2:C513,C513,
             $D$2:D513,D513,
             $E$2:E513,E513,
             $H$2:H513,H513
             )&gt;1,
   "Doublon",
   "Correcte"
)</f>
        <v>Correcte</v>
      </c>
    </row>
    <row r="514" spans="1:17" x14ac:dyDescent="0.25">
      <c r="A514" s="11" t="s">
        <v>3316</v>
      </c>
      <c r="B514" s="11" t="s">
        <v>1153</v>
      </c>
      <c r="C514" s="11" t="s">
        <v>662</v>
      </c>
      <c r="D514" s="11" t="s">
        <v>665</v>
      </c>
      <c r="E514" s="11">
        <v>15</v>
      </c>
      <c r="F514" s="11"/>
      <c r="G514" s="11" t="s">
        <v>664</v>
      </c>
      <c r="H514" s="14">
        <v>45915</v>
      </c>
      <c r="I514" s="12">
        <f>-Mvt_Inter_entrepot[[#This Row],[QTE]]</f>
        <v>-15</v>
      </c>
      <c r="J514" s="11" t="s">
        <v>67</v>
      </c>
      <c r="K514" s="11" t="str">
        <f>_xlfn.TEXTBEFORE(Mvt_Inter_entrepot[[#This Row],[Num Suivis]],"-",,,1)</f>
        <v>CA250057</v>
      </c>
      <c r="L514" s="11" t="e">
        <f>_xlfn.XLOOKUP(Mvt_Inter_entrepot[[#This Row],[Num OF]],#REF!,#REF!,"Non Trouvé")</f>
        <v>#REF!</v>
      </c>
      <c r="M514" s="11" t="e">
        <f>_xlfn.XLOOKUP(Mvt_Inter_entrepot[[#This Row],[Num OF]],#REF!,#REF!,"Non Trouvé")</f>
        <v>#REF!</v>
      </c>
      <c r="N514" s="11" t="e">
        <f>_xlfn.XLOOKUP(Mvt_Inter_entrepot[[#This Row],[Num OF]],#REF!,#REF!,"Non Trouvé")</f>
        <v>#REF!</v>
      </c>
      <c r="O514" s="11" t="e">
        <f>_xlfn.XLOOKUP(Mvt_Inter_entrepot[[#This Row],[Num OF]],#REF!,#REF!,"Non Trouvé")</f>
        <v>#REF!</v>
      </c>
      <c r="P514" s="11" t="e">
        <f>_xlfn.XLOOKUP(Mvt_Inter_entrepot[[#This Row],[Num OF]],#REF!,#REF!,"Non Trouvé")</f>
        <v>#REF!</v>
      </c>
      <c r="Q514" s="11" t="str">
        <f>IF(
   COUNTIFS($A$2:A514,A514,
             $B$2:B514,B514,
             $C$2:C514,C514,
             $D$2:D514,D514,
             $E$2:E514,E514,
             $H$2:H514,H514
             )&gt;1,
   "Doublon",
   "Correcte"
)</f>
        <v>Correcte</v>
      </c>
    </row>
    <row r="515" spans="1:17" x14ac:dyDescent="0.25">
      <c r="A515" s="11" t="s">
        <v>3317</v>
      </c>
      <c r="B515" s="11" t="s">
        <v>1153</v>
      </c>
      <c r="C515" s="11" t="s">
        <v>662</v>
      </c>
      <c r="D515" s="11" t="s">
        <v>665</v>
      </c>
      <c r="E515" s="11">
        <v>17</v>
      </c>
      <c r="F515" s="11"/>
      <c r="G515" s="11" t="s">
        <v>664</v>
      </c>
      <c r="H515" s="14">
        <v>45915</v>
      </c>
      <c r="I515" s="12">
        <f>-Mvt_Inter_entrepot[[#This Row],[QTE]]</f>
        <v>-17</v>
      </c>
      <c r="J515" s="11" t="s">
        <v>79</v>
      </c>
      <c r="K515" s="11" t="str">
        <f>_xlfn.TEXTBEFORE(Mvt_Inter_entrepot[[#This Row],[Num Suivis]],"-",,,1)</f>
        <v>CA250071</v>
      </c>
      <c r="L515" s="11" t="e">
        <f>_xlfn.XLOOKUP(Mvt_Inter_entrepot[[#This Row],[Num OF]],#REF!,#REF!,"Non Trouvé")</f>
        <v>#REF!</v>
      </c>
      <c r="M515" s="11" t="e">
        <f>_xlfn.XLOOKUP(Mvt_Inter_entrepot[[#This Row],[Num OF]],#REF!,#REF!,"Non Trouvé")</f>
        <v>#REF!</v>
      </c>
      <c r="N515" s="11" t="e">
        <f>_xlfn.XLOOKUP(Mvt_Inter_entrepot[[#This Row],[Num OF]],#REF!,#REF!,"Non Trouvé")</f>
        <v>#REF!</v>
      </c>
      <c r="O515" s="11" t="e">
        <f>_xlfn.XLOOKUP(Mvt_Inter_entrepot[[#This Row],[Num OF]],#REF!,#REF!,"Non Trouvé")</f>
        <v>#REF!</v>
      </c>
      <c r="P515" s="11" t="e">
        <f>_xlfn.XLOOKUP(Mvt_Inter_entrepot[[#This Row],[Num OF]],#REF!,#REF!,"Non Trouvé")</f>
        <v>#REF!</v>
      </c>
      <c r="Q515" s="11" t="str">
        <f>IF(
   COUNTIFS($A$2:A515,A515,
             $B$2:B515,B515,
             $C$2:C515,C515,
             $D$2:D515,D515,
             $E$2:E515,E515,
             $H$2:H515,H515
             )&gt;1,
   "Doublon",
   "Correcte"
)</f>
        <v>Correcte</v>
      </c>
    </row>
    <row r="516" spans="1:17" x14ac:dyDescent="0.25">
      <c r="A516" s="11" t="s">
        <v>3318</v>
      </c>
      <c r="B516" s="11" t="s">
        <v>1153</v>
      </c>
      <c r="C516" s="11" t="s">
        <v>662</v>
      </c>
      <c r="D516" s="11" t="s">
        <v>665</v>
      </c>
      <c r="E516" s="11">
        <v>10</v>
      </c>
      <c r="F516" s="11"/>
      <c r="G516" s="11" t="s">
        <v>664</v>
      </c>
      <c r="H516" s="14">
        <v>45915</v>
      </c>
      <c r="I516" s="12">
        <f>-Mvt_Inter_entrepot[[#This Row],[QTE]]</f>
        <v>-10</v>
      </c>
      <c r="J516" s="11" t="s">
        <v>86</v>
      </c>
      <c r="K516" s="11" t="str">
        <f>_xlfn.TEXTBEFORE(Mvt_Inter_entrepot[[#This Row],[Num Suivis]],"-",,,1)</f>
        <v>CA250079</v>
      </c>
      <c r="L516" s="11" t="e">
        <f>_xlfn.XLOOKUP(Mvt_Inter_entrepot[[#This Row],[Num OF]],#REF!,#REF!,"Non Trouvé")</f>
        <v>#REF!</v>
      </c>
      <c r="M516" s="11" t="e">
        <f>_xlfn.XLOOKUP(Mvt_Inter_entrepot[[#This Row],[Num OF]],#REF!,#REF!,"Non Trouvé")</f>
        <v>#REF!</v>
      </c>
      <c r="N516" s="11" t="e">
        <f>_xlfn.XLOOKUP(Mvt_Inter_entrepot[[#This Row],[Num OF]],#REF!,#REF!,"Non Trouvé")</f>
        <v>#REF!</v>
      </c>
      <c r="O516" s="11" t="e">
        <f>_xlfn.XLOOKUP(Mvt_Inter_entrepot[[#This Row],[Num OF]],#REF!,#REF!,"Non Trouvé")</f>
        <v>#REF!</v>
      </c>
      <c r="P516" s="11" t="e">
        <f>_xlfn.XLOOKUP(Mvt_Inter_entrepot[[#This Row],[Num OF]],#REF!,#REF!,"Non Trouvé")</f>
        <v>#REF!</v>
      </c>
      <c r="Q516" s="11" t="str">
        <f>IF(
   COUNTIFS($A$2:A516,A516,
             $B$2:B516,B516,
             $C$2:C516,C516,
             $D$2:D516,D516,
             $E$2:E516,E516,
             $H$2:H516,H516
             )&gt;1,
   "Doublon",
   "Correcte"
)</f>
        <v>Correcte</v>
      </c>
    </row>
    <row r="517" spans="1:17" x14ac:dyDescent="0.25">
      <c r="A517" s="11" t="s">
        <v>3319</v>
      </c>
      <c r="B517" s="11" t="s">
        <v>1153</v>
      </c>
      <c r="C517" s="11" t="s">
        <v>662</v>
      </c>
      <c r="D517" s="11" t="s">
        <v>665</v>
      </c>
      <c r="E517" s="11">
        <v>30</v>
      </c>
      <c r="F517" s="11"/>
      <c r="G517" s="11" t="s">
        <v>664</v>
      </c>
      <c r="H517" s="14">
        <v>45915</v>
      </c>
      <c r="I517" s="12">
        <f>-Mvt_Inter_entrepot[[#This Row],[QTE]]</f>
        <v>-30</v>
      </c>
      <c r="J517" s="11" t="s">
        <v>64</v>
      </c>
      <c r="K517" s="11" t="str">
        <f>_xlfn.TEXTBEFORE(Mvt_Inter_entrepot[[#This Row],[Num Suivis]],"-",,,1)</f>
        <v>CA250050</v>
      </c>
      <c r="L517" s="11" t="e">
        <f>_xlfn.XLOOKUP(Mvt_Inter_entrepot[[#This Row],[Num OF]],#REF!,#REF!,"Non Trouvé")</f>
        <v>#REF!</v>
      </c>
      <c r="M517" s="11" t="e">
        <f>_xlfn.XLOOKUP(Mvt_Inter_entrepot[[#This Row],[Num OF]],#REF!,#REF!,"Non Trouvé")</f>
        <v>#REF!</v>
      </c>
      <c r="N517" s="11" t="e">
        <f>_xlfn.XLOOKUP(Mvt_Inter_entrepot[[#This Row],[Num OF]],#REF!,#REF!,"Non Trouvé")</f>
        <v>#REF!</v>
      </c>
      <c r="O517" s="11" t="e">
        <f>_xlfn.XLOOKUP(Mvt_Inter_entrepot[[#This Row],[Num OF]],#REF!,#REF!,"Non Trouvé")</f>
        <v>#REF!</v>
      </c>
      <c r="P517" s="11" t="e">
        <f>_xlfn.XLOOKUP(Mvt_Inter_entrepot[[#This Row],[Num OF]],#REF!,#REF!,"Non Trouvé")</f>
        <v>#REF!</v>
      </c>
      <c r="Q517" s="11" t="str">
        <f>IF(
   COUNTIFS($A$2:A517,A517,
             $B$2:B517,B517,
             $C$2:C517,C517,
             $D$2:D517,D517,
             $E$2:E517,E517,
             $H$2:H517,H517
             )&gt;1,
   "Doublon",
   "Correcte"
)</f>
        <v>Correcte</v>
      </c>
    </row>
    <row r="518" spans="1:17" x14ac:dyDescent="0.25">
      <c r="A518" s="11" t="s">
        <v>3320</v>
      </c>
      <c r="B518" s="11" t="s">
        <v>1153</v>
      </c>
      <c r="C518" s="11" t="s">
        <v>662</v>
      </c>
      <c r="D518" s="11" t="s">
        <v>665</v>
      </c>
      <c r="E518" s="11">
        <v>1</v>
      </c>
      <c r="F518" s="11"/>
      <c r="G518" s="11" t="s">
        <v>664</v>
      </c>
      <c r="H518" s="14">
        <v>45915</v>
      </c>
      <c r="I518" s="12">
        <f>-Mvt_Inter_entrepot[[#This Row],[QTE]]</f>
        <v>-1</v>
      </c>
      <c r="J518" s="11" t="s">
        <v>80</v>
      </c>
      <c r="K518" s="11" t="str">
        <f>_xlfn.TEXTBEFORE(Mvt_Inter_entrepot[[#This Row],[Num Suivis]],"-",,,1)</f>
        <v>CA250072</v>
      </c>
      <c r="L518" s="11" t="e">
        <f>_xlfn.XLOOKUP(Mvt_Inter_entrepot[[#This Row],[Num OF]],#REF!,#REF!,"Non Trouvé")</f>
        <v>#REF!</v>
      </c>
      <c r="M518" s="11" t="e">
        <f>_xlfn.XLOOKUP(Mvt_Inter_entrepot[[#This Row],[Num OF]],#REF!,#REF!,"Non Trouvé")</f>
        <v>#REF!</v>
      </c>
      <c r="N518" s="11" t="e">
        <f>_xlfn.XLOOKUP(Mvt_Inter_entrepot[[#This Row],[Num OF]],#REF!,#REF!,"Non Trouvé")</f>
        <v>#REF!</v>
      </c>
      <c r="O518" s="11" t="e">
        <f>_xlfn.XLOOKUP(Mvt_Inter_entrepot[[#This Row],[Num OF]],#REF!,#REF!,"Non Trouvé")</f>
        <v>#REF!</v>
      </c>
      <c r="P518" s="11" t="e">
        <f>_xlfn.XLOOKUP(Mvt_Inter_entrepot[[#This Row],[Num OF]],#REF!,#REF!,"Non Trouvé")</f>
        <v>#REF!</v>
      </c>
      <c r="Q518" s="11" t="str">
        <f>IF(
   COUNTIFS($A$2:A518,A518,
             $B$2:B518,B518,
             $C$2:C518,C518,
             $D$2:D518,D518,
             $E$2:E518,E518,
             $H$2:H518,H518
             )&gt;1,
   "Doublon",
   "Correcte"
)</f>
        <v>Correcte</v>
      </c>
    </row>
    <row r="519" spans="1:17" x14ac:dyDescent="0.25">
      <c r="A519" s="11" t="s">
        <v>3321</v>
      </c>
      <c r="B519" s="11" t="s">
        <v>1153</v>
      </c>
      <c r="C519" s="11" t="s">
        <v>662</v>
      </c>
      <c r="D519" s="11" t="s">
        <v>665</v>
      </c>
      <c r="E519" s="11">
        <v>15</v>
      </c>
      <c r="F519" s="11"/>
      <c r="G519" s="11" t="s">
        <v>664</v>
      </c>
      <c r="H519" s="14">
        <v>45915</v>
      </c>
      <c r="I519" s="12">
        <f>-Mvt_Inter_entrepot[[#This Row],[QTE]]</f>
        <v>-15</v>
      </c>
      <c r="J519" s="11" t="s">
        <v>65</v>
      </c>
      <c r="K519" s="11" t="str">
        <f>_xlfn.TEXTBEFORE(Mvt_Inter_entrepot[[#This Row],[Num Suivis]],"-",,,1)</f>
        <v>CA250054</v>
      </c>
      <c r="L519" s="11" t="e">
        <f>_xlfn.XLOOKUP(Mvt_Inter_entrepot[[#This Row],[Num OF]],#REF!,#REF!,"Non Trouvé")</f>
        <v>#REF!</v>
      </c>
      <c r="M519" s="11" t="e">
        <f>_xlfn.XLOOKUP(Mvt_Inter_entrepot[[#This Row],[Num OF]],#REF!,#REF!,"Non Trouvé")</f>
        <v>#REF!</v>
      </c>
      <c r="N519" s="11" t="e">
        <f>_xlfn.XLOOKUP(Mvt_Inter_entrepot[[#This Row],[Num OF]],#REF!,#REF!,"Non Trouvé")</f>
        <v>#REF!</v>
      </c>
      <c r="O519" s="11" t="e">
        <f>_xlfn.XLOOKUP(Mvt_Inter_entrepot[[#This Row],[Num OF]],#REF!,#REF!,"Non Trouvé")</f>
        <v>#REF!</v>
      </c>
      <c r="P519" s="11" t="e">
        <f>_xlfn.XLOOKUP(Mvt_Inter_entrepot[[#This Row],[Num OF]],#REF!,#REF!,"Non Trouvé")</f>
        <v>#REF!</v>
      </c>
      <c r="Q519" s="11" t="str">
        <f>IF(
   COUNTIFS($A$2:A519,A519,
             $B$2:B519,B519,
             $C$2:C519,C519,
             $D$2:D519,D519,
             $E$2:E519,E519,
             $H$2:H519,H519
             )&gt;1,
   "Doublon",
   "Correcte"
)</f>
        <v>Correcte</v>
      </c>
    </row>
    <row r="520" spans="1:17" x14ac:dyDescent="0.25">
      <c r="A520" s="11" t="s">
        <v>3322</v>
      </c>
      <c r="B520" s="11" t="s">
        <v>1153</v>
      </c>
      <c r="C520" s="11" t="s">
        <v>662</v>
      </c>
      <c r="D520" s="11" t="s">
        <v>665</v>
      </c>
      <c r="E520" s="11">
        <v>15</v>
      </c>
      <c r="F520" s="11"/>
      <c r="G520" s="11" t="s">
        <v>664</v>
      </c>
      <c r="H520" s="14">
        <v>45915</v>
      </c>
      <c r="I520" s="12">
        <f>-Mvt_Inter_entrepot[[#This Row],[QTE]]</f>
        <v>-15</v>
      </c>
      <c r="J520" s="11" t="s">
        <v>66</v>
      </c>
      <c r="K520" s="11" t="str">
        <f>_xlfn.TEXTBEFORE(Mvt_Inter_entrepot[[#This Row],[Num Suivis]],"-",,,1)</f>
        <v>CA250055</v>
      </c>
      <c r="L520" s="11" t="e">
        <f>_xlfn.XLOOKUP(Mvt_Inter_entrepot[[#This Row],[Num OF]],#REF!,#REF!,"Non Trouvé")</f>
        <v>#REF!</v>
      </c>
      <c r="M520" s="11" t="e">
        <f>_xlfn.XLOOKUP(Mvt_Inter_entrepot[[#This Row],[Num OF]],#REF!,#REF!,"Non Trouvé")</f>
        <v>#REF!</v>
      </c>
      <c r="N520" s="11" t="e">
        <f>_xlfn.XLOOKUP(Mvt_Inter_entrepot[[#This Row],[Num OF]],#REF!,#REF!,"Non Trouvé")</f>
        <v>#REF!</v>
      </c>
      <c r="O520" s="11" t="e">
        <f>_xlfn.XLOOKUP(Mvt_Inter_entrepot[[#This Row],[Num OF]],#REF!,#REF!,"Non Trouvé")</f>
        <v>#REF!</v>
      </c>
      <c r="P520" s="11" t="e">
        <f>_xlfn.XLOOKUP(Mvt_Inter_entrepot[[#This Row],[Num OF]],#REF!,#REF!,"Non Trouvé")</f>
        <v>#REF!</v>
      </c>
      <c r="Q520" s="11" t="str">
        <f>IF(
   COUNTIFS($A$2:A520,A520,
             $B$2:B520,B520,
             $C$2:C520,C520,
             $D$2:D520,D520,
             $E$2:E520,E520,
             $H$2:H520,H520
             )&gt;1,
   "Doublon",
   "Correcte"
)</f>
        <v>Correcte</v>
      </c>
    </row>
    <row r="521" spans="1:17" x14ac:dyDescent="0.25">
      <c r="A521" s="11" t="s">
        <v>3323</v>
      </c>
      <c r="B521" s="11" t="s">
        <v>1153</v>
      </c>
      <c r="C521" s="11" t="s">
        <v>662</v>
      </c>
      <c r="D521" s="11" t="s">
        <v>665</v>
      </c>
      <c r="E521" s="11">
        <v>15</v>
      </c>
      <c r="F521" s="11"/>
      <c r="G521" s="11" t="s">
        <v>664</v>
      </c>
      <c r="H521" s="14">
        <v>45915</v>
      </c>
      <c r="I521" s="12">
        <f>-Mvt_Inter_entrepot[[#This Row],[QTE]]</f>
        <v>-15</v>
      </c>
      <c r="J521" s="11" t="s">
        <v>69</v>
      </c>
      <c r="K521" s="11" t="str">
        <f>_xlfn.TEXTBEFORE(Mvt_Inter_entrepot[[#This Row],[Num Suivis]],"-",,,1)</f>
        <v>CA250059</v>
      </c>
      <c r="L521" s="11" t="e">
        <f>_xlfn.XLOOKUP(Mvt_Inter_entrepot[[#This Row],[Num OF]],#REF!,#REF!,"Non Trouvé")</f>
        <v>#REF!</v>
      </c>
      <c r="M521" s="11" t="e">
        <f>_xlfn.XLOOKUP(Mvt_Inter_entrepot[[#This Row],[Num OF]],#REF!,#REF!,"Non Trouvé")</f>
        <v>#REF!</v>
      </c>
      <c r="N521" s="11" t="e">
        <f>_xlfn.XLOOKUP(Mvt_Inter_entrepot[[#This Row],[Num OF]],#REF!,#REF!,"Non Trouvé")</f>
        <v>#REF!</v>
      </c>
      <c r="O521" s="11" t="e">
        <f>_xlfn.XLOOKUP(Mvt_Inter_entrepot[[#This Row],[Num OF]],#REF!,#REF!,"Non Trouvé")</f>
        <v>#REF!</v>
      </c>
      <c r="P521" s="11" t="e">
        <f>_xlfn.XLOOKUP(Mvt_Inter_entrepot[[#This Row],[Num OF]],#REF!,#REF!,"Non Trouvé")</f>
        <v>#REF!</v>
      </c>
      <c r="Q521" s="11" t="str">
        <f>IF(
   COUNTIFS($A$2:A521,A521,
             $B$2:B521,B521,
             $C$2:C521,C521,
             $D$2:D521,D521,
             $E$2:E521,E521,
             $H$2:H521,H521
             )&gt;1,
   "Doublon",
   "Correcte"
)</f>
        <v>Correcte</v>
      </c>
    </row>
    <row r="522" spans="1:17" x14ac:dyDescent="0.25">
      <c r="A522" s="11" t="s">
        <v>3324</v>
      </c>
      <c r="B522" s="11" t="s">
        <v>1153</v>
      </c>
      <c r="C522" s="11" t="s">
        <v>662</v>
      </c>
      <c r="D522" s="11" t="s">
        <v>665</v>
      </c>
      <c r="E522" s="11">
        <v>10</v>
      </c>
      <c r="F522" s="11"/>
      <c r="G522" s="11" t="s">
        <v>664</v>
      </c>
      <c r="H522" s="14">
        <v>45915</v>
      </c>
      <c r="I522" s="12">
        <f>-Mvt_Inter_entrepot[[#This Row],[QTE]]</f>
        <v>-10</v>
      </c>
      <c r="J522" s="11" t="s">
        <v>81</v>
      </c>
      <c r="K522" s="11" t="str">
        <f>_xlfn.TEXTBEFORE(Mvt_Inter_entrepot[[#This Row],[Num Suivis]],"-",,,1)</f>
        <v>CA250074</v>
      </c>
      <c r="L522" s="11" t="e">
        <f>_xlfn.XLOOKUP(Mvt_Inter_entrepot[[#This Row],[Num OF]],#REF!,#REF!,"Non Trouvé")</f>
        <v>#REF!</v>
      </c>
      <c r="M522" s="11" t="e">
        <f>_xlfn.XLOOKUP(Mvt_Inter_entrepot[[#This Row],[Num OF]],#REF!,#REF!,"Non Trouvé")</f>
        <v>#REF!</v>
      </c>
      <c r="N522" s="11" t="e">
        <f>_xlfn.XLOOKUP(Mvt_Inter_entrepot[[#This Row],[Num OF]],#REF!,#REF!,"Non Trouvé")</f>
        <v>#REF!</v>
      </c>
      <c r="O522" s="11" t="e">
        <f>_xlfn.XLOOKUP(Mvt_Inter_entrepot[[#This Row],[Num OF]],#REF!,#REF!,"Non Trouvé")</f>
        <v>#REF!</v>
      </c>
      <c r="P522" s="11" t="e">
        <f>_xlfn.XLOOKUP(Mvt_Inter_entrepot[[#This Row],[Num OF]],#REF!,#REF!,"Non Trouvé")</f>
        <v>#REF!</v>
      </c>
      <c r="Q522" s="11" t="str">
        <f>IF(
   COUNTIFS($A$2:A522,A522,
             $B$2:B522,B522,
             $C$2:C522,C522,
             $D$2:D522,D522,
             $E$2:E522,E522,
             $H$2:H522,H522
             )&gt;1,
   "Doublon",
   "Correcte"
)</f>
        <v>Correcte</v>
      </c>
    </row>
    <row r="523" spans="1:17" x14ac:dyDescent="0.25">
      <c r="A523" s="11" t="s">
        <v>3325</v>
      </c>
      <c r="B523" s="11" t="s">
        <v>1153</v>
      </c>
      <c r="C523" s="11" t="s">
        <v>662</v>
      </c>
      <c r="D523" s="11" t="s">
        <v>665</v>
      </c>
      <c r="E523" s="11">
        <v>10</v>
      </c>
      <c r="F523" s="11"/>
      <c r="G523" s="11" t="s">
        <v>664</v>
      </c>
      <c r="H523" s="14">
        <v>45915</v>
      </c>
      <c r="I523" s="12">
        <f>-Mvt_Inter_entrepot[[#This Row],[QTE]]</f>
        <v>-10</v>
      </c>
      <c r="J523" s="11" t="s">
        <v>85</v>
      </c>
      <c r="K523" s="11" t="str">
        <f>_xlfn.TEXTBEFORE(Mvt_Inter_entrepot[[#This Row],[Num Suivis]],"-",,,1)</f>
        <v>CA250078</v>
      </c>
      <c r="L523" s="11" t="e">
        <f>_xlfn.XLOOKUP(Mvt_Inter_entrepot[[#This Row],[Num OF]],#REF!,#REF!,"Non Trouvé")</f>
        <v>#REF!</v>
      </c>
      <c r="M523" s="11" t="e">
        <f>_xlfn.XLOOKUP(Mvt_Inter_entrepot[[#This Row],[Num OF]],#REF!,#REF!,"Non Trouvé")</f>
        <v>#REF!</v>
      </c>
      <c r="N523" s="11" t="e">
        <f>_xlfn.XLOOKUP(Mvt_Inter_entrepot[[#This Row],[Num OF]],#REF!,#REF!,"Non Trouvé")</f>
        <v>#REF!</v>
      </c>
      <c r="O523" s="11" t="e">
        <f>_xlfn.XLOOKUP(Mvt_Inter_entrepot[[#This Row],[Num OF]],#REF!,#REF!,"Non Trouvé")</f>
        <v>#REF!</v>
      </c>
      <c r="P523" s="11" t="e">
        <f>_xlfn.XLOOKUP(Mvt_Inter_entrepot[[#This Row],[Num OF]],#REF!,#REF!,"Non Trouvé")</f>
        <v>#REF!</v>
      </c>
      <c r="Q523" s="11" t="str">
        <f>IF(
   COUNTIFS($A$2:A523,A523,
             $B$2:B523,B523,
             $C$2:C523,C523,
             $D$2:D523,D523,
             $E$2:E523,E523,
             $H$2:H523,H523
             )&gt;1,
   "Doublon",
   "Correcte"
)</f>
        <v>Correcte</v>
      </c>
    </row>
    <row r="524" spans="1:17" x14ac:dyDescent="0.25">
      <c r="A524" s="11" t="s">
        <v>3326</v>
      </c>
      <c r="B524" s="11" t="s">
        <v>1153</v>
      </c>
      <c r="C524" s="11" t="s">
        <v>662</v>
      </c>
      <c r="D524" s="11" t="s">
        <v>665</v>
      </c>
      <c r="E524" s="11">
        <v>9</v>
      </c>
      <c r="F524" s="11"/>
      <c r="G524" s="11" t="s">
        <v>664</v>
      </c>
      <c r="H524" s="14">
        <v>45922</v>
      </c>
      <c r="I524" s="12">
        <f>-Mvt_Inter_entrepot[[#This Row],[QTE]]</f>
        <v>-9</v>
      </c>
      <c r="J524" s="11" t="s">
        <v>377</v>
      </c>
      <c r="K524" s="11" t="str">
        <f>_xlfn.TEXTBEFORE(Mvt_Inter_entrepot[[#This Row],[Num Suivis]],"-",,,1)</f>
        <v>OF242757</v>
      </c>
      <c r="L524" s="11" t="e">
        <f>_xlfn.XLOOKUP(Mvt_Inter_entrepot[[#This Row],[Num OF]],#REF!,#REF!,"Non Trouvé")</f>
        <v>#REF!</v>
      </c>
      <c r="M524" s="11" t="e">
        <f>_xlfn.XLOOKUP(Mvt_Inter_entrepot[[#This Row],[Num OF]],#REF!,#REF!,"Non Trouvé")</f>
        <v>#REF!</v>
      </c>
      <c r="N524" s="11" t="e">
        <f>_xlfn.XLOOKUP(Mvt_Inter_entrepot[[#This Row],[Num OF]],#REF!,#REF!,"Non Trouvé")</f>
        <v>#REF!</v>
      </c>
      <c r="O524" s="11" t="e">
        <f>_xlfn.XLOOKUP(Mvt_Inter_entrepot[[#This Row],[Num OF]],#REF!,#REF!,"Non Trouvé")</f>
        <v>#REF!</v>
      </c>
      <c r="P524" s="11" t="e">
        <f>_xlfn.XLOOKUP(Mvt_Inter_entrepot[[#This Row],[Num OF]],#REF!,#REF!,"Non Trouvé")</f>
        <v>#REF!</v>
      </c>
      <c r="Q524" s="11" t="str">
        <f>IF(
   COUNTIFS($A$2:A524,A524,
             $B$2:B524,B524,
             $C$2:C524,C524,
             $D$2:D524,D524,
             $E$2:E524,E524,
             $H$2:H524,H524
             )&gt;1,
   "Doublon",
   "Correcte"
)</f>
        <v>Correcte</v>
      </c>
    </row>
    <row r="525" spans="1:17" x14ac:dyDescent="0.25">
      <c r="A525" s="11" t="s">
        <v>3327</v>
      </c>
      <c r="B525" s="11" t="s">
        <v>1153</v>
      </c>
      <c r="C525" s="11" t="s">
        <v>662</v>
      </c>
      <c r="D525" s="11" t="s">
        <v>665</v>
      </c>
      <c r="E525" s="11">
        <v>2</v>
      </c>
      <c r="F525" s="11"/>
      <c r="G525" s="11" t="s">
        <v>664</v>
      </c>
      <c r="H525" s="14">
        <v>45922</v>
      </c>
      <c r="I525" s="12">
        <f>-Mvt_Inter_entrepot[[#This Row],[QTE]]</f>
        <v>-2</v>
      </c>
      <c r="J525" s="11" t="s">
        <v>400</v>
      </c>
      <c r="K525" s="11" t="str">
        <f>_xlfn.TEXTBEFORE(Mvt_Inter_entrepot[[#This Row],[Num Suivis]],"-",,,1)</f>
        <v>OF243289</v>
      </c>
      <c r="L525" s="11" t="e">
        <f>_xlfn.XLOOKUP(Mvt_Inter_entrepot[[#This Row],[Num OF]],#REF!,#REF!,"Non Trouvé")</f>
        <v>#REF!</v>
      </c>
      <c r="M525" s="11" t="e">
        <f>_xlfn.XLOOKUP(Mvt_Inter_entrepot[[#This Row],[Num OF]],#REF!,#REF!,"Non Trouvé")</f>
        <v>#REF!</v>
      </c>
      <c r="N525" s="11" t="e">
        <f>_xlfn.XLOOKUP(Mvt_Inter_entrepot[[#This Row],[Num OF]],#REF!,#REF!,"Non Trouvé")</f>
        <v>#REF!</v>
      </c>
      <c r="O525" s="11" t="e">
        <f>_xlfn.XLOOKUP(Mvt_Inter_entrepot[[#This Row],[Num OF]],#REF!,#REF!,"Non Trouvé")</f>
        <v>#REF!</v>
      </c>
      <c r="P525" s="11" t="e">
        <f>_xlfn.XLOOKUP(Mvt_Inter_entrepot[[#This Row],[Num OF]],#REF!,#REF!,"Non Trouvé")</f>
        <v>#REF!</v>
      </c>
      <c r="Q525" s="11" t="str">
        <f>IF(
   COUNTIFS($A$2:A525,A525,
             $B$2:B525,B525,
             $C$2:C525,C525,
             $D$2:D525,D525,
             $E$2:E525,E525,
             $H$2:H525,H525
             )&gt;1,
   "Doublon",
   "Correcte"
)</f>
        <v>Correcte</v>
      </c>
    </row>
    <row r="526" spans="1:17" x14ac:dyDescent="0.25">
      <c r="A526" s="11" t="s">
        <v>3328</v>
      </c>
      <c r="B526" s="11" t="s">
        <v>1153</v>
      </c>
      <c r="C526" s="11" t="s">
        <v>662</v>
      </c>
      <c r="D526" s="11" t="s">
        <v>665</v>
      </c>
      <c r="E526" s="11">
        <v>2</v>
      </c>
      <c r="F526" s="11"/>
      <c r="G526" s="11" t="s">
        <v>664</v>
      </c>
      <c r="H526" s="14">
        <v>45922</v>
      </c>
      <c r="I526" s="12">
        <f>-Mvt_Inter_entrepot[[#This Row],[QTE]]</f>
        <v>-2</v>
      </c>
      <c r="J526" s="11" t="s">
        <v>401</v>
      </c>
      <c r="K526" s="11" t="str">
        <f>_xlfn.TEXTBEFORE(Mvt_Inter_entrepot[[#This Row],[Num Suivis]],"-",,,1)</f>
        <v>OF243290</v>
      </c>
      <c r="L526" s="11" t="e">
        <f>_xlfn.XLOOKUP(Mvt_Inter_entrepot[[#This Row],[Num OF]],#REF!,#REF!,"Non Trouvé")</f>
        <v>#REF!</v>
      </c>
      <c r="M526" s="11" t="e">
        <f>_xlfn.XLOOKUP(Mvt_Inter_entrepot[[#This Row],[Num OF]],#REF!,#REF!,"Non Trouvé")</f>
        <v>#REF!</v>
      </c>
      <c r="N526" s="11" t="e">
        <f>_xlfn.XLOOKUP(Mvt_Inter_entrepot[[#This Row],[Num OF]],#REF!,#REF!,"Non Trouvé")</f>
        <v>#REF!</v>
      </c>
      <c r="O526" s="11" t="e">
        <f>_xlfn.XLOOKUP(Mvt_Inter_entrepot[[#This Row],[Num OF]],#REF!,#REF!,"Non Trouvé")</f>
        <v>#REF!</v>
      </c>
      <c r="P526" s="11" t="e">
        <f>_xlfn.XLOOKUP(Mvt_Inter_entrepot[[#This Row],[Num OF]],#REF!,#REF!,"Non Trouvé")</f>
        <v>#REF!</v>
      </c>
      <c r="Q526" s="11" t="str">
        <f>IF(
   COUNTIFS($A$2:A526,A526,
             $B$2:B526,B526,
             $C$2:C526,C526,
             $D$2:D526,D526,
             $E$2:E526,E526,
             $H$2:H526,H526
             )&gt;1,
   "Doublon",
   "Correcte"
)</f>
        <v>Correcte</v>
      </c>
    </row>
    <row r="527" spans="1:17" x14ac:dyDescent="0.25">
      <c r="A527" s="11" t="s">
        <v>3329</v>
      </c>
      <c r="B527" s="11" t="s">
        <v>1153</v>
      </c>
      <c r="C527" s="11" t="s">
        <v>662</v>
      </c>
      <c r="D527" s="11" t="s">
        <v>665</v>
      </c>
      <c r="E527" s="11">
        <v>2</v>
      </c>
      <c r="F527" s="11"/>
      <c r="G527" s="11" t="s">
        <v>664</v>
      </c>
      <c r="H527" s="14">
        <v>45922</v>
      </c>
      <c r="I527" s="12">
        <f>-Mvt_Inter_entrepot[[#This Row],[QTE]]</f>
        <v>-2</v>
      </c>
      <c r="J527" s="11" t="s">
        <v>402</v>
      </c>
      <c r="K527" s="11" t="str">
        <f>_xlfn.TEXTBEFORE(Mvt_Inter_entrepot[[#This Row],[Num Suivis]],"-",,,1)</f>
        <v>OF243291</v>
      </c>
      <c r="L527" s="11" t="e">
        <f>_xlfn.XLOOKUP(Mvt_Inter_entrepot[[#This Row],[Num OF]],#REF!,#REF!,"Non Trouvé")</f>
        <v>#REF!</v>
      </c>
      <c r="M527" s="11" t="e">
        <f>_xlfn.XLOOKUP(Mvt_Inter_entrepot[[#This Row],[Num OF]],#REF!,#REF!,"Non Trouvé")</f>
        <v>#REF!</v>
      </c>
      <c r="N527" s="11" t="e">
        <f>_xlfn.XLOOKUP(Mvt_Inter_entrepot[[#This Row],[Num OF]],#REF!,#REF!,"Non Trouvé")</f>
        <v>#REF!</v>
      </c>
      <c r="O527" s="11" t="e">
        <f>_xlfn.XLOOKUP(Mvt_Inter_entrepot[[#This Row],[Num OF]],#REF!,#REF!,"Non Trouvé")</f>
        <v>#REF!</v>
      </c>
      <c r="P527" s="11" t="e">
        <f>_xlfn.XLOOKUP(Mvt_Inter_entrepot[[#This Row],[Num OF]],#REF!,#REF!,"Non Trouvé")</f>
        <v>#REF!</v>
      </c>
      <c r="Q527" s="11" t="str">
        <f>IF(
   COUNTIFS($A$2:A527,A527,
             $B$2:B527,B527,
             $C$2:C527,C527,
             $D$2:D527,D527,
             $E$2:E527,E527,
             $H$2:H527,H527
             )&gt;1,
   "Doublon",
   "Correcte"
)</f>
        <v>Correcte</v>
      </c>
    </row>
    <row r="528" spans="1:17" x14ac:dyDescent="0.25">
      <c r="A528" s="11" t="s">
        <v>3330</v>
      </c>
      <c r="B528" s="11" t="s">
        <v>1153</v>
      </c>
      <c r="C528" s="11" t="s">
        <v>662</v>
      </c>
      <c r="D528" s="11" t="s">
        <v>665</v>
      </c>
      <c r="E528" s="11">
        <v>3</v>
      </c>
      <c r="F528" s="11"/>
      <c r="G528" s="11" t="s">
        <v>664</v>
      </c>
      <c r="H528" s="14">
        <v>45922</v>
      </c>
      <c r="I528" s="12">
        <f>-Mvt_Inter_entrepot[[#This Row],[QTE]]</f>
        <v>-3</v>
      </c>
      <c r="J528" s="11" t="s">
        <v>376</v>
      </c>
      <c r="K528" s="11" t="str">
        <f>_xlfn.TEXTBEFORE(Mvt_Inter_entrepot[[#This Row],[Num Suivis]],"-",,,1)</f>
        <v>OF242755</v>
      </c>
      <c r="L528" s="11" t="e">
        <f>_xlfn.XLOOKUP(Mvt_Inter_entrepot[[#This Row],[Num OF]],#REF!,#REF!,"Non Trouvé")</f>
        <v>#REF!</v>
      </c>
      <c r="M528" s="11" t="e">
        <f>_xlfn.XLOOKUP(Mvt_Inter_entrepot[[#This Row],[Num OF]],#REF!,#REF!,"Non Trouvé")</f>
        <v>#REF!</v>
      </c>
      <c r="N528" s="11" t="e">
        <f>_xlfn.XLOOKUP(Mvt_Inter_entrepot[[#This Row],[Num OF]],#REF!,#REF!,"Non Trouvé")</f>
        <v>#REF!</v>
      </c>
      <c r="O528" s="11" t="e">
        <f>_xlfn.XLOOKUP(Mvt_Inter_entrepot[[#This Row],[Num OF]],#REF!,#REF!,"Non Trouvé")</f>
        <v>#REF!</v>
      </c>
      <c r="P528" s="11" t="e">
        <f>_xlfn.XLOOKUP(Mvt_Inter_entrepot[[#This Row],[Num OF]],#REF!,#REF!,"Non Trouvé")</f>
        <v>#REF!</v>
      </c>
      <c r="Q528" s="11" t="str">
        <f>IF(
   COUNTIFS($A$2:A528,A528,
             $B$2:B528,B528,
             $C$2:C528,C528,
             $D$2:D528,D528,
             $E$2:E528,E528,
             $H$2:H528,H528
             )&gt;1,
   "Doublon",
   "Correcte"
)</f>
        <v>Correcte</v>
      </c>
    </row>
    <row r="529" spans="1:17" x14ac:dyDescent="0.25">
      <c r="A529" s="11" t="s">
        <v>3331</v>
      </c>
      <c r="B529" s="11" t="s">
        <v>1153</v>
      </c>
      <c r="C529" s="11" t="s">
        <v>662</v>
      </c>
      <c r="D529" s="11" t="s">
        <v>665</v>
      </c>
      <c r="E529" s="11">
        <v>2</v>
      </c>
      <c r="F529" s="11"/>
      <c r="G529" s="11" t="s">
        <v>664</v>
      </c>
      <c r="H529" s="14">
        <v>45922</v>
      </c>
      <c r="I529" s="12">
        <f>-Mvt_Inter_entrepot[[#This Row],[QTE]]</f>
        <v>-2</v>
      </c>
      <c r="J529" s="11" t="s">
        <v>403</v>
      </c>
      <c r="K529" s="11" t="str">
        <f>_xlfn.TEXTBEFORE(Mvt_Inter_entrepot[[#This Row],[Num Suivis]],"-",,,1)</f>
        <v>OF243292</v>
      </c>
      <c r="L529" s="11" t="e">
        <f>_xlfn.XLOOKUP(Mvt_Inter_entrepot[[#This Row],[Num OF]],#REF!,#REF!,"Non Trouvé")</f>
        <v>#REF!</v>
      </c>
      <c r="M529" s="11" t="e">
        <f>_xlfn.XLOOKUP(Mvt_Inter_entrepot[[#This Row],[Num OF]],#REF!,#REF!,"Non Trouvé")</f>
        <v>#REF!</v>
      </c>
      <c r="N529" s="11" t="e">
        <f>_xlfn.XLOOKUP(Mvt_Inter_entrepot[[#This Row],[Num OF]],#REF!,#REF!,"Non Trouvé")</f>
        <v>#REF!</v>
      </c>
      <c r="O529" s="11" t="e">
        <f>_xlfn.XLOOKUP(Mvt_Inter_entrepot[[#This Row],[Num OF]],#REF!,#REF!,"Non Trouvé")</f>
        <v>#REF!</v>
      </c>
      <c r="P529" s="11" t="e">
        <f>_xlfn.XLOOKUP(Mvt_Inter_entrepot[[#This Row],[Num OF]],#REF!,#REF!,"Non Trouvé")</f>
        <v>#REF!</v>
      </c>
      <c r="Q529" s="11" t="str">
        <f>IF(
   COUNTIFS($A$2:A529,A529,
             $B$2:B529,B529,
             $C$2:C529,C529,
             $D$2:D529,D529,
             $E$2:E529,E529,
             $H$2:H529,H529
             )&gt;1,
   "Doublon",
   "Correcte"
)</f>
        <v>Correcte</v>
      </c>
    </row>
    <row r="530" spans="1:17" x14ac:dyDescent="0.25">
      <c r="A530" s="11" t="s">
        <v>3332</v>
      </c>
      <c r="B530" s="11" t="s">
        <v>1168</v>
      </c>
      <c r="C530" s="11" t="s">
        <v>662</v>
      </c>
      <c r="D530" s="11" t="s">
        <v>665</v>
      </c>
      <c r="E530" s="11">
        <v>63</v>
      </c>
      <c r="F530" s="11"/>
      <c r="G530" s="11" t="s">
        <v>664</v>
      </c>
      <c r="H530" s="14">
        <v>45922</v>
      </c>
      <c r="I530" s="12">
        <f>-Mvt_Inter_entrepot[[#This Row],[QTE]]</f>
        <v>-63</v>
      </c>
      <c r="J530" s="11" t="s">
        <v>529</v>
      </c>
      <c r="K530" s="11" t="str">
        <f>_xlfn.TEXTBEFORE(Mvt_Inter_entrepot[[#This Row],[Num Suivis]],"-",,,1)</f>
        <v>OF246518</v>
      </c>
      <c r="L530" s="11" t="e">
        <f>_xlfn.XLOOKUP(Mvt_Inter_entrepot[[#This Row],[Num OF]],#REF!,#REF!,"Non Trouvé")</f>
        <v>#REF!</v>
      </c>
      <c r="M530" s="11" t="e">
        <f>_xlfn.XLOOKUP(Mvt_Inter_entrepot[[#This Row],[Num OF]],#REF!,#REF!,"Non Trouvé")</f>
        <v>#REF!</v>
      </c>
      <c r="N530" s="11" t="e">
        <f>_xlfn.XLOOKUP(Mvt_Inter_entrepot[[#This Row],[Num OF]],#REF!,#REF!,"Non Trouvé")</f>
        <v>#REF!</v>
      </c>
      <c r="O530" s="11" t="e">
        <f>_xlfn.XLOOKUP(Mvt_Inter_entrepot[[#This Row],[Num OF]],#REF!,#REF!,"Non Trouvé")</f>
        <v>#REF!</v>
      </c>
      <c r="P530" s="11" t="e">
        <f>_xlfn.XLOOKUP(Mvt_Inter_entrepot[[#This Row],[Num OF]],#REF!,#REF!,"Non Trouvé")</f>
        <v>#REF!</v>
      </c>
      <c r="Q530" s="11" t="str">
        <f>IF(
   COUNTIFS($A$2:A530,A530,
             $B$2:B530,B530,
             $C$2:C530,C530,
             $D$2:D530,D530,
             $E$2:E530,E530,
             $H$2:H530,H530
             )&gt;1,
   "Doublon",
   "Correcte"
)</f>
        <v>Correcte</v>
      </c>
    </row>
    <row r="531" spans="1:17" x14ac:dyDescent="0.25">
      <c r="A531" s="11" t="s">
        <v>3333</v>
      </c>
      <c r="B531" s="11" t="s">
        <v>1168</v>
      </c>
      <c r="C531" s="11" t="s">
        <v>662</v>
      </c>
      <c r="D531" s="11" t="s">
        <v>665</v>
      </c>
      <c r="E531" s="11">
        <v>69</v>
      </c>
      <c r="F531" s="11"/>
      <c r="G531" s="11" t="s">
        <v>664</v>
      </c>
      <c r="H531" s="14">
        <v>45922</v>
      </c>
      <c r="I531" s="12">
        <f>-Mvt_Inter_entrepot[[#This Row],[QTE]]</f>
        <v>-69</v>
      </c>
      <c r="J531" s="11" t="s">
        <v>533</v>
      </c>
      <c r="K531" s="11" t="str">
        <f>_xlfn.TEXTBEFORE(Mvt_Inter_entrepot[[#This Row],[Num Suivis]],"-",,,1)</f>
        <v>OF246522</v>
      </c>
      <c r="L531" s="11" t="e">
        <f>_xlfn.XLOOKUP(Mvt_Inter_entrepot[[#This Row],[Num OF]],#REF!,#REF!,"Non Trouvé")</f>
        <v>#REF!</v>
      </c>
      <c r="M531" s="11" t="e">
        <f>_xlfn.XLOOKUP(Mvt_Inter_entrepot[[#This Row],[Num OF]],#REF!,#REF!,"Non Trouvé")</f>
        <v>#REF!</v>
      </c>
      <c r="N531" s="11" t="e">
        <f>_xlfn.XLOOKUP(Mvt_Inter_entrepot[[#This Row],[Num OF]],#REF!,#REF!,"Non Trouvé")</f>
        <v>#REF!</v>
      </c>
      <c r="O531" s="11" t="e">
        <f>_xlfn.XLOOKUP(Mvt_Inter_entrepot[[#This Row],[Num OF]],#REF!,#REF!,"Non Trouvé")</f>
        <v>#REF!</v>
      </c>
      <c r="P531" s="11" t="e">
        <f>_xlfn.XLOOKUP(Mvt_Inter_entrepot[[#This Row],[Num OF]],#REF!,#REF!,"Non Trouvé")</f>
        <v>#REF!</v>
      </c>
      <c r="Q531" s="11" t="str">
        <f>IF(
   COUNTIFS($A$2:A531,A531,
             $B$2:B531,B531,
             $C$2:C531,C531,
             $D$2:D531,D531,
             $E$2:E531,E531,
             $H$2:H531,H531
             )&gt;1,
   "Doublon",
   "Correcte"
)</f>
        <v>Correcte</v>
      </c>
    </row>
    <row r="532" spans="1:17" x14ac:dyDescent="0.25">
      <c r="A532" s="11" t="s">
        <v>3334</v>
      </c>
      <c r="B532" s="11" t="s">
        <v>1168</v>
      </c>
      <c r="C532" s="11" t="s">
        <v>662</v>
      </c>
      <c r="D532" s="11" t="s">
        <v>665</v>
      </c>
      <c r="E532" s="11">
        <v>66</v>
      </c>
      <c r="F532" s="11"/>
      <c r="G532" s="11" t="s">
        <v>664</v>
      </c>
      <c r="H532" s="14">
        <v>45922</v>
      </c>
      <c r="I532" s="12">
        <f>-Mvt_Inter_entrepot[[#This Row],[QTE]]</f>
        <v>-66</v>
      </c>
      <c r="J532" s="11" t="s">
        <v>541</v>
      </c>
      <c r="K532" s="11" t="str">
        <f>_xlfn.TEXTBEFORE(Mvt_Inter_entrepot[[#This Row],[Num Suivis]],"-",,,1)</f>
        <v>OF246530</v>
      </c>
      <c r="L532" s="11" t="e">
        <f>_xlfn.XLOOKUP(Mvt_Inter_entrepot[[#This Row],[Num OF]],#REF!,#REF!,"Non Trouvé")</f>
        <v>#REF!</v>
      </c>
      <c r="M532" s="11" t="e">
        <f>_xlfn.XLOOKUP(Mvt_Inter_entrepot[[#This Row],[Num OF]],#REF!,#REF!,"Non Trouvé")</f>
        <v>#REF!</v>
      </c>
      <c r="N532" s="11" t="e">
        <f>_xlfn.XLOOKUP(Mvt_Inter_entrepot[[#This Row],[Num OF]],#REF!,#REF!,"Non Trouvé")</f>
        <v>#REF!</v>
      </c>
      <c r="O532" s="11" t="e">
        <f>_xlfn.XLOOKUP(Mvt_Inter_entrepot[[#This Row],[Num OF]],#REF!,#REF!,"Non Trouvé")</f>
        <v>#REF!</v>
      </c>
      <c r="P532" s="11" t="e">
        <f>_xlfn.XLOOKUP(Mvt_Inter_entrepot[[#This Row],[Num OF]],#REF!,#REF!,"Non Trouvé")</f>
        <v>#REF!</v>
      </c>
      <c r="Q532" s="11" t="str">
        <f>IF(
   COUNTIFS($A$2:A532,A532,
             $B$2:B532,B532,
             $C$2:C532,C532,
             $D$2:D532,D532,
             $E$2:E532,E532,
             $H$2:H532,H532
             )&gt;1,
   "Doublon",
   "Correcte"
)</f>
        <v>Correcte</v>
      </c>
    </row>
    <row r="533" spans="1:17" x14ac:dyDescent="0.25">
      <c r="A533" s="11" t="s">
        <v>3335</v>
      </c>
      <c r="B533" s="11" t="s">
        <v>1168</v>
      </c>
      <c r="C533" s="11" t="s">
        <v>662</v>
      </c>
      <c r="D533" s="11" t="s">
        <v>665</v>
      </c>
      <c r="E533" s="11">
        <v>20</v>
      </c>
      <c r="F533" s="11"/>
      <c r="G533" s="11" t="s">
        <v>664</v>
      </c>
      <c r="H533" s="14">
        <v>45922</v>
      </c>
      <c r="I533" s="12">
        <f>-Mvt_Inter_entrepot[[#This Row],[QTE]]</f>
        <v>-20</v>
      </c>
      <c r="J533" s="11" t="s">
        <v>527</v>
      </c>
      <c r="K533" s="11" t="str">
        <f>_xlfn.TEXTBEFORE(Mvt_Inter_entrepot[[#This Row],[Num Suivis]],"-",,,1)</f>
        <v>OF246516</v>
      </c>
      <c r="L533" s="11" t="e">
        <f>_xlfn.XLOOKUP(Mvt_Inter_entrepot[[#This Row],[Num OF]],#REF!,#REF!,"Non Trouvé")</f>
        <v>#REF!</v>
      </c>
      <c r="M533" s="11" t="e">
        <f>_xlfn.XLOOKUP(Mvt_Inter_entrepot[[#This Row],[Num OF]],#REF!,#REF!,"Non Trouvé")</f>
        <v>#REF!</v>
      </c>
      <c r="N533" s="11" t="e">
        <f>_xlfn.XLOOKUP(Mvt_Inter_entrepot[[#This Row],[Num OF]],#REF!,#REF!,"Non Trouvé")</f>
        <v>#REF!</v>
      </c>
      <c r="O533" s="11" t="e">
        <f>_xlfn.XLOOKUP(Mvt_Inter_entrepot[[#This Row],[Num OF]],#REF!,#REF!,"Non Trouvé")</f>
        <v>#REF!</v>
      </c>
      <c r="P533" s="11" t="e">
        <f>_xlfn.XLOOKUP(Mvt_Inter_entrepot[[#This Row],[Num OF]],#REF!,#REF!,"Non Trouvé")</f>
        <v>#REF!</v>
      </c>
      <c r="Q533" s="11" t="str">
        <f>IF(
   COUNTIFS($A$2:A533,A533,
             $B$2:B533,B533,
             $C$2:C533,C533,
             $D$2:D533,D533,
             $E$2:E533,E533,
             $H$2:H533,H533
             )&gt;1,
   "Doublon",
   "Correcte"
)</f>
        <v>Correcte</v>
      </c>
    </row>
    <row r="534" spans="1:17" x14ac:dyDescent="0.25">
      <c r="A534" s="11" t="s">
        <v>3336</v>
      </c>
      <c r="B534" s="11" t="s">
        <v>1168</v>
      </c>
      <c r="C534" s="11" t="s">
        <v>662</v>
      </c>
      <c r="D534" s="11" t="s">
        <v>665</v>
      </c>
      <c r="E534" s="11">
        <v>64</v>
      </c>
      <c r="F534" s="11"/>
      <c r="G534" s="11" t="s">
        <v>664</v>
      </c>
      <c r="H534" s="14">
        <v>45922</v>
      </c>
      <c r="I534" s="12">
        <f>-Mvt_Inter_entrepot[[#This Row],[QTE]]</f>
        <v>-64</v>
      </c>
      <c r="J534" s="11" t="s">
        <v>539</v>
      </c>
      <c r="K534" s="11" t="str">
        <f>_xlfn.TEXTBEFORE(Mvt_Inter_entrepot[[#This Row],[Num Suivis]],"-",,,1)</f>
        <v>OF246528</v>
      </c>
      <c r="L534" s="11" t="e">
        <f>_xlfn.XLOOKUP(Mvt_Inter_entrepot[[#This Row],[Num OF]],#REF!,#REF!,"Non Trouvé")</f>
        <v>#REF!</v>
      </c>
      <c r="M534" s="11" t="e">
        <f>_xlfn.XLOOKUP(Mvt_Inter_entrepot[[#This Row],[Num OF]],#REF!,#REF!,"Non Trouvé")</f>
        <v>#REF!</v>
      </c>
      <c r="N534" s="11" t="e">
        <f>_xlfn.XLOOKUP(Mvt_Inter_entrepot[[#This Row],[Num OF]],#REF!,#REF!,"Non Trouvé")</f>
        <v>#REF!</v>
      </c>
      <c r="O534" s="11" t="e">
        <f>_xlfn.XLOOKUP(Mvt_Inter_entrepot[[#This Row],[Num OF]],#REF!,#REF!,"Non Trouvé")</f>
        <v>#REF!</v>
      </c>
      <c r="P534" s="11" t="e">
        <f>_xlfn.XLOOKUP(Mvt_Inter_entrepot[[#This Row],[Num OF]],#REF!,#REF!,"Non Trouvé")</f>
        <v>#REF!</v>
      </c>
      <c r="Q534" s="11" t="str">
        <f>IF(
   COUNTIFS($A$2:A534,A534,
             $B$2:B534,B534,
             $C$2:C534,C534,
             $D$2:D534,D534,
             $E$2:E534,E534,
             $H$2:H534,H534
             )&gt;1,
   "Doublon",
   "Correcte"
)</f>
        <v>Correcte</v>
      </c>
    </row>
    <row r="535" spans="1:17" x14ac:dyDescent="0.25">
      <c r="A535" s="11" t="s">
        <v>3337</v>
      </c>
      <c r="B535" s="11" t="s">
        <v>1168</v>
      </c>
      <c r="C535" s="11" t="s">
        <v>662</v>
      </c>
      <c r="D535" s="11" t="s">
        <v>665</v>
      </c>
      <c r="E535" s="11">
        <v>62</v>
      </c>
      <c r="F535" s="11"/>
      <c r="G535" s="11" t="s">
        <v>664</v>
      </c>
      <c r="H535" s="14">
        <v>45922</v>
      </c>
      <c r="I535" s="12">
        <f>-Mvt_Inter_entrepot[[#This Row],[QTE]]</f>
        <v>-62</v>
      </c>
      <c r="J535" s="11" t="s">
        <v>535</v>
      </c>
      <c r="K535" s="11" t="str">
        <f>_xlfn.TEXTBEFORE(Mvt_Inter_entrepot[[#This Row],[Num Suivis]],"-",,,1)</f>
        <v>OF246524</v>
      </c>
      <c r="L535" s="11" t="e">
        <f>_xlfn.XLOOKUP(Mvt_Inter_entrepot[[#This Row],[Num OF]],#REF!,#REF!,"Non Trouvé")</f>
        <v>#REF!</v>
      </c>
      <c r="M535" s="11" t="e">
        <f>_xlfn.XLOOKUP(Mvt_Inter_entrepot[[#This Row],[Num OF]],#REF!,#REF!,"Non Trouvé")</f>
        <v>#REF!</v>
      </c>
      <c r="N535" s="11" t="e">
        <f>_xlfn.XLOOKUP(Mvt_Inter_entrepot[[#This Row],[Num OF]],#REF!,#REF!,"Non Trouvé")</f>
        <v>#REF!</v>
      </c>
      <c r="O535" s="11" t="e">
        <f>_xlfn.XLOOKUP(Mvt_Inter_entrepot[[#This Row],[Num OF]],#REF!,#REF!,"Non Trouvé")</f>
        <v>#REF!</v>
      </c>
      <c r="P535" s="11" t="e">
        <f>_xlfn.XLOOKUP(Mvt_Inter_entrepot[[#This Row],[Num OF]],#REF!,#REF!,"Non Trouvé")</f>
        <v>#REF!</v>
      </c>
      <c r="Q535" s="11" t="str">
        <f>IF(
   COUNTIFS($A$2:A535,A535,
             $B$2:B535,B535,
             $C$2:C535,C535,
             $D$2:D535,D535,
             $E$2:E535,E535,
             $H$2:H535,H535
             )&gt;1,
   "Doublon",
   "Correcte"
)</f>
        <v>Correcte</v>
      </c>
    </row>
    <row r="536" spans="1:17" x14ac:dyDescent="0.25">
      <c r="A536" s="11" t="s">
        <v>3338</v>
      </c>
      <c r="B536" s="11" t="s">
        <v>1168</v>
      </c>
      <c r="C536" s="11" t="s">
        <v>662</v>
      </c>
      <c r="D536" s="11" t="s">
        <v>665</v>
      </c>
      <c r="E536" s="11">
        <v>64</v>
      </c>
      <c r="F536" s="11"/>
      <c r="G536" s="11" t="s">
        <v>664</v>
      </c>
      <c r="H536" s="14">
        <v>45922</v>
      </c>
      <c r="I536" s="12">
        <f>-Mvt_Inter_entrepot[[#This Row],[QTE]]</f>
        <v>-64</v>
      </c>
      <c r="J536" s="11" t="s">
        <v>525</v>
      </c>
      <c r="K536" s="11" t="str">
        <f>_xlfn.TEXTBEFORE(Mvt_Inter_entrepot[[#This Row],[Num Suivis]],"-",,,1)</f>
        <v>OF246514</v>
      </c>
      <c r="L536" s="11" t="e">
        <f>_xlfn.XLOOKUP(Mvt_Inter_entrepot[[#This Row],[Num OF]],#REF!,#REF!,"Non Trouvé")</f>
        <v>#REF!</v>
      </c>
      <c r="M536" s="11" t="e">
        <f>_xlfn.XLOOKUP(Mvt_Inter_entrepot[[#This Row],[Num OF]],#REF!,#REF!,"Non Trouvé")</f>
        <v>#REF!</v>
      </c>
      <c r="N536" s="11" t="e">
        <f>_xlfn.XLOOKUP(Mvt_Inter_entrepot[[#This Row],[Num OF]],#REF!,#REF!,"Non Trouvé")</f>
        <v>#REF!</v>
      </c>
      <c r="O536" s="11" t="e">
        <f>_xlfn.XLOOKUP(Mvt_Inter_entrepot[[#This Row],[Num OF]],#REF!,#REF!,"Non Trouvé")</f>
        <v>#REF!</v>
      </c>
      <c r="P536" s="11" t="e">
        <f>_xlfn.XLOOKUP(Mvt_Inter_entrepot[[#This Row],[Num OF]],#REF!,#REF!,"Non Trouvé")</f>
        <v>#REF!</v>
      </c>
      <c r="Q536" s="11" t="str">
        <f>IF(
   COUNTIFS($A$2:A536,A536,
             $B$2:B536,B536,
             $C$2:C536,C536,
             $D$2:D536,D536,
             $E$2:E536,E536,
             $H$2:H536,H536
             )&gt;1,
   "Doublon",
   "Correcte"
)</f>
        <v>Correcte</v>
      </c>
    </row>
    <row r="537" spans="1:17" x14ac:dyDescent="0.25">
      <c r="A537" s="11" t="s">
        <v>3339</v>
      </c>
      <c r="B537" s="11" t="s">
        <v>1168</v>
      </c>
      <c r="C537" s="11" t="s">
        <v>662</v>
      </c>
      <c r="D537" s="11" t="s">
        <v>665</v>
      </c>
      <c r="E537" s="11">
        <v>62</v>
      </c>
      <c r="F537" s="11"/>
      <c r="G537" s="11" t="s">
        <v>664</v>
      </c>
      <c r="H537" s="14">
        <v>45922</v>
      </c>
      <c r="I537" s="12">
        <f>-Mvt_Inter_entrepot[[#This Row],[QTE]]</f>
        <v>-62</v>
      </c>
      <c r="J537" s="11" t="s">
        <v>531</v>
      </c>
      <c r="K537" s="11" t="str">
        <f>_xlfn.TEXTBEFORE(Mvt_Inter_entrepot[[#This Row],[Num Suivis]],"-",,,1)</f>
        <v>OF246520</v>
      </c>
      <c r="L537" s="11" t="e">
        <f>_xlfn.XLOOKUP(Mvt_Inter_entrepot[[#This Row],[Num OF]],#REF!,#REF!,"Non Trouvé")</f>
        <v>#REF!</v>
      </c>
      <c r="M537" s="11" t="e">
        <f>_xlfn.XLOOKUP(Mvt_Inter_entrepot[[#This Row],[Num OF]],#REF!,#REF!,"Non Trouvé")</f>
        <v>#REF!</v>
      </c>
      <c r="N537" s="11" t="e">
        <f>_xlfn.XLOOKUP(Mvt_Inter_entrepot[[#This Row],[Num OF]],#REF!,#REF!,"Non Trouvé")</f>
        <v>#REF!</v>
      </c>
      <c r="O537" s="11" t="e">
        <f>_xlfn.XLOOKUP(Mvt_Inter_entrepot[[#This Row],[Num OF]],#REF!,#REF!,"Non Trouvé")</f>
        <v>#REF!</v>
      </c>
      <c r="P537" s="11" t="e">
        <f>_xlfn.XLOOKUP(Mvt_Inter_entrepot[[#This Row],[Num OF]],#REF!,#REF!,"Non Trouvé")</f>
        <v>#REF!</v>
      </c>
      <c r="Q537" s="11" t="str">
        <f>IF(
   COUNTIFS($A$2:A537,A537,
             $B$2:B537,B537,
             $C$2:C537,C537,
             $D$2:D537,D537,
             $E$2:E537,E537,
             $H$2:H537,H537
             )&gt;1,
   "Doublon",
   "Correcte"
)</f>
        <v>Correcte</v>
      </c>
    </row>
    <row r="538" spans="1:17" x14ac:dyDescent="0.25">
      <c r="A538" s="11" t="s">
        <v>3340</v>
      </c>
      <c r="B538" s="11" t="s">
        <v>1168</v>
      </c>
      <c r="C538" s="11" t="s">
        <v>662</v>
      </c>
      <c r="D538" s="11" t="s">
        <v>665</v>
      </c>
      <c r="E538" s="11">
        <v>73</v>
      </c>
      <c r="F538" s="11"/>
      <c r="G538" s="11" t="s">
        <v>664</v>
      </c>
      <c r="H538" s="14">
        <v>45922</v>
      </c>
      <c r="I538" s="12">
        <f>-Mvt_Inter_entrepot[[#This Row],[QTE]]</f>
        <v>-73</v>
      </c>
      <c r="J538" s="11" t="s">
        <v>543</v>
      </c>
      <c r="K538" s="11" t="str">
        <f>_xlfn.TEXTBEFORE(Mvt_Inter_entrepot[[#This Row],[Num Suivis]],"-",,,1)</f>
        <v>OF246532</v>
      </c>
      <c r="L538" s="11" t="e">
        <f>_xlfn.XLOOKUP(Mvt_Inter_entrepot[[#This Row],[Num OF]],#REF!,#REF!,"Non Trouvé")</f>
        <v>#REF!</v>
      </c>
      <c r="M538" s="11" t="e">
        <f>_xlfn.XLOOKUP(Mvt_Inter_entrepot[[#This Row],[Num OF]],#REF!,#REF!,"Non Trouvé")</f>
        <v>#REF!</v>
      </c>
      <c r="N538" s="11" t="e">
        <f>_xlfn.XLOOKUP(Mvt_Inter_entrepot[[#This Row],[Num OF]],#REF!,#REF!,"Non Trouvé")</f>
        <v>#REF!</v>
      </c>
      <c r="O538" s="11" t="e">
        <f>_xlfn.XLOOKUP(Mvt_Inter_entrepot[[#This Row],[Num OF]],#REF!,#REF!,"Non Trouvé")</f>
        <v>#REF!</v>
      </c>
      <c r="P538" s="11" t="e">
        <f>_xlfn.XLOOKUP(Mvt_Inter_entrepot[[#This Row],[Num OF]],#REF!,#REF!,"Non Trouvé")</f>
        <v>#REF!</v>
      </c>
      <c r="Q538" s="11" t="str">
        <f>IF(
   COUNTIFS($A$2:A538,A538,
             $B$2:B538,B538,
             $C$2:C538,C538,
             $D$2:D538,D538,
             $E$2:E538,E538,
             $H$2:H538,H538
             )&gt;1,
   "Doublon",
   "Correcte"
)</f>
        <v>Correcte</v>
      </c>
    </row>
    <row r="539" spans="1:17" x14ac:dyDescent="0.25">
      <c r="A539" s="11" t="s">
        <v>3341</v>
      </c>
      <c r="B539" s="11" t="s">
        <v>1168</v>
      </c>
      <c r="C539" s="11" t="s">
        <v>662</v>
      </c>
      <c r="D539" s="11" t="s">
        <v>665</v>
      </c>
      <c r="E539" s="11">
        <v>67</v>
      </c>
      <c r="F539" s="11"/>
      <c r="G539" s="11" t="s">
        <v>664</v>
      </c>
      <c r="H539" s="14">
        <v>45922</v>
      </c>
      <c r="I539" s="12">
        <f>-Mvt_Inter_entrepot[[#This Row],[QTE]]</f>
        <v>-67</v>
      </c>
      <c r="J539" s="11" t="s">
        <v>537</v>
      </c>
      <c r="K539" s="11" t="str">
        <f>_xlfn.TEXTBEFORE(Mvt_Inter_entrepot[[#This Row],[Num Suivis]],"-",,,1)</f>
        <v>OF246526</v>
      </c>
      <c r="L539" s="11" t="e">
        <f>_xlfn.XLOOKUP(Mvt_Inter_entrepot[[#This Row],[Num OF]],#REF!,#REF!,"Non Trouvé")</f>
        <v>#REF!</v>
      </c>
      <c r="M539" s="11" t="e">
        <f>_xlfn.XLOOKUP(Mvt_Inter_entrepot[[#This Row],[Num OF]],#REF!,#REF!,"Non Trouvé")</f>
        <v>#REF!</v>
      </c>
      <c r="N539" s="11" t="e">
        <f>_xlfn.XLOOKUP(Mvt_Inter_entrepot[[#This Row],[Num OF]],#REF!,#REF!,"Non Trouvé")</f>
        <v>#REF!</v>
      </c>
      <c r="O539" s="11" t="e">
        <f>_xlfn.XLOOKUP(Mvt_Inter_entrepot[[#This Row],[Num OF]],#REF!,#REF!,"Non Trouvé")</f>
        <v>#REF!</v>
      </c>
      <c r="P539" s="11" t="e">
        <f>_xlfn.XLOOKUP(Mvt_Inter_entrepot[[#This Row],[Num OF]],#REF!,#REF!,"Non Trouvé")</f>
        <v>#REF!</v>
      </c>
      <c r="Q539" s="11" t="str">
        <f>IF(
   COUNTIFS($A$2:A539,A539,
             $B$2:B539,B539,
             $C$2:C539,C539,
             $D$2:D539,D539,
             $E$2:E539,E539,
             $H$2:H539,H539
             )&gt;1,
   "Doublon",
   "Correcte"
)</f>
        <v>Correcte</v>
      </c>
    </row>
    <row r="540" spans="1:17" x14ac:dyDescent="0.25">
      <c r="A540" s="11" t="s">
        <v>3342</v>
      </c>
      <c r="B540" s="11" t="s">
        <v>1168</v>
      </c>
      <c r="C540" s="11" t="s">
        <v>662</v>
      </c>
      <c r="D540" s="11" t="s">
        <v>665</v>
      </c>
      <c r="E540" s="11">
        <v>8</v>
      </c>
      <c r="F540" s="11"/>
      <c r="G540" s="11" t="s">
        <v>664</v>
      </c>
      <c r="H540" s="14">
        <v>45922</v>
      </c>
      <c r="I540" s="12">
        <f>-Mvt_Inter_entrepot[[#This Row],[QTE]]</f>
        <v>-8</v>
      </c>
      <c r="J540" s="11" t="s">
        <v>547</v>
      </c>
      <c r="K540" s="11" t="str">
        <f>_xlfn.TEXTBEFORE(Mvt_Inter_entrepot[[#This Row],[Num Suivis]],"-",,,1)</f>
        <v>OF246538</v>
      </c>
      <c r="L540" s="11" t="e">
        <f>_xlfn.XLOOKUP(Mvt_Inter_entrepot[[#This Row],[Num OF]],#REF!,#REF!,"Non Trouvé")</f>
        <v>#REF!</v>
      </c>
      <c r="M540" s="11" t="e">
        <f>_xlfn.XLOOKUP(Mvt_Inter_entrepot[[#This Row],[Num OF]],#REF!,#REF!,"Non Trouvé")</f>
        <v>#REF!</v>
      </c>
      <c r="N540" s="11" t="e">
        <f>_xlfn.XLOOKUP(Mvt_Inter_entrepot[[#This Row],[Num OF]],#REF!,#REF!,"Non Trouvé")</f>
        <v>#REF!</v>
      </c>
      <c r="O540" s="11" t="e">
        <f>_xlfn.XLOOKUP(Mvt_Inter_entrepot[[#This Row],[Num OF]],#REF!,#REF!,"Non Trouvé")</f>
        <v>#REF!</v>
      </c>
      <c r="P540" s="11" t="e">
        <f>_xlfn.XLOOKUP(Mvt_Inter_entrepot[[#This Row],[Num OF]],#REF!,#REF!,"Non Trouvé")</f>
        <v>#REF!</v>
      </c>
      <c r="Q540" s="11" t="str">
        <f>IF(
   COUNTIFS($A$2:A540,A540,
             $B$2:B540,B540,
             $C$2:C540,C540,
             $D$2:D540,D540,
             $E$2:E540,E540,
             $H$2:H540,H540
             )&gt;1,
   "Doublon",
   "Correcte"
)</f>
        <v>Correcte</v>
      </c>
    </row>
    <row r="541" spans="1:17" x14ac:dyDescent="0.25">
      <c r="A541" s="11" t="s">
        <v>3343</v>
      </c>
      <c r="B541" s="11" t="s">
        <v>1168</v>
      </c>
      <c r="C541" s="11" t="s">
        <v>662</v>
      </c>
      <c r="D541" s="11" t="s">
        <v>665</v>
      </c>
      <c r="E541" s="11">
        <v>7</v>
      </c>
      <c r="F541" s="11"/>
      <c r="G541" s="11" t="s">
        <v>664</v>
      </c>
      <c r="H541" s="14">
        <v>45922</v>
      </c>
      <c r="I541" s="12">
        <f>-Mvt_Inter_entrepot[[#This Row],[QTE]]</f>
        <v>-7</v>
      </c>
      <c r="J541" s="11" t="s">
        <v>548</v>
      </c>
      <c r="K541" s="11" t="str">
        <f>_xlfn.TEXTBEFORE(Mvt_Inter_entrepot[[#This Row],[Num Suivis]],"-",,,1)</f>
        <v>OF246540</v>
      </c>
      <c r="L541" s="11" t="e">
        <f>_xlfn.XLOOKUP(Mvt_Inter_entrepot[[#This Row],[Num OF]],#REF!,#REF!,"Non Trouvé")</f>
        <v>#REF!</v>
      </c>
      <c r="M541" s="11" t="e">
        <f>_xlfn.XLOOKUP(Mvt_Inter_entrepot[[#This Row],[Num OF]],#REF!,#REF!,"Non Trouvé")</f>
        <v>#REF!</v>
      </c>
      <c r="N541" s="11" t="e">
        <f>_xlfn.XLOOKUP(Mvt_Inter_entrepot[[#This Row],[Num OF]],#REF!,#REF!,"Non Trouvé")</f>
        <v>#REF!</v>
      </c>
      <c r="O541" s="11" t="e">
        <f>_xlfn.XLOOKUP(Mvt_Inter_entrepot[[#This Row],[Num OF]],#REF!,#REF!,"Non Trouvé")</f>
        <v>#REF!</v>
      </c>
      <c r="P541" s="11" t="e">
        <f>_xlfn.XLOOKUP(Mvt_Inter_entrepot[[#This Row],[Num OF]],#REF!,#REF!,"Non Trouvé")</f>
        <v>#REF!</v>
      </c>
      <c r="Q541" s="11" t="str">
        <f>IF(
   COUNTIFS($A$2:A541,A541,
             $B$2:B541,B541,
             $C$2:C541,C541,
             $D$2:D541,D541,
             $E$2:E541,E541,
             $H$2:H541,H541
             )&gt;1,
   "Doublon",
   "Correcte"
)</f>
        <v>Correcte</v>
      </c>
    </row>
    <row r="542" spans="1:17" x14ac:dyDescent="0.25">
      <c r="A542" s="11" t="s">
        <v>3344</v>
      </c>
      <c r="B542" s="11" t="s">
        <v>1168</v>
      </c>
      <c r="C542" s="11" t="s">
        <v>662</v>
      </c>
      <c r="D542" s="11" t="s">
        <v>665</v>
      </c>
      <c r="E542" s="11">
        <v>1</v>
      </c>
      <c r="F542" s="11"/>
      <c r="G542" s="11" t="s">
        <v>664</v>
      </c>
      <c r="H542" s="14">
        <v>45922</v>
      </c>
      <c r="I542" s="12">
        <f>-Mvt_Inter_entrepot[[#This Row],[QTE]]</f>
        <v>-1</v>
      </c>
      <c r="J542" s="11" t="s">
        <v>450</v>
      </c>
      <c r="K542" s="11" t="str">
        <f>_xlfn.TEXTBEFORE(Mvt_Inter_entrepot[[#This Row],[Num Suivis]],"-",,,1)</f>
        <v>OF244964</v>
      </c>
      <c r="L542" s="11" t="e">
        <f>_xlfn.XLOOKUP(Mvt_Inter_entrepot[[#This Row],[Num OF]],#REF!,#REF!,"Non Trouvé")</f>
        <v>#REF!</v>
      </c>
      <c r="M542" s="11" t="e">
        <f>_xlfn.XLOOKUP(Mvt_Inter_entrepot[[#This Row],[Num OF]],#REF!,#REF!,"Non Trouvé")</f>
        <v>#REF!</v>
      </c>
      <c r="N542" s="11" t="e">
        <f>_xlfn.XLOOKUP(Mvt_Inter_entrepot[[#This Row],[Num OF]],#REF!,#REF!,"Non Trouvé")</f>
        <v>#REF!</v>
      </c>
      <c r="O542" s="11" t="e">
        <f>_xlfn.XLOOKUP(Mvt_Inter_entrepot[[#This Row],[Num OF]],#REF!,#REF!,"Non Trouvé")</f>
        <v>#REF!</v>
      </c>
      <c r="P542" s="11" t="e">
        <f>_xlfn.XLOOKUP(Mvt_Inter_entrepot[[#This Row],[Num OF]],#REF!,#REF!,"Non Trouvé")</f>
        <v>#REF!</v>
      </c>
      <c r="Q542" s="11" t="str">
        <f>IF(
   COUNTIFS($A$2:A542,A542,
             $B$2:B542,B542,
             $C$2:C542,C542,
             $D$2:D542,D542,
             $E$2:E542,E542,
             $H$2:H542,H542
             )&gt;1,
   "Doublon",
   "Correcte"
)</f>
        <v>Correcte</v>
      </c>
    </row>
    <row r="543" spans="1:17" x14ac:dyDescent="0.25">
      <c r="A543" s="11" t="s">
        <v>3345</v>
      </c>
      <c r="B543" s="11" t="s">
        <v>1168</v>
      </c>
      <c r="C543" s="11" t="s">
        <v>662</v>
      </c>
      <c r="D543" s="11" t="s">
        <v>665</v>
      </c>
      <c r="E543" s="11">
        <v>2</v>
      </c>
      <c r="F543" s="11"/>
      <c r="G543" s="11" t="s">
        <v>664</v>
      </c>
      <c r="H543" s="14">
        <v>45922</v>
      </c>
      <c r="I543" s="12">
        <f>-Mvt_Inter_entrepot[[#This Row],[QTE]]</f>
        <v>-2</v>
      </c>
      <c r="J543" s="11" t="s">
        <v>545</v>
      </c>
      <c r="K543" s="11" t="str">
        <f>_xlfn.TEXTBEFORE(Mvt_Inter_entrepot[[#This Row],[Num Suivis]],"-",,,1)</f>
        <v>OF246536</v>
      </c>
      <c r="L543" s="11" t="e">
        <f>_xlfn.XLOOKUP(Mvt_Inter_entrepot[[#This Row],[Num OF]],#REF!,#REF!,"Non Trouvé")</f>
        <v>#REF!</v>
      </c>
      <c r="M543" s="11" t="e">
        <f>_xlfn.XLOOKUP(Mvt_Inter_entrepot[[#This Row],[Num OF]],#REF!,#REF!,"Non Trouvé")</f>
        <v>#REF!</v>
      </c>
      <c r="N543" s="11" t="e">
        <f>_xlfn.XLOOKUP(Mvt_Inter_entrepot[[#This Row],[Num OF]],#REF!,#REF!,"Non Trouvé")</f>
        <v>#REF!</v>
      </c>
      <c r="O543" s="11" t="e">
        <f>_xlfn.XLOOKUP(Mvt_Inter_entrepot[[#This Row],[Num OF]],#REF!,#REF!,"Non Trouvé")</f>
        <v>#REF!</v>
      </c>
      <c r="P543" s="11" t="e">
        <f>_xlfn.XLOOKUP(Mvt_Inter_entrepot[[#This Row],[Num OF]],#REF!,#REF!,"Non Trouvé")</f>
        <v>#REF!</v>
      </c>
      <c r="Q543" s="11" t="str">
        <f>IF(
   COUNTIFS($A$2:A543,A543,
             $B$2:B543,B543,
             $C$2:C543,C543,
             $D$2:D543,D543,
             $E$2:E543,E543,
             $H$2:H543,H543
             )&gt;1,
   "Doublon",
   "Correcte"
)</f>
        <v>Correcte</v>
      </c>
    </row>
    <row r="544" spans="1:17" x14ac:dyDescent="0.25">
      <c r="A544" s="11" t="s">
        <v>3346</v>
      </c>
      <c r="B544" s="11" t="s">
        <v>1168</v>
      </c>
      <c r="C544" s="11" t="s">
        <v>662</v>
      </c>
      <c r="D544" s="11" t="s">
        <v>665</v>
      </c>
      <c r="E544" s="11">
        <v>6</v>
      </c>
      <c r="F544" s="11"/>
      <c r="G544" s="11" t="s">
        <v>664</v>
      </c>
      <c r="H544" s="14">
        <v>45922</v>
      </c>
      <c r="I544" s="12">
        <f>-Mvt_Inter_entrepot[[#This Row],[QTE]]</f>
        <v>-6</v>
      </c>
      <c r="J544" s="11" t="s">
        <v>549</v>
      </c>
      <c r="K544" s="11" t="str">
        <f>_xlfn.TEXTBEFORE(Mvt_Inter_entrepot[[#This Row],[Num Suivis]],"-",,,1)</f>
        <v>OF246542</v>
      </c>
      <c r="L544" s="11" t="e">
        <f>_xlfn.XLOOKUP(Mvt_Inter_entrepot[[#This Row],[Num OF]],#REF!,#REF!,"Non Trouvé")</f>
        <v>#REF!</v>
      </c>
      <c r="M544" s="11" t="e">
        <f>_xlfn.XLOOKUP(Mvt_Inter_entrepot[[#This Row],[Num OF]],#REF!,#REF!,"Non Trouvé")</f>
        <v>#REF!</v>
      </c>
      <c r="N544" s="11" t="e">
        <f>_xlfn.XLOOKUP(Mvt_Inter_entrepot[[#This Row],[Num OF]],#REF!,#REF!,"Non Trouvé")</f>
        <v>#REF!</v>
      </c>
      <c r="O544" s="11" t="e">
        <f>_xlfn.XLOOKUP(Mvt_Inter_entrepot[[#This Row],[Num OF]],#REF!,#REF!,"Non Trouvé")</f>
        <v>#REF!</v>
      </c>
      <c r="P544" s="11" t="e">
        <f>_xlfn.XLOOKUP(Mvt_Inter_entrepot[[#This Row],[Num OF]],#REF!,#REF!,"Non Trouvé")</f>
        <v>#REF!</v>
      </c>
      <c r="Q544" s="11" t="str">
        <f>IF(
   COUNTIFS($A$2:A544,A544,
             $B$2:B544,B544,
             $C$2:C544,C544,
             $D$2:D544,D544,
             $E$2:E544,E544,
             $H$2:H544,H544
             )&gt;1,
   "Doublon",
   "Correcte"
)</f>
        <v>Correcte</v>
      </c>
    </row>
    <row r="545" spans="1:17" x14ac:dyDescent="0.25">
      <c r="A545" s="11" t="s">
        <v>3347</v>
      </c>
      <c r="B545" s="11" t="s">
        <v>1168</v>
      </c>
      <c r="C545" s="11" t="s">
        <v>662</v>
      </c>
      <c r="D545" s="11" t="s">
        <v>665</v>
      </c>
      <c r="E545" s="11">
        <v>2</v>
      </c>
      <c r="F545" s="11"/>
      <c r="G545" s="11" t="s">
        <v>664</v>
      </c>
      <c r="H545" s="14">
        <v>45922</v>
      </c>
      <c r="I545" s="12">
        <f>-Mvt_Inter_entrepot[[#This Row],[QTE]]</f>
        <v>-2</v>
      </c>
      <c r="J545" s="11" t="s">
        <v>446</v>
      </c>
      <c r="K545" s="11" t="str">
        <f>_xlfn.TEXTBEFORE(Mvt_Inter_entrepot[[#This Row],[Num Suivis]],"-",,,1)</f>
        <v>OF244934</v>
      </c>
      <c r="L545" s="11" t="e">
        <f>_xlfn.XLOOKUP(Mvt_Inter_entrepot[[#This Row],[Num OF]],#REF!,#REF!,"Non Trouvé")</f>
        <v>#REF!</v>
      </c>
      <c r="M545" s="11" t="e">
        <f>_xlfn.XLOOKUP(Mvt_Inter_entrepot[[#This Row],[Num OF]],#REF!,#REF!,"Non Trouvé")</f>
        <v>#REF!</v>
      </c>
      <c r="N545" s="11" t="e">
        <f>_xlfn.XLOOKUP(Mvt_Inter_entrepot[[#This Row],[Num OF]],#REF!,#REF!,"Non Trouvé")</f>
        <v>#REF!</v>
      </c>
      <c r="O545" s="11" t="e">
        <f>_xlfn.XLOOKUP(Mvt_Inter_entrepot[[#This Row],[Num OF]],#REF!,#REF!,"Non Trouvé")</f>
        <v>#REF!</v>
      </c>
      <c r="P545" s="11" t="e">
        <f>_xlfn.XLOOKUP(Mvt_Inter_entrepot[[#This Row],[Num OF]],#REF!,#REF!,"Non Trouvé")</f>
        <v>#REF!</v>
      </c>
      <c r="Q545" s="11" t="str">
        <f>IF(
   COUNTIFS($A$2:A545,A545,
             $B$2:B545,B545,
             $C$2:C545,C545,
             $D$2:D545,D545,
             $E$2:E545,E545,
             $H$2:H545,H545
             )&gt;1,
   "Doublon",
   "Correcte"
)</f>
        <v>Correcte</v>
      </c>
    </row>
    <row r="546" spans="1:17" x14ac:dyDescent="0.25">
      <c r="A546" s="11" t="s">
        <v>3348</v>
      </c>
      <c r="B546" s="11" t="s">
        <v>1168</v>
      </c>
      <c r="C546" s="11" t="s">
        <v>662</v>
      </c>
      <c r="D546" s="11" t="s">
        <v>665</v>
      </c>
      <c r="E546" s="11">
        <v>3</v>
      </c>
      <c r="F546" s="11"/>
      <c r="G546" s="11" t="s">
        <v>664</v>
      </c>
      <c r="H546" s="14">
        <v>45922</v>
      </c>
      <c r="I546" s="12">
        <f>-Mvt_Inter_entrepot[[#This Row],[QTE]]</f>
        <v>-3</v>
      </c>
      <c r="J546" s="11" t="s">
        <v>544</v>
      </c>
      <c r="K546" s="11" t="str">
        <f>_xlfn.TEXTBEFORE(Mvt_Inter_entrepot[[#This Row],[Num Suivis]],"-",,,1)</f>
        <v>OF246534</v>
      </c>
      <c r="L546" s="11" t="e">
        <f>_xlfn.XLOOKUP(Mvt_Inter_entrepot[[#This Row],[Num OF]],#REF!,#REF!,"Non Trouvé")</f>
        <v>#REF!</v>
      </c>
      <c r="M546" s="11" t="e">
        <f>_xlfn.XLOOKUP(Mvt_Inter_entrepot[[#This Row],[Num OF]],#REF!,#REF!,"Non Trouvé")</f>
        <v>#REF!</v>
      </c>
      <c r="N546" s="11" t="e">
        <f>_xlfn.XLOOKUP(Mvt_Inter_entrepot[[#This Row],[Num OF]],#REF!,#REF!,"Non Trouvé")</f>
        <v>#REF!</v>
      </c>
      <c r="O546" s="11" t="e">
        <f>_xlfn.XLOOKUP(Mvt_Inter_entrepot[[#This Row],[Num OF]],#REF!,#REF!,"Non Trouvé")</f>
        <v>#REF!</v>
      </c>
      <c r="P546" s="11" t="e">
        <f>_xlfn.XLOOKUP(Mvt_Inter_entrepot[[#This Row],[Num OF]],#REF!,#REF!,"Non Trouvé")</f>
        <v>#REF!</v>
      </c>
      <c r="Q546" s="11" t="str">
        <f>IF(
   COUNTIFS($A$2:A546,A546,
             $B$2:B546,B546,
             $C$2:C546,C546,
             $D$2:D546,D546,
             $E$2:E546,E546,
             $H$2:H546,H546
             )&gt;1,
   "Doublon",
   "Correcte"
)</f>
        <v>Correcte</v>
      </c>
    </row>
    <row r="547" spans="1:17" x14ac:dyDescent="0.25">
      <c r="A547" s="11" t="s">
        <v>3349</v>
      </c>
      <c r="B547" s="11" t="s">
        <v>1168</v>
      </c>
      <c r="C547" s="11" t="s">
        <v>662</v>
      </c>
      <c r="D547" s="11" t="s">
        <v>665</v>
      </c>
      <c r="E547" s="11">
        <v>4</v>
      </c>
      <c r="F547" s="11"/>
      <c r="G547" s="11" t="s">
        <v>664</v>
      </c>
      <c r="H547" s="14">
        <v>45922</v>
      </c>
      <c r="I547" s="12">
        <f>-Mvt_Inter_entrepot[[#This Row],[QTE]]</f>
        <v>-4</v>
      </c>
      <c r="J547" s="11" t="s">
        <v>440</v>
      </c>
      <c r="K547" s="11" t="str">
        <f>_xlfn.TEXTBEFORE(Mvt_Inter_entrepot[[#This Row],[Num Suivis]],"-",,,1)</f>
        <v>OF244261</v>
      </c>
      <c r="L547" s="11" t="e">
        <f>_xlfn.XLOOKUP(Mvt_Inter_entrepot[[#This Row],[Num OF]],#REF!,#REF!,"Non Trouvé")</f>
        <v>#REF!</v>
      </c>
      <c r="M547" s="11" t="e">
        <f>_xlfn.XLOOKUP(Mvt_Inter_entrepot[[#This Row],[Num OF]],#REF!,#REF!,"Non Trouvé")</f>
        <v>#REF!</v>
      </c>
      <c r="N547" s="11" t="e">
        <f>_xlfn.XLOOKUP(Mvt_Inter_entrepot[[#This Row],[Num OF]],#REF!,#REF!,"Non Trouvé")</f>
        <v>#REF!</v>
      </c>
      <c r="O547" s="11" t="e">
        <f>_xlfn.XLOOKUP(Mvt_Inter_entrepot[[#This Row],[Num OF]],#REF!,#REF!,"Non Trouvé")</f>
        <v>#REF!</v>
      </c>
      <c r="P547" s="11" t="e">
        <f>_xlfn.XLOOKUP(Mvt_Inter_entrepot[[#This Row],[Num OF]],#REF!,#REF!,"Non Trouvé")</f>
        <v>#REF!</v>
      </c>
      <c r="Q547" s="11" t="str">
        <f>IF(
   COUNTIFS($A$2:A547,A547,
             $B$2:B547,B547,
             $C$2:C547,C547,
             $D$2:D547,D547,
             $E$2:E547,E547,
             $H$2:H547,H547
             )&gt;1,
   "Doublon",
   "Correcte"
)</f>
        <v>Correcte</v>
      </c>
    </row>
    <row r="548" spans="1:17" x14ac:dyDescent="0.25">
      <c r="A548" s="11" t="s">
        <v>3350</v>
      </c>
      <c r="B548" s="11" t="s">
        <v>1168</v>
      </c>
      <c r="C548" s="11" t="s">
        <v>662</v>
      </c>
      <c r="D548" s="11" t="s">
        <v>665</v>
      </c>
      <c r="E548" s="11">
        <v>43</v>
      </c>
      <c r="F548" s="11"/>
      <c r="G548" s="11" t="s">
        <v>664</v>
      </c>
      <c r="H548" s="14">
        <v>45922</v>
      </c>
      <c r="I548" s="12">
        <f>-Mvt_Inter_entrepot[[#This Row],[QTE]]</f>
        <v>-43</v>
      </c>
      <c r="J548" s="11" t="s">
        <v>447</v>
      </c>
      <c r="K548" s="11" t="str">
        <f>_xlfn.TEXTBEFORE(Mvt_Inter_entrepot[[#This Row],[Num Suivis]],"-",,,1)</f>
        <v>OF244950</v>
      </c>
      <c r="L548" s="11" t="e">
        <f>_xlfn.XLOOKUP(Mvt_Inter_entrepot[[#This Row],[Num OF]],#REF!,#REF!,"Non Trouvé")</f>
        <v>#REF!</v>
      </c>
      <c r="M548" s="11" t="e">
        <f>_xlfn.XLOOKUP(Mvt_Inter_entrepot[[#This Row],[Num OF]],#REF!,#REF!,"Non Trouvé")</f>
        <v>#REF!</v>
      </c>
      <c r="N548" s="11" t="e">
        <f>_xlfn.XLOOKUP(Mvt_Inter_entrepot[[#This Row],[Num OF]],#REF!,#REF!,"Non Trouvé")</f>
        <v>#REF!</v>
      </c>
      <c r="O548" s="11" t="e">
        <f>_xlfn.XLOOKUP(Mvt_Inter_entrepot[[#This Row],[Num OF]],#REF!,#REF!,"Non Trouvé")</f>
        <v>#REF!</v>
      </c>
      <c r="P548" s="11" t="e">
        <f>_xlfn.XLOOKUP(Mvt_Inter_entrepot[[#This Row],[Num OF]],#REF!,#REF!,"Non Trouvé")</f>
        <v>#REF!</v>
      </c>
      <c r="Q548" s="11" t="str">
        <f>IF(
   COUNTIFS($A$2:A548,A548,
             $B$2:B548,B548,
             $C$2:C548,C548,
             $D$2:D548,D548,
             $E$2:E548,E548,
             $H$2:H548,H548
             )&gt;1,
   "Doublon",
   "Correcte"
)</f>
        <v>Correcte</v>
      </c>
    </row>
    <row r="549" spans="1:17" x14ac:dyDescent="0.25">
      <c r="A549" s="11" t="s">
        <v>3351</v>
      </c>
      <c r="B549" s="11" t="s">
        <v>1153</v>
      </c>
      <c r="C549" s="11" t="s">
        <v>665</v>
      </c>
      <c r="D549" s="11" t="s">
        <v>1154</v>
      </c>
      <c r="E549" s="11">
        <v>5</v>
      </c>
      <c r="F549" s="11" t="s">
        <v>699</v>
      </c>
      <c r="G549" s="11" t="s">
        <v>634</v>
      </c>
      <c r="H549" s="14">
        <v>45936.365300925929</v>
      </c>
      <c r="I549" s="12">
        <f>-Mvt_Inter_entrepot[[#This Row],[QTE]]</f>
        <v>-5</v>
      </c>
      <c r="J549" s="15" t="s">
        <v>985</v>
      </c>
      <c r="K549" s="15" t="str">
        <f>_xlfn.TEXTBEFORE(Mvt_Inter_entrepot[[#This Row],[Num Suivis]],"-",,,1)</f>
        <v>CA250032</v>
      </c>
      <c r="L549" s="11" t="e">
        <f>_xlfn.XLOOKUP(Mvt_Inter_entrepot[[#This Row],[Num OF]],#REF!,#REF!,"Non Trouvé")</f>
        <v>#REF!</v>
      </c>
      <c r="M549" s="11" t="e">
        <f>_xlfn.XLOOKUP(Mvt_Inter_entrepot[[#This Row],[Num OF]],#REF!,#REF!,"Non Trouvé")</f>
        <v>#REF!</v>
      </c>
      <c r="N549" s="11" t="e">
        <f>_xlfn.XLOOKUP(Mvt_Inter_entrepot[[#This Row],[Num OF]],#REF!,#REF!,"Non Trouvé")</f>
        <v>#REF!</v>
      </c>
      <c r="O549" s="11" t="e">
        <f>_xlfn.XLOOKUP(Mvt_Inter_entrepot[[#This Row],[Num OF]],#REF!,#REF!,"Non Trouvé")</f>
        <v>#REF!</v>
      </c>
      <c r="P549" s="11" t="e">
        <f>_xlfn.XLOOKUP(Mvt_Inter_entrepot[[#This Row],[Num OF]],#REF!,#REF!,"Non Trouvé")</f>
        <v>#REF!</v>
      </c>
      <c r="Q549" s="11" t="str">
        <f>IF(
   COUNTIFS($A$2:A549,A549,
             $B$2:B549,B549,
             $C$2:C549,C549,
             $D$2:D549,D549,
             $E$2:E549,E549,
             $H$2:H549,H549
             )&gt;1,
   "Doublon",
   "Correcte"
)</f>
        <v>Correcte</v>
      </c>
    </row>
    <row r="550" spans="1:17" x14ac:dyDescent="0.25">
      <c r="A550" s="11" t="s">
        <v>3352</v>
      </c>
      <c r="B550" s="11" t="s">
        <v>1153</v>
      </c>
      <c r="C550" s="11" t="s">
        <v>665</v>
      </c>
      <c r="D550" s="11" t="s">
        <v>1154</v>
      </c>
      <c r="E550" s="11">
        <v>5</v>
      </c>
      <c r="F550" s="11" t="s">
        <v>699</v>
      </c>
      <c r="G550" s="11" t="s">
        <v>634</v>
      </c>
      <c r="H550" s="14">
        <v>45936.365740740737</v>
      </c>
      <c r="I550" s="12">
        <f>-Mvt_Inter_entrepot[[#This Row],[QTE]]</f>
        <v>-5</v>
      </c>
      <c r="J550" s="11" t="s">
        <v>912</v>
      </c>
      <c r="K550" s="11" t="str">
        <f>_xlfn.TEXTBEFORE(Mvt_Inter_entrepot[[#This Row],[Num Suivis]],"-",,,1)</f>
        <v>CA250071</v>
      </c>
      <c r="L550" s="11" t="e">
        <f>_xlfn.XLOOKUP(Mvt_Inter_entrepot[[#This Row],[Num OF]],#REF!,#REF!,"Non Trouvé")</f>
        <v>#REF!</v>
      </c>
      <c r="M550" s="11" t="e">
        <f>_xlfn.XLOOKUP(Mvt_Inter_entrepot[[#This Row],[Num OF]],#REF!,#REF!,"Non Trouvé")</f>
        <v>#REF!</v>
      </c>
      <c r="N550" s="11" t="e">
        <f>_xlfn.XLOOKUP(Mvt_Inter_entrepot[[#This Row],[Num OF]],#REF!,#REF!,"Non Trouvé")</f>
        <v>#REF!</v>
      </c>
      <c r="O550" s="11" t="e">
        <f>_xlfn.XLOOKUP(Mvt_Inter_entrepot[[#This Row],[Num OF]],#REF!,#REF!,"Non Trouvé")</f>
        <v>#REF!</v>
      </c>
      <c r="P550" s="11" t="e">
        <f>_xlfn.XLOOKUP(Mvt_Inter_entrepot[[#This Row],[Num OF]],#REF!,#REF!,"Non Trouvé")</f>
        <v>#REF!</v>
      </c>
      <c r="Q550" s="11" t="str">
        <f>IF(
   COUNTIFS($A$2:A550,A550,
             $B$2:B550,B550,
             $C$2:C550,C550,
             $D$2:D550,D550,
             $E$2:E550,E550,
             $H$2:H550,H550
             )&gt;1,
   "Doublon",
   "Correcte"
)</f>
        <v>Correcte</v>
      </c>
    </row>
    <row r="551" spans="1:17" x14ac:dyDescent="0.25">
      <c r="A551" s="11" t="s">
        <v>3353</v>
      </c>
      <c r="B551" s="11" t="s">
        <v>1153</v>
      </c>
      <c r="C551" s="11" t="s">
        <v>665</v>
      </c>
      <c r="D551" s="11" t="s">
        <v>1154</v>
      </c>
      <c r="E551" s="11">
        <v>5</v>
      </c>
      <c r="F551" s="11" t="s">
        <v>699</v>
      </c>
      <c r="G551" s="11" t="s">
        <v>634</v>
      </c>
      <c r="H551" s="14">
        <v>45936.366099537037</v>
      </c>
      <c r="I551" s="12">
        <f>-Mvt_Inter_entrepot[[#This Row],[QTE]]</f>
        <v>-5</v>
      </c>
      <c r="J551" s="11" t="s">
        <v>911</v>
      </c>
      <c r="K551" s="11" t="str">
        <f>_xlfn.TEXTBEFORE(Mvt_Inter_entrepot[[#This Row],[Num Suivis]],"-",,,1)</f>
        <v>CA250071</v>
      </c>
      <c r="L551" s="11" t="e">
        <f>_xlfn.XLOOKUP(Mvt_Inter_entrepot[[#This Row],[Num OF]],#REF!,#REF!,"Non Trouvé")</f>
        <v>#REF!</v>
      </c>
      <c r="M551" s="11" t="e">
        <f>_xlfn.XLOOKUP(Mvt_Inter_entrepot[[#This Row],[Num OF]],#REF!,#REF!,"Non Trouvé")</f>
        <v>#REF!</v>
      </c>
      <c r="N551" s="11" t="e">
        <f>_xlfn.XLOOKUP(Mvt_Inter_entrepot[[#This Row],[Num OF]],#REF!,#REF!,"Non Trouvé")</f>
        <v>#REF!</v>
      </c>
      <c r="O551" s="11" t="e">
        <f>_xlfn.XLOOKUP(Mvt_Inter_entrepot[[#This Row],[Num OF]],#REF!,#REF!,"Non Trouvé")</f>
        <v>#REF!</v>
      </c>
      <c r="P551" s="11" t="e">
        <f>_xlfn.XLOOKUP(Mvt_Inter_entrepot[[#This Row],[Num OF]],#REF!,#REF!,"Non Trouvé")</f>
        <v>#REF!</v>
      </c>
      <c r="Q551" s="11" t="str">
        <f>IF(
   COUNTIFS($A$2:A551,A551,
             $B$2:B551,B551,
             $C$2:C551,C551,
             $D$2:D551,D551,
             $E$2:E551,E551,
             $H$2:H551,H551
             )&gt;1,
   "Doublon",
   "Correcte"
)</f>
        <v>Correcte</v>
      </c>
    </row>
    <row r="552" spans="1:17" x14ac:dyDescent="0.25">
      <c r="A552" s="11" t="s">
        <v>3354</v>
      </c>
      <c r="B552" s="11" t="s">
        <v>1153</v>
      </c>
      <c r="C552" s="11" t="s">
        <v>665</v>
      </c>
      <c r="D552" s="11" t="s">
        <v>1154</v>
      </c>
      <c r="E552" s="11">
        <v>5</v>
      </c>
      <c r="F552" s="11" t="s">
        <v>699</v>
      </c>
      <c r="G552" s="11" t="s">
        <v>634</v>
      </c>
      <c r="H552" s="14">
        <v>45936.366412037038</v>
      </c>
      <c r="I552" s="12">
        <f>-Mvt_Inter_entrepot[[#This Row],[QTE]]</f>
        <v>-5</v>
      </c>
      <c r="J552" s="11" t="s">
        <v>888</v>
      </c>
      <c r="K552" s="11" t="str">
        <f>_xlfn.TEXTBEFORE(Mvt_Inter_entrepot[[#This Row],[Num Suivis]],"-",,,1)</f>
        <v>CA250076</v>
      </c>
      <c r="L552" s="11" t="e">
        <f>_xlfn.XLOOKUP(Mvt_Inter_entrepot[[#This Row],[Num OF]],#REF!,#REF!,"Non Trouvé")</f>
        <v>#REF!</v>
      </c>
      <c r="M552" s="11" t="e">
        <f>_xlfn.XLOOKUP(Mvt_Inter_entrepot[[#This Row],[Num OF]],#REF!,#REF!,"Non Trouvé")</f>
        <v>#REF!</v>
      </c>
      <c r="N552" s="11" t="e">
        <f>_xlfn.XLOOKUP(Mvt_Inter_entrepot[[#This Row],[Num OF]],#REF!,#REF!,"Non Trouvé")</f>
        <v>#REF!</v>
      </c>
      <c r="O552" s="11" t="e">
        <f>_xlfn.XLOOKUP(Mvt_Inter_entrepot[[#This Row],[Num OF]],#REF!,#REF!,"Non Trouvé")</f>
        <v>#REF!</v>
      </c>
      <c r="P552" s="11" t="e">
        <f>_xlfn.XLOOKUP(Mvt_Inter_entrepot[[#This Row],[Num OF]],#REF!,#REF!,"Non Trouvé")</f>
        <v>#REF!</v>
      </c>
      <c r="Q552" s="11" t="str">
        <f>IF(
   COUNTIFS($A$2:A552,A552,
             $B$2:B552,B552,
             $C$2:C552,C552,
             $D$2:D552,D552,
             $E$2:E552,E552,
             $H$2:H552,H552
             )&gt;1,
   "Doublon",
   "Correcte"
)</f>
        <v>Correcte</v>
      </c>
    </row>
    <row r="553" spans="1:17" x14ac:dyDescent="0.25">
      <c r="A553" s="11" t="s">
        <v>3355</v>
      </c>
      <c r="B553" s="11" t="s">
        <v>1153</v>
      </c>
      <c r="C553" s="11" t="s">
        <v>665</v>
      </c>
      <c r="D553" s="11" t="s">
        <v>1154</v>
      </c>
      <c r="E553" s="11">
        <v>5</v>
      </c>
      <c r="F553" s="11" t="s">
        <v>699</v>
      </c>
      <c r="G553" s="11" t="s">
        <v>634</v>
      </c>
      <c r="H553" s="14">
        <v>45936.366747685184</v>
      </c>
      <c r="I553" s="12">
        <f>-Mvt_Inter_entrepot[[#This Row],[QTE]]</f>
        <v>-5</v>
      </c>
      <c r="J553" s="11" t="s">
        <v>913</v>
      </c>
      <c r="K553" s="11" t="str">
        <f>_xlfn.TEXTBEFORE(Mvt_Inter_entrepot[[#This Row],[Num Suivis]],"-",,,1)</f>
        <v>CA250071</v>
      </c>
      <c r="L553" s="11" t="e">
        <f>_xlfn.XLOOKUP(Mvt_Inter_entrepot[[#This Row],[Num OF]],#REF!,#REF!,"Non Trouvé")</f>
        <v>#REF!</v>
      </c>
      <c r="M553" s="11" t="e">
        <f>_xlfn.XLOOKUP(Mvt_Inter_entrepot[[#This Row],[Num OF]],#REF!,#REF!,"Non Trouvé")</f>
        <v>#REF!</v>
      </c>
      <c r="N553" s="11" t="e">
        <f>_xlfn.XLOOKUP(Mvt_Inter_entrepot[[#This Row],[Num OF]],#REF!,#REF!,"Non Trouvé")</f>
        <v>#REF!</v>
      </c>
      <c r="O553" s="11" t="e">
        <f>_xlfn.XLOOKUP(Mvt_Inter_entrepot[[#This Row],[Num OF]],#REF!,#REF!,"Non Trouvé")</f>
        <v>#REF!</v>
      </c>
      <c r="P553" s="11" t="e">
        <f>_xlfn.XLOOKUP(Mvt_Inter_entrepot[[#This Row],[Num OF]],#REF!,#REF!,"Non Trouvé")</f>
        <v>#REF!</v>
      </c>
      <c r="Q553" s="11" t="str">
        <f>IF(
   COUNTIFS($A$2:A553,A553,
             $B$2:B553,B553,
             $C$2:C553,C553,
             $D$2:D553,D553,
             $E$2:E553,E553,
             $H$2:H553,H553
             )&gt;1,
   "Doublon",
   "Correcte"
)</f>
        <v>Correcte</v>
      </c>
    </row>
    <row r="554" spans="1:17" x14ac:dyDescent="0.25">
      <c r="A554" s="11" t="s">
        <v>3356</v>
      </c>
      <c r="B554" s="11" t="s">
        <v>1153</v>
      </c>
      <c r="C554" s="11" t="s">
        <v>665</v>
      </c>
      <c r="D554" s="11" t="s">
        <v>1154</v>
      </c>
      <c r="E554" s="11">
        <v>2</v>
      </c>
      <c r="F554" s="11" t="s">
        <v>699</v>
      </c>
      <c r="G554" s="11" t="s">
        <v>634</v>
      </c>
      <c r="H554" s="14">
        <v>45936.367060185185</v>
      </c>
      <c r="I554" s="12">
        <f>-Mvt_Inter_entrepot[[#This Row],[QTE]]</f>
        <v>-2</v>
      </c>
      <c r="J554" s="11" t="s">
        <v>914</v>
      </c>
      <c r="K554" s="11" t="str">
        <f>_xlfn.TEXTBEFORE(Mvt_Inter_entrepot[[#This Row],[Num Suivis]],"-",,,1)</f>
        <v>CA250071</v>
      </c>
      <c r="L554" s="11" t="e">
        <f>_xlfn.XLOOKUP(Mvt_Inter_entrepot[[#This Row],[Num OF]],#REF!,#REF!,"Non Trouvé")</f>
        <v>#REF!</v>
      </c>
      <c r="M554" s="11" t="e">
        <f>_xlfn.XLOOKUP(Mvt_Inter_entrepot[[#This Row],[Num OF]],#REF!,#REF!,"Non Trouvé")</f>
        <v>#REF!</v>
      </c>
      <c r="N554" s="11" t="e">
        <f>_xlfn.XLOOKUP(Mvt_Inter_entrepot[[#This Row],[Num OF]],#REF!,#REF!,"Non Trouvé")</f>
        <v>#REF!</v>
      </c>
      <c r="O554" s="11" t="e">
        <f>_xlfn.XLOOKUP(Mvt_Inter_entrepot[[#This Row],[Num OF]],#REF!,#REF!,"Non Trouvé")</f>
        <v>#REF!</v>
      </c>
      <c r="P554" s="11" t="e">
        <f>_xlfn.XLOOKUP(Mvt_Inter_entrepot[[#This Row],[Num OF]],#REF!,#REF!,"Non Trouvé")</f>
        <v>#REF!</v>
      </c>
      <c r="Q554" s="11" t="str">
        <f>IF(
   COUNTIFS($A$2:A554,A554,
             $B$2:B554,B554,
             $C$2:C554,C554,
             $D$2:D554,D554,
             $E$2:E554,E554,
             $H$2:H554,H554
             )&gt;1,
   "Doublon",
   "Correcte"
)</f>
        <v>Correcte</v>
      </c>
    </row>
    <row r="555" spans="1:17" x14ac:dyDescent="0.25">
      <c r="A555" s="11" t="s">
        <v>3302</v>
      </c>
      <c r="B555" s="11" t="s">
        <v>1153</v>
      </c>
      <c r="C555" s="11" t="s">
        <v>665</v>
      </c>
      <c r="D555" s="11" t="s">
        <v>1154</v>
      </c>
      <c r="E555" s="11">
        <v>5</v>
      </c>
      <c r="F555" s="11" t="s">
        <v>699</v>
      </c>
      <c r="G555" s="11" t="s">
        <v>634</v>
      </c>
      <c r="H555" s="14">
        <v>45936.367523148147</v>
      </c>
      <c r="I555" s="12">
        <f>-Mvt_Inter_entrepot[[#This Row],[QTE]]</f>
        <v>-5</v>
      </c>
      <c r="J555" s="11" t="s">
        <v>47</v>
      </c>
      <c r="K555" s="11" t="str">
        <f>_xlfn.TEXTBEFORE(Mvt_Inter_entrepot[[#This Row],[Num Suivis]],"-",,,1)</f>
        <v>CA250025</v>
      </c>
      <c r="L555" s="11" t="e">
        <f>_xlfn.XLOOKUP(Mvt_Inter_entrepot[[#This Row],[Num OF]],#REF!,#REF!,"Non Trouvé")</f>
        <v>#REF!</v>
      </c>
      <c r="M555" s="11" t="e">
        <f>_xlfn.XLOOKUP(Mvt_Inter_entrepot[[#This Row],[Num OF]],#REF!,#REF!,"Non Trouvé")</f>
        <v>#REF!</v>
      </c>
      <c r="N555" s="11" t="e">
        <f>_xlfn.XLOOKUP(Mvt_Inter_entrepot[[#This Row],[Num OF]],#REF!,#REF!,"Non Trouvé")</f>
        <v>#REF!</v>
      </c>
      <c r="O555" s="11" t="e">
        <f>_xlfn.XLOOKUP(Mvt_Inter_entrepot[[#This Row],[Num OF]],#REF!,#REF!,"Non Trouvé")</f>
        <v>#REF!</v>
      </c>
      <c r="P555" s="11" t="e">
        <f>_xlfn.XLOOKUP(Mvt_Inter_entrepot[[#This Row],[Num OF]],#REF!,#REF!,"Non Trouvé")</f>
        <v>#REF!</v>
      </c>
      <c r="Q555" s="11" t="str">
        <f>IF(
   COUNTIFS($A$2:A555,A555,
             $B$2:B555,B555,
             $C$2:C555,C555,
             $D$2:D555,D555,
             $E$2:E555,E555,
             $H$2:H555,H555
             )&gt;1,
   "Doublon",
   "Correcte"
)</f>
        <v>Correcte</v>
      </c>
    </row>
    <row r="556" spans="1:17" x14ac:dyDescent="0.25">
      <c r="A556" s="11" t="s">
        <v>3357</v>
      </c>
      <c r="B556" s="11" t="s">
        <v>1153</v>
      </c>
      <c r="C556" s="11" t="s">
        <v>665</v>
      </c>
      <c r="D556" s="11" t="s">
        <v>1154</v>
      </c>
      <c r="E556" s="11">
        <v>5</v>
      </c>
      <c r="F556" s="11" t="s">
        <v>699</v>
      </c>
      <c r="G556" s="11" t="s">
        <v>634</v>
      </c>
      <c r="H556" s="14">
        <v>45936.368113425924</v>
      </c>
      <c r="I556" s="12">
        <f>-Mvt_Inter_entrepot[[#This Row],[QTE]]</f>
        <v>-5</v>
      </c>
      <c r="J556" s="11" t="s">
        <v>48</v>
      </c>
      <c r="K556" s="11" t="str">
        <f>_xlfn.TEXTBEFORE(Mvt_Inter_entrepot[[#This Row],[Num Suivis]],"-",,,1)</f>
        <v>CA250026</v>
      </c>
      <c r="L556" s="11" t="e">
        <f>_xlfn.XLOOKUP(Mvt_Inter_entrepot[[#This Row],[Num OF]],#REF!,#REF!,"Non Trouvé")</f>
        <v>#REF!</v>
      </c>
      <c r="M556" s="11" t="e">
        <f>_xlfn.XLOOKUP(Mvt_Inter_entrepot[[#This Row],[Num OF]],#REF!,#REF!,"Non Trouvé")</f>
        <v>#REF!</v>
      </c>
      <c r="N556" s="11" t="e">
        <f>_xlfn.XLOOKUP(Mvt_Inter_entrepot[[#This Row],[Num OF]],#REF!,#REF!,"Non Trouvé")</f>
        <v>#REF!</v>
      </c>
      <c r="O556" s="11" t="e">
        <f>_xlfn.XLOOKUP(Mvt_Inter_entrepot[[#This Row],[Num OF]],#REF!,#REF!,"Non Trouvé")</f>
        <v>#REF!</v>
      </c>
      <c r="P556" s="11" t="e">
        <f>_xlfn.XLOOKUP(Mvt_Inter_entrepot[[#This Row],[Num OF]],#REF!,#REF!,"Non Trouvé")</f>
        <v>#REF!</v>
      </c>
      <c r="Q556" s="11" t="str">
        <f>IF(
   COUNTIFS($A$2:A556,A556,
             $B$2:B556,B556,
             $C$2:C556,C556,
             $D$2:D556,D556,
             $E$2:E556,E556,
             $H$2:H556,H556
             )&gt;1,
   "Doublon",
   "Correcte"
)</f>
        <v>Correcte</v>
      </c>
    </row>
    <row r="557" spans="1:17" x14ac:dyDescent="0.25">
      <c r="A557" s="11" t="s">
        <v>3358</v>
      </c>
      <c r="B557" s="11" t="s">
        <v>1153</v>
      </c>
      <c r="C557" s="11" t="s">
        <v>665</v>
      </c>
      <c r="D557" s="11" t="s">
        <v>1154</v>
      </c>
      <c r="E557" s="11">
        <v>5</v>
      </c>
      <c r="F557" s="11" t="s">
        <v>699</v>
      </c>
      <c r="G557" s="11" t="s">
        <v>634</v>
      </c>
      <c r="H557" s="14">
        <v>45936.368587962963</v>
      </c>
      <c r="I557" s="12">
        <f>-Mvt_Inter_entrepot[[#This Row],[QTE]]</f>
        <v>-5</v>
      </c>
      <c r="J557" s="11" t="s">
        <v>920</v>
      </c>
      <c r="K557" s="11" t="str">
        <f>_xlfn.TEXTBEFORE(Mvt_Inter_entrepot[[#This Row],[Num Suivis]],"-",,,1)</f>
        <v>CA250044</v>
      </c>
      <c r="L557" s="11" t="e">
        <f>_xlfn.XLOOKUP(Mvt_Inter_entrepot[[#This Row],[Num OF]],#REF!,#REF!,"Non Trouvé")</f>
        <v>#REF!</v>
      </c>
      <c r="M557" s="11" t="e">
        <f>_xlfn.XLOOKUP(Mvt_Inter_entrepot[[#This Row],[Num OF]],#REF!,#REF!,"Non Trouvé")</f>
        <v>#REF!</v>
      </c>
      <c r="N557" s="11" t="e">
        <f>_xlfn.XLOOKUP(Mvt_Inter_entrepot[[#This Row],[Num OF]],#REF!,#REF!,"Non Trouvé")</f>
        <v>#REF!</v>
      </c>
      <c r="O557" s="11" t="e">
        <f>_xlfn.XLOOKUP(Mvt_Inter_entrepot[[#This Row],[Num OF]],#REF!,#REF!,"Non Trouvé")</f>
        <v>#REF!</v>
      </c>
      <c r="P557" s="11" t="e">
        <f>_xlfn.XLOOKUP(Mvt_Inter_entrepot[[#This Row],[Num OF]],#REF!,#REF!,"Non Trouvé")</f>
        <v>#REF!</v>
      </c>
      <c r="Q557" s="11" t="str">
        <f>IF(
   COUNTIFS($A$2:A557,A557,
             $B$2:B557,B557,
             $C$2:C557,C557,
             $D$2:D557,D557,
             $E$2:E557,E557,
             $H$2:H557,H557
             )&gt;1,
   "Doublon",
   "Correcte"
)</f>
        <v>Correcte</v>
      </c>
    </row>
    <row r="558" spans="1:17" x14ac:dyDescent="0.25">
      <c r="A558" s="11" t="s">
        <v>3359</v>
      </c>
      <c r="B558" s="11" t="s">
        <v>1153</v>
      </c>
      <c r="C558" s="11" t="s">
        <v>665</v>
      </c>
      <c r="D558" s="11" t="s">
        <v>1154</v>
      </c>
      <c r="E558" s="11">
        <v>5</v>
      </c>
      <c r="F558" s="11" t="s">
        <v>699</v>
      </c>
      <c r="G558" s="11" t="s">
        <v>634</v>
      </c>
      <c r="H558" s="14">
        <v>45936.368935185186</v>
      </c>
      <c r="I558" s="12">
        <f>-Mvt_Inter_entrepot[[#This Row],[QTE]]</f>
        <v>-5</v>
      </c>
      <c r="J558" s="11" t="s">
        <v>943</v>
      </c>
      <c r="K558" s="11" t="str">
        <f>_xlfn.TEXTBEFORE(Mvt_Inter_entrepot[[#This Row],[Num Suivis]],"-",,,1)</f>
        <v>CA250031</v>
      </c>
      <c r="L558" s="11" t="e">
        <f>_xlfn.XLOOKUP(Mvt_Inter_entrepot[[#This Row],[Num OF]],#REF!,#REF!,"Non Trouvé")</f>
        <v>#REF!</v>
      </c>
      <c r="M558" s="11" t="e">
        <f>_xlfn.XLOOKUP(Mvt_Inter_entrepot[[#This Row],[Num OF]],#REF!,#REF!,"Non Trouvé")</f>
        <v>#REF!</v>
      </c>
      <c r="N558" s="11" t="e">
        <f>_xlfn.XLOOKUP(Mvt_Inter_entrepot[[#This Row],[Num OF]],#REF!,#REF!,"Non Trouvé")</f>
        <v>#REF!</v>
      </c>
      <c r="O558" s="11" t="e">
        <f>_xlfn.XLOOKUP(Mvt_Inter_entrepot[[#This Row],[Num OF]],#REF!,#REF!,"Non Trouvé")</f>
        <v>#REF!</v>
      </c>
      <c r="P558" s="11" t="e">
        <f>_xlfn.XLOOKUP(Mvt_Inter_entrepot[[#This Row],[Num OF]],#REF!,#REF!,"Non Trouvé")</f>
        <v>#REF!</v>
      </c>
      <c r="Q558" s="11" t="str">
        <f>IF(
   COUNTIFS($A$2:A558,A558,
             $B$2:B558,B558,
             $C$2:C558,C558,
             $D$2:D558,D558,
             $E$2:E558,E558,
             $H$2:H558,H558
             )&gt;1,
   "Doublon",
   "Correcte"
)</f>
        <v>Correcte</v>
      </c>
    </row>
    <row r="559" spans="1:17" x14ac:dyDescent="0.25">
      <c r="A559" s="11" t="s">
        <v>3360</v>
      </c>
      <c r="B559" s="11" t="s">
        <v>1153</v>
      </c>
      <c r="C559" s="11" t="s">
        <v>665</v>
      </c>
      <c r="D559" s="11" t="s">
        <v>1154</v>
      </c>
      <c r="E559" s="11">
        <v>5</v>
      </c>
      <c r="F559" s="11" t="s">
        <v>699</v>
      </c>
      <c r="G559" s="11" t="s">
        <v>634</v>
      </c>
      <c r="H559" s="14">
        <v>45936.369375000002</v>
      </c>
      <c r="I559" s="12">
        <f>-Mvt_Inter_entrepot[[#This Row],[QTE]]</f>
        <v>-5</v>
      </c>
      <c r="J559" s="11" t="s">
        <v>942</v>
      </c>
      <c r="K559" s="11" t="str">
        <f>_xlfn.TEXTBEFORE(Mvt_Inter_entrepot[[#This Row],[Num Suivis]],"-",,,1)</f>
        <v>CA250031</v>
      </c>
      <c r="L559" s="11" t="e">
        <f>_xlfn.XLOOKUP(Mvt_Inter_entrepot[[#This Row],[Num OF]],#REF!,#REF!,"Non Trouvé")</f>
        <v>#REF!</v>
      </c>
      <c r="M559" s="11" t="e">
        <f>_xlfn.XLOOKUP(Mvt_Inter_entrepot[[#This Row],[Num OF]],#REF!,#REF!,"Non Trouvé")</f>
        <v>#REF!</v>
      </c>
      <c r="N559" s="11" t="e">
        <f>_xlfn.XLOOKUP(Mvt_Inter_entrepot[[#This Row],[Num OF]],#REF!,#REF!,"Non Trouvé")</f>
        <v>#REF!</v>
      </c>
      <c r="O559" s="11" t="e">
        <f>_xlfn.XLOOKUP(Mvt_Inter_entrepot[[#This Row],[Num OF]],#REF!,#REF!,"Non Trouvé")</f>
        <v>#REF!</v>
      </c>
      <c r="P559" s="11" t="e">
        <f>_xlfn.XLOOKUP(Mvt_Inter_entrepot[[#This Row],[Num OF]],#REF!,#REF!,"Non Trouvé")</f>
        <v>#REF!</v>
      </c>
      <c r="Q559" s="11" t="str">
        <f>IF(
   COUNTIFS($A$2:A559,A559,
             $B$2:B559,B559,
             $C$2:C559,C559,
             $D$2:D559,D559,
             $E$2:E559,E559,
             $H$2:H559,H559
             )&gt;1,
   "Doublon",
   "Correcte"
)</f>
        <v>Correcte</v>
      </c>
    </row>
    <row r="560" spans="1:17" x14ac:dyDescent="0.25">
      <c r="A560" s="11" t="s">
        <v>3361</v>
      </c>
      <c r="B560" s="11" t="s">
        <v>1153</v>
      </c>
      <c r="C560" s="11" t="s">
        <v>665</v>
      </c>
      <c r="D560" s="11" t="s">
        <v>1154</v>
      </c>
      <c r="E560" s="11">
        <v>5</v>
      </c>
      <c r="F560" s="11" t="s">
        <v>699</v>
      </c>
      <c r="G560" s="11" t="s">
        <v>634</v>
      </c>
      <c r="H560" s="14">
        <v>45936.369699074072</v>
      </c>
      <c r="I560" s="12">
        <f>-Mvt_Inter_entrepot[[#This Row],[QTE]]</f>
        <v>-5</v>
      </c>
      <c r="J560" s="11" t="s">
        <v>918</v>
      </c>
      <c r="K560" s="11" t="str">
        <f>_xlfn.TEXTBEFORE(Mvt_Inter_entrepot[[#This Row],[Num Suivis]],"-",,,1)</f>
        <v>CA250044</v>
      </c>
      <c r="L560" s="11" t="e">
        <f>_xlfn.XLOOKUP(Mvt_Inter_entrepot[[#This Row],[Num OF]],#REF!,#REF!,"Non Trouvé")</f>
        <v>#REF!</v>
      </c>
      <c r="M560" s="11" t="e">
        <f>_xlfn.XLOOKUP(Mvt_Inter_entrepot[[#This Row],[Num OF]],#REF!,#REF!,"Non Trouvé")</f>
        <v>#REF!</v>
      </c>
      <c r="N560" s="11" t="e">
        <f>_xlfn.XLOOKUP(Mvt_Inter_entrepot[[#This Row],[Num OF]],#REF!,#REF!,"Non Trouvé")</f>
        <v>#REF!</v>
      </c>
      <c r="O560" s="11" t="e">
        <f>_xlfn.XLOOKUP(Mvt_Inter_entrepot[[#This Row],[Num OF]],#REF!,#REF!,"Non Trouvé")</f>
        <v>#REF!</v>
      </c>
      <c r="P560" s="11" t="e">
        <f>_xlfn.XLOOKUP(Mvt_Inter_entrepot[[#This Row],[Num OF]],#REF!,#REF!,"Non Trouvé")</f>
        <v>#REF!</v>
      </c>
      <c r="Q560" s="11" t="str">
        <f>IF(
   COUNTIFS($A$2:A560,A560,
             $B$2:B560,B560,
             $C$2:C560,C560,
             $D$2:D560,D560,
             $E$2:E560,E560,
             $H$2:H560,H560
             )&gt;1,
   "Doublon",
   "Correcte"
)</f>
        <v>Correcte</v>
      </c>
    </row>
    <row r="561" spans="1:17" x14ac:dyDescent="0.25">
      <c r="A561" s="11" t="s">
        <v>3362</v>
      </c>
      <c r="B561" s="11" t="s">
        <v>1153</v>
      </c>
      <c r="C561" s="11" t="s">
        <v>665</v>
      </c>
      <c r="D561" s="11" t="s">
        <v>1154</v>
      </c>
      <c r="E561" s="11">
        <v>5</v>
      </c>
      <c r="F561" s="11" t="s">
        <v>699</v>
      </c>
      <c r="G561" s="11" t="s">
        <v>634</v>
      </c>
      <c r="H561" s="14">
        <v>45936.370046296295</v>
      </c>
      <c r="I561" s="12">
        <f>-Mvt_Inter_entrepot[[#This Row],[QTE]]</f>
        <v>-5</v>
      </c>
      <c r="J561" s="11" t="s">
        <v>887</v>
      </c>
      <c r="K561" s="11" t="str">
        <f>_xlfn.TEXTBEFORE(Mvt_Inter_entrepot[[#This Row],[Num Suivis]],"-",,,1)</f>
        <v>CA250076</v>
      </c>
      <c r="L561" s="11" t="e">
        <f>_xlfn.XLOOKUP(Mvt_Inter_entrepot[[#This Row],[Num OF]],#REF!,#REF!,"Non Trouvé")</f>
        <v>#REF!</v>
      </c>
      <c r="M561" s="11" t="e">
        <f>_xlfn.XLOOKUP(Mvt_Inter_entrepot[[#This Row],[Num OF]],#REF!,#REF!,"Non Trouvé")</f>
        <v>#REF!</v>
      </c>
      <c r="N561" s="11" t="e">
        <f>_xlfn.XLOOKUP(Mvt_Inter_entrepot[[#This Row],[Num OF]],#REF!,#REF!,"Non Trouvé")</f>
        <v>#REF!</v>
      </c>
      <c r="O561" s="11" t="e">
        <f>_xlfn.XLOOKUP(Mvt_Inter_entrepot[[#This Row],[Num OF]],#REF!,#REF!,"Non Trouvé")</f>
        <v>#REF!</v>
      </c>
      <c r="P561" s="11" t="e">
        <f>_xlfn.XLOOKUP(Mvt_Inter_entrepot[[#This Row],[Num OF]],#REF!,#REF!,"Non Trouvé")</f>
        <v>#REF!</v>
      </c>
      <c r="Q561" s="11" t="str">
        <f>IF(
   COUNTIFS($A$2:A561,A561,
             $B$2:B561,B561,
             $C$2:C561,C561,
             $D$2:D561,D561,
             $E$2:E561,E561,
             $H$2:H561,H561
             )&gt;1,
   "Doublon",
   "Correcte"
)</f>
        <v>Correcte</v>
      </c>
    </row>
    <row r="562" spans="1:17" x14ac:dyDescent="0.25">
      <c r="A562" s="11" t="s">
        <v>3363</v>
      </c>
      <c r="B562" s="11" t="s">
        <v>1153</v>
      </c>
      <c r="C562" s="11" t="s">
        <v>665</v>
      </c>
      <c r="D562" s="11" t="s">
        <v>1154</v>
      </c>
      <c r="E562" s="11">
        <v>5</v>
      </c>
      <c r="F562" s="11" t="s">
        <v>699</v>
      </c>
      <c r="G562" s="11" t="s">
        <v>634</v>
      </c>
      <c r="H562" s="14">
        <v>45936.370520833334</v>
      </c>
      <c r="I562" s="12">
        <f>-Mvt_Inter_entrepot[[#This Row],[QTE]]</f>
        <v>-5</v>
      </c>
      <c r="J562" s="11" t="s">
        <v>955</v>
      </c>
      <c r="K562" s="11" t="str">
        <f>_xlfn.TEXTBEFORE(Mvt_Inter_entrepot[[#This Row],[Num Suivis]],"-",,,1)</f>
        <v>CA250048</v>
      </c>
      <c r="L562" s="11" t="e">
        <f>_xlfn.XLOOKUP(Mvt_Inter_entrepot[[#This Row],[Num OF]],#REF!,#REF!,"Non Trouvé")</f>
        <v>#REF!</v>
      </c>
      <c r="M562" s="11" t="e">
        <f>_xlfn.XLOOKUP(Mvt_Inter_entrepot[[#This Row],[Num OF]],#REF!,#REF!,"Non Trouvé")</f>
        <v>#REF!</v>
      </c>
      <c r="N562" s="11" t="e">
        <f>_xlfn.XLOOKUP(Mvt_Inter_entrepot[[#This Row],[Num OF]],#REF!,#REF!,"Non Trouvé")</f>
        <v>#REF!</v>
      </c>
      <c r="O562" s="11" t="e">
        <f>_xlfn.XLOOKUP(Mvt_Inter_entrepot[[#This Row],[Num OF]],#REF!,#REF!,"Non Trouvé")</f>
        <v>#REF!</v>
      </c>
      <c r="P562" s="11" t="e">
        <f>_xlfn.XLOOKUP(Mvt_Inter_entrepot[[#This Row],[Num OF]],#REF!,#REF!,"Non Trouvé")</f>
        <v>#REF!</v>
      </c>
      <c r="Q562" s="11" t="str">
        <f>IF(
   COUNTIFS($A$2:A562,A562,
             $B$2:B562,B562,
             $C$2:C562,C562,
             $D$2:D562,D562,
             $E$2:E562,E562,
             $H$2:H562,H562
             )&gt;1,
   "Doublon",
   "Correcte"
)</f>
        <v>Correcte</v>
      </c>
    </row>
    <row r="563" spans="1:17" x14ac:dyDescent="0.25">
      <c r="A563" s="11" t="s">
        <v>3364</v>
      </c>
      <c r="B563" s="11" t="s">
        <v>1153</v>
      </c>
      <c r="C563" s="11" t="s">
        <v>665</v>
      </c>
      <c r="D563" s="11" t="s">
        <v>1154</v>
      </c>
      <c r="E563" s="11">
        <v>5</v>
      </c>
      <c r="F563" s="11" t="s">
        <v>699</v>
      </c>
      <c r="G563" s="11" t="s">
        <v>634</v>
      </c>
      <c r="H563" s="14">
        <v>45936.370856481481</v>
      </c>
      <c r="I563" s="12">
        <f>-Mvt_Inter_entrepot[[#This Row],[QTE]]</f>
        <v>-5</v>
      </c>
      <c r="J563" s="11" t="s">
        <v>954</v>
      </c>
      <c r="K563" s="11" t="str">
        <f>_xlfn.TEXTBEFORE(Mvt_Inter_entrepot[[#This Row],[Num Suivis]],"-",,,1)</f>
        <v>CA250048</v>
      </c>
      <c r="L563" s="11" t="e">
        <f>_xlfn.XLOOKUP(Mvt_Inter_entrepot[[#This Row],[Num OF]],#REF!,#REF!,"Non Trouvé")</f>
        <v>#REF!</v>
      </c>
      <c r="M563" s="11" t="e">
        <f>_xlfn.XLOOKUP(Mvt_Inter_entrepot[[#This Row],[Num OF]],#REF!,#REF!,"Non Trouvé")</f>
        <v>#REF!</v>
      </c>
      <c r="N563" s="11" t="e">
        <f>_xlfn.XLOOKUP(Mvt_Inter_entrepot[[#This Row],[Num OF]],#REF!,#REF!,"Non Trouvé")</f>
        <v>#REF!</v>
      </c>
      <c r="O563" s="11" t="e">
        <f>_xlfn.XLOOKUP(Mvt_Inter_entrepot[[#This Row],[Num OF]],#REF!,#REF!,"Non Trouvé")</f>
        <v>#REF!</v>
      </c>
      <c r="P563" s="11" t="e">
        <f>_xlfn.XLOOKUP(Mvt_Inter_entrepot[[#This Row],[Num OF]],#REF!,#REF!,"Non Trouvé")</f>
        <v>#REF!</v>
      </c>
      <c r="Q563" s="11" t="str">
        <f>IF(
   COUNTIFS($A$2:A563,A563,
             $B$2:B563,B563,
             $C$2:C563,C563,
             $D$2:D563,D563,
             $E$2:E563,E563,
             $H$2:H563,H563
             )&gt;1,
   "Doublon",
   "Correcte"
)</f>
        <v>Correcte</v>
      </c>
    </row>
    <row r="564" spans="1:17" x14ac:dyDescent="0.25">
      <c r="A564" s="11" t="s">
        <v>3365</v>
      </c>
      <c r="B564" s="11" t="s">
        <v>1153</v>
      </c>
      <c r="C564" s="11" t="s">
        <v>665</v>
      </c>
      <c r="D564" s="11" t="s">
        <v>1154</v>
      </c>
      <c r="E564" s="11">
        <v>5</v>
      </c>
      <c r="F564" s="11" t="s">
        <v>699</v>
      </c>
      <c r="G564" s="11" t="s">
        <v>634</v>
      </c>
      <c r="H564" s="14">
        <v>45936.37127314815</v>
      </c>
      <c r="I564" s="12">
        <f>-Mvt_Inter_entrepot[[#This Row],[QTE]]</f>
        <v>-5</v>
      </c>
      <c r="J564" s="11" t="s">
        <v>956</v>
      </c>
      <c r="K564" s="11" t="str">
        <f>_xlfn.TEXTBEFORE(Mvt_Inter_entrepot[[#This Row],[Num Suivis]],"-",,,1)</f>
        <v>CA250048</v>
      </c>
      <c r="L564" s="11" t="e">
        <f>_xlfn.XLOOKUP(Mvt_Inter_entrepot[[#This Row],[Num OF]],#REF!,#REF!,"Non Trouvé")</f>
        <v>#REF!</v>
      </c>
      <c r="M564" s="11" t="e">
        <f>_xlfn.XLOOKUP(Mvt_Inter_entrepot[[#This Row],[Num OF]],#REF!,#REF!,"Non Trouvé")</f>
        <v>#REF!</v>
      </c>
      <c r="N564" s="11" t="e">
        <f>_xlfn.XLOOKUP(Mvt_Inter_entrepot[[#This Row],[Num OF]],#REF!,#REF!,"Non Trouvé")</f>
        <v>#REF!</v>
      </c>
      <c r="O564" s="11" t="e">
        <f>_xlfn.XLOOKUP(Mvt_Inter_entrepot[[#This Row],[Num OF]],#REF!,#REF!,"Non Trouvé")</f>
        <v>#REF!</v>
      </c>
      <c r="P564" s="11" t="e">
        <f>_xlfn.XLOOKUP(Mvt_Inter_entrepot[[#This Row],[Num OF]],#REF!,#REF!,"Non Trouvé")</f>
        <v>#REF!</v>
      </c>
      <c r="Q564" s="11" t="str">
        <f>IF(
   COUNTIFS($A$2:A564,A564,
             $B$2:B564,B564,
             $C$2:C564,C564,
             $D$2:D564,D564,
             $E$2:E564,E564,
             $H$2:H564,H564
             )&gt;1,
   "Doublon",
   "Correcte"
)</f>
        <v>Correcte</v>
      </c>
    </row>
    <row r="565" spans="1:17" x14ac:dyDescent="0.25">
      <c r="A565" s="11" t="s">
        <v>3366</v>
      </c>
      <c r="B565" s="11" t="s">
        <v>1153</v>
      </c>
      <c r="C565" s="11" t="s">
        <v>665</v>
      </c>
      <c r="D565" s="11" t="s">
        <v>1154</v>
      </c>
      <c r="E565" s="11">
        <v>5</v>
      </c>
      <c r="F565" s="11" t="s">
        <v>699</v>
      </c>
      <c r="G565" s="11" t="s">
        <v>634</v>
      </c>
      <c r="H565" s="14">
        <v>45936.371759259258</v>
      </c>
      <c r="I565" s="12">
        <f>-Mvt_Inter_entrepot[[#This Row],[QTE]]</f>
        <v>-5</v>
      </c>
      <c r="J565" s="11" t="s">
        <v>919</v>
      </c>
      <c r="K565" s="11" t="str">
        <f>_xlfn.TEXTBEFORE(Mvt_Inter_entrepot[[#This Row],[Num Suivis]],"-",,,1)</f>
        <v>CA250044</v>
      </c>
      <c r="L565" s="11" t="e">
        <f>_xlfn.XLOOKUP(Mvt_Inter_entrepot[[#This Row],[Num OF]],#REF!,#REF!,"Non Trouvé")</f>
        <v>#REF!</v>
      </c>
      <c r="M565" s="11" t="e">
        <f>_xlfn.XLOOKUP(Mvt_Inter_entrepot[[#This Row],[Num OF]],#REF!,#REF!,"Non Trouvé")</f>
        <v>#REF!</v>
      </c>
      <c r="N565" s="11" t="e">
        <f>_xlfn.XLOOKUP(Mvt_Inter_entrepot[[#This Row],[Num OF]],#REF!,#REF!,"Non Trouvé")</f>
        <v>#REF!</v>
      </c>
      <c r="O565" s="11" t="e">
        <f>_xlfn.XLOOKUP(Mvt_Inter_entrepot[[#This Row],[Num OF]],#REF!,#REF!,"Non Trouvé")</f>
        <v>#REF!</v>
      </c>
      <c r="P565" s="11" t="e">
        <f>_xlfn.XLOOKUP(Mvt_Inter_entrepot[[#This Row],[Num OF]],#REF!,#REF!,"Non Trouvé")</f>
        <v>#REF!</v>
      </c>
      <c r="Q565" s="11" t="str">
        <f>IF(
   COUNTIFS($A$2:A565,A565,
             $B$2:B565,B565,
             $C$2:C565,C565,
             $D$2:D565,D565,
             $E$2:E565,E565,
             $H$2:H565,H565
             )&gt;1,
   "Doublon",
   "Correcte"
)</f>
        <v>Correcte</v>
      </c>
    </row>
    <row r="566" spans="1:17" x14ac:dyDescent="0.25">
      <c r="A566" s="11" t="s">
        <v>3367</v>
      </c>
      <c r="B566" s="11" t="s">
        <v>1153</v>
      </c>
      <c r="C566" s="11" t="s">
        <v>665</v>
      </c>
      <c r="D566" s="11" t="s">
        <v>1154</v>
      </c>
      <c r="E566" s="11">
        <v>5</v>
      </c>
      <c r="F566" s="11" t="s">
        <v>699</v>
      </c>
      <c r="G566" s="11" t="s">
        <v>634</v>
      </c>
      <c r="H566" s="14">
        <v>45936.372314814813</v>
      </c>
      <c r="I566" s="12">
        <f>-Mvt_Inter_entrepot[[#This Row],[QTE]]</f>
        <v>-5</v>
      </c>
      <c r="J566" s="11" t="s">
        <v>946</v>
      </c>
      <c r="K566" s="11" t="str">
        <f>_xlfn.TEXTBEFORE(Mvt_Inter_entrepot[[#This Row],[Num Suivis]],"-",,,1)</f>
        <v>CA250045</v>
      </c>
      <c r="L566" s="11" t="e">
        <f>_xlfn.XLOOKUP(Mvt_Inter_entrepot[[#This Row],[Num OF]],#REF!,#REF!,"Non Trouvé")</f>
        <v>#REF!</v>
      </c>
      <c r="M566" s="11" t="e">
        <f>_xlfn.XLOOKUP(Mvt_Inter_entrepot[[#This Row],[Num OF]],#REF!,#REF!,"Non Trouvé")</f>
        <v>#REF!</v>
      </c>
      <c r="N566" s="11" t="e">
        <f>_xlfn.XLOOKUP(Mvt_Inter_entrepot[[#This Row],[Num OF]],#REF!,#REF!,"Non Trouvé")</f>
        <v>#REF!</v>
      </c>
      <c r="O566" s="11" t="e">
        <f>_xlfn.XLOOKUP(Mvt_Inter_entrepot[[#This Row],[Num OF]],#REF!,#REF!,"Non Trouvé")</f>
        <v>#REF!</v>
      </c>
      <c r="P566" s="11" t="e">
        <f>_xlfn.XLOOKUP(Mvt_Inter_entrepot[[#This Row],[Num OF]],#REF!,#REF!,"Non Trouvé")</f>
        <v>#REF!</v>
      </c>
      <c r="Q566" s="11" t="str">
        <f>IF(
   COUNTIFS($A$2:A566,A566,
             $B$2:B566,B566,
             $C$2:C566,C566,
             $D$2:D566,D566,
             $E$2:E566,E566,
             $H$2:H566,H566
             )&gt;1,
   "Doublon",
   "Correcte"
)</f>
        <v>Correcte</v>
      </c>
    </row>
    <row r="567" spans="1:17" x14ac:dyDescent="0.25">
      <c r="A567" s="11" t="s">
        <v>3368</v>
      </c>
      <c r="B567" s="11" t="s">
        <v>1153</v>
      </c>
      <c r="C567" s="11" t="s">
        <v>665</v>
      </c>
      <c r="D567" s="11" t="s">
        <v>1154</v>
      </c>
      <c r="E567" s="11">
        <v>5</v>
      </c>
      <c r="F567" s="11" t="s">
        <v>699</v>
      </c>
      <c r="G567" s="11" t="s">
        <v>634</v>
      </c>
      <c r="H567" s="14">
        <v>45936.372650462959</v>
      </c>
      <c r="I567" s="12">
        <f>-Mvt_Inter_entrepot[[#This Row],[QTE]]</f>
        <v>-5</v>
      </c>
      <c r="J567" s="11" t="s">
        <v>945</v>
      </c>
      <c r="K567" s="11" t="str">
        <f>_xlfn.TEXTBEFORE(Mvt_Inter_entrepot[[#This Row],[Num Suivis]],"-",,,1)</f>
        <v>CA250045</v>
      </c>
      <c r="L567" s="11" t="e">
        <f>_xlfn.XLOOKUP(Mvt_Inter_entrepot[[#This Row],[Num OF]],#REF!,#REF!,"Non Trouvé")</f>
        <v>#REF!</v>
      </c>
      <c r="M567" s="11" t="e">
        <f>_xlfn.XLOOKUP(Mvt_Inter_entrepot[[#This Row],[Num OF]],#REF!,#REF!,"Non Trouvé")</f>
        <v>#REF!</v>
      </c>
      <c r="N567" s="11" t="e">
        <f>_xlfn.XLOOKUP(Mvt_Inter_entrepot[[#This Row],[Num OF]],#REF!,#REF!,"Non Trouvé")</f>
        <v>#REF!</v>
      </c>
      <c r="O567" s="11" t="e">
        <f>_xlfn.XLOOKUP(Mvt_Inter_entrepot[[#This Row],[Num OF]],#REF!,#REF!,"Non Trouvé")</f>
        <v>#REF!</v>
      </c>
      <c r="P567" s="11" t="e">
        <f>_xlfn.XLOOKUP(Mvt_Inter_entrepot[[#This Row],[Num OF]],#REF!,#REF!,"Non Trouvé")</f>
        <v>#REF!</v>
      </c>
      <c r="Q567" s="11" t="str">
        <f>IF(
   COUNTIFS($A$2:A567,A567,
             $B$2:B567,B567,
             $C$2:C567,C567,
             $D$2:D567,D567,
             $E$2:E567,E567,
             $H$2:H567,H567
             )&gt;1,
   "Doublon",
   "Correcte"
)</f>
        <v>Correcte</v>
      </c>
    </row>
    <row r="568" spans="1:17" x14ac:dyDescent="0.25">
      <c r="A568" s="11" t="s">
        <v>3369</v>
      </c>
      <c r="B568" s="11" t="s">
        <v>1153</v>
      </c>
      <c r="C568" s="11" t="s">
        <v>665</v>
      </c>
      <c r="D568" s="11" t="s">
        <v>1154</v>
      </c>
      <c r="E568" s="11">
        <v>5</v>
      </c>
      <c r="F568" s="11" t="s">
        <v>699</v>
      </c>
      <c r="G568" s="11" t="s">
        <v>634</v>
      </c>
      <c r="H568" s="14">
        <v>45936.37296296296</v>
      </c>
      <c r="I568" s="12">
        <f>-Mvt_Inter_entrepot[[#This Row],[QTE]]</f>
        <v>-5</v>
      </c>
      <c r="J568" s="11" t="s">
        <v>944</v>
      </c>
      <c r="K568" s="11" t="str">
        <f>_xlfn.TEXTBEFORE(Mvt_Inter_entrepot[[#This Row],[Num Suivis]],"-",,,1)</f>
        <v>CA250045</v>
      </c>
      <c r="L568" s="11" t="e">
        <f>_xlfn.XLOOKUP(Mvt_Inter_entrepot[[#This Row],[Num OF]],#REF!,#REF!,"Non Trouvé")</f>
        <v>#REF!</v>
      </c>
      <c r="M568" s="11" t="e">
        <f>_xlfn.XLOOKUP(Mvt_Inter_entrepot[[#This Row],[Num OF]],#REF!,#REF!,"Non Trouvé")</f>
        <v>#REF!</v>
      </c>
      <c r="N568" s="11" t="e">
        <f>_xlfn.XLOOKUP(Mvt_Inter_entrepot[[#This Row],[Num OF]],#REF!,#REF!,"Non Trouvé")</f>
        <v>#REF!</v>
      </c>
      <c r="O568" s="11" t="e">
        <f>_xlfn.XLOOKUP(Mvt_Inter_entrepot[[#This Row],[Num OF]],#REF!,#REF!,"Non Trouvé")</f>
        <v>#REF!</v>
      </c>
      <c r="P568" s="11" t="e">
        <f>_xlfn.XLOOKUP(Mvt_Inter_entrepot[[#This Row],[Num OF]],#REF!,#REF!,"Non Trouvé")</f>
        <v>#REF!</v>
      </c>
      <c r="Q568" s="11" t="str">
        <f>IF(
   COUNTIFS($A$2:A568,A568,
             $B$2:B568,B568,
             $C$2:C568,C568,
             $D$2:D568,D568,
             $E$2:E568,E568,
             $H$2:H568,H568
             )&gt;1,
   "Doublon",
   "Correcte"
)</f>
        <v>Correcte</v>
      </c>
    </row>
    <row r="569" spans="1:17" x14ac:dyDescent="0.25">
      <c r="A569" s="11" t="s">
        <v>3370</v>
      </c>
      <c r="B569" s="11" t="s">
        <v>1153</v>
      </c>
      <c r="C569" s="11" t="s">
        <v>665</v>
      </c>
      <c r="D569" s="11" t="s">
        <v>1154</v>
      </c>
      <c r="E569" s="11">
        <v>5</v>
      </c>
      <c r="F569" s="11" t="s">
        <v>699</v>
      </c>
      <c r="G569" s="11" t="s">
        <v>634</v>
      </c>
      <c r="H569" s="14">
        <v>45936.373217592591</v>
      </c>
      <c r="I569" s="12">
        <f>-Mvt_Inter_entrepot[[#This Row],[QTE]]</f>
        <v>-5</v>
      </c>
      <c r="J569" s="11" t="s">
        <v>950</v>
      </c>
      <c r="K569" s="11" t="str">
        <f>_xlfn.TEXTBEFORE(Mvt_Inter_entrepot[[#This Row],[Num Suivis]],"-",,,1)</f>
        <v>CA250046</v>
      </c>
      <c r="L569" s="11" t="e">
        <f>_xlfn.XLOOKUP(Mvt_Inter_entrepot[[#This Row],[Num OF]],#REF!,#REF!,"Non Trouvé")</f>
        <v>#REF!</v>
      </c>
      <c r="M569" s="11" t="e">
        <f>_xlfn.XLOOKUP(Mvt_Inter_entrepot[[#This Row],[Num OF]],#REF!,#REF!,"Non Trouvé")</f>
        <v>#REF!</v>
      </c>
      <c r="N569" s="11" t="e">
        <f>_xlfn.XLOOKUP(Mvt_Inter_entrepot[[#This Row],[Num OF]],#REF!,#REF!,"Non Trouvé")</f>
        <v>#REF!</v>
      </c>
      <c r="O569" s="11" t="e">
        <f>_xlfn.XLOOKUP(Mvt_Inter_entrepot[[#This Row],[Num OF]],#REF!,#REF!,"Non Trouvé")</f>
        <v>#REF!</v>
      </c>
      <c r="P569" s="11" t="e">
        <f>_xlfn.XLOOKUP(Mvt_Inter_entrepot[[#This Row],[Num OF]],#REF!,#REF!,"Non Trouvé")</f>
        <v>#REF!</v>
      </c>
      <c r="Q569" s="11" t="str">
        <f>IF(
   COUNTIFS($A$2:A569,A569,
             $B$2:B569,B569,
             $C$2:C569,C569,
             $D$2:D569,D569,
             $E$2:E569,E569,
             $H$2:H569,H569
             )&gt;1,
   "Doublon",
   "Correcte"
)</f>
        <v>Correcte</v>
      </c>
    </row>
    <row r="570" spans="1:17" x14ac:dyDescent="0.25">
      <c r="A570" s="11" t="s">
        <v>3371</v>
      </c>
      <c r="B570" s="11" t="s">
        <v>1153</v>
      </c>
      <c r="C570" s="11" t="s">
        <v>665</v>
      </c>
      <c r="D570" s="11" t="s">
        <v>1154</v>
      </c>
      <c r="E570" s="11">
        <v>5</v>
      </c>
      <c r="F570" s="11" t="s">
        <v>699</v>
      </c>
      <c r="G570" s="11" t="s">
        <v>634</v>
      </c>
      <c r="H570" s="14">
        <v>45936.373576388891</v>
      </c>
      <c r="I570" s="12">
        <f>-Mvt_Inter_entrepot[[#This Row],[QTE]]</f>
        <v>-5</v>
      </c>
      <c r="J570" s="11" t="s">
        <v>927</v>
      </c>
      <c r="K570" s="11" t="str">
        <f>_xlfn.TEXTBEFORE(Mvt_Inter_entrepot[[#This Row],[Num Suivis]],"-",,,1)</f>
        <v>CA250043</v>
      </c>
      <c r="L570" s="11" t="e">
        <f>_xlfn.XLOOKUP(Mvt_Inter_entrepot[[#This Row],[Num OF]],#REF!,#REF!,"Non Trouvé")</f>
        <v>#REF!</v>
      </c>
      <c r="M570" s="11" t="e">
        <f>_xlfn.XLOOKUP(Mvt_Inter_entrepot[[#This Row],[Num OF]],#REF!,#REF!,"Non Trouvé")</f>
        <v>#REF!</v>
      </c>
      <c r="N570" s="11" t="e">
        <f>_xlfn.XLOOKUP(Mvt_Inter_entrepot[[#This Row],[Num OF]],#REF!,#REF!,"Non Trouvé")</f>
        <v>#REF!</v>
      </c>
      <c r="O570" s="11" t="e">
        <f>_xlfn.XLOOKUP(Mvt_Inter_entrepot[[#This Row],[Num OF]],#REF!,#REF!,"Non Trouvé")</f>
        <v>#REF!</v>
      </c>
      <c r="P570" s="11" t="e">
        <f>_xlfn.XLOOKUP(Mvt_Inter_entrepot[[#This Row],[Num OF]],#REF!,#REF!,"Non Trouvé")</f>
        <v>#REF!</v>
      </c>
      <c r="Q570" s="11" t="str">
        <f>IF(
   COUNTIFS($A$2:A570,A570,
             $B$2:B570,B570,
             $C$2:C570,C570,
             $D$2:D570,D570,
             $E$2:E570,E570,
             $H$2:H570,H570
             )&gt;1,
   "Doublon",
   "Correcte"
)</f>
        <v>Correcte</v>
      </c>
    </row>
    <row r="571" spans="1:17" x14ac:dyDescent="0.25">
      <c r="A571" s="11" t="s">
        <v>3372</v>
      </c>
      <c r="B571" s="11" t="s">
        <v>1153</v>
      </c>
      <c r="C571" s="11" t="s">
        <v>665</v>
      </c>
      <c r="D571" s="11" t="s">
        <v>1154</v>
      </c>
      <c r="E571" s="11">
        <v>5</v>
      </c>
      <c r="F571" s="11" t="s">
        <v>699</v>
      </c>
      <c r="G571" s="11" t="s">
        <v>634</v>
      </c>
      <c r="H571" s="14">
        <v>45936.374108796299</v>
      </c>
      <c r="I571" s="12">
        <f>-Mvt_Inter_entrepot[[#This Row],[QTE]]</f>
        <v>-5</v>
      </c>
      <c r="J571" s="11" t="s">
        <v>931</v>
      </c>
      <c r="K571" s="11" t="str">
        <f>_xlfn.TEXTBEFORE(Mvt_Inter_entrepot[[#This Row],[Num Suivis]],"-",,,1)</f>
        <v>CA250033</v>
      </c>
      <c r="L571" s="11" t="e">
        <f>_xlfn.XLOOKUP(Mvt_Inter_entrepot[[#This Row],[Num OF]],#REF!,#REF!,"Non Trouvé")</f>
        <v>#REF!</v>
      </c>
      <c r="M571" s="11" t="e">
        <f>_xlfn.XLOOKUP(Mvt_Inter_entrepot[[#This Row],[Num OF]],#REF!,#REF!,"Non Trouvé")</f>
        <v>#REF!</v>
      </c>
      <c r="N571" s="11" t="e">
        <f>_xlfn.XLOOKUP(Mvt_Inter_entrepot[[#This Row],[Num OF]],#REF!,#REF!,"Non Trouvé")</f>
        <v>#REF!</v>
      </c>
      <c r="O571" s="11" t="e">
        <f>_xlfn.XLOOKUP(Mvt_Inter_entrepot[[#This Row],[Num OF]],#REF!,#REF!,"Non Trouvé")</f>
        <v>#REF!</v>
      </c>
      <c r="P571" s="11" t="e">
        <f>_xlfn.XLOOKUP(Mvt_Inter_entrepot[[#This Row],[Num OF]],#REF!,#REF!,"Non Trouvé")</f>
        <v>#REF!</v>
      </c>
      <c r="Q571" s="11" t="str">
        <f>IF(
   COUNTIFS($A$2:A571,A571,
             $B$2:B571,B571,
             $C$2:C571,C571,
             $D$2:D571,D571,
             $E$2:E571,E571,
             $H$2:H571,H571
             )&gt;1,
   "Doublon",
   "Correcte"
)</f>
        <v>Correcte</v>
      </c>
    </row>
    <row r="572" spans="1:17" x14ac:dyDescent="0.25">
      <c r="A572" s="11" t="s">
        <v>3373</v>
      </c>
      <c r="B572" s="11" t="s">
        <v>1153</v>
      </c>
      <c r="C572" s="11" t="s">
        <v>665</v>
      </c>
      <c r="D572" s="11" t="s">
        <v>1154</v>
      </c>
      <c r="E572" s="11">
        <v>5</v>
      </c>
      <c r="F572" s="11" t="s">
        <v>699</v>
      </c>
      <c r="G572" s="11" t="s">
        <v>634</v>
      </c>
      <c r="H572" s="14">
        <v>45936.374479166669</v>
      </c>
      <c r="I572" s="12">
        <f>-Mvt_Inter_entrepot[[#This Row],[QTE]]</f>
        <v>-5</v>
      </c>
      <c r="J572" s="11" t="s">
        <v>917</v>
      </c>
      <c r="K572" s="11" t="str">
        <f>_xlfn.TEXTBEFORE(Mvt_Inter_entrepot[[#This Row],[Num Suivis]],"-",,,1)</f>
        <v>CA250044</v>
      </c>
      <c r="L572" s="11" t="e">
        <f>_xlfn.XLOOKUP(Mvt_Inter_entrepot[[#This Row],[Num OF]],#REF!,#REF!,"Non Trouvé")</f>
        <v>#REF!</v>
      </c>
      <c r="M572" s="11" t="e">
        <f>_xlfn.XLOOKUP(Mvt_Inter_entrepot[[#This Row],[Num OF]],#REF!,#REF!,"Non Trouvé")</f>
        <v>#REF!</v>
      </c>
      <c r="N572" s="11" t="e">
        <f>_xlfn.XLOOKUP(Mvt_Inter_entrepot[[#This Row],[Num OF]],#REF!,#REF!,"Non Trouvé")</f>
        <v>#REF!</v>
      </c>
      <c r="O572" s="11" t="e">
        <f>_xlfn.XLOOKUP(Mvt_Inter_entrepot[[#This Row],[Num OF]],#REF!,#REF!,"Non Trouvé")</f>
        <v>#REF!</v>
      </c>
      <c r="P572" s="11" t="e">
        <f>_xlfn.XLOOKUP(Mvt_Inter_entrepot[[#This Row],[Num OF]],#REF!,#REF!,"Non Trouvé")</f>
        <v>#REF!</v>
      </c>
      <c r="Q572" s="11" t="str">
        <f>IF(
   COUNTIFS($A$2:A572,A572,
             $B$2:B572,B572,
             $C$2:C572,C572,
             $D$2:D572,D572,
             $E$2:E572,E572,
             $H$2:H572,H572
             )&gt;1,
   "Doublon",
   "Correcte"
)</f>
        <v>Correcte</v>
      </c>
    </row>
    <row r="573" spans="1:17" x14ac:dyDescent="0.25">
      <c r="A573" s="11" t="s">
        <v>3374</v>
      </c>
      <c r="B573" s="11" t="s">
        <v>1153</v>
      </c>
      <c r="C573" s="11" t="s">
        <v>665</v>
      </c>
      <c r="D573" s="11" t="s">
        <v>1154</v>
      </c>
      <c r="E573" s="11">
        <v>5</v>
      </c>
      <c r="F573" s="11" t="s">
        <v>699</v>
      </c>
      <c r="G573" s="11" t="s">
        <v>634</v>
      </c>
      <c r="H573" s="14">
        <v>45936.374930555554</v>
      </c>
      <c r="I573" s="12">
        <f>-Mvt_Inter_entrepot[[#This Row],[QTE]]</f>
        <v>-5</v>
      </c>
      <c r="J573" s="11" t="s">
        <v>932</v>
      </c>
      <c r="K573" s="11" t="str">
        <f>_xlfn.TEXTBEFORE(Mvt_Inter_entrepot[[#This Row],[Num Suivis]],"-",,,1)</f>
        <v>CA250033</v>
      </c>
      <c r="L573" s="11" t="e">
        <f>_xlfn.XLOOKUP(Mvt_Inter_entrepot[[#This Row],[Num OF]],#REF!,#REF!,"Non Trouvé")</f>
        <v>#REF!</v>
      </c>
      <c r="M573" s="11" t="e">
        <f>_xlfn.XLOOKUP(Mvt_Inter_entrepot[[#This Row],[Num OF]],#REF!,#REF!,"Non Trouvé")</f>
        <v>#REF!</v>
      </c>
      <c r="N573" s="11" t="e">
        <f>_xlfn.XLOOKUP(Mvt_Inter_entrepot[[#This Row],[Num OF]],#REF!,#REF!,"Non Trouvé")</f>
        <v>#REF!</v>
      </c>
      <c r="O573" s="11" t="e">
        <f>_xlfn.XLOOKUP(Mvt_Inter_entrepot[[#This Row],[Num OF]],#REF!,#REF!,"Non Trouvé")</f>
        <v>#REF!</v>
      </c>
      <c r="P573" s="11" t="e">
        <f>_xlfn.XLOOKUP(Mvt_Inter_entrepot[[#This Row],[Num OF]],#REF!,#REF!,"Non Trouvé")</f>
        <v>#REF!</v>
      </c>
      <c r="Q573" s="11" t="str">
        <f>IF(
   COUNTIFS($A$2:A573,A573,
             $B$2:B573,B573,
             $C$2:C573,C573,
             $D$2:D573,D573,
             $E$2:E573,E573,
             $H$2:H573,H573
             )&gt;1,
   "Doublon",
   "Correcte"
)</f>
        <v>Correcte</v>
      </c>
    </row>
    <row r="574" spans="1:17" x14ac:dyDescent="0.25">
      <c r="A574" s="11" t="s">
        <v>3375</v>
      </c>
      <c r="B574" s="11" t="s">
        <v>1153</v>
      </c>
      <c r="C574" s="11" t="s">
        <v>665</v>
      </c>
      <c r="D574" s="11" t="s">
        <v>1154</v>
      </c>
      <c r="E574" s="11">
        <v>5</v>
      </c>
      <c r="F574" s="11" t="s">
        <v>699</v>
      </c>
      <c r="G574" s="11" t="s">
        <v>634</v>
      </c>
      <c r="H574" s="14">
        <v>45936.375567129631</v>
      </c>
      <c r="I574" s="12">
        <f>-Mvt_Inter_entrepot[[#This Row],[QTE]]</f>
        <v>-5</v>
      </c>
      <c r="J574" s="11" t="s">
        <v>941</v>
      </c>
      <c r="K574" s="11" t="str">
        <f>_xlfn.TEXTBEFORE(Mvt_Inter_entrepot[[#This Row],[Num Suivis]],"-",,,1)</f>
        <v>CA250031</v>
      </c>
      <c r="L574" s="11" t="e">
        <f>_xlfn.XLOOKUP(Mvt_Inter_entrepot[[#This Row],[Num OF]],#REF!,#REF!,"Non Trouvé")</f>
        <v>#REF!</v>
      </c>
      <c r="M574" s="11" t="e">
        <f>_xlfn.XLOOKUP(Mvt_Inter_entrepot[[#This Row],[Num OF]],#REF!,#REF!,"Non Trouvé")</f>
        <v>#REF!</v>
      </c>
      <c r="N574" s="11" t="e">
        <f>_xlfn.XLOOKUP(Mvt_Inter_entrepot[[#This Row],[Num OF]],#REF!,#REF!,"Non Trouvé")</f>
        <v>#REF!</v>
      </c>
      <c r="O574" s="11" t="e">
        <f>_xlfn.XLOOKUP(Mvt_Inter_entrepot[[#This Row],[Num OF]],#REF!,#REF!,"Non Trouvé")</f>
        <v>#REF!</v>
      </c>
      <c r="P574" s="11" t="e">
        <f>_xlfn.XLOOKUP(Mvt_Inter_entrepot[[#This Row],[Num OF]],#REF!,#REF!,"Non Trouvé")</f>
        <v>#REF!</v>
      </c>
      <c r="Q574" s="11" t="str">
        <f>IF(
   COUNTIFS($A$2:A574,A574,
             $B$2:B574,B574,
             $C$2:C574,C574,
             $D$2:D574,D574,
             $E$2:E574,E574,
             $H$2:H574,H574
             )&gt;1,
   "Doublon",
   "Correcte"
)</f>
        <v>Correcte</v>
      </c>
    </row>
    <row r="575" spans="1:17" x14ac:dyDescent="0.25">
      <c r="A575" s="11" t="s">
        <v>3376</v>
      </c>
      <c r="B575" s="11" t="s">
        <v>1153</v>
      </c>
      <c r="C575" s="11" t="s">
        <v>665</v>
      </c>
      <c r="D575" s="11" t="s">
        <v>1154</v>
      </c>
      <c r="E575" s="11">
        <v>5</v>
      </c>
      <c r="F575" s="11" t="s">
        <v>699</v>
      </c>
      <c r="G575" s="11" t="s">
        <v>634</v>
      </c>
      <c r="H575" s="14">
        <v>45936.375949074078</v>
      </c>
      <c r="I575" s="12">
        <f>-Mvt_Inter_entrepot[[#This Row],[QTE]]</f>
        <v>-5</v>
      </c>
      <c r="J575" s="11" t="s">
        <v>928</v>
      </c>
      <c r="K575" s="11" t="str">
        <f>_xlfn.TEXTBEFORE(Mvt_Inter_entrepot[[#This Row],[Num Suivis]],"-",,,1)</f>
        <v>CA250043</v>
      </c>
      <c r="L575" s="11" t="e">
        <f>_xlfn.XLOOKUP(Mvt_Inter_entrepot[[#This Row],[Num OF]],#REF!,#REF!,"Non Trouvé")</f>
        <v>#REF!</v>
      </c>
      <c r="M575" s="11" t="e">
        <f>_xlfn.XLOOKUP(Mvt_Inter_entrepot[[#This Row],[Num OF]],#REF!,#REF!,"Non Trouvé")</f>
        <v>#REF!</v>
      </c>
      <c r="N575" s="11" t="e">
        <f>_xlfn.XLOOKUP(Mvt_Inter_entrepot[[#This Row],[Num OF]],#REF!,#REF!,"Non Trouvé")</f>
        <v>#REF!</v>
      </c>
      <c r="O575" s="11" t="e">
        <f>_xlfn.XLOOKUP(Mvt_Inter_entrepot[[#This Row],[Num OF]],#REF!,#REF!,"Non Trouvé")</f>
        <v>#REF!</v>
      </c>
      <c r="P575" s="11" t="e">
        <f>_xlfn.XLOOKUP(Mvt_Inter_entrepot[[#This Row],[Num OF]],#REF!,#REF!,"Non Trouvé")</f>
        <v>#REF!</v>
      </c>
      <c r="Q575" s="11" t="str">
        <f>IF(
   COUNTIFS($A$2:A575,A575,
             $B$2:B575,B575,
             $C$2:C575,C575,
             $D$2:D575,D575,
             $E$2:E575,E575,
             $H$2:H575,H575
             )&gt;1,
   "Doublon",
   "Correcte"
)</f>
        <v>Correcte</v>
      </c>
    </row>
    <row r="576" spans="1:17" x14ac:dyDescent="0.25">
      <c r="A576" s="11" t="s">
        <v>2858</v>
      </c>
      <c r="B576" s="11" t="s">
        <v>1153</v>
      </c>
      <c r="C576" s="11" t="s">
        <v>665</v>
      </c>
      <c r="D576" s="11" t="s">
        <v>1154</v>
      </c>
      <c r="E576" s="11">
        <v>5</v>
      </c>
      <c r="F576" s="11" t="s">
        <v>699</v>
      </c>
      <c r="G576" s="11" t="s">
        <v>634</v>
      </c>
      <c r="H576" s="14">
        <v>45936.376863425925</v>
      </c>
      <c r="I576" s="12">
        <f>-Mvt_Inter_entrepot[[#This Row],[QTE]]</f>
        <v>-5</v>
      </c>
      <c r="J576" s="11" t="s">
        <v>78</v>
      </c>
      <c r="K576" s="11" t="str">
        <f>_xlfn.TEXTBEFORE(Mvt_Inter_entrepot[[#This Row],[Num Suivis]],"-",,,1)</f>
        <v>CA250070</v>
      </c>
      <c r="L576" s="11" t="e">
        <f>_xlfn.XLOOKUP(Mvt_Inter_entrepot[[#This Row],[Num OF]],#REF!,#REF!,"Non Trouvé")</f>
        <v>#REF!</v>
      </c>
      <c r="M576" s="11" t="e">
        <f>_xlfn.XLOOKUP(Mvt_Inter_entrepot[[#This Row],[Num OF]],#REF!,#REF!,"Non Trouvé")</f>
        <v>#REF!</v>
      </c>
      <c r="N576" s="11" t="e">
        <f>_xlfn.XLOOKUP(Mvt_Inter_entrepot[[#This Row],[Num OF]],#REF!,#REF!,"Non Trouvé")</f>
        <v>#REF!</v>
      </c>
      <c r="O576" s="11" t="e">
        <f>_xlfn.XLOOKUP(Mvt_Inter_entrepot[[#This Row],[Num OF]],#REF!,#REF!,"Non Trouvé")</f>
        <v>#REF!</v>
      </c>
      <c r="P576" s="11" t="e">
        <f>_xlfn.XLOOKUP(Mvt_Inter_entrepot[[#This Row],[Num OF]],#REF!,#REF!,"Non Trouvé")</f>
        <v>#REF!</v>
      </c>
      <c r="Q576" s="11" t="str">
        <f>IF(
   COUNTIFS($A$2:A576,A576,
             $B$2:B576,B576,
             $C$2:C576,C576,
             $D$2:D576,D576,
             $E$2:E576,E576,
             $H$2:H576,H576
             )&gt;1,
   "Doublon",
   "Correcte"
)</f>
        <v>Correcte</v>
      </c>
    </row>
    <row r="577" spans="1:17" x14ac:dyDescent="0.25">
      <c r="A577" s="11" t="s">
        <v>2856</v>
      </c>
      <c r="B577" s="11" t="s">
        <v>1153</v>
      </c>
      <c r="C577" s="11" t="s">
        <v>665</v>
      </c>
      <c r="D577" s="11" t="s">
        <v>1154</v>
      </c>
      <c r="E577" s="11">
        <v>5</v>
      </c>
      <c r="F577" s="11" t="s">
        <v>699</v>
      </c>
      <c r="G577" s="11" t="s">
        <v>634</v>
      </c>
      <c r="H577" s="14">
        <v>45936.377245370371</v>
      </c>
      <c r="I577" s="12">
        <f>-Mvt_Inter_entrepot[[#This Row],[QTE]]</f>
        <v>-5</v>
      </c>
      <c r="J577" s="11" t="s">
        <v>76</v>
      </c>
      <c r="K577" s="11" t="str">
        <f>_xlfn.TEXTBEFORE(Mvt_Inter_entrepot[[#This Row],[Num Suivis]],"-",,,1)</f>
        <v>CA250068</v>
      </c>
      <c r="L577" s="11" t="e">
        <f>_xlfn.XLOOKUP(Mvt_Inter_entrepot[[#This Row],[Num OF]],#REF!,#REF!,"Non Trouvé")</f>
        <v>#REF!</v>
      </c>
      <c r="M577" s="11" t="e">
        <f>_xlfn.XLOOKUP(Mvt_Inter_entrepot[[#This Row],[Num OF]],#REF!,#REF!,"Non Trouvé")</f>
        <v>#REF!</v>
      </c>
      <c r="N577" s="11" t="e">
        <f>_xlfn.XLOOKUP(Mvt_Inter_entrepot[[#This Row],[Num OF]],#REF!,#REF!,"Non Trouvé")</f>
        <v>#REF!</v>
      </c>
      <c r="O577" s="11" t="e">
        <f>_xlfn.XLOOKUP(Mvt_Inter_entrepot[[#This Row],[Num OF]],#REF!,#REF!,"Non Trouvé")</f>
        <v>#REF!</v>
      </c>
      <c r="P577" s="11" t="e">
        <f>_xlfn.XLOOKUP(Mvt_Inter_entrepot[[#This Row],[Num OF]],#REF!,#REF!,"Non Trouvé")</f>
        <v>#REF!</v>
      </c>
      <c r="Q577" s="11" t="str">
        <f>IF(
   COUNTIFS($A$2:A577,A577,
             $B$2:B577,B577,
             $C$2:C577,C577,
             $D$2:D577,D577,
             $E$2:E577,E577,
             $H$2:H577,H577
             )&gt;1,
   "Doublon",
   "Correcte"
)</f>
        <v>Correcte</v>
      </c>
    </row>
    <row r="578" spans="1:17" x14ac:dyDescent="0.25">
      <c r="A578" s="11" t="s">
        <v>2856</v>
      </c>
      <c r="B578" s="11" t="s">
        <v>1153</v>
      </c>
      <c r="C578" s="11" t="s">
        <v>665</v>
      </c>
      <c r="D578" s="11" t="s">
        <v>1154</v>
      </c>
      <c r="E578" s="11">
        <v>5</v>
      </c>
      <c r="F578" s="11" t="s">
        <v>699</v>
      </c>
      <c r="G578" s="11" t="s">
        <v>634</v>
      </c>
      <c r="H578" s="14">
        <v>45936.377638888887</v>
      </c>
      <c r="I578" s="12">
        <f>-Mvt_Inter_entrepot[[#This Row],[QTE]]</f>
        <v>-5</v>
      </c>
      <c r="J578" s="11" t="s">
        <v>76</v>
      </c>
      <c r="K578" s="11" t="str">
        <f>_xlfn.TEXTBEFORE(Mvt_Inter_entrepot[[#This Row],[Num Suivis]],"-",,,1)</f>
        <v>CA250068</v>
      </c>
      <c r="L578" s="11" t="e">
        <f>_xlfn.XLOOKUP(Mvt_Inter_entrepot[[#This Row],[Num OF]],#REF!,#REF!,"Non Trouvé")</f>
        <v>#REF!</v>
      </c>
      <c r="M578" s="11" t="e">
        <f>_xlfn.XLOOKUP(Mvt_Inter_entrepot[[#This Row],[Num OF]],#REF!,#REF!,"Non Trouvé")</f>
        <v>#REF!</v>
      </c>
      <c r="N578" s="11" t="e">
        <f>_xlfn.XLOOKUP(Mvt_Inter_entrepot[[#This Row],[Num OF]],#REF!,#REF!,"Non Trouvé")</f>
        <v>#REF!</v>
      </c>
      <c r="O578" s="11" t="e">
        <f>_xlfn.XLOOKUP(Mvt_Inter_entrepot[[#This Row],[Num OF]],#REF!,#REF!,"Non Trouvé")</f>
        <v>#REF!</v>
      </c>
      <c r="P578" s="11" t="e">
        <f>_xlfn.XLOOKUP(Mvt_Inter_entrepot[[#This Row],[Num OF]],#REF!,#REF!,"Non Trouvé")</f>
        <v>#REF!</v>
      </c>
      <c r="Q578" s="11" t="str">
        <f>IF(
   COUNTIFS($A$2:A578,A578,
             $B$2:B578,B578,
             $C$2:C578,C578,
             $D$2:D578,D578,
             $E$2:E578,E578,
             $H$2:H578,H578
             )&gt;1,
   "Doublon",
   "Correcte"
)</f>
        <v>Correcte</v>
      </c>
    </row>
    <row r="579" spans="1:17" x14ac:dyDescent="0.25">
      <c r="A579" s="11" t="s">
        <v>2858</v>
      </c>
      <c r="B579" s="11" t="s">
        <v>1153</v>
      </c>
      <c r="C579" s="11" t="s">
        <v>665</v>
      </c>
      <c r="D579" s="11" t="s">
        <v>1154</v>
      </c>
      <c r="E579" s="11">
        <v>5</v>
      </c>
      <c r="F579" s="11" t="s">
        <v>699</v>
      </c>
      <c r="G579" s="11" t="s">
        <v>634</v>
      </c>
      <c r="H579" s="14">
        <v>45936.378078703703</v>
      </c>
      <c r="I579" s="12">
        <f>-Mvt_Inter_entrepot[[#This Row],[QTE]]</f>
        <v>-5</v>
      </c>
      <c r="J579" s="11" t="s">
        <v>78</v>
      </c>
      <c r="K579" s="11" t="str">
        <f>_xlfn.TEXTBEFORE(Mvt_Inter_entrepot[[#This Row],[Num Suivis]],"-",,,1)</f>
        <v>CA250070</v>
      </c>
      <c r="L579" s="11" t="e">
        <f>_xlfn.XLOOKUP(Mvt_Inter_entrepot[[#This Row],[Num OF]],#REF!,#REF!,"Non Trouvé")</f>
        <v>#REF!</v>
      </c>
      <c r="M579" s="11" t="e">
        <f>_xlfn.XLOOKUP(Mvt_Inter_entrepot[[#This Row],[Num OF]],#REF!,#REF!,"Non Trouvé")</f>
        <v>#REF!</v>
      </c>
      <c r="N579" s="11" t="e">
        <f>_xlfn.XLOOKUP(Mvt_Inter_entrepot[[#This Row],[Num OF]],#REF!,#REF!,"Non Trouvé")</f>
        <v>#REF!</v>
      </c>
      <c r="O579" s="11" t="e">
        <f>_xlfn.XLOOKUP(Mvt_Inter_entrepot[[#This Row],[Num OF]],#REF!,#REF!,"Non Trouvé")</f>
        <v>#REF!</v>
      </c>
      <c r="P579" s="11" t="e">
        <f>_xlfn.XLOOKUP(Mvt_Inter_entrepot[[#This Row],[Num OF]],#REF!,#REF!,"Non Trouvé")</f>
        <v>#REF!</v>
      </c>
      <c r="Q579" s="11" t="str">
        <f>IF(
   COUNTIFS($A$2:A579,A579,
             $B$2:B579,B579,
             $C$2:C579,C579,
             $D$2:D579,D579,
             $E$2:E579,E579,
             $H$2:H579,H579
             )&gt;1,
   "Doublon",
   "Correcte"
)</f>
        <v>Correcte</v>
      </c>
    </row>
    <row r="580" spans="1:17" x14ac:dyDescent="0.25">
      <c r="A580" s="11" t="s">
        <v>2858</v>
      </c>
      <c r="B580" s="11" t="s">
        <v>1153</v>
      </c>
      <c r="C580" s="11" t="s">
        <v>665</v>
      </c>
      <c r="D580" s="11" t="s">
        <v>1154</v>
      </c>
      <c r="E580" s="11">
        <v>4</v>
      </c>
      <c r="F580" s="11" t="s">
        <v>699</v>
      </c>
      <c r="G580" s="11" t="s">
        <v>634</v>
      </c>
      <c r="H580" s="14">
        <v>45936.379178240742</v>
      </c>
      <c r="I580" s="12">
        <f>-Mvt_Inter_entrepot[[#This Row],[QTE]]</f>
        <v>-4</v>
      </c>
      <c r="J580" s="11" t="s">
        <v>78</v>
      </c>
      <c r="K580" s="11" t="str">
        <f>_xlfn.TEXTBEFORE(Mvt_Inter_entrepot[[#This Row],[Num Suivis]],"-",,,1)</f>
        <v>CA250070</v>
      </c>
      <c r="L580" s="11" t="e">
        <f>_xlfn.XLOOKUP(Mvt_Inter_entrepot[[#This Row],[Num OF]],#REF!,#REF!,"Non Trouvé")</f>
        <v>#REF!</v>
      </c>
      <c r="M580" s="11" t="e">
        <f>_xlfn.XLOOKUP(Mvt_Inter_entrepot[[#This Row],[Num OF]],#REF!,#REF!,"Non Trouvé")</f>
        <v>#REF!</v>
      </c>
      <c r="N580" s="11" t="e">
        <f>_xlfn.XLOOKUP(Mvt_Inter_entrepot[[#This Row],[Num OF]],#REF!,#REF!,"Non Trouvé")</f>
        <v>#REF!</v>
      </c>
      <c r="O580" s="11" t="e">
        <f>_xlfn.XLOOKUP(Mvt_Inter_entrepot[[#This Row],[Num OF]],#REF!,#REF!,"Non Trouvé")</f>
        <v>#REF!</v>
      </c>
      <c r="P580" s="11" t="e">
        <f>_xlfn.XLOOKUP(Mvt_Inter_entrepot[[#This Row],[Num OF]],#REF!,#REF!,"Non Trouvé")</f>
        <v>#REF!</v>
      </c>
      <c r="Q580" s="11" t="str">
        <f>IF(
   COUNTIFS($A$2:A580,A580,
             $B$2:B580,B580,
             $C$2:C580,C580,
             $D$2:D580,D580,
             $E$2:E580,E580,
             $H$2:H580,H580
             )&gt;1,
   "Doublon",
   "Correcte"
)</f>
        <v>Correcte</v>
      </c>
    </row>
    <row r="581" spans="1:17" x14ac:dyDescent="0.25">
      <c r="A581" s="11" t="s">
        <v>3377</v>
      </c>
      <c r="B581" s="11" t="s">
        <v>1153</v>
      </c>
      <c r="C581" s="11" t="s">
        <v>665</v>
      </c>
      <c r="D581" s="11" t="s">
        <v>1154</v>
      </c>
      <c r="E581" s="11">
        <v>5</v>
      </c>
      <c r="F581" s="11" t="s">
        <v>699</v>
      </c>
      <c r="G581" s="11" t="s">
        <v>634</v>
      </c>
      <c r="H581" s="14">
        <v>45936.379490740743</v>
      </c>
      <c r="I581" s="12">
        <f>-Mvt_Inter_entrepot[[#This Row],[QTE]]</f>
        <v>-5</v>
      </c>
      <c r="J581" s="11" t="s">
        <v>953</v>
      </c>
      <c r="K581" s="11" t="str">
        <f>_xlfn.TEXTBEFORE(Mvt_Inter_entrepot[[#This Row],[Num Suivis]],"-",,,1)</f>
        <v>CA250046</v>
      </c>
      <c r="L581" s="11" t="e">
        <f>_xlfn.XLOOKUP(Mvt_Inter_entrepot[[#This Row],[Num OF]],#REF!,#REF!,"Non Trouvé")</f>
        <v>#REF!</v>
      </c>
      <c r="M581" s="11" t="e">
        <f>_xlfn.XLOOKUP(Mvt_Inter_entrepot[[#This Row],[Num OF]],#REF!,#REF!,"Non Trouvé")</f>
        <v>#REF!</v>
      </c>
      <c r="N581" s="11" t="e">
        <f>_xlfn.XLOOKUP(Mvt_Inter_entrepot[[#This Row],[Num OF]],#REF!,#REF!,"Non Trouvé")</f>
        <v>#REF!</v>
      </c>
      <c r="O581" s="11" t="e">
        <f>_xlfn.XLOOKUP(Mvt_Inter_entrepot[[#This Row],[Num OF]],#REF!,#REF!,"Non Trouvé")</f>
        <v>#REF!</v>
      </c>
      <c r="P581" s="11" t="e">
        <f>_xlfn.XLOOKUP(Mvt_Inter_entrepot[[#This Row],[Num OF]],#REF!,#REF!,"Non Trouvé")</f>
        <v>#REF!</v>
      </c>
      <c r="Q581" s="11" t="str">
        <f>IF(
   COUNTIFS($A$2:A581,A581,
             $B$2:B581,B581,
             $C$2:C581,C581,
             $D$2:D581,D581,
             $E$2:E581,E581,
             $H$2:H581,H581
             )&gt;1,
   "Doublon",
   "Correcte"
)</f>
        <v>Correcte</v>
      </c>
    </row>
    <row r="582" spans="1:17" x14ac:dyDescent="0.25">
      <c r="A582" s="11" t="s">
        <v>3378</v>
      </c>
      <c r="B582" s="11" t="s">
        <v>1153</v>
      </c>
      <c r="C582" s="11" t="s">
        <v>665</v>
      </c>
      <c r="D582" s="11" t="s">
        <v>1154</v>
      </c>
      <c r="E582" s="11">
        <v>5</v>
      </c>
      <c r="F582" s="11" t="s">
        <v>699</v>
      </c>
      <c r="G582" s="11" t="s">
        <v>634</v>
      </c>
      <c r="H582" s="14">
        <v>45936.379814814813</v>
      </c>
      <c r="I582" s="12">
        <f>-Mvt_Inter_entrepot[[#This Row],[QTE]]</f>
        <v>-5</v>
      </c>
      <c r="J582" s="11" t="s">
        <v>949</v>
      </c>
      <c r="K582" s="11" t="str">
        <f>_xlfn.TEXTBEFORE(Mvt_Inter_entrepot[[#This Row],[Num Suivis]],"-",,,1)</f>
        <v>CA250046</v>
      </c>
      <c r="L582" s="11" t="e">
        <f>_xlfn.XLOOKUP(Mvt_Inter_entrepot[[#This Row],[Num OF]],#REF!,#REF!,"Non Trouvé")</f>
        <v>#REF!</v>
      </c>
      <c r="M582" s="11" t="e">
        <f>_xlfn.XLOOKUP(Mvt_Inter_entrepot[[#This Row],[Num OF]],#REF!,#REF!,"Non Trouvé")</f>
        <v>#REF!</v>
      </c>
      <c r="N582" s="11" t="e">
        <f>_xlfn.XLOOKUP(Mvt_Inter_entrepot[[#This Row],[Num OF]],#REF!,#REF!,"Non Trouvé")</f>
        <v>#REF!</v>
      </c>
      <c r="O582" s="11" t="e">
        <f>_xlfn.XLOOKUP(Mvt_Inter_entrepot[[#This Row],[Num OF]],#REF!,#REF!,"Non Trouvé")</f>
        <v>#REF!</v>
      </c>
      <c r="P582" s="11" t="e">
        <f>_xlfn.XLOOKUP(Mvt_Inter_entrepot[[#This Row],[Num OF]],#REF!,#REF!,"Non Trouvé")</f>
        <v>#REF!</v>
      </c>
      <c r="Q582" s="11" t="str">
        <f>IF(
   COUNTIFS($A$2:A582,A582,
             $B$2:B582,B582,
             $C$2:C582,C582,
             $D$2:D582,D582,
             $E$2:E582,E582,
             $H$2:H582,H582
             )&gt;1,
   "Doublon",
   "Correcte"
)</f>
        <v>Correcte</v>
      </c>
    </row>
    <row r="583" spans="1:17" x14ac:dyDescent="0.25">
      <c r="A583" s="11" t="s">
        <v>3379</v>
      </c>
      <c r="B583" s="11" t="s">
        <v>1153</v>
      </c>
      <c r="C583" s="11" t="s">
        <v>665</v>
      </c>
      <c r="D583" s="11" t="s">
        <v>1154</v>
      </c>
      <c r="E583" s="11">
        <v>5</v>
      </c>
      <c r="F583" s="11" t="s">
        <v>699</v>
      </c>
      <c r="G583" s="11" t="s">
        <v>634</v>
      </c>
      <c r="H583" s="14">
        <v>45936.380011574074</v>
      </c>
      <c r="I583" s="12">
        <f>-Mvt_Inter_entrepot[[#This Row],[QTE]]</f>
        <v>-5</v>
      </c>
      <c r="J583" s="11" t="s">
        <v>952</v>
      </c>
      <c r="K583" s="11" t="str">
        <f>_xlfn.TEXTBEFORE(Mvt_Inter_entrepot[[#This Row],[Num Suivis]],"-",,,1)</f>
        <v>CA250046</v>
      </c>
      <c r="L583" s="11" t="e">
        <f>_xlfn.XLOOKUP(Mvt_Inter_entrepot[[#This Row],[Num OF]],#REF!,#REF!,"Non Trouvé")</f>
        <v>#REF!</v>
      </c>
      <c r="M583" s="11" t="e">
        <f>_xlfn.XLOOKUP(Mvt_Inter_entrepot[[#This Row],[Num OF]],#REF!,#REF!,"Non Trouvé")</f>
        <v>#REF!</v>
      </c>
      <c r="N583" s="11" t="e">
        <f>_xlfn.XLOOKUP(Mvt_Inter_entrepot[[#This Row],[Num OF]],#REF!,#REF!,"Non Trouvé")</f>
        <v>#REF!</v>
      </c>
      <c r="O583" s="11" t="e">
        <f>_xlfn.XLOOKUP(Mvt_Inter_entrepot[[#This Row],[Num OF]],#REF!,#REF!,"Non Trouvé")</f>
        <v>#REF!</v>
      </c>
      <c r="P583" s="11" t="e">
        <f>_xlfn.XLOOKUP(Mvt_Inter_entrepot[[#This Row],[Num OF]],#REF!,#REF!,"Non Trouvé")</f>
        <v>#REF!</v>
      </c>
      <c r="Q583" s="11" t="str">
        <f>IF(
   COUNTIFS($A$2:A583,A583,
             $B$2:B583,B583,
             $C$2:C583,C583,
             $D$2:D583,D583,
             $E$2:E583,E583,
             $H$2:H583,H583
             )&gt;1,
   "Doublon",
   "Correcte"
)</f>
        <v>Correcte</v>
      </c>
    </row>
    <row r="584" spans="1:17" x14ac:dyDescent="0.25">
      <c r="A584" s="11" t="s">
        <v>3380</v>
      </c>
      <c r="B584" s="11" t="s">
        <v>1153</v>
      </c>
      <c r="C584" s="11" t="s">
        <v>665</v>
      </c>
      <c r="D584" s="11" t="s">
        <v>1154</v>
      </c>
      <c r="E584" s="11">
        <v>5</v>
      </c>
      <c r="F584" s="11" t="s">
        <v>699</v>
      </c>
      <c r="G584" s="11" t="s">
        <v>634</v>
      </c>
      <c r="H584" s="14">
        <v>45936.38040509259</v>
      </c>
      <c r="I584" s="12">
        <f>-Mvt_Inter_entrepot[[#This Row],[QTE]]</f>
        <v>-5</v>
      </c>
      <c r="J584" s="11" t="s">
        <v>915</v>
      </c>
      <c r="K584" s="11" t="str">
        <f>_xlfn.TEXTBEFORE(Mvt_Inter_entrepot[[#This Row],[Num Suivis]],"-",,,1)</f>
        <v>CA250046</v>
      </c>
      <c r="L584" s="11" t="e">
        <f>_xlfn.XLOOKUP(Mvt_Inter_entrepot[[#This Row],[Num OF]],#REF!,#REF!,"Non Trouvé")</f>
        <v>#REF!</v>
      </c>
      <c r="M584" s="11" t="e">
        <f>_xlfn.XLOOKUP(Mvt_Inter_entrepot[[#This Row],[Num OF]],#REF!,#REF!,"Non Trouvé")</f>
        <v>#REF!</v>
      </c>
      <c r="N584" s="11" t="e">
        <f>_xlfn.XLOOKUP(Mvt_Inter_entrepot[[#This Row],[Num OF]],#REF!,#REF!,"Non Trouvé")</f>
        <v>#REF!</v>
      </c>
      <c r="O584" s="11" t="e">
        <f>_xlfn.XLOOKUP(Mvt_Inter_entrepot[[#This Row],[Num OF]],#REF!,#REF!,"Non Trouvé")</f>
        <v>#REF!</v>
      </c>
      <c r="P584" s="11" t="e">
        <f>_xlfn.XLOOKUP(Mvt_Inter_entrepot[[#This Row],[Num OF]],#REF!,#REF!,"Non Trouvé")</f>
        <v>#REF!</v>
      </c>
      <c r="Q584" s="11" t="str">
        <f>IF(
   COUNTIFS($A$2:A584,A584,
             $B$2:B584,B584,
             $C$2:C584,C584,
             $D$2:D584,D584,
             $E$2:E584,E584,
             $H$2:H584,H584
             )&gt;1,
   "Doublon",
   "Correcte"
)</f>
        <v>Correcte</v>
      </c>
    </row>
    <row r="585" spans="1:17" x14ac:dyDescent="0.25">
      <c r="A585" s="11" t="s">
        <v>3381</v>
      </c>
      <c r="B585" s="11" t="s">
        <v>1153</v>
      </c>
      <c r="C585" s="11" t="s">
        <v>665</v>
      </c>
      <c r="D585" s="11" t="s">
        <v>1154</v>
      </c>
      <c r="E585" s="11">
        <v>0</v>
      </c>
      <c r="F585" s="11" t="s">
        <v>699</v>
      </c>
      <c r="G585" s="11" t="s">
        <v>634</v>
      </c>
      <c r="H585" s="14">
        <v>45936.380949074075</v>
      </c>
      <c r="I585" s="12">
        <f>-Mvt_Inter_entrepot[[#This Row],[QTE]]</f>
        <v>0</v>
      </c>
      <c r="J585" s="11" t="s">
        <v>833</v>
      </c>
      <c r="K585" s="11" t="str">
        <f>_xlfn.TEXTBEFORE(Mvt_Inter_entrepot[[#This Row],[Num Suivis]],"-",,,1)</f>
        <v>CA250010</v>
      </c>
      <c r="L585" s="11" t="e">
        <f>_xlfn.XLOOKUP(Mvt_Inter_entrepot[[#This Row],[Num OF]],#REF!,#REF!,"Non Trouvé")</f>
        <v>#REF!</v>
      </c>
      <c r="M585" s="11" t="e">
        <f>_xlfn.XLOOKUP(Mvt_Inter_entrepot[[#This Row],[Num OF]],#REF!,#REF!,"Non Trouvé")</f>
        <v>#REF!</v>
      </c>
      <c r="N585" s="11" t="e">
        <f>_xlfn.XLOOKUP(Mvt_Inter_entrepot[[#This Row],[Num OF]],#REF!,#REF!,"Non Trouvé")</f>
        <v>#REF!</v>
      </c>
      <c r="O585" s="11" t="e">
        <f>_xlfn.XLOOKUP(Mvt_Inter_entrepot[[#This Row],[Num OF]],#REF!,#REF!,"Non Trouvé")</f>
        <v>#REF!</v>
      </c>
      <c r="P585" s="11" t="e">
        <f>_xlfn.XLOOKUP(Mvt_Inter_entrepot[[#This Row],[Num OF]],#REF!,#REF!,"Non Trouvé")</f>
        <v>#REF!</v>
      </c>
      <c r="Q585" s="11" t="str">
        <f>IF(
   COUNTIFS($A$2:A585,A585,
             $B$2:B585,B585,
             $C$2:C585,C585,
             $D$2:D585,D585,
             $E$2:E585,E585,
             $H$2:H585,H585
             )&gt;1,
   "Doublon",
   "Correcte"
)</f>
        <v>Correcte</v>
      </c>
    </row>
    <row r="586" spans="1:17" x14ac:dyDescent="0.25">
      <c r="A586" s="11" t="s">
        <v>3381</v>
      </c>
      <c r="B586" s="11" t="s">
        <v>1153</v>
      </c>
      <c r="C586" s="11" t="s">
        <v>665</v>
      </c>
      <c r="D586" s="11" t="s">
        <v>1154</v>
      </c>
      <c r="E586" s="11">
        <v>5</v>
      </c>
      <c r="F586" s="11" t="s">
        <v>699</v>
      </c>
      <c r="G586" s="11" t="s">
        <v>634</v>
      </c>
      <c r="H586" s="14">
        <v>45936.381701388891</v>
      </c>
      <c r="I586" s="12">
        <f>-Mvt_Inter_entrepot[[#This Row],[QTE]]</f>
        <v>-5</v>
      </c>
      <c r="J586" s="11" t="s">
        <v>833</v>
      </c>
      <c r="K586" s="11" t="str">
        <f>_xlfn.TEXTBEFORE(Mvt_Inter_entrepot[[#This Row],[Num Suivis]],"-",,,1)</f>
        <v>CA250010</v>
      </c>
      <c r="L586" s="11" t="e">
        <f>_xlfn.XLOOKUP(Mvt_Inter_entrepot[[#This Row],[Num OF]],#REF!,#REF!,"Non Trouvé")</f>
        <v>#REF!</v>
      </c>
      <c r="M586" s="11" t="e">
        <f>_xlfn.XLOOKUP(Mvt_Inter_entrepot[[#This Row],[Num OF]],#REF!,#REF!,"Non Trouvé")</f>
        <v>#REF!</v>
      </c>
      <c r="N586" s="11" t="e">
        <f>_xlfn.XLOOKUP(Mvt_Inter_entrepot[[#This Row],[Num OF]],#REF!,#REF!,"Non Trouvé")</f>
        <v>#REF!</v>
      </c>
      <c r="O586" s="11" t="e">
        <f>_xlfn.XLOOKUP(Mvt_Inter_entrepot[[#This Row],[Num OF]],#REF!,#REF!,"Non Trouvé")</f>
        <v>#REF!</v>
      </c>
      <c r="P586" s="11" t="e">
        <f>_xlfn.XLOOKUP(Mvt_Inter_entrepot[[#This Row],[Num OF]],#REF!,#REF!,"Non Trouvé")</f>
        <v>#REF!</v>
      </c>
      <c r="Q586" s="11" t="str">
        <f>IF(
   COUNTIFS($A$2:A586,A586,
             $B$2:B586,B586,
             $C$2:C586,C586,
             $D$2:D586,D586,
             $E$2:E586,E586,
             $H$2:H586,H586
             )&gt;1,
   "Doublon",
   "Correcte"
)</f>
        <v>Correcte</v>
      </c>
    </row>
    <row r="587" spans="1:17" x14ac:dyDescent="0.25">
      <c r="A587" s="11" t="s">
        <v>3382</v>
      </c>
      <c r="B587" s="11" t="s">
        <v>1153</v>
      </c>
      <c r="C587" s="11" t="s">
        <v>665</v>
      </c>
      <c r="D587" s="11" t="s">
        <v>1154</v>
      </c>
      <c r="E587" s="11">
        <v>5</v>
      </c>
      <c r="F587" s="11" t="s">
        <v>699</v>
      </c>
      <c r="G587" s="11" t="s">
        <v>634</v>
      </c>
      <c r="H587" s="14">
        <v>45936.382060185184</v>
      </c>
      <c r="I587" s="12">
        <f>-Mvt_Inter_entrepot[[#This Row],[QTE]]</f>
        <v>-5</v>
      </c>
      <c r="J587" s="11" t="s">
        <v>828</v>
      </c>
      <c r="K587" s="11" t="str">
        <f>_xlfn.TEXTBEFORE(Mvt_Inter_entrepot[[#This Row],[Num Suivis]],"-",,,1)</f>
        <v>CA250010</v>
      </c>
      <c r="L587" s="11" t="e">
        <f>_xlfn.XLOOKUP(Mvt_Inter_entrepot[[#This Row],[Num OF]],#REF!,#REF!,"Non Trouvé")</f>
        <v>#REF!</v>
      </c>
      <c r="M587" s="11" t="e">
        <f>_xlfn.XLOOKUP(Mvt_Inter_entrepot[[#This Row],[Num OF]],#REF!,#REF!,"Non Trouvé")</f>
        <v>#REF!</v>
      </c>
      <c r="N587" s="11" t="e">
        <f>_xlfn.XLOOKUP(Mvt_Inter_entrepot[[#This Row],[Num OF]],#REF!,#REF!,"Non Trouvé")</f>
        <v>#REF!</v>
      </c>
      <c r="O587" s="11" t="e">
        <f>_xlfn.XLOOKUP(Mvt_Inter_entrepot[[#This Row],[Num OF]],#REF!,#REF!,"Non Trouvé")</f>
        <v>#REF!</v>
      </c>
      <c r="P587" s="11" t="e">
        <f>_xlfn.XLOOKUP(Mvt_Inter_entrepot[[#This Row],[Num OF]],#REF!,#REF!,"Non Trouvé")</f>
        <v>#REF!</v>
      </c>
      <c r="Q587" s="11" t="str">
        <f>IF(
   COUNTIFS($A$2:A587,A587,
             $B$2:B587,B587,
             $C$2:C587,C587,
             $D$2:D587,D587,
             $E$2:E587,E587,
             $H$2:H587,H587
             )&gt;1,
   "Doublon",
   "Correcte"
)</f>
        <v>Correcte</v>
      </c>
    </row>
    <row r="588" spans="1:17" x14ac:dyDescent="0.25">
      <c r="A588" s="11" t="s">
        <v>3383</v>
      </c>
      <c r="B588" s="11" t="s">
        <v>1153</v>
      </c>
      <c r="C588" s="11" t="s">
        <v>665</v>
      </c>
      <c r="D588" s="11" t="s">
        <v>1154</v>
      </c>
      <c r="E588" s="11">
        <v>5</v>
      </c>
      <c r="F588" s="11" t="s">
        <v>699</v>
      </c>
      <c r="G588" s="11" t="s">
        <v>634</v>
      </c>
      <c r="H588" s="14">
        <v>45936.383217592593</v>
      </c>
      <c r="I588" s="12">
        <f>-Mvt_Inter_entrepot[[#This Row],[QTE]]</f>
        <v>-5</v>
      </c>
      <c r="J588" s="11" t="s">
        <v>834</v>
      </c>
      <c r="K588" s="11" t="str">
        <f>_xlfn.TEXTBEFORE(Mvt_Inter_entrepot[[#This Row],[Num Suivis]],"-",,,1)</f>
        <v>CA250010</v>
      </c>
      <c r="L588" s="11" t="e">
        <f>_xlfn.XLOOKUP(Mvt_Inter_entrepot[[#This Row],[Num OF]],#REF!,#REF!,"Non Trouvé")</f>
        <v>#REF!</v>
      </c>
      <c r="M588" s="11" t="e">
        <f>_xlfn.XLOOKUP(Mvt_Inter_entrepot[[#This Row],[Num OF]],#REF!,#REF!,"Non Trouvé")</f>
        <v>#REF!</v>
      </c>
      <c r="N588" s="11" t="e">
        <f>_xlfn.XLOOKUP(Mvt_Inter_entrepot[[#This Row],[Num OF]],#REF!,#REF!,"Non Trouvé")</f>
        <v>#REF!</v>
      </c>
      <c r="O588" s="11" t="e">
        <f>_xlfn.XLOOKUP(Mvt_Inter_entrepot[[#This Row],[Num OF]],#REF!,#REF!,"Non Trouvé")</f>
        <v>#REF!</v>
      </c>
      <c r="P588" s="11" t="e">
        <f>_xlfn.XLOOKUP(Mvt_Inter_entrepot[[#This Row],[Num OF]],#REF!,#REF!,"Non Trouvé")</f>
        <v>#REF!</v>
      </c>
      <c r="Q588" s="11" t="str">
        <f>IF(
   COUNTIFS($A$2:A588,A588,
             $B$2:B588,B588,
             $C$2:C588,C588,
             $D$2:D588,D588,
             $E$2:E588,E588,
             $H$2:H588,H588
             )&gt;1,
   "Doublon",
   "Correcte"
)</f>
        <v>Correcte</v>
      </c>
    </row>
    <row r="589" spans="1:17" x14ac:dyDescent="0.25">
      <c r="A589" s="11" t="s">
        <v>3384</v>
      </c>
      <c r="B589" s="11" t="s">
        <v>1153</v>
      </c>
      <c r="C589" s="11" t="s">
        <v>665</v>
      </c>
      <c r="D589" s="11" t="s">
        <v>1154</v>
      </c>
      <c r="E589" s="11">
        <v>5</v>
      </c>
      <c r="F589" s="11" t="s">
        <v>699</v>
      </c>
      <c r="G589" s="11" t="s">
        <v>634</v>
      </c>
      <c r="H589" s="14">
        <v>45936.396666666667</v>
      </c>
      <c r="I589" s="12">
        <f>-Mvt_Inter_entrepot[[#This Row],[QTE]]</f>
        <v>-5</v>
      </c>
      <c r="J589" s="11" t="s">
        <v>827</v>
      </c>
      <c r="K589" s="11" t="str">
        <f>_xlfn.TEXTBEFORE(Mvt_Inter_entrepot[[#This Row],[Num Suivis]],"-",,,1)</f>
        <v>CA250010</v>
      </c>
      <c r="L589" s="11" t="e">
        <f>_xlfn.XLOOKUP(Mvt_Inter_entrepot[[#This Row],[Num OF]],#REF!,#REF!,"Non Trouvé")</f>
        <v>#REF!</v>
      </c>
      <c r="M589" s="11" t="e">
        <f>_xlfn.XLOOKUP(Mvt_Inter_entrepot[[#This Row],[Num OF]],#REF!,#REF!,"Non Trouvé")</f>
        <v>#REF!</v>
      </c>
      <c r="N589" s="11" t="e">
        <f>_xlfn.XLOOKUP(Mvt_Inter_entrepot[[#This Row],[Num OF]],#REF!,#REF!,"Non Trouvé")</f>
        <v>#REF!</v>
      </c>
      <c r="O589" s="11" t="e">
        <f>_xlfn.XLOOKUP(Mvt_Inter_entrepot[[#This Row],[Num OF]],#REF!,#REF!,"Non Trouvé")</f>
        <v>#REF!</v>
      </c>
      <c r="P589" s="11" t="e">
        <f>_xlfn.XLOOKUP(Mvt_Inter_entrepot[[#This Row],[Num OF]],#REF!,#REF!,"Non Trouvé")</f>
        <v>#REF!</v>
      </c>
      <c r="Q589" s="11" t="str">
        <f>IF(
   COUNTIFS($A$2:A589,A589,
             $B$2:B589,B589,
             $C$2:C589,C589,
             $D$2:D589,D589,
             $E$2:E589,E589,
             $H$2:H589,H589
             )&gt;1,
   "Doublon",
   "Correcte"
)</f>
        <v>Correcte</v>
      </c>
    </row>
    <row r="590" spans="1:17" x14ac:dyDescent="0.25">
      <c r="A590" s="11" t="s">
        <v>3385</v>
      </c>
      <c r="B590" s="11" t="s">
        <v>1153</v>
      </c>
      <c r="C590" s="11" t="s">
        <v>665</v>
      </c>
      <c r="D590" s="11" t="s">
        <v>1154</v>
      </c>
      <c r="E590" s="11">
        <v>2</v>
      </c>
      <c r="F590" s="11" t="s">
        <v>699</v>
      </c>
      <c r="G590" s="11" t="s">
        <v>634</v>
      </c>
      <c r="H590" s="14">
        <v>45936.396898148145</v>
      </c>
      <c r="I590" s="12">
        <f>-Mvt_Inter_entrepot[[#This Row],[QTE]]</f>
        <v>-2</v>
      </c>
      <c r="J590" s="11" t="s">
        <v>1169</v>
      </c>
      <c r="K590" s="11" t="str">
        <f>_xlfn.TEXTBEFORE(Mvt_Inter_entrepot[[#This Row],[Num Suivis]],"-",,,1)</f>
        <v>CA250065</v>
      </c>
      <c r="L590" s="11" t="e">
        <f>_xlfn.XLOOKUP(Mvt_Inter_entrepot[[#This Row],[Num OF]],#REF!,#REF!,"Non Trouvé")</f>
        <v>#REF!</v>
      </c>
      <c r="M590" s="11" t="e">
        <f>_xlfn.XLOOKUP(Mvt_Inter_entrepot[[#This Row],[Num OF]],#REF!,#REF!,"Non Trouvé")</f>
        <v>#REF!</v>
      </c>
      <c r="N590" s="11" t="e">
        <f>_xlfn.XLOOKUP(Mvt_Inter_entrepot[[#This Row],[Num OF]],#REF!,#REF!,"Non Trouvé")</f>
        <v>#REF!</v>
      </c>
      <c r="O590" s="11" t="e">
        <f>_xlfn.XLOOKUP(Mvt_Inter_entrepot[[#This Row],[Num OF]],#REF!,#REF!,"Non Trouvé")</f>
        <v>#REF!</v>
      </c>
      <c r="P590" s="11" t="e">
        <f>_xlfn.XLOOKUP(Mvt_Inter_entrepot[[#This Row],[Num OF]],#REF!,#REF!,"Non Trouvé")</f>
        <v>#REF!</v>
      </c>
      <c r="Q590" s="11" t="str">
        <f>IF(
   COUNTIFS($A$2:A590,A590,
             $B$2:B590,B590,
             $C$2:C590,C590,
             $D$2:D590,D590,
             $E$2:E590,E590,
             $H$2:H590,H590
             )&gt;1,
   "Doublon",
   "Correcte"
)</f>
        <v>Correcte</v>
      </c>
    </row>
    <row r="591" spans="1:17" x14ac:dyDescent="0.25">
      <c r="A591" s="11" t="s">
        <v>3386</v>
      </c>
      <c r="B591" s="11" t="s">
        <v>1153</v>
      </c>
      <c r="C591" s="11" t="s">
        <v>665</v>
      </c>
      <c r="D591" s="11" t="s">
        <v>1154</v>
      </c>
      <c r="E591" s="11">
        <v>2</v>
      </c>
      <c r="F591" s="11" t="s">
        <v>699</v>
      </c>
      <c r="G591" s="11" t="s">
        <v>634</v>
      </c>
      <c r="H591" s="14">
        <v>45936.397511574076</v>
      </c>
      <c r="I591" s="12">
        <f>-Mvt_Inter_entrepot[[#This Row],[QTE]]</f>
        <v>-2</v>
      </c>
      <c r="J591" s="11" t="s">
        <v>726</v>
      </c>
      <c r="K591" s="11" t="str">
        <f>_xlfn.TEXTBEFORE(Mvt_Inter_entrepot[[#This Row],[Num Suivis]],"-",,,1)</f>
        <v>CA250474</v>
      </c>
      <c r="L591" s="11" t="e">
        <f>_xlfn.XLOOKUP(Mvt_Inter_entrepot[[#This Row],[Num OF]],#REF!,#REF!,"Non Trouvé")</f>
        <v>#REF!</v>
      </c>
      <c r="M591" s="11" t="e">
        <f>_xlfn.XLOOKUP(Mvt_Inter_entrepot[[#This Row],[Num OF]],#REF!,#REF!,"Non Trouvé")</f>
        <v>#REF!</v>
      </c>
      <c r="N591" s="11" t="e">
        <f>_xlfn.XLOOKUP(Mvt_Inter_entrepot[[#This Row],[Num OF]],#REF!,#REF!,"Non Trouvé")</f>
        <v>#REF!</v>
      </c>
      <c r="O591" s="11" t="e">
        <f>_xlfn.XLOOKUP(Mvt_Inter_entrepot[[#This Row],[Num OF]],#REF!,#REF!,"Non Trouvé")</f>
        <v>#REF!</v>
      </c>
      <c r="P591" s="11" t="e">
        <f>_xlfn.XLOOKUP(Mvt_Inter_entrepot[[#This Row],[Num OF]],#REF!,#REF!,"Non Trouvé")</f>
        <v>#REF!</v>
      </c>
      <c r="Q591" s="11" t="str">
        <f>IF(
   COUNTIFS($A$2:A591,A591,
             $B$2:B591,B591,
             $C$2:C591,C591,
             $D$2:D591,D591,
             $E$2:E591,E591,
             $H$2:H591,H591
             )&gt;1,
   "Doublon",
   "Correcte"
)</f>
        <v>Correcte</v>
      </c>
    </row>
    <row r="592" spans="1:17" x14ac:dyDescent="0.25">
      <c r="A592" s="11" t="s">
        <v>3387</v>
      </c>
      <c r="B592" s="11" t="s">
        <v>1153</v>
      </c>
      <c r="C592" s="11" t="s">
        <v>665</v>
      </c>
      <c r="D592" s="11" t="s">
        <v>1154</v>
      </c>
      <c r="E592" s="11">
        <v>1</v>
      </c>
      <c r="F592" s="11" t="s">
        <v>699</v>
      </c>
      <c r="G592" s="11" t="s">
        <v>634</v>
      </c>
      <c r="H592" s="14">
        <v>45936.397812499999</v>
      </c>
      <c r="I592" s="12">
        <f>-Mvt_Inter_entrepot[[#This Row],[QTE]]</f>
        <v>-1</v>
      </c>
      <c r="J592" s="11" t="s">
        <v>758</v>
      </c>
      <c r="K592" s="11" t="str">
        <f>_xlfn.TEXTBEFORE(Mvt_Inter_entrepot[[#This Row],[Num Suivis]],"-",,,1)</f>
        <v>CA250473</v>
      </c>
      <c r="L592" s="11" t="e">
        <f>_xlfn.XLOOKUP(Mvt_Inter_entrepot[[#This Row],[Num OF]],#REF!,#REF!,"Non Trouvé")</f>
        <v>#REF!</v>
      </c>
      <c r="M592" s="11" t="e">
        <f>_xlfn.XLOOKUP(Mvt_Inter_entrepot[[#This Row],[Num OF]],#REF!,#REF!,"Non Trouvé")</f>
        <v>#REF!</v>
      </c>
      <c r="N592" s="11" t="e">
        <f>_xlfn.XLOOKUP(Mvt_Inter_entrepot[[#This Row],[Num OF]],#REF!,#REF!,"Non Trouvé")</f>
        <v>#REF!</v>
      </c>
      <c r="O592" s="11" t="e">
        <f>_xlfn.XLOOKUP(Mvt_Inter_entrepot[[#This Row],[Num OF]],#REF!,#REF!,"Non Trouvé")</f>
        <v>#REF!</v>
      </c>
      <c r="P592" s="11" t="e">
        <f>_xlfn.XLOOKUP(Mvt_Inter_entrepot[[#This Row],[Num OF]],#REF!,#REF!,"Non Trouvé")</f>
        <v>#REF!</v>
      </c>
      <c r="Q592" s="11" t="str">
        <f>IF(
   COUNTIFS($A$2:A592,A592,
             $B$2:B592,B592,
             $C$2:C592,C592,
             $D$2:D592,D592,
             $E$2:E592,E592,
             $H$2:H592,H592
             )&gt;1,
   "Doublon",
   "Correcte"
)</f>
        <v>Correcte</v>
      </c>
    </row>
    <row r="593" spans="1:17" x14ac:dyDescent="0.25">
      <c r="A593" s="11" t="s">
        <v>3388</v>
      </c>
      <c r="B593" s="11" t="s">
        <v>1153</v>
      </c>
      <c r="C593" s="11" t="s">
        <v>665</v>
      </c>
      <c r="D593" s="11" t="s">
        <v>1154</v>
      </c>
      <c r="E593" s="11">
        <v>5</v>
      </c>
      <c r="F593" s="11" t="s">
        <v>699</v>
      </c>
      <c r="G593" s="11" t="s">
        <v>634</v>
      </c>
      <c r="H593" s="14">
        <v>45936.398101851853</v>
      </c>
      <c r="I593" s="12">
        <f>-Mvt_Inter_entrepot[[#This Row],[QTE]]</f>
        <v>-5</v>
      </c>
      <c r="J593" s="11" t="s">
        <v>722</v>
      </c>
      <c r="K593" s="11" t="str">
        <f>_xlfn.TEXTBEFORE(Mvt_Inter_entrepot[[#This Row],[Num Suivis]],"-",,,1)</f>
        <v>CA250474</v>
      </c>
      <c r="L593" s="11" t="e">
        <f>_xlfn.XLOOKUP(Mvt_Inter_entrepot[[#This Row],[Num OF]],#REF!,#REF!,"Non Trouvé")</f>
        <v>#REF!</v>
      </c>
      <c r="M593" s="11" t="e">
        <f>_xlfn.XLOOKUP(Mvt_Inter_entrepot[[#This Row],[Num OF]],#REF!,#REF!,"Non Trouvé")</f>
        <v>#REF!</v>
      </c>
      <c r="N593" s="11" t="e">
        <f>_xlfn.XLOOKUP(Mvt_Inter_entrepot[[#This Row],[Num OF]],#REF!,#REF!,"Non Trouvé")</f>
        <v>#REF!</v>
      </c>
      <c r="O593" s="11" t="e">
        <f>_xlfn.XLOOKUP(Mvt_Inter_entrepot[[#This Row],[Num OF]],#REF!,#REF!,"Non Trouvé")</f>
        <v>#REF!</v>
      </c>
      <c r="P593" s="11" t="e">
        <f>_xlfn.XLOOKUP(Mvt_Inter_entrepot[[#This Row],[Num OF]],#REF!,#REF!,"Non Trouvé")</f>
        <v>#REF!</v>
      </c>
      <c r="Q593" s="11" t="str">
        <f>IF(
   COUNTIFS($A$2:A593,A593,
             $B$2:B593,B593,
             $C$2:C593,C593,
             $D$2:D593,D593,
             $E$2:E593,E593,
             $H$2:H593,H593
             )&gt;1,
   "Doublon",
   "Correcte"
)</f>
        <v>Correcte</v>
      </c>
    </row>
    <row r="594" spans="1:17" x14ac:dyDescent="0.25">
      <c r="A594" s="11" t="s">
        <v>3389</v>
      </c>
      <c r="B594" s="11" t="s">
        <v>1153</v>
      </c>
      <c r="C594" s="11" t="s">
        <v>665</v>
      </c>
      <c r="D594" s="11" t="s">
        <v>1154</v>
      </c>
      <c r="E594" s="11">
        <v>3</v>
      </c>
      <c r="F594" s="11" t="s">
        <v>699</v>
      </c>
      <c r="G594" s="11" t="s">
        <v>634</v>
      </c>
      <c r="H594" s="14">
        <v>45936.398460648146</v>
      </c>
      <c r="I594" s="12">
        <f>-Mvt_Inter_entrepot[[#This Row],[QTE]]</f>
        <v>-3</v>
      </c>
      <c r="J594" s="11" t="s">
        <v>1170</v>
      </c>
      <c r="K594" s="11" t="str">
        <f>_xlfn.TEXTBEFORE(Mvt_Inter_entrepot[[#This Row],[Num Suivis]],"-",,,1)</f>
        <v>CA250397</v>
      </c>
      <c r="L594" s="11" t="e">
        <f>_xlfn.XLOOKUP(Mvt_Inter_entrepot[[#This Row],[Num OF]],#REF!,#REF!,"Non Trouvé")</f>
        <v>#REF!</v>
      </c>
      <c r="M594" s="11" t="e">
        <f>_xlfn.XLOOKUP(Mvt_Inter_entrepot[[#This Row],[Num OF]],#REF!,#REF!,"Non Trouvé")</f>
        <v>#REF!</v>
      </c>
      <c r="N594" s="11" t="e">
        <f>_xlfn.XLOOKUP(Mvt_Inter_entrepot[[#This Row],[Num OF]],#REF!,#REF!,"Non Trouvé")</f>
        <v>#REF!</v>
      </c>
      <c r="O594" s="11" t="e">
        <f>_xlfn.XLOOKUP(Mvt_Inter_entrepot[[#This Row],[Num OF]],#REF!,#REF!,"Non Trouvé")</f>
        <v>#REF!</v>
      </c>
      <c r="P594" s="11" t="e">
        <f>_xlfn.XLOOKUP(Mvt_Inter_entrepot[[#This Row],[Num OF]],#REF!,#REF!,"Non Trouvé")</f>
        <v>#REF!</v>
      </c>
      <c r="Q594" s="11" t="str">
        <f>IF(
   COUNTIFS($A$2:A594,A594,
             $B$2:B594,B594,
             $C$2:C594,C594,
             $D$2:D594,D594,
             $E$2:E594,E594,
             $H$2:H594,H594
             )&gt;1,
   "Doublon",
   "Correcte"
)</f>
        <v>Correcte</v>
      </c>
    </row>
    <row r="595" spans="1:17" x14ac:dyDescent="0.25">
      <c r="A595" s="11" t="s">
        <v>3390</v>
      </c>
      <c r="B595" s="11" t="s">
        <v>1153</v>
      </c>
      <c r="C595" s="11" t="s">
        <v>665</v>
      </c>
      <c r="D595" s="11" t="s">
        <v>1154</v>
      </c>
      <c r="E595" s="11">
        <v>5</v>
      </c>
      <c r="F595" s="11" t="s">
        <v>699</v>
      </c>
      <c r="G595" s="11" t="s">
        <v>634</v>
      </c>
      <c r="H595" s="14">
        <v>45936.398715277777</v>
      </c>
      <c r="I595" s="12">
        <f>-Mvt_Inter_entrepot[[#This Row],[QTE]]</f>
        <v>-5</v>
      </c>
      <c r="J595" s="11" t="s">
        <v>1171</v>
      </c>
      <c r="K595" s="11" t="str">
        <f>_xlfn.TEXTBEFORE(Mvt_Inter_entrepot[[#This Row],[Num Suivis]],"-",,,1)</f>
        <v>CA250397</v>
      </c>
      <c r="L595" s="11" t="e">
        <f>_xlfn.XLOOKUP(Mvt_Inter_entrepot[[#This Row],[Num OF]],#REF!,#REF!,"Non Trouvé")</f>
        <v>#REF!</v>
      </c>
      <c r="M595" s="11" t="e">
        <f>_xlfn.XLOOKUP(Mvt_Inter_entrepot[[#This Row],[Num OF]],#REF!,#REF!,"Non Trouvé")</f>
        <v>#REF!</v>
      </c>
      <c r="N595" s="11" t="e">
        <f>_xlfn.XLOOKUP(Mvt_Inter_entrepot[[#This Row],[Num OF]],#REF!,#REF!,"Non Trouvé")</f>
        <v>#REF!</v>
      </c>
      <c r="O595" s="11" t="e">
        <f>_xlfn.XLOOKUP(Mvt_Inter_entrepot[[#This Row],[Num OF]],#REF!,#REF!,"Non Trouvé")</f>
        <v>#REF!</v>
      </c>
      <c r="P595" s="11" t="e">
        <f>_xlfn.XLOOKUP(Mvt_Inter_entrepot[[#This Row],[Num OF]],#REF!,#REF!,"Non Trouvé")</f>
        <v>#REF!</v>
      </c>
      <c r="Q595" s="11" t="str">
        <f>IF(
   COUNTIFS($A$2:A595,A595,
             $B$2:B595,B595,
             $C$2:C595,C595,
             $D$2:D595,D595,
             $E$2:E595,E595,
             $H$2:H595,H595
             )&gt;1,
   "Doublon",
   "Correcte"
)</f>
        <v>Correcte</v>
      </c>
    </row>
    <row r="596" spans="1:17" x14ac:dyDescent="0.25">
      <c r="A596" s="11" t="s">
        <v>3391</v>
      </c>
      <c r="B596" s="11" t="s">
        <v>1153</v>
      </c>
      <c r="C596" s="11" t="s">
        <v>665</v>
      </c>
      <c r="D596" s="11" t="s">
        <v>1154</v>
      </c>
      <c r="E596" s="11">
        <v>5</v>
      </c>
      <c r="F596" s="11" t="s">
        <v>699</v>
      </c>
      <c r="G596" s="11" t="s">
        <v>634</v>
      </c>
      <c r="H596" s="14">
        <v>45936.399016203701</v>
      </c>
      <c r="I596" s="12">
        <f>-Mvt_Inter_entrepot[[#This Row],[QTE]]</f>
        <v>-5</v>
      </c>
      <c r="J596" s="11" t="s">
        <v>1172</v>
      </c>
      <c r="K596" s="11" t="str">
        <f>_xlfn.TEXTBEFORE(Mvt_Inter_entrepot[[#This Row],[Num Suivis]],"-",,,1)</f>
        <v>CA250397</v>
      </c>
      <c r="L596" s="11" t="e">
        <f>_xlfn.XLOOKUP(Mvt_Inter_entrepot[[#This Row],[Num OF]],#REF!,#REF!,"Non Trouvé")</f>
        <v>#REF!</v>
      </c>
      <c r="M596" s="11" t="e">
        <f>_xlfn.XLOOKUP(Mvt_Inter_entrepot[[#This Row],[Num OF]],#REF!,#REF!,"Non Trouvé")</f>
        <v>#REF!</v>
      </c>
      <c r="N596" s="11" t="e">
        <f>_xlfn.XLOOKUP(Mvt_Inter_entrepot[[#This Row],[Num OF]],#REF!,#REF!,"Non Trouvé")</f>
        <v>#REF!</v>
      </c>
      <c r="O596" s="11" t="e">
        <f>_xlfn.XLOOKUP(Mvt_Inter_entrepot[[#This Row],[Num OF]],#REF!,#REF!,"Non Trouvé")</f>
        <v>#REF!</v>
      </c>
      <c r="P596" s="11" t="e">
        <f>_xlfn.XLOOKUP(Mvt_Inter_entrepot[[#This Row],[Num OF]],#REF!,#REF!,"Non Trouvé")</f>
        <v>#REF!</v>
      </c>
      <c r="Q596" s="11" t="str">
        <f>IF(
   COUNTIFS($A$2:A596,A596,
             $B$2:B596,B596,
             $C$2:C596,C596,
             $D$2:D596,D596,
             $E$2:E596,E596,
             $H$2:H596,H596
             )&gt;1,
   "Doublon",
   "Correcte"
)</f>
        <v>Correcte</v>
      </c>
    </row>
    <row r="597" spans="1:17" x14ac:dyDescent="0.25">
      <c r="A597" s="11" t="s">
        <v>3392</v>
      </c>
      <c r="B597" s="11" t="s">
        <v>1153</v>
      </c>
      <c r="C597" s="11" t="s">
        <v>665</v>
      </c>
      <c r="D597" s="11" t="s">
        <v>1154</v>
      </c>
      <c r="E597" s="11">
        <v>5</v>
      </c>
      <c r="F597" s="11" t="s">
        <v>699</v>
      </c>
      <c r="G597" s="11" t="s">
        <v>634</v>
      </c>
      <c r="H597" s="14">
        <v>45936.39947916667</v>
      </c>
      <c r="I597" s="12">
        <f>-Mvt_Inter_entrepot[[#This Row],[QTE]]</f>
        <v>-5</v>
      </c>
      <c r="J597" s="11" t="s">
        <v>757</v>
      </c>
      <c r="K597" s="11" t="str">
        <f>_xlfn.TEXTBEFORE(Mvt_Inter_entrepot[[#This Row],[Num Suivis]],"-",,,1)</f>
        <v>CA250473</v>
      </c>
      <c r="L597" s="11" t="e">
        <f>_xlfn.XLOOKUP(Mvt_Inter_entrepot[[#This Row],[Num OF]],#REF!,#REF!,"Non Trouvé")</f>
        <v>#REF!</v>
      </c>
      <c r="M597" s="11" t="e">
        <f>_xlfn.XLOOKUP(Mvt_Inter_entrepot[[#This Row],[Num OF]],#REF!,#REF!,"Non Trouvé")</f>
        <v>#REF!</v>
      </c>
      <c r="N597" s="11" t="e">
        <f>_xlfn.XLOOKUP(Mvt_Inter_entrepot[[#This Row],[Num OF]],#REF!,#REF!,"Non Trouvé")</f>
        <v>#REF!</v>
      </c>
      <c r="O597" s="11" t="e">
        <f>_xlfn.XLOOKUP(Mvt_Inter_entrepot[[#This Row],[Num OF]],#REF!,#REF!,"Non Trouvé")</f>
        <v>#REF!</v>
      </c>
      <c r="P597" s="11" t="e">
        <f>_xlfn.XLOOKUP(Mvt_Inter_entrepot[[#This Row],[Num OF]],#REF!,#REF!,"Non Trouvé")</f>
        <v>#REF!</v>
      </c>
      <c r="Q597" s="11" t="str">
        <f>IF(
   COUNTIFS($A$2:A597,A597,
             $B$2:B597,B597,
             $C$2:C597,C597,
             $D$2:D597,D597,
             $E$2:E597,E597,
             $H$2:H597,H597
             )&gt;1,
   "Doublon",
   "Correcte"
)</f>
        <v>Correcte</v>
      </c>
    </row>
    <row r="598" spans="1:17" x14ac:dyDescent="0.25">
      <c r="A598" s="11" t="s">
        <v>3393</v>
      </c>
      <c r="B598" s="11" t="s">
        <v>1153</v>
      </c>
      <c r="C598" s="11" t="s">
        <v>665</v>
      </c>
      <c r="D598" s="11" t="s">
        <v>1154</v>
      </c>
      <c r="E598" s="11">
        <v>5</v>
      </c>
      <c r="F598" s="11" t="s">
        <v>699</v>
      </c>
      <c r="G598" s="11" t="s">
        <v>634</v>
      </c>
      <c r="H598" s="14">
        <v>45936.399710648147</v>
      </c>
      <c r="I598" s="12">
        <f>-Mvt_Inter_entrepot[[#This Row],[QTE]]</f>
        <v>-5</v>
      </c>
      <c r="J598" s="11" t="s">
        <v>725</v>
      </c>
      <c r="K598" s="11" t="str">
        <f>_xlfn.TEXTBEFORE(Mvt_Inter_entrepot[[#This Row],[Num Suivis]],"-",,,1)</f>
        <v>CA250474</v>
      </c>
      <c r="L598" s="11" t="e">
        <f>_xlfn.XLOOKUP(Mvt_Inter_entrepot[[#This Row],[Num OF]],#REF!,#REF!,"Non Trouvé")</f>
        <v>#REF!</v>
      </c>
      <c r="M598" s="11" t="e">
        <f>_xlfn.XLOOKUP(Mvt_Inter_entrepot[[#This Row],[Num OF]],#REF!,#REF!,"Non Trouvé")</f>
        <v>#REF!</v>
      </c>
      <c r="N598" s="11" t="e">
        <f>_xlfn.XLOOKUP(Mvt_Inter_entrepot[[#This Row],[Num OF]],#REF!,#REF!,"Non Trouvé")</f>
        <v>#REF!</v>
      </c>
      <c r="O598" s="11" t="e">
        <f>_xlfn.XLOOKUP(Mvt_Inter_entrepot[[#This Row],[Num OF]],#REF!,#REF!,"Non Trouvé")</f>
        <v>#REF!</v>
      </c>
      <c r="P598" s="11" t="e">
        <f>_xlfn.XLOOKUP(Mvt_Inter_entrepot[[#This Row],[Num OF]],#REF!,#REF!,"Non Trouvé")</f>
        <v>#REF!</v>
      </c>
      <c r="Q598" s="11" t="str">
        <f>IF(
   COUNTIFS($A$2:A598,A598,
             $B$2:B598,B598,
             $C$2:C598,C598,
             $D$2:D598,D598,
             $E$2:E598,E598,
             $H$2:H598,H598
             )&gt;1,
   "Doublon",
   "Correcte"
)</f>
        <v>Correcte</v>
      </c>
    </row>
    <row r="599" spans="1:17" x14ac:dyDescent="0.25">
      <c r="A599" s="11" t="s">
        <v>3394</v>
      </c>
      <c r="B599" s="11" t="s">
        <v>1153</v>
      </c>
      <c r="C599" s="11" t="s">
        <v>665</v>
      </c>
      <c r="D599" s="11" t="s">
        <v>1154</v>
      </c>
      <c r="E599" s="11">
        <v>5</v>
      </c>
      <c r="F599" s="11" t="s">
        <v>699</v>
      </c>
      <c r="G599" s="11" t="s">
        <v>634</v>
      </c>
      <c r="H599" s="14">
        <v>45936.399953703702</v>
      </c>
      <c r="I599" s="12">
        <f>-Mvt_Inter_entrepot[[#This Row],[QTE]]</f>
        <v>-5</v>
      </c>
      <c r="J599" s="11" t="s">
        <v>724</v>
      </c>
      <c r="K599" s="11" t="str">
        <f>_xlfn.TEXTBEFORE(Mvt_Inter_entrepot[[#This Row],[Num Suivis]],"-",,,1)</f>
        <v>CA250474</v>
      </c>
      <c r="L599" s="11" t="e">
        <f>_xlfn.XLOOKUP(Mvt_Inter_entrepot[[#This Row],[Num OF]],#REF!,#REF!,"Non Trouvé")</f>
        <v>#REF!</v>
      </c>
      <c r="M599" s="11" t="e">
        <f>_xlfn.XLOOKUP(Mvt_Inter_entrepot[[#This Row],[Num OF]],#REF!,#REF!,"Non Trouvé")</f>
        <v>#REF!</v>
      </c>
      <c r="N599" s="11" t="e">
        <f>_xlfn.XLOOKUP(Mvt_Inter_entrepot[[#This Row],[Num OF]],#REF!,#REF!,"Non Trouvé")</f>
        <v>#REF!</v>
      </c>
      <c r="O599" s="11" t="e">
        <f>_xlfn.XLOOKUP(Mvt_Inter_entrepot[[#This Row],[Num OF]],#REF!,#REF!,"Non Trouvé")</f>
        <v>#REF!</v>
      </c>
      <c r="P599" s="11" t="e">
        <f>_xlfn.XLOOKUP(Mvt_Inter_entrepot[[#This Row],[Num OF]],#REF!,#REF!,"Non Trouvé")</f>
        <v>#REF!</v>
      </c>
      <c r="Q599" s="11" t="str">
        <f>IF(
   COUNTIFS($A$2:A599,A599,
             $B$2:B599,B599,
             $C$2:C599,C599,
             $D$2:D599,D599,
             $E$2:E599,E599,
             $H$2:H599,H599
             )&gt;1,
   "Doublon",
   "Correcte"
)</f>
        <v>Correcte</v>
      </c>
    </row>
    <row r="600" spans="1:17" x14ac:dyDescent="0.25">
      <c r="A600" s="11" t="s">
        <v>3395</v>
      </c>
      <c r="B600" s="11" t="s">
        <v>1153</v>
      </c>
      <c r="C600" s="11" t="s">
        <v>665</v>
      </c>
      <c r="D600" s="11" t="s">
        <v>1154</v>
      </c>
      <c r="E600" s="11">
        <v>5</v>
      </c>
      <c r="F600" s="11" t="s">
        <v>699</v>
      </c>
      <c r="G600" s="11" t="s">
        <v>634</v>
      </c>
      <c r="H600" s="14">
        <v>45936.400254629632</v>
      </c>
      <c r="I600" s="12">
        <f>-Mvt_Inter_entrepot[[#This Row],[QTE]]</f>
        <v>-5</v>
      </c>
      <c r="J600" s="11" t="s">
        <v>723</v>
      </c>
      <c r="K600" s="11" t="str">
        <f>_xlfn.TEXTBEFORE(Mvt_Inter_entrepot[[#This Row],[Num Suivis]],"-",,,1)</f>
        <v>CA250474</v>
      </c>
      <c r="L600" s="11" t="e">
        <f>_xlfn.XLOOKUP(Mvt_Inter_entrepot[[#This Row],[Num OF]],#REF!,#REF!,"Non Trouvé")</f>
        <v>#REF!</v>
      </c>
      <c r="M600" s="11" t="e">
        <f>_xlfn.XLOOKUP(Mvt_Inter_entrepot[[#This Row],[Num OF]],#REF!,#REF!,"Non Trouvé")</f>
        <v>#REF!</v>
      </c>
      <c r="N600" s="11" t="e">
        <f>_xlfn.XLOOKUP(Mvt_Inter_entrepot[[#This Row],[Num OF]],#REF!,#REF!,"Non Trouvé")</f>
        <v>#REF!</v>
      </c>
      <c r="O600" s="11" t="e">
        <f>_xlfn.XLOOKUP(Mvt_Inter_entrepot[[#This Row],[Num OF]],#REF!,#REF!,"Non Trouvé")</f>
        <v>#REF!</v>
      </c>
      <c r="P600" s="11" t="e">
        <f>_xlfn.XLOOKUP(Mvt_Inter_entrepot[[#This Row],[Num OF]],#REF!,#REF!,"Non Trouvé")</f>
        <v>#REF!</v>
      </c>
      <c r="Q600" s="11" t="str">
        <f>IF(
   COUNTIFS($A$2:A600,A600,
             $B$2:B600,B600,
             $C$2:C600,C600,
             $D$2:D600,D600,
             $E$2:E600,E600,
             $H$2:H600,H600
             )&gt;1,
   "Doublon",
   "Correcte"
)</f>
        <v>Correcte</v>
      </c>
    </row>
    <row r="601" spans="1:17" x14ac:dyDescent="0.25">
      <c r="A601" s="11" t="s">
        <v>3396</v>
      </c>
      <c r="B601" s="11" t="s">
        <v>1153</v>
      </c>
      <c r="C601" s="11" t="s">
        <v>665</v>
      </c>
      <c r="D601" s="11" t="s">
        <v>1154</v>
      </c>
      <c r="E601" s="11">
        <v>5</v>
      </c>
      <c r="F601" s="11" t="s">
        <v>699</v>
      </c>
      <c r="G601" s="11" t="s">
        <v>634</v>
      </c>
      <c r="H601" s="14">
        <v>45936.400497685187</v>
      </c>
      <c r="I601" s="12">
        <f>-Mvt_Inter_entrepot[[#This Row],[QTE]]</f>
        <v>-5</v>
      </c>
      <c r="J601" s="11" t="s">
        <v>755</v>
      </c>
      <c r="K601" s="11" t="str">
        <f>_xlfn.TEXTBEFORE(Mvt_Inter_entrepot[[#This Row],[Num Suivis]],"-",,,1)</f>
        <v>CA250473</v>
      </c>
      <c r="L601" s="11" t="e">
        <f>_xlfn.XLOOKUP(Mvt_Inter_entrepot[[#This Row],[Num OF]],#REF!,#REF!,"Non Trouvé")</f>
        <v>#REF!</v>
      </c>
      <c r="M601" s="11" t="e">
        <f>_xlfn.XLOOKUP(Mvt_Inter_entrepot[[#This Row],[Num OF]],#REF!,#REF!,"Non Trouvé")</f>
        <v>#REF!</v>
      </c>
      <c r="N601" s="11" t="e">
        <f>_xlfn.XLOOKUP(Mvt_Inter_entrepot[[#This Row],[Num OF]],#REF!,#REF!,"Non Trouvé")</f>
        <v>#REF!</v>
      </c>
      <c r="O601" s="11" t="e">
        <f>_xlfn.XLOOKUP(Mvt_Inter_entrepot[[#This Row],[Num OF]],#REF!,#REF!,"Non Trouvé")</f>
        <v>#REF!</v>
      </c>
      <c r="P601" s="11" t="e">
        <f>_xlfn.XLOOKUP(Mvt_Inter_entrepot[[#This Row],[Num OF]],#REF!,#REF!,"Non Trouvé")</f>
        <v>#REF!</v>
      </c>
      <c r="Q601" s="11" t="str">
        <f>IF(
   COUNTIFS($A$2:A601,A601,
             $B$2:B601,B601,
             $C$2:C601,C601,
             $D$2:D601,D601,
             $E$2:E601,E601,
             $H$2:H601,H601
             )&gt;1,
   "Doublon",
   "Correcte"
)</f>
        <v>Correcte</v>
      </c>
    </row>
    <row r="602" spans="1:17" x14ac:dyDescent="0.25">
      <c r="A602" s="11" t="s">
        <v>3397</v>
      </c>
      <c r="B602" s="11" t="s">
        <v>1153</v>
      </c>
      <c r="C602" s="11" t="s">
        <v>665</v>
      </c>
      <c r="D602" s="11" t="s">
        <v>1154</v>
      </c>
      <c r="E602" s="11">
        <v>5</v>
      </c>
      <c r="F602" s="11" t="s">
        <v>699</v>
      </c>
      <c r="G602" s="11" t="s">
        <v>634</v>
      </c>
      <c r="H602" s="14">
        <v>45936.401076388887</v>
      </c>
      <c r="I602" s="12">
        <f>-Mvt_Inter_entrepot[[#This Row],[QTE]]</f>
        <v>-5</v>
      </c>
      <c r="J602" s="11" t="s">
        <v>756</v>
      </c>
      <c r="K602" s="11" t="str">
        <f>_xlfn.TEXTBEFORE(Mvt_Inter_entrepot[[#This Row],[Num Suivis]],"-",,,1)</f>
        <v>CA250473</v>
      </c>
      <c r="L602" s="11" t="e">
        <f>_xlfn.XLOOKUP(Mvt_Inter_entrepot[[#This Row],[Num OF]],#REF!,#REF!,"Non Trouvé")</f>
        <v>#REF!</v>
      </c>
      <c r="M602" s="11" t="e">
        <f>_xlfn.XLOOKUP(Mvt_Inter_entrepot[[#This Row],[Num OF]],#REF!,#REF!,"Non Trouvé")</f>
        <v>#REF!</v>
      </c>
      <c r="N602" s="11" t="e">
        <f>_xlfn.XLOOKUP(Mvt_Inter_entrepot[[#This Row],[Num OF]],#REF!,#REF!,"Non Trouvé")</f>
        <v>#REF!</v>
      </c>
      <c r="O602" s="11" t="e">
        <f>_xlfn.XLOOKUP(Mvt_Inter_entrepot[[#This Row],[Num OF]],#REF!,#REF!,"Non Trouvé")</f>
        <v>#REF!</v>
      </c>
      <c r="P602" s="11" t="e">
        <f>_xlfn.XLOOKUP(Mvt_Inter_entrepot[[#This Row],[Num OF]],#REF!,#REF!,"Non Trouvé")</f>
        <v>#REF!</v>
      </c>
      <c r="Q602" s="11" t="str">
        <f>IF(
   COUNTIFS($A$2:A602,A602,
             $B$2:B602,B602,
             $C$2:C602,C602,
             $D$2:D602,D602,
             $E$2:E602,E602,
             $H$2:H602,H602
             )&gt;1,
   "Doublon",
   "Correcte"
)</f>
        <v>Correcte</v>
      </c>
    </row>
    <row r="603" spans="1:17" x14ac:dyDescent="0.25">
      <c r="A603" s="11" t="s">
        <v>3398</v>
      </c>
      <c r="B603" s="11" t="s">
        <v>1153</v>
      </c>
      <c r="C603" s="11" t="s">
        <v>665</v>
      </c>
      <c r="D603" s="11" t="s">
        <v>1154</v>
      </c>
      <c r="E603" s="11">
        <v>5</v>
      </c>
      <c r="F603" s="11" t="s">
        <v>699</v>
      </c>
      <c r="G603" s="11" t="s">
        <v>634</v>
      </c>
      <c r="H603" s="14">
        <v>45936.401319444441</v>
      </c>
      <c r="I603" s="12">
        <f>-Mvt_Inter_entrepot[[#This Row],[QTE]]</f>
        <v>-5</v>
      </c>
      <c r="J603" s="11" t="s">
        <v>1173</v>
      </c>
      <c r="K603" s="11" t="str">
        <f>_xlfn.TEXTBEFORE(Mvt_Inter_entrepot[[#This Row],[Num Suivis]],"-",,,1)</f>
        <v>CA250397</v>
      </c>
      <c r="L603" s="11" t="e">
        <f>_xlfn.XLOOKUP(Mvt_Inter_entrepot[[#This Row],[Num OF]],#REF!,#REF!,"Non Trouvé")</f>
        <v>#REF!</v>
      </c>
      <c r="M603" s="11" t="e">
        <f>_xlfn.XLOOKUP(Mvt_Inter_entrepot[[#This Row],[Num OF]],#REF!,#REF!,"Non Trouvé")</f>
        <v>#REF!</v>
      </c>
      <c r="N603" s="11" t="e">
        <f>_xlfn.XLOOKUP(Mvt_Inter_entrepot[[#This Row],[Num OF]],#REF!,#REF!,"Non Trouvé")</f>
        <v>#REF!</v>
      </c>
      <c r="O603" s="11" t="e">
        <f>_xlfn.XLOOKUP(Mvt_Inter_entrepot[[#This Row],[Num OF]],#REF!,#REF!,"Non Trouvé")</f>
        <v>#REF!</v>
      </c>
      <c r="P603" s="11" t="e">
        <f>_xlfn.XLOOKUP(Mvt_Inter_entrepot[[#This Row],[Num OF]],#REF!,#REF!,"Non Trouvé")</f>
        <v>#REF!</v>
      </c>
      <c r="Q603" s="11" t="str">
        <f>IF(
   COUNTIFS($A$2:A603,A603,
             $B$2:B603,B603,
             $C$2:C603,C603,
             $D$2:D603,D603,
             $E$2:E603,E603,
             $H$2:H603,H603
             )&gt;1,
   "Doublon",
   "Correcte"
)</f>
        <v>Correcte</v>
      </c>
    </row>
    <row r="604" spans="1:17" x14ac:dyDescent="0.25">
      <c r="A604" s="11" t="s">
        <v>3399</v>
      </c>
      <c r="B604" s="11" t="s">
        <v>1153</v>
      </c>
      <c r="C604" s="11" t="s">
        <v>665</v>
      </c>
      <c r="D604" s="11" t="s">
        <v>1154</v>
      </c>
      <c r="E604" s="11">
        <v>5</v>
      </c>
      <c r="F604" s="11" t="s">
        <v>699</v>
      </c>
      <c r="G604" s="11" t="s">
        <v>634</v>
      </c>
      <c r="H604" s="14">
        <v>45936.401620370372</v>
      </c>
      <c r="I604" s="12">
        <f>-Mvt_Inter_entrepot[[#This Row],[QTE]]</f>
        <v>-5</v>
      </c>
      <c r="J604" s="11" t="s">
        <v>1174</v>
      </c>
      <c r="K604" s="11" t="str">
        <f>_xlfn.TEXTBEFORE(Mvt_Inter_entrepot[[#This Row],[Num Suivis]],"-",,,1)</f>
        <v>CA250397</v>
      </c>
      <c r="L604" s="11" t="e">
        <f>_xlfn.XLOOKUP(Mvt_Inter_entrepot[[#This Row],[Num OF]],#REF!,#REF!,"Non Trouvé")</f>
        <v>#REF!</v>
      </c>
      <c r="M604" s="11" t="e">
        <f>_xlfn.XLOOKUP(Mvt_Inter_entrepot[[#This Row],[Num OF]],#REF!,#REF!,"Non Trouvé")</f>
        <v>#REF!</v>
      </c>
      <c r="N604" s="11" t="e">
        <f>_xlfn.XLOOKUP(Mvt_Inter_entrepot[[#This Row],[Num OF]],#REF!,#REF!,"Non Trouvé")</f>
        <v>#REF!</v>
      </c>
      <c r="O604" s="11" t="e">
        <f>_xlfn.XLOOKUP(Mvt_Inter_entrepot[[#This Row],[Num OF]],#REF!,#REF!,"Non Trouvé")</f>
        <v>#REF!</v>
      </c>
      <c r="P604" s="11" t="e">
        <f>_xlfn.XLOOKUP(Mvt_Inter_entrepot[[#This Row],[Num OF]],#REF!,#REF!,"Non Trouvé")</f>
        <v>#REF!</v>
      </c>
      <c r="Q604" s="11" t="str">
        <f>IF(
   COUNTIFS($A$2:A604,A604,
             $B$2:B604,B604,
             $C$2:C604,C604,
             $D$2:D604,D604,
             $E$2:E604,E604,
             $H$2:H604,H604
             )&gt;1,
   "Doublon",
   "Correcte"
)</f>
        <v>Correcte</v>
      </c>
    </row>
    <row r="605" spans="1:17" x14ac:dyDescent="0.25">
      <c r="A605" s="11" t="s">
        <v>3400</v>
      </c>
      <c r="B605" s="11" t="s">
        <v>1153</v>
      </c>
      <c r="C605" s="11" t="s">
        <v>665</v>
      </c>
      <c r="D605" s="11" t="s">
        <v>1154</v>
      </c>
      <c r="E605" s="11">
        <v>5</v>
      </c>
      <c r="F605" s="11" t="s">
        <v>699</v>
      </c>
      <c r="G605" s="11" t="s">
        <v>634</v>
      </c>
      <c r="H605" s="14">
        <v>45936.401909722219</v>
      </c>
      <c r="I605" s="12">
        <f>-Mvt_Inter_entrepot[[#This Row],[QTE]]</f>
        <v>-5</v>
      </c>
      <c r="J605" s="11" t="s">
        <v>754</v>
      </c>
      <c r="K605" s="11" t="str">
        <f>_xlfn.TEXTBEFORE(Mvt_Inter_entrepot[[#This Row],[Num Suivis]],"-",,,1)</f>
        <v>CA250473</v>
      </c>
      <c r="L605" s="11" t="e">
        <f>_xlfn.XLOOKUP(Mvt_Inter_entrepot[[#This Row],[Num OF]],#REF!,#REF!,"Non Trouvé")</f>
        <v>#REF!</v>
      </c>
      <c r="M605" s="11" t="e">
        <f>_xlfn.XLOOKUP(Mvt_Inter_entrepot[[#This Row],[Num OF]],#REF!,#REF!,"Non Trouvé")</f>
        <v>#REF!</v>
      </c>
      <c r="N605" s="11" t="e">
        <f>_xlfn.XLOOKUP(Mvt_Inter_entrepot[[#This Row],[Num OF]],#REF!,#REF!,"Non Trouvé")</f>
        <v>#REF!</v>
      </c>
      <c r="O605" s="11" t="e">
        <f>_xlfn.XLOOKUP(Mvt_Inter_entrepot[[#This Row],[Num OF]],#REF!,#REF!,"Non Trouvé")</f>
        <v>#REF!</v>
      </c>
      <c r="P605" s="11" t="e">
        <f>_xlfn.XLOOKUP(Mvt_Inter_entrepot[[#This Row],[Num OF]],#REF!,#REF!,"Non Trouvé")</f>
        <v>#REF!</v>
      </c>
      <c r="Q605" s="11" t="str">
        <f>IF(
   COUNTIFS($A$2:A605,A605,
             $B$2:B605,B605,
             $C$2:C605,C605,
             $D$2:D605,D605,
             $E$2:E605,E605,
             $H$2:H605,H605
             )&gt;1,
   "Doublon",
   "Correcte"
)</f>
        <v>Correcte</v>
      </c>
    </row>
    <row r="606" spans="1:17" x14ac:dyDescent="0.25">
      <c r="A606" s="11" t="s">
        <v>3401</v>
      </c>
      <c r="B606" s="11" t="s">
        <v>1153</v>
      </c>
      <c r="C606" s="11" t="s">
        <v>665</v>
      </c>
      <c r="D606" s="11" t="s">
        <v>1154</v>
      </c>
      <c r="E606" s="11">
        <v>4</v>
      </c>
      <c r="F606" s="11" t="s">
        <v>699</v>
      </c>
      <c r="G606" s="11" t="s">
        <v>634</v>
      </c>
      <c r="H606" s="14">
        <v>45936.402418981481</v>
      </c>
      <c r="I606" s="12">
        <f>-Mvt_Inter_entrepot[[#This Row],[QTE]]</f>
        <v>-4</v>
      </c>
      <c r="J606" s="11" t="s">
        <v>1175</v>
      </c>
      <c r="K606" s="11" t="str">
        <f>_xlfn.TEXTBEFORE(Mvt_Inter_entrepot[[#This Row],[Num Suivis]],"-",,,1)</f>
        <v>CA250397</v>
      </c>
      <c r="L606" s="11" t="e">
        <f>_xlfn.XLOOKUP(Mvt_Inter_entrepot[[#This Row],[Num OF]],#REF!,#REF!,"Non Trouvé")</f>
        <v>#REF!</v>
      </c>
      <c r="M606" s="11" t="e">
        <f>_xlfn.XLOOKUP(Mvt_Inter_entrepot[[#This Row],[Num OF]],#REF!,#REF!,"Non Trouvé")</f>
        <v>#REF!</v>
      </c>
      <c r="N606" s="11" t="e">
        <f>_xlfn.XLOOKUP(Mvt_Inter_entrepot[[#This Row],[Num OF]],#REF!,#REF!,"Non Trouvé")</f>
        <v>#REF!</v>
      </c>
      <c r="O606" s="11" t="e">
        <f>_xlfn.XLOOKUP(Mvt_Inter_entrepot[[#This Row],[Num OF]],#REF!,#REF!,"Non Trouvé")</f>
        <v>#REF!</v>
      </c>
      <c r="P606" s="11" t="e">
        <f>_xlfn.XLOOKUP(Mvt_Inter_entrepot[[#This Row],[Num OF]],#REF!,#REF!,"Non Trouvé")</f>
        <v>#REF!</v>
      </c>
      <c r="Q606" s="11" t="str">
        <f>IF(
   COUNTIFS($A$2:A606,A606,
             $B$2:B606,B606,
             $C$2:C606,C606,
             $D$2:D606,D606,
             $E$2:E606,E606,
             $H$2:H606,H606
             )&gt;1,
   "Doublon",
   "Correcte"
)</f>
        <v>Correcte</v>
      </c>
    </row>
    <row r="607" spans="1:17" x14ac:dyDescent="0.25">
      <c r="A607" s="11" t="s">
        <v>3402</v>
      </c>
      <c r="B607" s="11" t="s">
        <v>1153</v>
      </c>
      <c r="C607" s="11" t="s">
        <v>665</v>
      </c>
      <c r="D607" s="11" t="s">
        <v>1154</v>
      </c>
      <c r="E607" s="11">
        <v>5</v>
      </c>
      <c r="F607" s="11" t="s">
        <v>699</v>
      </c>
      <c r="G607" s="11" t="s">
        <v>634</v>
      </c>
      <c r="H607" s="14">
        <v>45936.403240740743</v>
      </c>
      <c r="I607" s="12">
        <f>-Mvt_Inter_entrepot[[#This Row],[QTE]]</f>
        <v>-5</v>
      </c>
      <c r="J607" s="11" t="s">
        <v>974</v>
      </c>
      <c r="K607" s="11" t="str">
        <f>_xlfn.TEXTBEFORE(Mvt_Inter_entrepot[[#This Row],[Num Suivis]],"-",,,1)</f>
        <v>CA250022</v>
      </c>
      <c r="L607" s="11" t="e">
        <f>_xlfn.XLOOKUP(Mvt_Inter_entrepot[[#This Row],[Num OF]],#REF!,#REF!,"Non Trouvé")</f>
        <v>#REF!</v>
      </c>
      <c r="M607" s="11" t="e">
        <f>_xlfn.XLOOKUP(Mvt_Inter_entrepot[[#This Row],[Num OF]],#REF!,#REF!,"Non Trouvé")</f>
        <v>#REF!</v>
      </c>
      <c r="N607" s="11" t="e">
        <f>_xlfn.XLOOKUP(Mvt_Inter_entrepot[[#This Row],[Num OF]],#REF!,#REF!,"Non Trouvé")</f>
        <v>#REF!</v>
      </c>
      <c r="O607" s="11" t="e">
        <f>_xlfn.XLOOKUP(Mvt_Inter_entrepot[[#This Row],[Num OF]],#REF!,#REF!,"Non Trouvé")</f>
        <v>#REF!</v>
      </c>
      <c r="P607" s="11" t="e">
        <f>_xlfn.XLOOKUP(Mvt_Inter_entrepot[[#This Row],[Num OF]],#REF!,#REF!,"Non Trouvé")</f>
        <v>#REF!</v>
      </c>
      <c r="Q607" s="11" t="str">
        <f>IF(
   COUNTIFS($A$2:A607,A607,
             $B$2:B607,B607,
             $C$2:C607,C607,
             $D$2:D607,D607,
             $E$2:E607,E607,
             $H$2:H607,H607
             )&gt;1,
   "Doublon",
   "Correcte"
)</f>
        <v>Correcte</v>
      </c>
    </row>
    <row r="608" spans="1:17" x14ac:dyDescent="0.25">
      <c r="A608" s="11" t="s">
        <v>3403</v>
      </c>
      <c r="B608" s="11" t="s">
        <v>1153</v>
      </c>
      <c r="C608" s="11" t="s">
        <v>665</v>
      </c>
      <c r="D608" s="11" t="s">
        <v>1154</v>
      </c>
      <c r="E608" s="11">
        <v>5</v>
      </c>
      <c r="F608" s="11" t="s">
        <v>699</v>
      </c>
      <c r="G608" s="11" t="s">
        <v>634</v>
      </c>
      <c r="H608" s="14">
        <v>45936.403541666667</v>
      </c>
      <c r="I608" s="12">
        <f>-Mvt_Inter_entrepot[[#This Row],[QTE]]</f>
        <v>-5</v>
      </c>
      <c r="J608" s="11" t="s">
        <v>885</v>
      </c>
      <c r="K608" s="11" t="str">
        <f>_xlfn.TEXTBEFORE(Mvt_Inter_entrepot[[#This Row],[Num Suivis]],"-",,,1)</f>
        <v>CA250079</v>
      </c>
      <c r="L608" s="11" t="e">
        <f>_xlfn.XLOOKUP(Mvt_Inter_entrepot[[#This Row],[Num OF]],#REF!,#REF!,"Non Trouvé")</f>
        <v>#REF!</v>
      </c>
      <c r="M608" s="11" t="e">
        <f>_xlfn.XLOOKUP(Mvt_Inter_entrepot[[#This Row],[Num OF]],#REF!,#REF!,"Non Trouvé")</f>
        <v>#REF!</v>
      </c>
      <c r="N608" s="11" t="e">
        <f>_xlfn.XLOOKUP(Mvt_Inter_entrepot[[#This Row],[Num OF]],#REF!,#REF!,"Non Trouvé")</f>
        <v>#REF!</v>
      </c>
      <c r="O608" s="11" t="e">
        <f>_xlfn.XLOOKUP(Mvt_Inter_entrepot[[#This Row],[Num OF]],#REF!,#REF!,"Non Trouvé")</f>
        <v>#REF!</v>
      </c>
      <c r="P608" s="11" t="e">
        <f>_xlfn.XLOOKUP(Mvt_Inter_entrepot[[#This Row],[Num OF]],#REF!,#REF!,"Non Trouvé")</f>
        <v>#REF!</v>
      </c>
      <c r="Q608" s="11" t="str">
        <f>IF(
   COUNTIFS($A$2:A608,A608,
             $B$2:B608,B608,
             $C$2:C608,C608,
             $D$2:D608,D608,
             $E$2:E608,E608,
             $H$2:H608,H608
             )&gt;1,
   "Doublon",
   "Correcte"
)</f>
        <v>Correcte</v>
      </c>
    </row>
    <row r="609" spans="1:17" x14ac:dyDescent="0.25">
      <c r="A609" s="11" t="s">
        <v>3404</v>
      </c>
      <c r="B609" s="11" t="s">
        <v>1153</v>
      </c>
      <c r="C609" s="11" t="s">
        <v>665</v>
      </c>
      <c r="D609" s="11" t="s">
        <v>1154</v>
      </c>
      <c r="E609" s="11">
        <v>5</v>
      </c>
      <c r="F609" s="11" t="s">
        <v>699</v>
      </c>
      <c r="G609" s="11" t="s">
        <v>634</v>
      </c>
      <c r="H609" s="14">
        <v>45936.403761574074</v>
      </c>
      <c r="I609" s="12">
        <f>-Mvt_Inter_entrepot[[#This Row],[QTE]]</f>
        <v>-5</v>
      </c>
      <c r="J609" s="11" t="s">
        <v>964</v>
      </c>
      <c r="K609" s="11" t="str">
        <f>_xlfn.TEXTBEFORE(Mvt_Inter_entrepot[[#This Row],[Num Suivis]],"-",,,1)</f>
        <v>CA250078</v>
      </c>
      <c r="L609" s="11" t="e">
        <f>_xlfn.XLOOKUP(Mvt_Inter_entrepot[[#This Row],[Num OF]],#REF!,#REF!,"Non Trouvé")</f>
        <v>#REF!</v>
      </c>
      <c r="M609" s="11" t="e">
        <f>_xlfn.XLOOKUP(Mvt_Inter_entrepot[[#This Row],[Num OF]],#REF!,#REF!,"Non Trouvé")</f>
        <v>#REF!</v>
      </c>
      <c r="N609" s="11" t="e">
        <f>_xlfn.XLOOKUP(Mvt_Inter_entrepot[[#This Row],[Num OF]],#REF!,#REF!,"Non Trouvé")</f>
        <v>#REF!</v>
      </c>
      <c r="O609" s="11" t="e">
        <f>_xlfn.XLOOKUP(Mvt_Inter_entrepot[[#This Row],[Num OF]],#REF!,#REF!,"Non Trouvé")</f>
        <v>#REF!</v>
      </c>
      <c r="P609" s="11" t="e">
        <f>_xlfn.XLOOKUP(Mvt_Inter_entrepot[[#This Row],[Num OF]],#REF!,#REF!,"Non Trouvé")</f>
        <v>#REF!</v>
      </c>
      <c r="Q609" s="11" t="str">
        <f>IF(
   COUNTIFS($A$2:A609,A609,
             $B$2:B609,B609,
             $C$2:C609,C609,
             $D$2:D609,D609,
             $E$2:E609,E609,
             $H$2:H609,H609
             )&gt;1,
   "Doublon",
   "Correcte"
)</f>
        <v>Correcte</v>
      </c>
    </row>
    <row r="610" spans="1:17" x14ac:dyDescent="0.25">
      <c r="A610" s="11" t="s">
        <v>3304</v>
      </c>
      <c r="B610" s="11" t="s">
        <v>1153</v>
      </c>
      <c r="C610" s="11" t="s">
        <v>665</v>
      </c>
      <c r="D610" s="11" t="s">
        <v>1154</v>
      </c>
      <c r="E610" s="11">
        <v>5</v>
      </c>
      <c r="F610" s="11" t="s">
        <v>699</v>
      </c>
      <c r="G610" s="11" t="s">
        <v>634</v>
      </c>
      <c r="H610" s="14">
        <v>45936.404224537036</v>
      </c>
      <c r="I610" s="12">
        <f>-Mvt_Inter_entrepot[[#This Row],[QTE]]</f>
        <v>-5</v>
      </c>
      <c r="J610" s="11" t="s">
        <v>49</v>
      </c>
      <c r="K610" s="11" t="str">
        <f>_xlfn.TEXTBEFORE(Mvt_Inter_entrepot[[#This Row],[Num Suivis]],"-",,,1)</f>
        <v>CA250029</v>
      </c>
      <c r="L610" s="11" t="e">
        <f>_xlfn.XLOOKUP(Mvt_Inter_entrepot[[#This Row],[Num OF]],#REF!,#REF!,"Non Trouvé")</f>
        <v>#REF!</v>
      </c>
      <c r="M610" s="11" t="e">
        <f>_xlfn.XLOOKUP(Mvt_Inter_entrepot[[#This Row],[Num OF]],#REF!,#REF!,"Non Trouvé")</f>
        <v>#REF!</v>
      </c>
      <c r="N610" s="11" t="e">
        <f>_xlfn.XLOOKUP(Mvt_Inter_entrepot[[#This Row],[Num OF]],#REF!,#REF!,"Non Trouvé")</f>
        <v>#REF!</v>
      </c>
      <c r="O610" s="11" t="e">
        <f>_xlfn.XLOOKUP(Mvt_Inter_entrepot[[#This Row],[Num OF]],#REF!,#REF!,"Non Trouvé")</f>
        <v>#REF!</v>
      </c>
      <c r="P610" s="11" t="e">
        <f>_xlfn.XLOOKUP(Mvt_Inter_entrepot[[#This Row],[Num OF]],#REF!,#REF!,"Non Trouvé")</f>
        <v>#REF!</v>
      </c>
      <c r="Q610" s="11" t="str">
        <f>IF(
   COUNTIFS($A$2:A610,A610,
             $B$2:B610,B610,
             $C$2:C610,C610,
             $D$2:D610,D610,
             $E$2:E610,E610,
             $H$2:H610,H610
             )&gt;1,
   "Doublon",
   "Correcte"
)</f>
        <v>Correcte</v>
      </c>
    </row>
    <row r="611" spans="1:17" x14ac:dyDescent="0.25">
      <c r="A611" s="11" t="s">
        <v>3405</v>
      </c>
      <c r="B611" s="11" t="s">
        <v>1153</v>
      </c>
      <c r="C611" s="11" t="s">
        <v>665</v>
      </c>
      <c r="D611" s="11" t="s">
        <v>1154</v>
      </c>
      <c r="E611" s="11">
        <v>5</v>
      </c>
      <c r="F611" s="11" t="s">
        <v>699</v>
      </c>
      <c r="G611" s="11" t="s">
        <v>634</v>
      </c>
      <c r="H611" s="14">
        <v>45936.404583333337</v>
      </c>
      <c r="I611" s="12">
        <f>-Mvt_Inter_entrepot[[#This Row],[QTE]]</f>
        <v>-5</v>
      </c>
      <c r="J611" s="11" t="s">
        <v>981</v>
      </c>
      <c r="K611" s="11" t="str">
        <f>_xlfn.TEXTBEFORE(Mvt_Inter_entrepot[[#This Row],[Num Suivis]],"-",,,1)</f>
        <v>CA250039</v>
      </c>
      <c r="L611" s="11" t="e">
        <f>_xlfn.XLOOKUP(Mvt_Inter_entrepot[[#This Row],[Num OF]],#REF!,#REF!,"Non Trouvé")</f>
        <v>#REF!</v>
      </c>
      <c r="M611" s="11" t="e">
        <f>_xlfn.XLOOKUP(Mvt_Inter_entrepot[[#This Row],[Num OF]],#REF!,#REF!,"Non Trouvé")</f>
        <v>#REF!</v>
      </c>
      <c r="N611" s="11" t="e">
        <f>_xlfn.XLOOKUP(Mvt_Inter_entrepot[[#This Row],[Num OF]],#REF!,#REF!,"Non Trouvé")</f>
        <v>#REF!</v>
      </c>
      <c r="O611" s="11" t="e">
        <f>_xlfn.XLOOKUP(Mvt_Inter_entrepot[[#This Row],[Num OF]],#REF!,#REF!,"Non Trouvé")</f>
        <v>#REF!</v>
      </c>
      <c r="P611" s="11" t="e">
        <f>_xlfn.XLOOKUP(Mvt_Inter_entrepot[[#This Row],[Num OF]],#REF!,#REF!,"Non Trouvé")</f>
        <v>#REF!</v>
      </c>
      <c r="Q611" s="11" t="str">
        <f>IF(
   COUNTIFS($A$2:A611,A611,
             $B$2:B611,B611,
             $C$2:C611,C611,
             $D$2:D611,D611,
             $E$2:E611,E611,
             $H$2:H611,H611
             )&gt;1,
   "Doublon",
   "Correcte"
)</f>
        <v>Correcte</v>
      </c>
    </row>
    <row r="612" spans="1:17" x14ac:dyDescent="0.25">
      <c r="A612" s="11" t="s">
        <v>3304</v>
      </c>
      <c r="B612" s="11" t="s">
        <v>1153</v>
      </c>
      <c r="C612" s="11" t="s">
        <v>665</v>
      </c>
      <c r="D612" s="11" t="s">
        <v>1154</v>
      </c>
      <c r="E612" s="11">
        <v>5</v>
      </c>
      <c r="F612" s="11" t="s">
        <v>699</v>
      </c>
      <c r="G612" s="11" t="s">
        <v>634</v>
      </c>
      <c r="H612" s="14">
        <v>45936.404849537037</v>
      </c>
      <c r="I612" s="12">
        <f>-Mvt_Inter_entrepot[[#This Row],[QTE]]</f>
        <v>-5</v>
      </c>
      <c r="J612" s="11" t="s">
        <v>49</v>
      </c>
      <c r="K612" s="11" t="str">
        <f>_xlfn.TEXTBEFORE(Mvt_Inter_entrepot[[#This Row],[Num Suivis]],"-",,,1)</f>
        <v>CA250029</v>
      </c>
      <c r="L612" s="11" t="e">
        <f>_xlfn.XLOOKUP(Mvt_Inter_entrepot[[#This Row],[Num OF]],#REF!,#REF!,"Non Trouvé")</f>
        <v>#REF!</v>
      </c>
      <c r="M612" s="11" t="e">
        <f>_xlfn.XLOOKUP(Mvt_Inter_entrepot[[#This Row],[Num OF]],#REF!,#REF!,"Non Trouvé")</f>
        <v>#REF!</v>
      </c>
      <c r="N612" s="11" t="e">
        <f>_xlfn.XLOOKUP(Mvt_Inter_entrepot[[#This Row],[Num OF]],#REF!,#REF!,"Non Trouvé")</f>
        <v>#REF!</v>
      </c>
      <c r="O612" s="11" t="e">
        <f>_xlfn.XLOOKUP(Mvt_Inter_entrepot[[#This Row],[Num OF]],#REF!,#REF!,"Non Trouvé")</f>
        <v>#REF!</v>
      </c>
      <c r="P612" s="11" t="e">
        <f>_xlfn.XLOOKUP(Mvt_Inter_entrepot[[#This Row],[Num OF]],#REF!,#REF!,"Non Trouvé")</f>
        <v>#REF!</v>
      </c>
      <c r="Q612" s="11" t="str">
        <f>IF(
   COUNTIFS($A$2:A612,A612,
             $B$2:B612,B612,
             $C$2:C612,C612,
             $D$2:D612,D612,
             $E$2:E612,E612,
             $H$2:H612,H612
             )&gt;1,
   "Doublon",
   "Correcte"
)</f>
        <v>Correcte</v>
      </c>
    </row>
    <row r="613" spans="1:17" x14ac:dyDescent="0.25">
      <c r="A613" s="11" t="s">
        <v>3406</v>
      </c>
      <c r="B613" s="11" t="s">
        <v>1153</v>
      </c>
      <c r="C613" s="11" t="s">
        <v>665</v>
      </c>
      <c r="D613" s="11" t="s">
        <v>1154</v>
      </c>
      <c r="E613" s="11">
        <v>5</v>
      </c>
      <c r="F613" s="11" t="s">
        <v>699</v>
      </c>
      <c r="G613" s="11" t="s">
        <v>634</v>
      </c>
      <c r="H613" s="14">
        <v>45936.405069444445</v>
      </c>
      <c r="I613" s="12">
        <f>-Mvt_Inter_entrepot[[#This Row],[QTE]]</f>
        <v>-5</v>
      </c>
      <c r="J613" s="11" t="s">
        <v>972</v>
      </c>
      <c r="K613" s="11" t="str">
        <f>_xlfn.TEXTBEFORE(Mvt_Inter_entrepot[[#This Row],[Num Suivis]],"-",,,1)</f>
        <v>CA250022</v>
      </c>
      <c r="L613" s="11" t="e">
        <f>_xlfn.XLOOKUP(Mvt_Inter_entrepot[[#This Row],[Num OF]],#REF!,#REF!,"Non Trouvé")</f>
        <v>#REF!</v>
      </c>
      <c r="M613" s="11" t="e">
        <f>_xlfn.XLOOKUP(Mvt_Inter_entrepot[[#This Row],[Num OF]],#REF!,#REF!,"Non Trouvé")</f>
        <v>#REF!</v>
      </c>
      <c r="N613" s="11" t="e">
        <f>_xlfn.XLOOKUP(Mvt_Inter_entrepot[[#This Row],[Num OF]],#REF!,#REF!,"Non Trouvé")</f>
        <v>#REF!</v>
      </c>
      <c r="O613" s="11" t="e">
        <f>_xlfn.XLOOKUP(Mvt_Inter_entrepot[[#This Row],[Num OF]],#REF!,#REF!,"Non Trouvé")</f>
        <v>#REF!</v>
      </c>
      <c r="P613" s="11" t="e">
        <f>_xlfn.XLOOKUP(Mvt_Inter_entrepot[[#This Row],[Num OF]],#REF!,#REF!,"Non Trouvé")</f>
        <v>#REF!</v>
      </c>
      <c r="Q613" s="11" t="str">
        <f>IF(
   COUNTIFS($A$2:A613,A613,
             $B$2:B613,B613,
             $C$2:C613,C613,
             $D$2:D613,D613,
             $E$2:E613,E613,
             $H$2:H613,H613
             )&gt;1,
   "Doublon",
   "Correcte"
)</f>
        <v>Correcte</v>
      </c>
    </row>
    <row r="614" spans="1:17" x14ac:dyDescent="0.25">
      <c r="A614" s="11" t="s">
        <v>3357</v>
      </c>
      <c r="B614" s="11" t="s">
        <v>1153</v>
      </c>
      <c r="C614" s="11" t="s">
        <v>665</v>
      </c>
      <c r="D614" s="11" t="s">
        <v>1154</v>
      </c>
      <c r="E614" s="11">
        <v>5</v>
      </c>
      <c r="F614" s="11" t="s">
        <v>699</v>
      </c>
      <c r="G614" s="11" t="s">
        <v>634</v>
      </c>
      <c r="H614" s="14">
        <v>45936.405416666668</v>
      </c>
      <c r="I614" s="12">
        <f>-Mvt_Inter_entrepot[[#This Row],[QTE]]</f>
        <v>-5</v>
      </c>
      <c r="J614" s="11" t="s">
        <v>48</v>
      </c>
      <c r="K614" s="11" t="str">
        <f>_xlfn.TEXTBEFORE(Mvt_Inter_entrepot[[#This Row],[Num Suivis]],"-",,,1)</f>
        <v>CA250026</v>
      </c>
      <c r="L614" s="11" t="e">
        <f>_xlfn.XLOOKUP(Mvt_Inter_entrepot[[#This Row],[Num OF]],#REF!,#REF!,"Non Trouvé")</f>
        <v>#REF!</v>
      </c>
      <c r="M614" s="11" t="e">
        <f>_xlfn.XLOOKUP(Mvt_Inter_entrepot[[#This Row],[Num OF]],#REF!,#REF!,"Non Trouvé")</f>
        <v>#REF!</v>
      </c>
      <c r="N614" s="11" t="e">
        <f>_xlfn.XLOOKUP(Mvt_Inter_entrepot[[#This Row],[Num OF]],#REF!,#REF!,"Non Trouvé")</f>
        <v>#REF!</v>
      </c>
      <c r="O614" s="11" t="e">
        <f>_xlfn.XLOOKUP(Mvt_Inter_entrepot[[#This Row],[Num OF]],#REF!,#REF!,"Non Trouvé")</f>
        <v>#REF!</v>
      </c>
      <c r="P614" s="11" t="e">
        <f>_xlfn.XLOOKUP(Mvt_Inter_entrepot[[#This Row],[Num OF]],#REF!,#REF!,"Non Trouvé")</f>
        <v>#REF!</v>
      </c>
      <c r="Q614" s="11" t="str">
        <f>IF(
   COUNTIFS($A$2:A614,A614,
             $B$2:B614,B614,
             $C$2:C614,C614,
             $D$2:D614,D614,
             $E$2:E614,E614,
             $H$2:H614,H614
             )&gt;1,
   "Doublon",
   "Correcte"
)</f>
        <v>Correcte</v>
      </c>
    </row>
    <row r="615" spans="1:17" x14ac:dyDescent="0.25">
      <c r="A615" s="11" t="s">
        <v>3304</v>
      </c>
      <c r="B615" s="11" t="s">
        <v>1153</v>
      </c>
      <c r="C615" s="11" t="s">
        <v>665</v>
      </c>
      <c r="D615" s="11" t="s">
        <v>1154</v>
      </c>
      <c r="E615" s="11">
        <v>5</v>
      </c>
      <c r="F615" s="11" t="s">
        <v>699</v>
      </c>
      <c r="G615" s="11" t="s">
        <v>634</v>
      </c>
      <c r="H615" s="14">
        <v>45936.405775462961</v>
      </c>
      <c r="I615" s="12">
        <f>-Mvt_Inter_entrepot[[#This Row],[QTE]]</f>
        <v>-5</v>
      </c>
      <c r="J615" s="11" t="s">
        <v>49</v>
      </c>
      <c r="K615" s="11" t="str">
        <f>_xlfn.TEXTBEFORE(Mvt_Inter_entrepot[[#This Row],[Num Suivis]],"-",,,1)</f>
        <v>CA250029</v>
      </c>
      <c r="L615" s="11" t="e">
        <f>_xlfn.XLOOKUP(Mvt_Inter_entrepot[[#This Row],[Num OF]],#REF!,#REF!,"Non Trouvé")</f>
        <v>#REF!</v>
      </c>
      <c r="M615" s="11" t="e">
        <f>_xlfn.XLOOKUP(Mvt_Inter_entrepot[[#This Row],[Num OF]],#REF!,#REF!,"Non Trouvé")</f>
        <v>#REF!</v>
      </c>
      <c r="N615" s="11" t="e">
        <f>_xlfn.XLOOKUP(Mvt_Inter_entrepot[[#This Row],[Num OF]],#REF!,#REF!,"Non Trouvé")</f>
        <v>#REF!</v>
      </c>
      <c r="O615" s="11" t="e">
        <f>_xlfn.XLOOKUP(Mvt_Inter_entrepot[[#This Row],[Num OF]],#REF!,#REF!,"Non Trouvé")</f>
        <v>#REF!</v>
      </c>
      <c r="P615" s="11" t="e">
        <f>_xlfn.XLOOKUP(Mvt_Inter_entrepot[[#This Row],[Num OF]],#REF!,#REF!,"Non Trouvé")</f>
        <v>#REF!</v>
      </c>
      <c r="Q615" s="11" t="str">
        <f>IF(
   COUNTIFS($A$2:A615,A615,
             $B$2:B615,B615,
             $C$2:C615,C615,
             $D$2:D615,D615,
             $E$2:E615,E615,
             $H$2:H615,H615
             )&gt;1,
   "Doublon",
   "Correcte"
)</f>
        <v>Correcte</v>
      </c>
    </row>
    <row r="616" spans="1:17" x14ac:dyDescent="0.25">
      <c r="A616" s="11" t="s">
        <v>3304</v>
      </c>
      <c r="B616" s="11" t="s">
        <v>1153</v>
      </c>
      <c r="C616" s="11" t="s">
        <v>665</v>
      </c>
      <c r="D616" s="11" t="s">
        <v>1154</v>
      </c>
      <c r="E616" s="11">
        <v>5</v>
      </c>
      <c r="F616" s="11" t="s">
        <v>699</v>
      </c>
      <c r="G616" s="11" t="s">
        <v>634</v>
      </c>
      <c r="H616" s="14">
        <v>45936.406064814815</v>
      </c>
      <c r="I616" s="12">
        <f>-Mvt_Inter_entrepot[[#This Row],[QTE]]</f>
        <v>-5</v>
      </c>
      <c r="J616" s="11" t="s">
        <v>49</v>
      </c>
      <c r="K616" s="11" t="str">
        <f>_xlfn.TEXTBEFORE(Mvt_Inter_entrepot[[#This Row],[Num Suivis]],"-",,,1)</f>
        <v>CA250029</v>
      </c>
      <c r="L616" s="11" t="e">
        <f>_xlfn.XLOOKUP(Mvt_Inter_entrepot[[#This Row],[Num OF]],#REF!,#REF!,"Non Trouvé")</f>
        <v>#REF!</v>
      </c>
      <c r="M616" s="11" t="e">
        <f>_xlfn.XLOOKUP(Mvt_Inter_entrepot[[#This Row],[Num OF]],#REF!,#REF!,"Non Trouvé")</f>
        <v>#REF!</v>
      </c>
      <c r="N616" s="11" t="e">
        <f>_xlfn.XLOOKUP(Mvt_Inter_entrepot[[#This Row],[Num OF]],#REF!,#REF!,"Non Trouvé")</f>
        <v>#REF!</v>
      </c>
      <c r="O616" s="11" t="e">
        <f>_xlfn.XLOOKUP(Mvt_Inter_entrepot[[#This Row],[Num OF]],#REF!,#REF!,"Non Trouvé")</f>
        <v>#REF!</v>
      </c>
      <c r="P616" s="11" t="e">
        <f>_xlfn.XLOOKUP(Mvt_Inter_entrepot[[#This Row],[Num OF]],#REF!,#REF!,"Non Trouvé")</f>
        <v>#REF!</v>
      </c>
      <c r="Q616" s="11" t="str">
        <f>IF(
   COUNTIFS($A$2:A616,A616,
             $B$2:B616,B616,
             $C$2:C616,C616,
             $D$2:D616,D616,
             $E$2:E616,E616,
             $H$2:H616,H616
             )&gt;1,
   "Doublon",
   "Correcte"
)</f>
        <v>Correcte</v>
      </c>
    </row>
    <row r="617" spans="1:17" x14ac:dyDescent="0.25">
      <c r="A617" s="11" t="s">
        <v>3302</v>
      </c>
      <c r="B617" s="11" t="s">
        <v>1153</v>
      </c>
      <c r="C617" s="11" t="s">
        <v>665</v>
      </c>
      <c r="D617" s="11" t="s">
        <v>1154</v>
      </c>
      <c r="E617" s="11">
        <v>5</v>
      </c>
      <c r="F617" s="11" t="s">
        <v>699</v>
      </c>
      <c r="G617" s="11" t="s">
        <v>634</v>
      </c>
      <c r="H617" s="14">
        <v>45936.406400462962</v>
      </c>
      <c r="I617" s="12">
        <f>-Mvt_Inter_entrepot[[#This Row],[QTE]]</f>
        <v>-5</v>
      </c>
      <c r="J617" s="11" t="s">
        <v>47</v>
      </c>
      <c r="K617" s="11" t="str">
        <f>_xlfn.TEXTBEFORE(Mvt_Inter_entrepot[[#This Row],[Num Suivis]],"-",,,1)</f>
        <v>CA250025</v>
      </c>
      <c r="L617" s="11" t="e">
        <f>_xlfn.XLOOKUP(Mvt_Inter_entrepot[[#This Row],[Num OF]],#REF!,#REF!,"Non Trouvé")</f>
        <v>#REF!</v>
      </c>
      <c r="M617" s="11" t="e">
        <f>_xlfn.XLOOKUP(Mvt_Inter_entrepot[[#This Row],[Num OF]],#REF!,#REF!,"Non Trouvé")</f>
        <v>#REF!</v>
      </c>
      <c r="N617" s="11" t="e">
        <f>_xlfn.XLOOKUP(Mvt_Inter_entrepot[[#This Row],[Num OF]],#REF!,#REF!,"Non Trouvé")</f>
        <v>#REF!</v>
      </c>
      <c r="O617" s="11" t="e">
        <f>_xlfn.XLOOKUP(Mvt_Inter_entrepot[[#This Row],[Num OF]],#REF!,#REF!,"Non Trouvé")</f>
        <v>#REF!</v>
      </c>
      <c r="P617" s="11" t="e">
        <f>_xlfn.XLOOKUP(Mvt_Inter_entrepot[[#This Row],[Num OF]],#REF!,#REF!,"Non Trouvé")</f>
        <v>#REF!</v>
      </c>
      <c r="Q617" s="11" t="str">
        <f>IF(
   COUNTIFS($A$2:A617,A617,
             $B$2:B617,B617,
             $C$2:C617,C617,
             $D$2:D617,D617,
             $E$2:E617,E617,
             $H$2:H617,H617
             )&gt;1,
   "Doublon",
   "Correcte"
)</f>
        <v>Correcte</v>
      </c>
    </row>
    <row r="618" spans="1:17" x14ac:dyDescent="0.25">
      <c r="A618" s="11" t="s">
        <v>3357</v>
      </c>
      <c r="B618" s="11" t="s">
        <v>1153</v>
      </c>
      <c r="C618" s="11" t="s">
        <v>665</v>
      </c>
      <c r="D618" s="11" t="s">
        <v>1154</v>
      </c>
      <c r="E618" s="11">
        <v>5</v>
      </c>
      <c r="F618" s="11" t="s">
        <v>699</v>
      </c>
      <c r="G618" s="11" t="s">
        <v>634</v>
      </c>
      <c r="H618" s="14">
        <v>45936.406712962962</v>
      </c>
      <c r="I618" s="12">
        <f>-Mvt_Inter_entrepot[[#This Row],[QTE]]</f>
        <v>-5</v>
      </c>
      <c r="J618" s="11" t="s">
        <v>48</v>
      </c>
      <c r="K618" s="11" t="str">
        <f>_xlfn.TEXTBEFORE(Mvt_Inter_entrepot[[#This Row],[Num Suivis]],"-",,,1)</f>
        <v>CA250026</v>
      </c>
      <c r="L618" s="11" t="e">
        <f>_xlfn.XLOOKUP(Mvt_Inter_entrepot[[#This Row],[Num OF]],#REF!,#REF!,"Non Trouvé")</f>
        <v>#REF!</v>
      </c>
      <c r="M618" s="11" t="e">
        <f>_xlfn.XLOOKUP(Mvt_Inter_entrepot[[#This Row],[Num OF]],#REF!,#REF!,"Non Trouvé")</f>
        <v>#REF!</v>
      </c>
      <c r="N618" s="11" t="e">
        <f>_xlfn.XLOOKUP(Mvt_Inter_entrepot[[#This Row],[Num OF]],#REF!,#REF!,"Non Trouvé")</f>
        <v>#REF!</v>
      </c>
      <c r="O618" s="11" t="e">
        <f>_xlfn.XLOOKUP(Mvt_Inter_entrepot[[#This Row],[Num OF]],#REF!,#REF!,"Non Trouvé")</f>
        <v>#REF!</v>
      </c>
      <c r="P618" s="11" t="e">
        <f>_xlfn.XLOOKUP(Mvt_Inter_entrepot[[#This Row],[Num OF]],#REF!,#REF!,"Non Trouvé")</f>
        <v>#REF!</v>
      </c>
      <c r="Q618" s="11" t="str">
        <f>IF(
   COUNTIFS($A$2:A618,A618,
             $B$2:B618,B618,
             $C$2:C618,C618,
             $D$2:D618,D618,
             $E$2:E618,E618,
             $H$2:H618,H618
             )&gt;1,
   "Doublon",
   "Correcte"
)</f>
        <v>Correcte</v>
      </c>
    </row>
    <row r="619" spans="1:17" x14ac:dyDescent="0.25">
      <c r="A619" s="11" t="s">
        <v>3407</v>
      </c>
      <c r="B619" s="11" t="s">
        <v>1153</v>
      </c>
      <c r="C619" s="11" t="s">
        <v>665</v>
      </c>
      <c r="D619" s="11" t="s">
        <v>1154</v>
      </c>
      <c r="E619" s="11">
        <v>5</v>
      </c>
      <c r="F619" s="11" t="s">
        <v>699</v>
      </c>
      <c r="G619" s="11" t="s">
        <v>634</v>
      </c>
      <c r="H619" s="14">
        <v>45936.406944444447</v>
      </c>
      <c r="I619" s="12">
        <f>-Mvt_Inter_entrepot[[#This Row],[QTE]]</f>
        <v>-5</v>
      </c>
      <c r="J619" s="11" t="s">
        <v>991</v>
      </c>
      <c r="K619" s="11" t="str">
        <f>_xlfn.TEXTBEFORE(Mvt_Inter_entrepot[[#This Row],[Num Suivis]],"-",,,1)</f>
        <v>CA250023</v>
      </c>
      <c r="L619" s="11" t="e">
        <f>_xlfn.XLOOKUP(Mvt_Inter_entrepot[[#This Row],[Num OF]],#REF!,#REF!,"Non Trouvé")</f>
        <v>#REF!</v>
      </c>
      <c r="M619" s="11" t="e">
        <f>_xlfn.XLOOKUP(Mvt_Inter_entrepot[[#This Row],[Num OF]],#REF!,#REF!,"Non Trouvé")</f>
        <v>#REF!</v>
      </c>
      <c r="N619" s="11" t="e">
        <f>_xlfn.XLOOKUP(Mvt_Inter_entrepot[[#This Row],[Num OF]],#REF!,#REF!,"Non Trouvé")</f>
        <v>#REF!</v>
      </c>
      <c r="O619" s="11" t="e">
        <f>_xlfn.XLOOKUP(Mvt_Inter_entrepot[[#This Row],[Num OF]],#REF!,#REF!,"Non Trouvé")</f>
        <v>#REF!</v>
      </c>
      <c r="P619" s="11" t="e">
        <f>_xlfn.XLOOKUP(Mvt_Inter_entrepot[[#This Row],[Num OF]],#REF!,#REF!,"Non Trouvé")</f>
        <v>#REF!</v>
      </c>
      <c r="Q619" s="11" t="str">
        <f>IF(
   COUNTIFS($A$2:A619,A619,
             $B$2:B619,B619,
             $C$2:C619,C619,
             $D$2:D619,D619,
             $E$2:E619,E619,
             $H$2:H619,H619
             )&gt;1,
   "Doublon",
   "Correcte"
)</f>
        <v>Correcte</v>
      </c>
    </row>
    <row r="620" spans="1:17" x14ac:dyDescent="0.25">
      <c r="A620" s="11" t="s">
        <v>3408</v>
      </c>
      <c r="B620" s="11" t="s">
        <v>1153</v>
      </c>
      <c r="C620" s="11" t="s">
        <v>665</v>
      </c>
      <c r="D620" s="11" t="s">
        <v>1154</v>
      </c>
      <c r="E620" s="11">
        <v>5</v>
      </c>
      <c r="F620" s="11" t="s">
        <v>699</v>
      </c>
      <c r="G620" s="11" t="s">
        <v>634</v>
      </c>
      <c r="H620" s="14">
        <v>45936.410115740742</v>
      </c>
      <c r="I620" s="12">
        <f>-Mvt_Inter_entrepot[[#This Row],[QTE]]</f>
        <v>-5</v>
      </c>
      <c r="J620" s="11" t="s">
        <v>872</v>
      </c>
      <c r="K620" s="11" t="str">
        <f>_xlfn.TEXTBEFORE(Mvt_Inter_entrepot[[#This Row],[Num Suivis]],"-",,,1)</f>
        <v>CA250013</v>
      </c>
      <c r="L620" s="11" t="e">
        <f>_xlfn.XLOOKUP(Mvt_Inter_entrepot[[#This Row],[Num OF]],#REF!,#REF!,"Non Trouvé")</f>
        <v>#REF!</v>
      </c>
      <c r="M620" s="11" t="e">
        <f>_xlfn.XLOOKUP(Mvt_Inter_entrepot[[#This Row],[Num OF]],#REF!,#REF!,"Non Trouvé")</f>
        <v>#REF!</v>
      </c>
      <c r="N620" s="11" t="e">
        <f>_xlfn.XLOOKUP(Mvt_Inter_entrepot[[#This Row],[Num OF]],#REF!,#REF!,"Non Trouvé")</f>
        <v>#REF!</v>
      </c>
      <c r="O620" s="11" t="e">
        <f>_xlfn.XLOOKUP(Mvt_Inter_entrepot[[#This Row],[Num OF]],#REF!,#REF!,"Non Trouvé")</f>
        <v>#REF!</v>
      </c>
      <c r="P620" s="11" t="e">
        <f>_xlfn.XLOOKUP(Mvt_Inter_entrepot[[#This Row],[Num OF]],#REF!,#REF!,"Non Trouvé")</f>
        <v>#REF!</v>
      </c>
      <c r="Q620" s="11" t="str">
        <f>IF(
   COUNTIFS($A$2:A620,A620,
             $B$2:B620,B620,
             $C$2:C620,C620,
             $D$2:D620,D620,
             $E$2:E620,E620,
             $H$2:H620,H620
             )&gt;1,
   "Doublon",
   "Correcte"
)</f>
        <v>Correcte</v>
      </c>
    </row>
    <row r="621" spans="1:17" x14ac:dyDescent="0.25">
      <c r="A621" s="11" t="s">
        <v>3409</v>
      </c>
      <c r="B621" s="11" t="s">
        <v>1153</v>
      </c>
      <c r="C621" s="11" t="s">
        <v>665</v>
      </c>
      <c r="D621" s="11" t="s">
        <v>1154</v>
      </c>
      <c r="E621" s="11">
        <v>5</v>
      </c>
      <c r="F621" s="11" t="s">
        <v>699</v>
      </c>
      <c r="G621" s="11" t="s">
        <v>634</v>
      </c>
      <c r="H621" s="14">
        <v>45936.410879629628</v>
      </c>
      <c r="I621" s="12">
        <f>-Mvt_Inter_entrepot[[#This Row],[QTE]]</f>
        <v>-5</v>
      </c>
      <c r="J621" s="11" t="s">
        <v>795</v>
      </c>
      <c r="K621" s="11" t="str">
        <f>_xlfn.TEXTBEFORE(Mvt_Inter_entrepot[[#This Row],[Num Suivis]],"-",,,1)</f>
        <v>CA250008</v>
      </c>
      <c r="L621" s="11" t="e">
        <f>_xlfn.XLOOKUP(Mvt_Inter_entrepot[[#This Row],[Num OF]],#REF!,#REF!,"Non Trouvé")</f>
        <v>#REF!</v>
      </c>
      <c r="M621" s="11" t="e">
        <f>_xlfn.XLOOKUP(Mvt_Inter_entrepot[[#This Row],[Num OF]],#REF!,#REF!,"Non Trouvé")</f>
        <v>#REF!</v>
      </c>
      <c r="N621" s="11" t="e">
        <f>_xlfn.XLOOKUP(Mvt_Inter_entrepot[[#This Row],[Num OF]],#REF!,#REF!,"Non Trouvé")</f>
        <v>#REF!</v>
      </c>
      <c r="O621" s="11" t="e">
        <f>_xlfn.XLOOKUP(Mvt_Inter_entrepot[[#This Row],[Num OF]],#REF!,#REF!,"Non Trouvé")</f>
        <v>#REF!</v>
      </c>
      <c r="P621" s="11" t="e">
        <f>_xlfn.XLOOKUP(Mvt_Inter_entrepot[[#This Row],[Num OF]],#REF!,#REF!,"Non Trouvé")</f>
        <v>#REF!</v>
      </c>
      <c r="Q621" s="11" t="str">
        <f>IF(
   COUNTIFS($A$2:A621,A621,
             $B$2:B621,B621,
             $C$2:C621,C621,
             $D$2:D621,D621,
             $E$2:E621,E621,
             $H$2:H621,H621
             )&gt;1,
   "Doublon",
   "Correcte"
)</f>
        <v>Correcte</v>
      </c>
    </row>
    <row r="622" spans="1:17" x14ac:dyDescent="0.25">
      <c r="A622" s="11" t="s">
        <v>3410</v>
      </c>
      <c r="B622" s="11" t="s">
        <v>1153</v>
      </c>
      <c r="C622" s="11" t="s">
        <v>665</v>
      </c>
      <c r="D622" s="11" t="s">
        <v>1154</v>
      </c>
      <c r="E622" s="11">
        <v>5</v>
      </c>
      <c r="F622" s="11" t="s">
        <v>699</v>
      </c>
      <c r="G622" s="11" t="s">
        <v>634</v>
      </c>
      <c r="H622" s="14">
        <v>45936.411122685182</v>
      </c>
      <c r="I622" s="12">
        <f>-Mvt_Inter_entrepot[[#This Row],[QTE]]</f>
        <v>-5</v>
      </c>
      <c r="J622" s="11" t="s">
        <v>791</v>
      </c>
      <c r="K622" s="11" t="str">
        <f>_xlfn.TEXTBEFORE(Mvt_Inter_entrepot[[#This Row],[Num Suivis]],"-",,,1)</f>
        <v>CA250008</v>
      </c>
      <c r="L622" s="11" t="e">
        <f>_xlfn.XLOOKUP(Mvt_Inter_entrepot[[#This Row],[Num OF]],#REF!,#REF!,"Non Trouvé")</f>
        <v>#REF!</v>
      </c>
      <c r="M622" s="11" t="e">
        <f>_xlfn.XLOOKUP(Mvt_Inter_entrepot[[#This Row],[Num OF]],#REF!,#REF!,"Non Trouvé")</f>
        <v>#REF!</v>
      </c>
      <c r="N622" s="11" t="e">
        <f>_xlfn.XLOOKUP(Mvt_Inter_entrepot[[#This Row],[Num OF]],#REF!,#REF!,"Non Trouvé")</f>
        <v>#REF!</v>
      </c>
      <c r="O622" s="11" t="e">
        <f>_xlfn.XLOOKUP(Mvt_Inter_entrepot[[#This Row],[Num OF]],#REF!,#REF!,"Non Trouvé")</f>
        <v>#REF!</v>
      </c>
      <c r="P622" s="11" t="e">
        <f>_xlfn.XLOOKUP(Mvt_Inter_entrepot[[#This Row],[Num OF]],#REF!,#REF!,"Non Trouvé")</f>
        <v>#REF!</v>
      </c>
      <c r="Q622" s="11" t="str">
        <f>IF(
   COUNTIFS($A$2:A622,A622,
             $B$2:B622,B622,
             $C$2:C622,C622,
             $D$2:D622,D622,
             $E$2:E622,E622,
             $H$2:H622,H622
             )&gt;1,
   "Doublon",
   "Correcte"
)</f>
        <v>Correcte</v>
      </c>
    </row>
    <row r="623" spans="1:17" x14ac:dyDescent="0.25">
      <c r="A623" s="11" t="s">
        <v>3411</v>
      </c>
      <c r="B623" s="11" t="s">
        <v>1153</v>
      </c>
      <c r="C623" s="11" t="s">
        <v>665</v>
      </c>
      <c r="D623" s="11" t="s">
        <v>1154</v>
      </c>
      <c r="E623" s="11">
        <v>5</v>
      </c>
      <c r="F623" s="11" t="s">
        <v>699</v>
      </c>
      <c r="G623" s="11" t="s">
        <v>634</v>
      </c>
      <c r="H623" s="14">
        <v>45936.411423611113</v>
      </c>
      <c r="I623" s="12">
        <f>-Mvt_Inter_entrepot[[#This Row],[QTE]]</f>
        <v>-5</v>
      </c>
      <c r="J623" s="11" t="s">
        <v>1026</v>
      </c>
      <c r="K623" s="11" t="str">
        <f>_xlfn.TEXTBEFORE(Mvt_Inter_entrepot[[#This Row],[Num Suivis]],"-",,,1)</f>
        <v>CA250019</v>
      </c>
      <c r="L623" s="11" t="e">
        <f>_xlfn.XLOOKUP(Mvt_Inter_entrepot[[#This Row],[Num OF]],#REF!,#REF!,"Non Trouvé")</f>
        <v>#REF!</v>
      </c>
      <c r="M623" s="11" t="e">
        <f>_xlfn.XLOOKUP(Mvt_Inter_entrepot[[#This Row],[Num OF]],#REF!,#REF!,"Non Trouvé")</f>
        <v>#REF!</v>
      </c>
      <c r="N623" s="11" t="e">
        <f>_xlfn.XLOOKUP(Mvt_Inter_entrepot[[#This Row],[Num OF]],#REF!,#REF!,"Non Trouvé")</f>
        <v>#REF!</v>
      </c>
      <c r="O623" s="11" t="e">
        <f>_xlfn.XLOOKUP(Mvt_Inter_entrepot[[#This Row],[Num OF]],#REF!,#REF!,"Non Trouvé")</f>
        <v>#REF!</v>
      </c>
      <c r="P623" s="11" t="e">
        <f>_xlfn.XLOOKUP(Mvt_Inter_entrepot[[#This Row],[Num OF]],#REF!,#REF!,"Non Trouvé")</f>
        <v>#REF!</v>
      </c>
      <c r="Q623" s="11" t="str">
        <f>IF(
   COUNTIFS($A$2:A623,A623,
             $B$2:B623,B623,
             $C$2:C623,C623,
             $D$2:D623,D623,
             $E$2:E623,E623,
             $H$2:H623,H623
             )&gt;1,
   "Doublon",
   "Correcte"
)</f>
        <v>Correcte</v>
      </c>
    </row>
    <row r="624" spans="1:17" x14ac:dyDescent="0.25">
      <c r="A624" s="11" t="s">
        <v>3412</v>
      </c>
      <c r="B624" s="11" t="s">
        <v>1153</v>
      </c>
      <c r="C624" s="11" t="s">
        <v>665</v>
      </c>
      <c r="D624" s="11" t="s">
        <v>1154</v>
      </c>
      <c r="E624" s="11">
        <v>5</v>
      </c>
      <c r="F624" s="11" t="s">
        <v>699</v>
      </c>
      <c r="G624" s="11" t="s">
        <v>634</v>
      </c>
      <c r="H624" s="14">
        <v>45936.411678240744</v>
      </c>
      <c r="I624" s="12">
        <f>-Mvt_Inter_entrepot[[#This Row],[QTE]]</f>
        <v>-5</v>
      </c>
      <c r="J624" s="11" t="s">
        <v>797</v>
      </c>
      <c r="K624" s="11" t="str">
        <f>_xlfn.TEXTBEFORE(Mvt_Inter_entrepot[[#This Row],[Num Suivis]],"-",,,1)</f>
        <v>CA250008</v>
      </c>
      <c r="L624" s="11" t="e">
        <f>_xlfn.XLOOKUP(Mvt_Inter_entrepot[[#This Row],[Num OF]],#REF!,#REF!,"Non Trouvé")</f>
        <v>#REF!</v>
      </c>
      <c r="M624" s="11" t="e">
        <f>_xlfn.XLOOKUP(Mvt_Inter_entrepot[[#This Row],[Num OF]],#REF!,#REF!,"Non Trouvé")</f>
        <v>#REF!</v>
      </c>
      <c r="N624" s="11" t="e">
        <f>_xlfn.XLOOKUP(Mvt_Inter_entrepot[[#This Row],[Num OF]],#REF!,#REF!,"Non Trouvé")</f>
        <v>#REF!</v>
      </c>
      <c r="O624" s="11" t="e">
        <f>_xlfn.XLOOKUP(Mvt_Inter_entrepot[[#This Row],[Num OF]],#REF!,#REF!,"Non Trouvé")</f>
        <v>#REF!</v>
      </c>
      <c r="P624" s="11" t="e">
        <f>_xlfn.XLOOKUP(Mvt_Inter_entrepot[[#This Row],[Num OF]],#REF!,#REF!,"Non Trouvé")</f>
        <v>#REF!</v>
      </c>
      <c r="Q624" s="11" t="str">
        <f>IF(
   COUNTIFS($A$2:A624,A624,
             $B$2:B624,B624,
             $C$2:C624,C624,
             $D$2:D624,D624,
             $E$2:E624,E624,
             $H$2:H624,H624
             )&gt;1,
   "Doublon",
   "Correcte"
)</f>
        <v>Correcte</v>
      </c>
    </row>
    <row r="625" spans="1:17" x14ac:dyDescent="0.25">
      <c r="A625" s="11" t="s">
        <v>3413</v>
      </c>
      <c r="B625" s="11" t="s">
        <v>1153</v>
      </c>
      <c r="C625" s="11" t="s">
        <v>665</v>
      </c>
      <c r="D625" s="11" t="s">
        <v>1154</v>
      </c>
      <c r="E625" s="11">
        <v>5</v>
      </c>
      <c r="F625" s="11" t="s">
        <v>699</v>
      </c>
      <c r="G625" s="11" t="s">
        <v>634</v>
      </c>
      <c r="H625" s="14">
        <v>45936.412048611113</v>
      </c>
      <c r="I625" s="12">
        <f>-Mvt_Inter_entrepot[[#This Row],[QTE]]</f>
        <v>-5</v>
      </c>
      <c r="J625" s="11" t="s">
        <v>793</v>
      </c>
      <c r="K625" s="11" t="str">
        <f>_xlfn.TEXTBEFORE(Mvt_Inter_entrepot[[#This Row],[Num Suivis]],"-",,,1)</f>
        <v>CA250008</v>
      </c>
      <c r="L625" s="11" t="e">
        <f>_xlfn.XLOOKUP(Mvt_Inter_entrepot[[#This Row],[Num OF]],#REF!,#REF!,"Non Trouvé")</f>
        <v>#REF!</v>
      </c>
      <c r="M625" s="11" t="e">
        <f>_xlfn.XLOOKUP(Mvt_Inter_entrepot[[#This Row],[Num OF]],#REF!,#REF!,"Non Trouvé")</f>
        <v>#REF!</v>
      </c>
      <c r="N625" s="11" t="e">
        <f>_xlfn.XLOOKUP(Mvt_Inter_entrepot[[#This Row],[Num OF]],#REF!,#REF!,"Non Trouvé")</f>
        <v>#REF!</v>
      </c>
      <c r="O625" s="11" t="e">
        <f>_xlfn.XLOOKUP(Mvt_Inter_entrepot[[#This Row],[Num OF]],#REF!,#REF!,"Non Trouvé")</f>
        <v>#REF!</v>
      </c>
      <c r="P625" s="11" t="e">
        <f>_xlfn.XLOOKUP(Mvt_Inter_entrepot[[#This Row],[Num OF]],#REF!,#REF!,"Non Trouvé")</f>
        <v>#REF!</v>
      </c>
      <c r="Q625" s="11" t="str">
        <f>IF(
   COUNTIFS($A$2:A625,A625,
             $B$2:B625,B625,
             $C$2:C625,C625,
             $D$2:D625,D625,
             $E$2:E625,E625,
             $H$2:H625,H625
             )&gt;1,
   "Doublon",
   "Correcte"
)</f>
        <v>Correcte</v>
      </c>
    </row>
    <row r="626" spans="1:17" x14ac:dyDescent="0.25">
      <c r="A626" s="11" t="s">
        <v>3414</v>
      </c>
      <c r="B626" s="11" t="s">
        <v>1153</v>
      </c>
      <c r="C626" s="11" t="s">
        <v>665</v>
      </c>
      <c r="D626" s="11" t="s">
        <v>1154</v>
      </c>
      <c r="E626" s="11">
        <v>5</v>
      </c>
      <c r="F626" s="11" t="s">
        <v>699</v>
      </c>
      <c r="G626" s="11" t="s">
        <v>634</v>
      </c>
      <c r="H626" s="14">
        <v>45936.412534722222</v>
      </c>
      <c r="I626" s="12">
        <f>-Mvt_Inter_entrepot[[#This Row],[QTE]]</f>
        <v>-5</v>
      </c>
      <c r="J626" s="11" t="s">
        <v>799</v>
      </c>
      <c r="K626" s="11" t="str">
        <f>_xlfn.TEXTBEFORE(Mvt_Inter_entrepot[[#This Row],[Num Suivis]],"-",,,1)</f>
        <v>CA250008</v>
      </c>
      <c r="L626" s="11" t="e">
        <f>_xlfn.XLOOKUP(Mvt_Inter_entrepot[[#This Row],[Num OF]],#REF!,#REF!,"Non Trouvé")</f>
        <v>#REF!</v>
      </c>
      <c r="M626" s="11" t="e">
        <f>_xlfn.XLOOKUP(Mvt_Inter_entrepot[[#This Row],[Num OF]],#REF!,#REF!,"Non Trouvé")</f>
        <v>#REF!</v>
      </c>
      <c r="N626" s="11" t="e">
        <f>_xlfn.XLOOKUP(Mvt_Inter_entrepot[[#This Row],[Num OF]],#REF!,#REF!,"Non Trouvé")</f>
        <v>#REF!</v>
      </c>
      <c r="O626" s="11" t="e">
        <f>_xlfn.XLOOKUP(Mvt_Inter_entrepot[[#This Row],[Num OF]],#REF!,#REF!,"Non Trouvé")</f>
        <v>#REF!</v>
      </c>
      <c r="P626" s="11" t="e">
        <f>_xlfn.XLOOKUP(Mvt_Inter_entrepot[[#This Row],[Num OF]],#REF!,#REF!,"Non Trouvé")</f>
        <v>#REF!</v>
      </c>
      <c r="Q626" s="11" t="str">
        <f>IF(
   COUNTIFS($A$2:A626,A626,
             $B$2:B626,B626,
             $C$2:C626,C626,
             $D$2:D626,D626,
             $E$2:E626,E626,
             $H$2:H626,H626
             )&gt;1,
   "Doublon",
   "Correcte"
)</f>
        <v>Correcte</v>
      </c>
    </row>
    <row r="627" spans="1:17" x14ac:dyDescent="0.25">
      <c r="A627" s="11" t="s">
        <v>3415</v>
      </c>
      <c r="B627" s="11" t="s">
        <v>1153</v>
      </c>
      <c r="C627" s="11" t="s">
        <v>665</v>
      </c>
      <c r="D627" s="11" t="s">
        <v>1154</v>
      </c>
      <c r="E627" s="11">
        <v>5</v>
      </c>
      <c r="F627" s="11" t="s">
        <v>699</v>
      </c>
      <c r="G627" s="11" t="s">
        <v>634</v>
      </c>
      <c r="H627" s="14">
        <v>45936.412824074076</v>
      </c>
      <c r="I627" s="12">
        <f>-Mvt_Inter_entrepot[[#This Row],[QTE]]</f>
        <v>-5</v>
      </c>
      <c r="J627" s="11" t="s">
        <v>891</v>
      </c>
      <c r="K627" s="11" t="str">
        <f>_xlfn.TEXTBEFORE(Mvt_Inter_entrepot[[#This Row],[Num Suivis]],"-",,,1)</f>
        <v>CA250018</v>
      </c>
      <c r="L627" s="11" t="e">
        <f>_xlfn.XLOOKUP(Mvt_Inter_entrepot[[#This Row],[Num OF]],#REF!,#REF!,"Non Trouvé")</f>
        <v>#REF!</v>
      </c>
      <c r="M627" s="11" t="e">
        <f>_xlfn.XLOOKUP(Mvt_Inter_entrepot[[#This Row],[Num OF]],#REF!,#REF!,"Non Trouvé")</f>
        <v>#REF!</v>
      </c>
      <c r="N627" s="11" t="e">
        <f>_xlfn.XLOOKUP(Mvt_Inter_entrepot[[#This Row],[Num OF]],#REF!,#REF!,"Non Trouvé")</f>
        <v>#REF!</v>
      </c>
      <c r="O627" s="11" t="e">
        <f>_xlfn.XLOOKUP(Mvt_Inter_entrepot[[#This Row],[Num OF]],#REF!,#REF!,"Non Trouvé")</f>
        <v>#REF!</v>
      </c>
      <c r="P627" s="11" t="e">
        <f>_xlfn.XLOOKUP(Mvt_Inter_entrepot[[#This Row],[Num OF]],#REF!,#REF!,"Non Trouvé")</f>
        <v>#REF!</v>
      </c>
      <c r="Q627" s="11" t="str">
        <f>IF(
   COUNTIFS($A$2:A627,A627,
             $B$2:B627,B627,
             $C$2:C627,C627,
             $D$2:D627,D627,
             $E$2:E627,E627,
             $H$2:H627,H627
             )&gt;1,
   "Doublon",
   "Correcte"
)</f>
        <v>Correcte</v>
      </c>
    </row>
    <row r="628" spans="1:17" x14ac:dyDescent="0.25">
      <c r="A628" s="11" t="s">
        <v>3416</v>
      </c>
      <c r="B628" s="11" t="s">
        <v>1153</v>
      </c>
      <c r="C628" s="11" t="s">
        <v>665</v>
      </c>
      <c r="D628" s="11" t="s">
        <v>1154</v>
      </c>
      <c r="E628" s="11">
        <v>5</v>
      </c>
      <c r="F628" s="11" t="s">
        <v>699</v>
      </c>
      <c r="G628" s="11" t="s">
        <v>634</v>
      </c>
      <c r="H628" s="14">
        <v>45936.413194444445</v>
      </c>
      <c r="I628" s="12">
        <f>-Mvt_Inter_entrepot[[#This Row],[QTE]]</f>
        <v>-5</v>
      </c>
      <c r="J628" s="11" t="s">
        <v>801</v>
      </c>
      <c r="K628" s="11" t="str">
        <f>_xlfn.TEXTBEFORE(Mvt_Inter_entrepot[[#This Row],[Num Suivis]],"-",,,1)</f>
        <v>CA250008</v>
      </c>
      <c r="L628" s="11" t="e">
        <f>_xlfn.XLOOKUP(Mvt_Inter_entrepot[[#This Row],[Num OF]],#REF!,#REF!,"Non Trouvé")</f>
        <v>#REF!</v>
      </c>
      <c r="M628" s="11" t="e">
        <f>_xlfn.XLOOKUP(Mvt_Inter_entrepot[[#This Row],[Num OF]],#REF!,#REF!,"Non Trouvé")</f>
        <v>#REF!</v>
      </c>
      <c r="N628" s="11" t="e">
        <f>_xlfn.XLOOKUP(Mvt_Inter_entrepot[[#This Row],[Num OF]],#REF!,#REF!,"Non Trouvé")</f>
        <v>#REF!</v>
      </c>
      <c r="O628" s="11" t="e">
        <f>_xlfn.XLOOKUP(Mvt_Inter_entrepot[[#This Row],[Num OF]],#REF!,#REF!,"Non Trouvé")</f>
        <v>#REF!</v>
      </c>
      <c r="P628" s="11" t="e">
        <f>_xlfn.XLOOKUP(Mvt_Inter_entrepot[[#This Row],[Num OF]],#REF!,#REF!,"Non Trouvé")</f>
        <v>#REF!</v>
      </c>
      <c r="Q628" s="11" t="str">
        <f>IF(
   COUNTIFS($A$2:A628,A628,
             $B$2:B628,B628,
             $C$2:C628,C628,
             $D$2:D628,D628,
             $E$2:E628,E628,
             $H$2:H628,H628
             )&gt;1,
   "Doublon",
   "Correcte"
)</f>
        <v>Correcte</v>
      </c>
    </row>
    <row r="629" spans="1:17" x14ac:dyDescent="0.25">
      <c r="A629" s="11" t="s">
        <v>3417</v>
      </c>
      <c r="B629" s="11" t="s">
        <v>1153</v>
      </c>
      <c r="C629" s="11" t="s">
        <v>665</v>
      </c>
      <c r="D629" s="11" t="s">
        <v>1154</v>
      </c>
      <c r="E629" s="11">
        <v>5</v>
      </c>
      <c r="F629" s="11" t="s">
        <v>699</v>
      </c>
      <c r="G629" s="11" t="s">
        <v>634</v>
      </c>
      <c r="H629" s="14">
        <v>45936.413553240738</v>
      </c>
      <c r="I629" s="12">
        <f>-Mvt_Inter_entrepot[[#This Row],[QTE]]</f>
        <v>-5</v>
      </c>
      <c r="J629" s="11" t="s">
        <v>897</v>
      </c>
      <c r="K629" s="11" t="str">
        <f>_xlfn.TEXTBEFORE(Mvt_Inter_entrepot[[#This Row],[Num Suivis]],"-",,,1)</f>
        <v>CA250018</v>
      </c>
      <c r="L629" s="11" t="e">
        <f>_xlfn.XLOOKUP(Mvt_Inter_entrepot[[#This Row],[Num OF]],#REF!,#REF!,"Non Trouvé")</f>
        <v>#REF!</v>
      </c>
      <c r="M629" s="11" t="e">
        <f>_xlfn.XLOOKUP(Mvt_Inter_entrepot[[#This Row],[Num OF]],#REF!,#REF!,"Non Trouvé")</f>
        <v>#REF!</v>
      </c>
      <c r="N629" s="11" t="e">
        <f>_xlfn.XLOOKUP(Mvt_Inter_entrepot[[#This Row],[Num OF]],#REF!,#REF!,"Non Trouvé")</f>
        <v>#REF!</v>
      </c>
      <c r="O629" s="11" t="e">
        <f>_xlfn.XLOOKUP(Mvt_Inter_entrepot[[#This Row],[Num OF]],#REF!,#REF!,"Non Trouvé")</f>
        <v>#REF!</v>
      </c>
      <c r="P629" s="11" t="e">
        <f>_xlfn.XLOOKUP(Mvt_Inter_entrepot[[#This Row],[Num OF]],#REF!,#REF!,"Non Trouvé")</f>
        <v>#REF!</v>
      </c>
      <c r="Q629" s="11" t="str">
        <f>IF(
   COUNTIFS($A$2:A629,A629,
             $B$2:B629,B629,
             $C$2:C629,C629,
             $D$2:D629,D629,
             $E$2:E629,E629,
             $H$2:H629,H629
             )&gt;1,
   "Doublon",
   "Correcte"
)</f>
        <v>Correcte</v>
      </c>
    </row>
    <row r="630" spans="1:17" x14ac:dyDescent="0.25">
      <c r="A630" s="11" t="s">
        <v>3418</v>
      </c>
      <c r="B630" s="11" t="s">
        <v>1153</v>
      </c>
      <c r="C630" s="11" t="s">
        <v>665</v>
      </c>
      <c r="D630" s="11" t="s">
        <v>1154</v>
      </c>
      <c r="E630" s="11">
        <v>5</v>
      </c>
      <c r="F630" s="11" t="s">
        <v>699</v>
      </c>
      <c r="G630" s="11" t="s">
        <v>634</v>
      </c>
      <c r="H630" s="14">
        <v>45936.4137962963</v>
      </c>
      <c r="I630" s="12">
        <f>-Mvt_Inter_entrepot[[#This Row],[QTE]]</f>
        <v>-5</v>
      </c>
      <c r="J630" s="11" t="s">
        <v>802</v>
      </c>
      <c r="K630" s="11" t="str">
        <f>_xlfn.TEXTBEFORE(Mvt_Inter_entrepot[[#This Row],[Num Suivis]],"-",,,1)</f>
        <v>CA250008</v>
      </c>
      <c r="L630" s="11" t="e">
        <f>_xlfn.XLOOKUP(Mvt_Inter_entrepot[[#This Row],[Num OF]],#REF!,#REF!,"Non Trouvé")</f>
        <v>#REF!</v>
      </c>
      <c r="M630" s="11" t="e">
        <f>_xlfn.XLOOKUP(Mvt_Inter_entrepot[[#This Row],[Num OF]],#REF!,#REF!,"Non Trouvé")</f>
        <v>#REF!</v>
      </c>
      <c r="N630" s="11" t="e">
        <f>_xlfn.XLOOKUP(Mvt_Inter_entrepot[[#This Row],[Num OF]],#REF!,#REF!,"Non Trouvé")</f>
        <v>#REF!</v>
      </c>
      <c r="O630" s="11" t="e">
        <f>_xlfn.XLOOKUP(Mvt_Inter_entrepot[[#This Row],[Num OF]],#REF!,#REF!,"Non Trouvé")</f>
        <v>#REF!</v>
      </c>
      <c r="P630" s="11" t="e">
        <f>_xlfn.XLOOKUP(Mvt_Inter_entrepot[[#This Row],[Num OF]],#REF!,#REF!,"Non Trouvé")</f>
        <v>#REF!</v>
      </c>
      <c r="Q630" s="11" t="str">
        <f>IF(
   COUNTIFS($A$2:A630,A630,
             $B$2:B630,B630,
             $C$2:C630,C630,
             $D$2:D630,D630,
             $E$2:E630,E630,
             $H$2:H630,H630
             )&gt;1,
   "Doublon",
   "Correcte"
)</f>
        <v>Correcte</v>
      </c>
    </row>
    <row r="631" spans="1:17" x14ac:dyDescent="0.25">
      <c r="A631" s="11" t="s">
        <v>3419</v>
      </c>
      <c r="B631" s="11" t="s">
        <v>1153</v>
      </c>
      <c r="C631" s="11" t="s">
        <v>665</v>
      </c>
      <c r="D631" s="11" t="s">
        <v>1154</v>
      </c>
      <c r="E631" s="11">
        <v>5</v>
      </c>
      <c r="F631" s="11" t="s">
        <v>699</v>
      </c>
      <c r="G631" s="11" t="s">
        <v>634</v>
      </c>
      <c r="H631" s="14">
        <v>45936.414050925923</v>
      </c>
      <c r="I631" s="12">
        <f>-Mvt_Inter_entrepot[[#This Row],[QTE]]</f>
        <v>-5</v>
      </c>
      <c r="J631" s="11" t="s">
        <v>800</v>
      </c>
      <c r="K631" s="11" t="str">
        <f>_xlfn.TEXTBEFORE(Mvt_Inter_entrepot[[#This Row],[Num Suivis]],"-",,,1)</f>
        <v>CA250008</v>
      </c>
      <c r="L631" s="11" t="e">
        <f>_xlfn.XLOOKUP(Mvt_Inter_entrepot[[#This Row],[Num OF]],#REF!,#REF!,"Non Trouvé")</f>
        <v>#REF!</v>
      </c>
      <c r="M631" s="11" t="e">
        <f>_xlfn.XLOOKUP(Mvt_Inter_entrepot[[#This Row],[Num OF]],#REF!,#REF!,"Non Trouvé")</f>
        <v>#REF!</v>
      </c>
      <c r="N631" s="11" t="e">
        <f>_xlfn.XLOOKUP(Mvt_Inter_entrepot[[#This Row],[Num OF]],#REF!,#REF!,"Non Trouvé")</f>
        <v>#REF!</v>
      </c>
      <c r="O631" s="11" t="e">
        <f>_xlfn.XLOOKUP(Mvt_Inter_entrepot[[#This Row],[Num OF]],#REF!,#REF!,"Non Trouvé")</f>
        <v>#REF!</v>
      </c>
      <c r="P631" s="11" t="e">
        <f>_xlfn.XLOOKUP(Mvt_Inter_entrepot[[#This Row],[Num OF]],#REF!,#REF!,"Non Trouvé")</f>
        <v>#REF!</v>
      </c>
      <c r="Q631" s="11" t="str">
        <f>IF(
   COUNTIFS($A$2:A631,A631,
             $B$2:B631,B631,
             $C$2:C631,C631,
             $D$2:D631,D631,
             $E$2:E631,E631,
             $H$2:H631,H631
             )&gt;1,
   "Doublon",
   "Correcte"
)</f>
        <v>Correcte</v>
      </c>
    </row>
    <row r="632" spans="1:17" x14ac:dyDescent="0.25">
      <c r="A632" s="11" t="s">
        <v>3420</v>
      </c>
      <c r="B632" s="11" t="s">
        <v>1153</v>
      </c>
      <c r="C632" s="11" t="s">
        <v>665</v>
      </c>
      <c r="D632" s="11" t="s">
        <v>1154</v>
      </c>
      <c r="E632" s="11">
        <v>5</v>
      </c>
      <c r="F632" s="11" t="s">
        <v>699</v>
      </c>
      <c r="G632" s="11" t="s">
        <v>634</v>
      </c>
      <c r="H632" s="14">
        <v>45936.414282407408</v>
      </c>
      <c r="I632" s="12">
        <f>-Mvt_Inter_entrepot[[#This Row],[QTE]]</f>
        <v>-5</v>
      </c>
      <c r="J632" s="11" t="s">
        <v>890</v>
      </c>
      <c r="K632" s="11" t="str">
        <f>_xlfn.TEXTBEFORE(Mvt_Inter_entrepot[[#This Row],[Num Suivis]],"-",,,1)</f>
        <v>CA250018</v>
      </c>
      <c r="L632" s="11" t="e">
        <f>_xlfn.XLOOKUP(Mvt_Inter_entrepot[[#This Row],[Num OF]],#REF!,#REF!,"Non Trouvé")</f>
        <v>#REF!</v>
      </c>
      <c r="M632" s="11" t="e">
        <f>_xlfn.XLOOKUP(Mvt_Inter_entrepot[[#This Row],[Num OF]],#REF!,#REF!,"Non Trouvé")</f>
        <v>#REF!</v>
      </c>
      <c r="N632" s="11" t="e">
        <f>_xlfn.XLOOKUP(Mvt_Inter_entrepot[[#This Row],[Num OF]],#REF!,#REF!,"Non Trouvé")</f>
        <v>#REF!</v>
      </c>
      <c r="O632" s="11" t="e">
        <f>_xlfn.XLOOKUP(Mvt_Inter_entrepot[[#This Row],[Num OF]],#REF!,#REF!,"Non Trouvé")</f>
        <v>#REF!</v>
      </c>
      <c r="P632" s="11" t="e">
        <f>_xlfn.XLOOKUP(Mvt_Inter_entrepot[[#This Row],[Num OF]],#REF!,#REF!,"Non Trouvé")</f>
        <v>#REF!</v>
      </c>
      <c r="Q632" s="11" t="str">
        <f>IF(
   COUNTIFS($A$2:A632,A632,
             $B$2:B632,B632,
             $C$2:C632,C632,
             $D$2:D632,D632,
             $E$2:E632,E632,
             $H$2:H632,H632
             )&gt;1,
   "Doublon",
   "Correcte"
)</f>
        <v>Correcte</v>
      </c>
    </row>
    <row r="633" spans="1:17" x14ac:dyDescent="0.25">
      <c r="A633" s="11" t="s">
        <v>3421</v>
      </c>
      <c r="B633" s="11" t="s">
        <v>1153</v>
      </c>
      <c r="C633" s="11" t="s">
        <v>665</v>
      </c>
      <c r="D633" s="11" t="s">
        <v>1154</v>
      </c>
      <c r="E633" s="11">
        <v>5</v>
      </c>
      <c r="F633" s="11" t="s">
        <v>699</v>
      </c>
      <c r="G633" s="11" t="s">
        <v>634</v>
      </c>
      <c r="H633" s="14">
        <v>45936.414571759262</v>
      </c>
      <c r="I633" s="12">
        <f>-Mvt_Inter_entrepot[[#This Row],[QTE]]</f>
        <v>-5</v>
      </c>
      <c r="J633" s="11" t="s">
        <v>893</v>
      </c>
      <c r="K633" s="11" t="str">
        <f>_xlfn.TEXTBEFORE(Mvt_Inter_entrepot[[#This Row],[Num Suivis]],"-",,,1)</f>
        <v>CA250018</v>
      </c>
      <c r="L633" s="11" t="e">
        <f>_xlfn.XLOOKUP(Mvt_Inter_entrepot[[#This Row],[Num OF]],#REF!,#REF!,"Non Trouvé")</f>
        <v>#REF!</v>
      </c>
      <c r="M633" s="11" t="e">
        <f>_xlfn.XLOOKUP(Mvt_Inter_entrepot[[#This Row],[Num OF]],#REF!,#REF!,"Non Trouvé")</f>
        <v>#REF!</v>
      </c>
      <c r="N633" s="11" t="e">
        <f>_xlfn.XLOOKUP(Mvt_Inter_entrepot[[#This Row],[Num OF]],#REF!,#REF!,"Non Trouvé")</f>
        <v>#REF!</v>
      </c>
      <c r="O633" s="11" t="e">
        <f>_xlfn.XLOOKUP(Mvt_Inter_entrepot[[#This Row],[Num OF]],#REF!,#REF!,"Non Trouvé")</f>
        <v>#REF!</v>
      </c>
      <c r="P633" s="11" t="e">
        <f>_xlfn.XLOOKUP(Mvt_Inter_entrepot[[#This Row],[Num OF]],#REF!,#REF!,"Non Trouvé")</f>
        <v>#REF!</v>
      </c>
      <c r="Q633" s="11" t="str">
        <f>IF(
   COUNTIFS($A$2:A633,A633,
             $B$2:B633,B633,
             $C$2:C633,C633,
             $D$2:D633,D633,
             $E$2:E633,E633,
             $H$2:H633,H633
             )&gt;1,
   "Doublon",
   "Correcte"
)</f>
        <v>Correcte</v>
      </c>
    </row>
    <row r="634" spans="1:17" x14ac:dyDescent="0.25">
      <c r="A634" s="11" t="s">
        <v>3422</v>
      </c>
      <c r="B634" s="11" t="s">
        <v>1153</v>
      </c>
      <c r="C634" s="11" t="s">
        <v>665</v>
      </c>
      <c r="D634" s="11" t="s">
        <v>1154</v>
      </c>
      <c r="E634" s="11">
        <v>5</v>
      </c>
      <c r="F634" s="11" t="s">
        <v>699</v>
      </c>
      <c r="G634" s="11" t="s">
        <v>634</v>
      </c>
      <c r="H634" s="14">
        <v>45936.414803240739</v>
      </c>
      <c r="I634" s="12">
        <f>-Mvt_Inter_entrepot[[#This Row],[QTE]]</f>
        <v>-5</v>
      </c>
      <c r="J634" s="11" t="s">
        <v>798</v>
      </c>
      <c r="K634" s="11" t="str">
        <f>_xlfn.TEXTBEFORE(Mvt_Inter_entrepot[[#This Row],[Num Suivis]],"-",,,1)</f>
        <v>CA250008</v>
      </c>
      <c r="L634" s="11" t="e">
        <f>_xlfn.XLOOKUP(Mvt_Inter_entrepot[[#This Row],[Num OF]],#REF!,#REF!,"Non Trouvé")</f>
        <v>#REF!</v>
      </c>
      <c r="M634" s="11" t="e">
        <f>_xlfn.XLOOKUP(Mvt_Inter_entrepot[[#This Row],[Num OF]],#REF!,#REF!,"Non Trouvé")</f>
        <v>#REF!</v>
      </c>
      <c r="N634" s="11" t="e">
        <f>_xlfn.XLOOKUP(Mvt_Inter_entrepot[[#This Row],[Num OF]],#REF!,#REF!,"Non Trouvé")</f>
        <v>#REF!</v>
      </c>
      <c r="O634" s="11" t="e">
        <f>_xlfn.XLOOKUP(Mvt_Inter_entrepot[[#This Row],[Num OF]],#REF!,#REF!,"Non Trouvé")</f>
        <v>#REF!</v>
      </c>
      <c r="P634" s="11" t="e">
        <f>_xlfn.XLOOKUP(Mvt_Inter_entrepot[[#This Row],[Num OF]],#REF!,#REF!,"Non Trouvé")</f>
        <v>#REF!</v>
      </c>
      <c r="Q634" s="11" t="str">
        <f>IF(
   COUNTIFS($A$2:A634,A634,
             $B$2:B634,B634,
             $C$2:C634,C634,
             $D$2:D634,D634,
             $E$2:E634,E634,
             $H$2:H634,H634
             )&gt;1,
   "Doublon",
   "Correcte"
)</f>
        <v>Correcte</v>
      </c>
    </row>
    <row r="635" spans="1:17" x14ac:dyDescent="0.25">
      <c r="A635" s="11" t="s">
        <v>3423</v>
      </c>
      <c r="B635" s="11" t="s">
        <v>1153</v>
      </c>
      <c r="C635" s="11" t="s">
        <v>665</v>
      </c>
      <c r="D635" s="11" t="s">
        <v>1154</v>
      </c>
      <c r="E635" s="11">
        <v>5</v>
      </c>
      <c r="F635" s="11" t="s">
        <v>699</v>
      </c>
      <c r="G635" s="11" t="s">
        <v>634</v>
      </c>
      <c r="H635" s="14">
        <v>45936.415046296293</v>
      </c>
      <c r="I635" s="12">
        <f>-Mvt_Inter_entrepot[[#This Row],[QTE]]</f>
        <v>-5</v>
      </c>
      <c r="J635" s="11" t="s">
        <v>796</v>
      </c>
      <c r="K635" s="11" t="str">
        <f>_xlfn.TEXTBEFORE(Mvt_Inter_entrepot[[#This Row],[Num Suivis]],"-",,,1)</f>
        <v>CA250008</v>
      </c>
      <c r="L635" s="11" t="e">
        <f>_xlfn.XLOOKUP(Mvt_Inter_entrepot[[#This Row],[Num OF]],#REF!,#REF!,"Non Trouvé")</f>
        <v>#REF!</v>
      </c>
      <c r="M635" s="11" t="e">
        <f>_xlfn.XLOOKUP(Mvt_Inter_entrepot[[#This Row],[Num OF]],#REF!,#REF!,"Non Trouvé")</f>
        <v>#REF!</v>
      </c>
      <c r="N635" s="11" t="e">
        <f>_xlfn.XLOOKUP(Mvt_Inter_entrepot[[#This Row],[Num OF]],#REF!,#REF!,"Non Trouvé")</f>
        <v>#REF!</v>
      </c>
      <c r="O635" s="11" t="e">
        <f>_xlfn.XLOOKUP(Mvt_Inter_entrepot[[#This Row],[Num OF]],#REF!,#REF!,"Non Trouvé")</f>
        <v>#REF!</v>
      </c>
      <c r="P635" s="11" t="e">
        <f>_xlfn.XLOOKUP(Mvt_Inter_entrepot[[#This Row],[Num OF]],#REF!,#REF!,"Non Trouvé")</f>
        <v>#REF!</v>
      </c>
      <c r="Q635" s="11" t="str">
        <f>IF(
   COUNTIFS($A$2:A635,A635,
             $B$2:B635,B635,
             $C$2:C635,C635,
             $D$2:D635,D635,
             $E$2:E635,E635,
             $H$2:H635,H635
             )&gt;1,
   "Doublon",
   "Correcte"
)</f>
        <v>Correcte</v>
      </c>
    </row>
    <row r="636" spans="1:17" x14ac:dyDescent="0.25">
      <c r="A636" s="11" t="s">
        <v>3424</v>
      </c>
      <c r="B636" s="11" t="s">
        <v>1153</v>
      </c>
      <c r="C636" s="11" t="s">
        <v>665</v>
      </c>
      <c r="D636" s="11" t="s">
        <v>1154</v>
      </c>
      <c r="E636" s="11">
        <v>5</v>
      </c>
      <c r="F636" s="11" t="s">
        <v>699</v>
      </c>
      <c r="G636" s="11" t="s">
        <v>634</v>
      </c>
      <c r="H636" s="14">
        <v>45936.415497685186</v>
      </c>
      <c r="I636" s="12">
        <f>-Mvt_Inter_entrepot[[#This Row],[QTE]]</f>
        <v>-5</v>
      </c>
      <c r="J636" s="11" t="s">
        <v>892</v>
      </c>
      <c r="K636" s="11" t="str">
        <f>_xlfn.TEXTBEFORE(Mvt_Inter_entrepot[[#This Row],[Num Suivis]],"-",,,1)</f>
        <v>CA250018</v>
      </c>
      <c r="L636" s="11" t="e">
        <f>_xlfn.XLOOKUP(Mvt_Inter_entrepot[[#This Row],[Num OF]],#REF!,#REF!,"Non Trouvé")</f>
        <v>#REF!</v>
      </c>
      <c r="M636" s="11" t="e">
        <f>_xlfn.XLOOKUP(Mvt_Inter_entrepot[[#This Row],[Num OF]],#REF!,#REF!,"Non Trouvé")</f>
        <v>#REF!</v>
      </c>
      <c r="N636" s="11" t="e">
        <f>_xlfn.XLOOKUP(Mvt_Inter_entrepot[[#This Row],[Num OF]],#REF!,#REF!,"Non Trouvé")</f>
        <v>#REF!</v>
      </c>
      <c r="O636" s="11" t="e">
        <f>_xlfn.XLOOKUP(Mvt_Inter_entrepot[[#This Row],[Num OF]],#REF!,#REF!,"Non Trouvé")</f>
        <v>#REF!</v>
      </c>
      <c r="P636" s="11" t="e">
        <f>_xlfn.XLOOKUP(Mvt_Inter_entrepot[[#This Row],[Num OF]],#REF!,#REF!,"Non Trouvé")</f>
        <v>#REF!</v>
      </c>
      <c r="Q636" s="11" t="str">
        <f>IF(
   COUNTIFS($A$2:A636,A636,
             $B$2:B636,B636,
             $C$2:C636,C636,
             $D$2:D636,D636,
             $E$2:E636,E636,
             $H$2:H636,H636
             )&gt;1,
   "Doublon",
   "Correcte"
)</f>
        <v>Correcte</v>
      </c>
    </row>
    <row r="637" spans="1:17" x14ac:dyDescent="0.25">
      <c r="A637" s="11" t="s">
        <v>3425</v>
      </c>
      <c r="B637" s="11" t="s">
        <v>1153</v>
      </c>
      <c r="C637" s="11" t="s">
        <v>665</v>
      </c>
      <c r="D637" s="11" t="s">
        <v>1154</v>
      </c>
      <c r="E637" s="11">
        <v>5</v>
      </c>
      <c r="F637" s="11" t="s">
        <v>699</v>
      </c>
      <c r="G637" s="11" t="s">
        <v>634</v>
      </c>
      <c r="H637" s="14">
        <v>45936.415856481479</v>
      </c>
      <c r="I637" s="12">
        <f>-Mvt_Inter_entrepot[[#This Row],[QTE]]</f>
        <v>-5</v>
      </c>
      <c r="J637" s="11" t="s">
        <v>792</v>
      </c>
      <c r="K637" s="11" t="str">
        <f>_xlfn.TEXTBEFORE(Mvt_Inter_entrepot[[#This Row],[Num Suivis]],"-",,,1)</f>
        <v>CA250008</v>
      </c>
      <c r="L637" s="11" t="e">
        <f>_xlfn.XLOOKUP(Mvt_Inter_entrepot[[#This Row],[Num OF]],#REF!,#REF!,"Non Trouvé")</f>
        <v>#REF!</v>
      </c>
      <c r="M637" s="11" t="e">
        <f>_xlfn.XLOOKUP(Mvt_Inter_entrepot[[#This Row],[Num OF]],#REF!,#REF!,"Non Trouvé")</f>
        <v>#REF!</v>
      </c>
      <c r="N637" s="11" t="e">
        <f>_xlfn.XLOOKUP(Mvt_Inter_entrepot[[#This Row],[Num OF]],#REF!,#REF!,"Non Trouvé")</f>
        <v>#REF!</v>
      </c>
      <c r="O637" s="11" t="e">
        <f>_xlfn.XLOOKUP(Mvt_Inter_entrepot[[#This Row],[Num OF]],#REF!,#REF!,"Non Trouvé")</f>
        <v>#REF!</v>
      </c>
      <c r="P637" s="11" t="e">
        <f>_xlfn.XLOOKUP(Mvt_Inter_entrepot[[#This Row],[Num OF]],#REF!,#REF!,"Non Trouvé")</f>
        <v>#REF!</v>
      </c>
      <c r="Q637" s="11" t="str">
        <f>IF(
   COUNTIFS($A$2:A637,A637,
             $B$2:B637,B637,
             $C$2:C637,C637,
             $D$2:D637,D637,
             $E$2:E637,E637,
             $H$2:H637,H637
             )&gt;1,
   "Doublon",
   "Correcte"
)</f>
        <v>Correcte</v>
      </c>
    </row>
    <row r="638" spans="1:17" x14ac:dyDescent="0.25">
      <c r="A638" s="11" t="s">
        <v>3426</v>
      </c>
      <c r="B638" s="11" t="s">
        <v>1153</v>
      </c>
      <c r="C638" s="11" t="s">
        <v>665</v>
      </c>
      <c r="D638" s="11" t="s">
        <v>1154</v>
      </c>
      <c r="E638" s="11">
        <v>5</v>
      </c>
      <c r="F638" s="11" t="s">
        <v>699</v>
      </c>
      <c r="G638" s="11" t="s">
        <v>634</v>
      </c>
      <c r="H638" s="14">
        <v>45936.416215277779</v>
      </c>
      <c r="I638" s="12">
        <f>-Mvt_Inter_entrepot[[#This Row],[QTE]]</f>
        <v>-5</v>
      </c>
      <c r="J638" s="11" t="s">
        <v>794</v>
      </c>
      <c r="K638" s="11" t="str">
        <f>_xlfn.TEXTBEFORE(Mvt_Inter_entrepot[[#This Row],[Num Suivis]],"-",,,1)</f>
        <v>CA250008</v>
      </c>
      <c r="L638" s="11" t="e">
        <f>_xlfn.XLOOKUP(Mvt_Inter_entrepot[[#This Row],[Num OF]],#REF!,#REF!,"Non Trouvé")</f>
        <v>#REF!</v>
      </c>
      <c r="M638" s="11" t="e">
        <f>_xlfn.XLOOKUP(Mvt_Inter_entrepot[[#This Row],[Num OF]],#REF!,#REF!,"Non Trouvé")</f>
        <v>#REF!</v>
      </c>
      <c r="N638" s="11" t="e">
        <f>_xlfn.XLOOKUP(Mvt_Inter_entrepot[[#This Row],[Num OF]],#REF!,#REF!,"Non Trouvé")</f>
        <v>#REF!</v>
      </c>
      <c r="O638" s="11" t="e">
        <f>_xlfn.XLOOKUP(Mvt_Inter_entrepot[[#This Row],[Num OF]],#REF!,#REF!,"Non Trouvé")</f>
        <v>#REF!</v>
      </c>
      <c r="P638" s="11" t="e">
        <f>_xlfn.XLOOKUP(Mvt_Inter_entrepot[[#This Row],[Num OF]],#REF!,#REF!,"Non Trouvé")</f>
        <v>#REF!</v>
      </c>
      <c r="Q638" s="11" t="str">
        <f>IF(
   COUNTIFS($A$2:A638,A638,
             $B$2:B638,B638,
             $C$2:C638,C638,
             $D$2:D638,D638,
             $E$2:E638,E638,
             $H$2:H638,H638
             )&gt;1,
   "Doublon",
   "Correcte"
)</f>
        <v>Correcte</v>
      </c>
    </row>
    <row r="639" spans="1:17" x14ac:dyDescent="0.25">
      <c r="A639" s="11" t="s">
        <v>3427</v>
      </c>
      <c r="B639" s="11" t="s">
        <v>1153</v>
      </c>
      <c r="C639" s="11" t="s">
        <v>665</v>
      </c>
      <c r="D639" s="11" t="s">
        <v>1154</v>
      </c>
      <c r="E639" s="11">
        <v>5</v>
      </c>
      <c r="F639" s="11" t="s">
        <v>699</v>
      </c>
      <c r="G639" s="11" t="s">
        <v>634</v>
      </c>
      <c r="H639" s="14">
        <v>45936.417164351849</v>
      </c>
      <c r="I639" s="12">
        <f>-Mvt_Inter_entrepot[[#This Row],[QTE]]</f>
        <v>-5</v>
      </c>
      <c r="J639" s="11" t="s">
        <v>855</v>
      </c>
      <c r="K639" s="11" t="str">
        <f>_xlfn.TEXTBEFORE(Mvt_Inter_entrepot[[#This Row],[Num Suivis]],"-",,,1)</f>
        <v>CA250015</v>
      </c>
      <c r="L639" s="11" t="e">
        <f>_xlfn.XLOOKUP(Mvt_Inter_entrepot[[#This Row],[Num OF]],#REF!,#REF!,"Non Trouvé")</f>
        <v>#REF!</v>
      </c>
      <c r="M639" s="11" t="e">
        <f>_xlfn.XLOOKUP(Mvt_Inter_entrepot[[#This Row],[Num OF]],#REF!,#REF!,"Non Trouvé")</f>
        <v>#REF!</v>
      </c>
      <c r="N639" s="11" t="e">
        <f>_xlfn.XLOOKUP(Mvt_Inter_entrepot[[#This Row],[Num OF]],#REF!,#REF!,"Non Trouvé")</f>
        <v>#REF!</v>
      </c>
      <c r="O639" s="11" t="e">
        <f>_xlfn.XLOOKUP(Mvt_Inter_entrepot[[#This Row],[Num OF]],#REF!,#REF!,"Non Trouvé")</f>
        <v>#REF!</v>
      </c>
      <c r="P639" s="11" t="e">
        <f>_xlfn.XLOOKUP(Mvt_Inter_entrepot[[#This Row],[Num OF]],#REF!,#REF!,"Non Trouvé")</f>
        <v>#REF!</v>
      </c>
      <c r="Q639" s="11" t="str">
        <f>IF(
   COUNTIFS($A$2:A639,A639,
             $B$2:B639,B639,
             $C$2:C639,C639,
             $D$2:D639,D639,
             $E$2:E639,E639,
             $H$2:H639,H639
             )&gt;1,
   "Doublon",
   "Correcte"
)</f>
        <v>Correcte</v>
      </c>
    </row>
    <row r="640" spans="1:17" x14ac:dyDescent="0.25">
      <c r="A640" s="11" t="s">
        <v>3428</v>
      </c>
      <c r="B640" s="11" t="s">
        <v>1153</v>
      </c>
      <c r="C640" s="11" t="s">
        <v>665</v>
      </c>
      <c r="D640" s="11" t="s">
        <v>1154</v>
      </c>
      <c r="E640" s="11">
        <v>5</v>
      </c>
      <c r="F640" s="11" t="s">
        <v>699</v>
      </c>
      <c r="G640" s="11" t="s">
        <v>634</v>
      </c>
      <c r="H640" s="14">
        <v>45936.417442129627</v>
      </c>
      <c r="I640" s="12">
        <f>-Mvt_Inter_entrepot[[#This Row],[QTE]]</f>
        <v>-5</v>
      </c>
      <c r="J640" s="11" t="s">
        <v>858</v>
      </c>
      <c r="K640" s="11" t="str">
        <f>_xlfn.TEXTBEFORE(Mvt_Inter_entrepot[[#This Row],[Num Suivis]],"-",,,1)</f>
        <v>CA250015</v>
      </c>
      <c r="L640" s="11" t="e">
        <f>_xlfn.XLOOKUP(Mvt_Inter_entrepot[[#This Row],[Num OF]],#REF!,#REF!,"Non Trouvé")</f>
        <v>#REF!</v>
      </c>
      <c r="M640" s="11" t="e">
        <f>_xlfn.XLOOKUP(Mvt_Inter_entrepot[[#This Row],[Num OF]],#REF!,#REF!,"Non Trouvé")</f>
        <v>#REF!</v>
      </c>
      <c r="N640" s="11" t="e">
        <f>_xlfn.XLOOKUP(Mvt_Inter_entrepot[[#This Row],[Num OF]],#REF!,#REF!,"Non Trouvé")</f>
        <v>#REF!</v>
      </c>
      <c r="O640" s="11" t="e">
        <f>_xlfn.XLOOKUP(Mvt_Inter_entrepot[[#This Row],[Num OF]],#REF!,#REF!,"Non Trouvé")</f>
        <v>#REF!</v>
      </c>
      <c r="P640" s="11" t="e">
        <f>_xlfn.XLOOKUP(Mvt_Inter_entrepot[[#This Row],[Num OF]],#REF!,#REF!,"Non Trouvé")</f>
        <v>#REF!</v>
      </c>
      <c r="Q640" s="11" t="str">
        <f>IF(
   COUNTIFS($A$2:A640,A640,
             $B$2:B640,B640,
             $C$2:C640,C640,
             $D$2:D640,D640,
             $E$2:E640,E640,
             $H$2:H640,H640
             )&gt;1,
   "Doublon",
   "Correcte"
)</f>
        <v>Correcte</v>
      </c>
    </row>
    <row r="641" spans="1:17" x14ac:dyDescent="0.25">
      <c r="A641" s="11" t="s">
        <v>3429</v>
      </c>
      <c r="B641" s="11" t="s">
        <v>1153</v>
      </c>
      <c r="C641" s="11" t="s">
        <v>665</v>
      </c>
      <c r="D641" s="11" t="s">
        <v>1154</v>
      </c>
      <c r="E641" s="11">
        <v>5</v>
      </c>
      <c r="F641" s="11" t="s">
        <v>699</v>
      </c>
      <c r="G641" s="11" t="s">
        <v>634</v>
      </c>
      <c r="H641" s="14">
        <v>45936.417708333334</v>
      </c>
      <c r="I641" s="12">
        <f>-Mvt_Inter_entrepot[[#This Row],[QTE]]</f>
        <v>-5</v>
      </c>
      <c r="J641" s="11" t="s">
        <v>860</v>
      </c>
      <c r="K641" s="11" t="str">
        <f>_xlfn.TEXTBEFORE(Mvt_Inter_entrepot[[#This Row],[Num Suivis]],"-",,,1)</f>
        <v>CA250015</v>
      </c>
      <c r="L641" s="11" t="e">
        <f>_xlfn.XLOOKUP(Mvt_Inter_entrepot[[#This Row],[Num OF]],#REF!,#REF!,"Non Trouvé")</f>
        <v>#REF!</v>
      </c>
      <c r="M641" s="11" t="e">
        <f>_xlfn.XLOOKUP(Mvt_Inter_entrepot[[#This Row],[Num OF]],#REF!,#REF!,"Non Trouvé")</f>
        <v>#REF!</v>
      </c>
      <c r="N641" s="11" t="e">
        <f>_xlfn.XLOOKUP(Mvt_Inter_entrepot[[#This Row],[Num OF]],#REF!,#REF!,"Non Trouvé")</f>
        <v>#REF!</v>
      </c>
      <c r="O641" s="11" t="e">
        <f>_xlfn.XLOOKUP(Mvt_Inter_entrepot[[#This Row],[Num OF]],#REF!,#REF!,"Non Trouvé")</f>
        <v>#REF!</v>
      </c>
      <c r="P641" s="11" t="e">
        <f>_xlfn.XLOOKUP(Mvt_Inter_entrepot[[#This Row],[Num OF]],#REF!,#REF!,"Non Trouvé")</f>
        <v>#REF!</v>
      </c>
      <c r="Q641" s="11" t="str">
        <f>IF(
   COUNTIFS($A$2:A641,A641,
             $B$2:B641,B641,
             $C$2:C641,C641,
             $D$2:D641,D641,
             $E$2:E641,E641,
             $H$2:H641,H641
             )&gt;1,
   "Doublon",
   "Correcte"
)</f>
        <v>Correcte</v>
      </c>
    </row>
    <row r="642" spans="1:17" x14ac:dyDescent="0.25">
      <c r="A642" s="11" t="s">
        <v>3430</v>
      </c>
      <c r="B642" s="11" t="s">
        <v>1153</v>
      </c>
      <c r="C642" s="11" t="s">
        <v>665</v>
      </c>
      <c r="D642" s="11" t="s">
        <v>1154</v>
      </c>
      <c r="E642" s="11">
        <v>5</v>
      </c>
      <c r="F642" s="11" t="s">
        <v>699</v>
      </c>
      <c r="G642" s="11" t="s">
        <v>634</v>
      </c>
      <c r="H642" s="14">
        <v>45936.417939814812</v>
      </c>
      <c r="I642" s="12">
        <f>-Mvt_Inter_entrepot[[#This Row],[QTE]]</f>
        <v>-5</v>
      </c>
      <c r="J642" s="11" t="s">
        <v>854</v>
      </c>
      <c r="K642" s="11" t="str">
        <f>_xlfn.TEXTBEFORE(Mvt_Inter_entrepot[[#This Row],[Num Suivis]],"-",,,1)</f>
        <v>CA250015</v>
      </c>
      <c r="L642" s="11" t="e">
        <f>_xlfn.XLOOKUP(Mvt_Inter_entrepot[[#This Row],[Num OF]],#REF!,#REF!,"Non Trouvé")</f>
        <v>#REF!</v>
      </c>
      <c r="M642" s="11" t="e">
        <f>_xlfn.XLOOKUP(Mvt_Inter_entrepot[[#This Row],[Num OF]],#REF!,#REF!,"Non Trouvé")</f>
        <v>#REF!</v>
      </c>
      <c r="N642" s="11" t="e">
        <f>_xlfn.XLOOKUP(Mvt_Inter_entrepot[[#This Row],[Num OF]],#REF!,#REF!,"Non Trouvé")</f>
        <v>#REF!</v>
      </c>
      <c r="O642" s="11" t="e">
        <f>_xlfn.XLOOKUP(Mvt_Inter_entrepot[[#This Row],[Num OF]],#REF!,#REF!,"Non Trouvé")</f>
        <v>#REF!</v>
      </c>
      <c r="P642" s="11" t="e">
        <f>_xlfn.XLOOKUP(Mvt_Inter_entrepot[[#This Row],[Num OF]],#REF!,#REF!,"Non Trouvé")</f>
        <v>#REF!</v>
      </c>
      <c r="Q642" s="11" t="str">
        <f>IF(
   COUNTIFS($A$2:A642,A642,
             $B$2:B642,B642,
             $C$2:C642,C642,
             $D$2:D642,D642,
             $E$2:E642,E642,
             $H$2:H642,H642
             )&gt;1,
   "Doublon",
   "Correcte"
)</f>
        <v>Correcte</v>
      </c>
    </row>
    <row r="643" spans="1:17" x14ac:dyDescent="0.25">
      <c r="A643" s="11" t="s">
        <v>3431</v>
      </c>
      <c r="B643" s="11" t="s">
        <v>1153</v>
      </c>
      <c r="C643" s="11" t="s">
        <v>665</v>
      </c>
      <c r="D643" s="11" t="s">
        <v>1154</v>
      </c>
      <c r="E643" s="11">
        <v>5</v>
      </c>
      <c r="F643" s="11" t="s">
        <v>699</v>
      </c>
      <c r="G643" s="11" t="s">
        <v>634</v>
      </c>
      <c r="H643" s="14">
        <v>45936.418182870373</v>
      </c>
      <c r="I643" s="12">
        <f>-Mvt_Inter_entrepot[[#This Row],[QTE]]</f>
        <v>-5</v>
      </c>
      <c r="J643" s="11" t="s">
        <v>774</v>
      </c>
      <c r="K643" s="11" t="str">
        <f>_xlfn.TEXTBEFORE(Mvt_Inter_entrepot[[#This Row],[Num Suivis]],"-",,,1)</f>
        <v>CA250005</v>
      </c>
      <c r="L643" s="11" t="e">
        <f>_xlfn.XLOOKUP(Mvt_Inter_entrepot[[#This Row],[Num OF]],#REF!,#REF!,"Non Trouvé")</f>
        <v>#REF!</v>
      </c>
      <c r="M643" s="11" t="e">
        <f>_xlfn.XLOOKUP(Mvt_Inter_entrepot[[#This Row],[Num OF]],#REF!,#REF!,"Non Trouvé")</f>
        <v>#REF!</v>
      </c>
      <c r="N643" s="11" t="e">
        <f>_xlfn.XLOOKUP(Mvt_Inter_entrepot[[#This Row],[Num OF]],#REF!,#REF!,"Non Trouvé")</f>
        <v>#REF!</v>
      </c>
      <c r="O643" s="11" t="e">
        <f>_xlfn.XLOOKUP(Mvt_Inter_entrepot[[#This Row],[Num OF]],#REF!,#REF!,"Non Trouvé")</f>
        <v>#REF!</v>
      </c>
      <c r="P643" s="11" t="e">
        <f>_xlfn.XLOOKUP(Mvt_Inter_entrepot[[#This Row],[Num OF]],#REF!,#REF!,"Non Trouvé")</f>
        <v>#REF!</v>
      </c>
      <c r="Q643" s="11" t="str">
        <f>IF(
   COUNTIFS($A$2:A643,A643,
             $B$2:B643,B643,
             $C$2:C643,C643,
             $D$2:D643,D643,
             $E$2:E643,E643,
             $H$2:H643,H643
             )&gt;1,
   "Doublon",
   "Correcte"
)</f>
        <v>Correcte</v>
      </c>
    </row>
    <row r="644" spans="1:17" x14ac:dyDescent="0.25">
      <c r="A644" s="11" t="s">
        <v>3432</v>
      </c>
      <c r="B644" s="11" t="s">
        <v>1153</v>
      </c>
      <c r="C644" s="11" t="s">
        <v>665</v>
      </c>
      <c r="D644" s="11" t="s">
        <v>1154</v>
      </c>
      <c r="E644" s="11">
        <v>5</v>
      </c>
      <c r="F644" s="11" t="s">
        <v>699</v>
      </c>
      <c r="G644" s="11" t="s">
        <v>634</v>
      </c>
      <c r="H644" s="14">
        <v>45936.418576388889</v>
      </c>
      <c r="I644" s="12">
        <f>-Mvt_Inter_entrepot[[#This Row],[QTE]]</f>
        <v>-5</v>
      </c>
      <c r="J644" s="11" t="s">
        <v>852</v>
      </c>
      <c r="K644" s="11" t="str">
        <f>_xlfn.TEXTBEFORE(Mvt_Inter_entrepot[[#This Row],[Num Suivis]],"-",,,1)</f>
        <v>CA250015</v>
      </c>
      <c r="L644" s="11" t="e">
        <f>_xlfn.XLOOKUP(Mvt_Inter_entrepot[[#This Row],[Num OF]],#REF!,#REF!,"Non Trouvé")</f>
        <v>#REF!</v>
      </c>
      <c r="M644" s="11" t="e">
        <f>_xlfn.XLOOKUP(Mvt_Inter_entrepot[[#This Row],[Num OF]],#REF!,#REF!,"Non Trouvé")</f>
        <v>#REF!</v>
      </c>
      <c r="N644" s="11" t="e">
        <f>_xlfn.XLOOKUP(Mvt_Inter_entrepot[[#This Row],[Num OF]],#REF!,#REF!,"Non Trouvé")</f>
        <v>#REF!</v>
      </c>
      <c r="O644" s="11" t="e">
        <f>_xlfn.XLOOKUP(Mvt_Inter_entrepot[[#This Row],[Num OF]],#REF!,#REF!,"Non Trouvé")</f>
        <v>#REF!</v>
      </c>
      <c r="P644" s="11" t="e">
        <f>_xlfn.XLOOKUP(Mvt_Inter_entrepot[[#This Row],[Num OF]],#REF!,#REF!,"Non Trouvé")</f>
        <v>#REF!</v>
      </c>
      <c r="Q644" s="11" t="str">
        <f>IF(
   COUNTIFS($A$2:A644,A644,
             $B$2:B644,B644,
             $C$2:C644,C644,
             $D$2:D644,D644,
             $E$2:E644,E644,
             $H$2:H644,H644
             )&gt;1,
   "Doublon",
   "Correcte"
)</f>
        <v>Correcte</v>
      </c>
    </row>
    <row r="645" spans="1:17" x14ac:dyDescent="0.25">
      <c r="A645" s="11" t="s">
        <v>3433</v>
      </c>
      <c r="B645" s="11" t="s">
        <v>1153</v>
      </c>
      <c r="C645" s="11" t="s">
        <v>665</v>
      </c>
      <c r="D645" s="11" t="s">
        <v>1154</v>
      </c>
      <c r="E645" s="11">
        <v>5</v>
      </c>
      <c r="F645" s="11" t="s">
        <v>699</v>
      </c>
      <c r="G645" s="11" t="s">
        <v>634</v>
      </c>
      <c r="H645" s="14">
        <v>45936.419594907406</v>
      </c>
      <c r="I645" s="12">
        <f>-Mvt_Inter_entrepot[[#This Row],[QTE]]</f>
        <v>-5</v>
      </c>
      <c r="J645" s="11" t="s">
        <v>775</v>
      </c>
      <c r="K645" s="11" t="str">
        <f>_xlfn.TEXTBEFORE(Mvt_Inter_entrepot[[#This Row],[Num Suivis]],"-",,,1)</f>
        <v>CA250005</v>
      </c>
      <c r="L645" s="11" t="e">
        <f>_xlfn.XLOOKUP(Mvt_Inter_entrepot[[#This Row],[Num OF]],#REF!,#REF!,"Non Trouvé")</f>
        <v>#REF!</v>
      </c>
      <c r="M645" s="11" t="e">
        <f>_xlfn.XLOOKUP(Mvt_Inter_entrepot[[#This Row],[Num OF]],#REF!,#REF!,"Non Trouvé")</f>
        <v>#REF!</v>
      </c>
      <c r="N645" s="11" t="e">
        <f>_xlfn.XLOOKUP(Mvt_Inter_entrepot[[#This Row],[Num OF]],#REF!,#REF!,"Non Trouvé")</f>
        <v>#REF!</v>
      </c>
      <c r="O645" s="11" t="e">
        <f>_xlfn.XLOOKUP(Mvt_Inter_entrepot[[#This Row],[Num OF]],#REF!,#REF!,"Non Trouvé")</f>
        <v>#REF!</v>
      </c>
      <c r="P645" s="11" t="e">
        <f>_xlfn.XLOOKUP(Mvt_Inter_entrepot[[#This Row],[Num OF]],#REF!,#REF!,"Non Trouvé")</f>
        <v>#REF!</v>
      </c>
      <c r="Q645" s="11" t="str">
        <f>IF(
   COUNTIFS($A$2:A645,A645,
             $B$2:B645,B645,
             $C$2:C645,C645,
             $D$2:D645,D645,
             $E$2:E645,E645,
             $H$2:H645,H645
             )&gt;1,
   "Doublon",
   "Correcte"
)</f>
        <v>Correcte</v>
      </c>
    </row>
    <row r="646" spans="1:17" x14ac:dyDescent="0.25">
      <c r="A646" s="11" t="s">
        <v>3434</v>
      </c>
      <c r="B646" s="11" t="s">
        <v>1153</v>
      </c>
      <c r="C646" s="11" t="s">
        <v>665</v>
      </c>
      <c r="D646" s="11" t="s">
        <v>1154</v>
      </c>
      <c r="E646" s="11">
        <v>5</v>
      </c>
      <c r="F646" s="11" t="s">
        <v>699</v>
      </c>
      <c r="G646" s="11" t="s">
        <v>634</v>
      </c>
      <c r="H646" s="14">
        <v>45936.419861111113</v>
      </c>
      <c r="I646" s="12">
        <f>-Mvt_Inter_entrepot[[#This Row],[QTE]]</f>
        <v>-5</v>
      </c>
      <c r="J646" s="11" t="s">
        <v>1176</v>
      </c>
      <c r="K646" s="11" t="str">
        <f>_xlfn.TEXTBEFORE(Mvt_Inter_entrepot[[#This Row],[Num Suivis]],"-",,,1)</f>
        <v>CA250005</v>
      </c>
      <c r="L646" s="11" t="e">
        <f>_xlfn.XLOOKUP(Mvt_Inter_entrepot[[#This Row],[Num OF]],#REF!,#REF!,"Non Trouvé")</f>
        <v>#REF!</v>
      </c>
      <c r="M646" s="11" t="e">
        <f>_xlfn.XLOOKUP(Mvt_Inter_entrepot[[#This Row],[Num OF]],#REF!,#REF!,"Non Trouvé")</f>
        <v>#REF!</v>
      </c>
      <c r="N646" s="11" t="e">
        <f>_xlfn.XLOOKUP(Mvt_Inter_entrepot[[#This Row],[Num OF]],#REF!,#REF!,"Non Trouvé")</f>
        <v>#REF!</v>
      </c>
      <c r="O646" s="11" t="e">
        <f>_xlfn.XLOOKUP(Mvt_Inter_entrepot[[#This Row],[Num OF]],#REF!,#REF!,"Non Trouvé")</f>
        <v>#REF!</v>
      </c>
      <c r="P646" s="11" t="e">
        <f>_xlfn.XLOOKUP(Mvt_Inter_entrepot[[#This Row],[Num OF]],#REF!,#REF!,"Non Trouvé")</f>
        <v>#REF!</v>
      </c>
      <c r="Q646" s="11" t="str">
        <f>IF(
   COUNTIFS($A$2:A646,A646,
             $B$2:B646,B646,
             $C$2:C646,C646,
             $D$2:D646,D646,
             $E$2:E646,E646,
             $H$2:H646,H646
             )&gt;1,
   "Doublon",
   "Correcte"
)</f>
        <v>Correcte</v>
      </c>
    </row>
    <row r="647" spans="1:17" x14ac:dyDescent="0.25">
      <c r="A647" s="11" t="s">
        <v>3435</v>
      </c>
      <c r="B647" s="11" t="s">
        <v>1153</v>
      </c>
      <c r="C647" s="11" t="s">
        <v>665</v>
      </c>
      <c r="D647" s="11" t="s">
        <v>1154</v>
      </c>
      <c r="E647" s="11">
        <v>4</v>
      </c>
      <c r="F647" s="11" t="s">
        <v>699</v>
      </c>
      <c r="G647" s="11" t="s">
        <v>634</v>
      </c>
      <c r="H647" s="14">
        <v>45936.420162037037</v>
      </c>
      <c r="I647" s="12">
        <f>-Mvt_Inter_entrepot[[#This Row],[QTE]]</f>
        <v>-4</v>
      </c>
      <c r="J647" s="11" t="s">
        <v>776</v>
      </c>
      <c r="K647" s="11" t="str">
        <f>_xlfn.TEXTBEFORE(Mvt_Inter_entrepot[[#This Row],[Num Suivis]],"-",,,1)</f>
        <v>CA250005</v>
      </c>
      <c r="L647" s="11" t="e">
        <f>_xlfn.XLOOKUP(Mvt_Inter_entrepot[[#This Row],[Num OF]],#REF!,#REF!,"Non Trouvé")</f>
        <v>#REF!</v>
      </c>
      <c r="M647" s="11" t="e">
        <f>_xlfn.XLOOKUP(Mvt_Inter_entrepot[[#This Row],[Num OF]],#REF!,#REF!,"Non Trouvé")</f>
        <v>#REF!</v>
      </c>
      <c r="N647" s="11" t="e">
        <f>_xlfn.XLOOKUP(Mvt_Inter_entrepot[[#This Row],[Num OF]],#REF!,#REF!,"Non Trouvé")</f>
        <v>#REF!</v>
      </c>
      <c r="O647" s="11" t="e">
        <f>_xlfn.XLOOKUP(Mvt_Inter_entrepot[[#This Row],[Num OF]],#REF!,#REF!,"Non Trouvé")</f>
        <v>#REF!</v>
      </c>
      <c r="P647" s="11" t="e">
        <f>_xlfn.XLOOKUP(Mvt_Inter_entrepot[[#This Row],[Num OF]],#REF!,#REF!,"Non Trouvé")</f>
        <v>#REF!</v>
      </c>
      <c r="Q647" s="11" t="str">
        <f>IF(
   COUNTIFS($A$2:A647,A647,
             $B$2:B647,B647,
             $C$2:C647,C647,
             $D$2:D647,D647,
             $E$2:E647,E647,
             $H$2:H647,H647
             )&gt;1,
   "Doublon",
   "Correcte"
)</f>
        <v>Correcte</v>
      </c>
    </row>
    <row r="648" spans="1:17" x14ac:dyDescent="0.25">
      <c r="A648" s="11" t="s">
        <v>3436</v>
      </c>
      <c r="B648" s="11" t="s">
        <v>1153</v>
      </c>
      <c r="C648" s="11" t="s">
        <v>665</v>
      </c>
      <c r="D648" s="11" t="s">
        <v>1154</v>
      </c>
      <c r="E648" s="11">
        <v>5</v>
      </c>
      <c r="F648" s="11" t="s">
        <v>699</v>
      </c>
      <c r="G648" s="11" t="s">
        <v>634</v>
      </c>
      <c r="H648" s="14">
        <v>45936.420810185184</v>
      </c>
      <c r="I648" s="12">
        <f>-Mvt_Inter_entrepot[[#This Row],[QTE]]</f>
        <v>-5</v>
      </c>
      <c r="J648" s="11" t="s">
        <v>851</v>
      </c>
      <c r="K648" s="11" t="str">
        <f>_xlfn.TEXTBEFORE(Mvt_Inter_entrepot[[#This Row],[Num Suivis]],"-",,,1)</f>
        <v>CA250015</v>
      </c>
      <c r="L648" s="11" t="e">
        <f>_xlfn.XLOOKUP(Mvt_Inter_entrepot[[#This Row],[Num OF]],#REF!,#REF!,"Non Trouvé")</f>
        <v>#REF!</v>
      </c>
      <c r="M648" s="11" t="e">
        <f>_xlfn.XLOOKUP(Mvt_Inter_entrepot[[#This Row],[Num OF]],#REF!,#REF!,"Non Trouvé")</f>
        <v>#REF!</v>
      </c>
      <c r="N648" s="11" t="e">
        <f>_xlfn.XLOOKUP(Mvt_Inter_entrepot[[#This Row],[Num OF]],#REF!,#REF!,"Non Trouvé")</f>
        <v>#REF!</v>
      </c>
      <c r="O648" s="11" t="e">
        <f>_xlfn.XLOOKUP(Mvt_Inter_entrepot[[#This Row],[Num OF]],#REF!,#REF!,"Non Trouvé")</f>
        <v>#REF!</v>
      </c>
      <c r="P648" s="11" t="e">
        <f>_xlfn.XLOOKUP(Mvt_Inter_entrepot[[#This Row],[Num OF]],#REF!,#REF!,"Non Trouvé")</f>
        <v>#REF!</v>
      </c>
      <c r="Q648" s="11" t="str">
        <f>IF(
   COUNTIFS($A$2:A648,A648,
             $B$2:B648,B648,
             $C$2:C648,C648,
             $D$2:D648,D648,
             $E$2:E648,E648,
             $H$2:H648,H648
             )&gt;1,
   "Doublon",
   "Correcte"
)</f>
        <v>Correcte</v>
      </c>
    </row>
    <row r="649" spans="1:17" x14ac:dyDescent="0.25">
      <c r="A649" s="11" t="s">
        <v>3437</v>
      </c>
      <c r="B649" s="11" t="s">
        <v>1153</v>
      </c>
      <c r="C649" s="11" t="s">
        <v>665</v>
      </c>
      <c r="D649" s="11" t="s">
        <v>1154</v>
      </c>
      <c r="E649" s="11">
        <v>5</v>
      </c>
      <c r="F649" s="11" t="s">
        <v>699</v>
      </c>
      <c r="G649" s="11" t="s">
        <v>634</v>
      </c>
      <c r="H649" s="14">
        <v>45936.421076388891</v>
      </c>
      <c r="I649" s="12">
        <f>-Mvt_Inter_entrepot[[#This Row],[QTE]]</f>
        <v>-5</v>
      </c>
      <c r="J649" s="11" t="s">
        <v>850</v>
      </c>
      <c r="K649" s="11" t="str">
        <f>_xlfn.TEXTBEFORE(Mvt_Inter_entrepot[[#This Row],[Num Suivis]],"-",,,1)</f>
        <v>CA250015</v>
      </c>
      <c r="L649" s="11" t="e">
        <f>_xlfn.XLOOKUP(Mvt_Inter_entrepot[[#This Row],[Num OF]],#REF!,#REF!,"Non Trouvé")</f>
        <v>#REF!</v>
      </c>
      <c r="M649" s="11" t="e">
        <f>_xlfn.XLOOKUP(Mvt_Inter_entrepot[[#This Row],[Num OF]],#REF!,#REF!,"Non Trouvé")</f>
        <v>#REF!</v>
      </c>
      <c r="N649" s="11" t="e">
        <f>_xlfn.XLOOKUP(Mvt_Inter_entrepot[[#This Row],[Num OF]],#REF!,#REF!,"Non Trouvé")</f>
        <v>#REF!</v>
      </c>
      <c r="O649" s="11" t="e">
        <f>_xlfn.XLOOKUP(Mvt_Inter_entrepot[[#This Row],[Num OF]],#REF!,#REF!,"Non Trouvé")</f>
        <v>#REF!</v>
      </c>
      <c r="P649" s="11" t="e">
        <f>_xlfn.XLOOKUP(Mvt_Inter_entrepot[[#This Row],[Num OF]],#REF!,#REF!,"Non Trouvé")</f>
        <v>#REF!</v>
      </c>
      <c r="Q649" s="11" t="str">
        <f>IF(
   COUNTIFS($A$2:A649,A649,
             $B$2:B649,B649,
             $C$2:C649,C649,
             $D$2:D649,D649,
             $E$2:E649,E649,
             $H$2:H649,H649
             )&gt;1,
   "Doublon",
   "Correcte"
)</f>
        <v>Correcte</v>
      </c>
    </row>
    <row r="650" spans="1:17" x14ac:dyDescent="0.25">
      <c r="A650" s="11" t="s">
        <v>3438</v>
      </c>
      <c r="B650" s="11" t="s">
        <v>1153</v>
      </c>
      <c r="C650" s="11" t="s">
        <v>665</v>
      </c>
      <c r="D650" s="11" t="s">
        <v>1154</v>
      </c>
      <c r="E650" s="11">
        <v>5</v>
      </c>
      <c r="F650" s="11" t="s">
        <v>699</v>
      </c>
      <c r="G650" s="11" t="s">
        <v>634</v>
      </c>
      <c r="H650" s="14">
        <v>45936.421296296299</v>
      </c>
      <c r="I650" s="12">
        <f>-Mvt_Inter_entrepot[[#This Row],[QTE]]</f>
        <v>-5</v>
      </c>
      <c r="J650" s="11" t="s">
        <v>844</v>
      </c>
      <c r="K650" s="11" t="str">
        <f>_xlfn.TEXTBEFORE(Mvt_Inter_entrepot[[#This Row],[Num Suivis]],"-",,,1)</f>
        <v>CA250012</v>
      </c>
      <c r="L650" s="11" t="e">
        <f>_xlfn.XLOOKUP(Mvt_Inter_entrepot[[#This Row],[Num OF]],#REF!,#REF!,"Non Trouvé")</f>
        <v>#REF!</v>
      </c>
      <c r="M650" s="11" t="e">
        <f>_xlfn.XLOOKUP(Mvt_Inter_entrepot[[#This Row],[Num OF]],#REF!,#REF!,"Non Trouvé")</f>
        <v>#REF!</v>
      </c>
      <c r="N650" s="11" t="e">
        <f>_xlfn.XLOOKUP(Mvt_Inter_entrepot[[#This Row],[Num OF]],#REF!,#REF!,"Non Trouvé")</f>
        <v>#REF!</v>
      </c>
      <c r="O650" s="11" t="e">
        <f>_xlfn.XLOOKUP(Mvt_Inter_entrepot[[#This Row],[Num OF]],#REF!,#REF!,"Non Trouvé")</f>
        <v>#REF!</v>
      </c>
      <c r="P650" s="11" t="e">
        <f>_xlfn.XLOOKUP(Mvt_Inter_entrepot[[#This Row],[Num OF]],#REF!,#REF!,"Non Trouvé")</f>
        <v>#REF!</v>
      </c>
      <c r="Q650" s="11" t="str">
        <f>IF(
   COUNTIFS($A$2:A650,A650,
             $B$2:B650,B650,
             $C$2:C650,C650,
             $D$2:D650,D650,
             $E$2:E650,E650,
             $H$2:H650,H650
             )&gt;1,
   "Doublon",
   "Correcte"
)</f>
        <v>Correcte</v>
      </c>
    </row>
    <row r="651" spans="1:17" x14ac:dyDescent="0.25">
      <c r="A651" s="11" t="s">
        <v>3439</v>
      </c>
      <c r="B651" s="11" t="s">
        <v>1153</v>
      </c>
      <c r="C651" s="11" t="s">
        <v>665</v>
      </c>
      <c r="D651" s="11" t="s">
        <v>1154</v>
      </c>
      <c r="E651" s="11">
        <v>5</v>
      </c>
      <c r="F651" s="11" t="s">
        <v>699</v>
      </c>
      <c r="G651" s="11" t="s">
        <v>634</v>
      </c>
      <c r="H651" s="14">
        <v>45936.421527777777</v>
      </c>
      <c r="I651" s="12">
        <f>-Mvt_Inter_entrepot[[#This Row],[QTE]]</f>
        <v>-5</v>
      </c>
      <c r="J651" s="11" t="s">
        <v>847</v>
      </c>
      <c r="K651" s="11" t="str">
        <f>_xlfn.TEXTBEFORE(Mvt_Inter_entrepot[[#This Row],[Num Suivis]],"-",,,1)</f>
        <v>CA250012</v>
      </c>
      <c r="L651" s="11" t="e">
        <f>_xlfn.XLOOKUP(Mvt_Inter_entrepot[[#This Row],[Num OF]],#REF!,#REF!,"Non Trouvé")</f>
        <v>#REF!</v>
      </c>
      <c r="M651" s="11" t="e">
        <f>_xlfn.XLOOKUP(Mvt_Inter_entrepot[[#This Row],[Num OF]],#REF!,#REF!,"Non Trouvé")</f>
        <v>#REF!</v>
      </c>
      <c r="N651" s="11" t="e">
        <f>_xlfn.XLOOKUP(Mvt_Inter_entrepot[[#This Row],[Num OF]],#REF!,#REF!,"Non Trouvé")</f>
        <v>#REF!</v>
      </c>
      <c r="O651" s="11" t="e">
        <f>_xlfn.XLOOKUP(Mvt_Inter_entrepot[[#This Row],[Num OF]],#REF!,#REF!,"Non Trouvé")</f>
        <v>#REF!</v>
      </c>
      <c r="P651" s="11" t="e">
        <f>_xlfn.XLOOKUP(Mvt_Inter_entrepot[[#This Row],[Num OF]],#REF!,#REF!,"Non Trouvé")</f>
        <v>#REF!</v>
      </c>
      <c r="Q651" s="11" t="str">
        <f>IF(
   COUNTIFS($A$2:A651,A651,
             $B$2:B651,B651,
             $C$2:C651,C651,
             $D$2:D651,D651,
             $E$2:E651,E651,
             $H$2:H651,H651
             )&gt;1,
   "Doublon",
   "Correcte"
)</f>
        <v>Correcte</v>
      </c>
    </row>
    <row r="652" spans="1:17" x14ac:dyDescent="0.25">
      <c r="A652" s="11" t="s">
        <v>3440</v>
      </c>
      <c r="B652" s="11" t="s">
        <v>1153</v>
      </c>
      <c r="C652" s="11" t="s">
        <v>665</v>
      </c>
      <c r="D652" s="11" t="s">
        <v>1154</v>
      </c>
      <c r="E652" s="11">
        <v>5</v>
      </c>
      <c r="F652" s="11" t="s">
        <v>699</v>
      </c>
      <c r="G652" s="11" t="s">
        <v>634</v>
      </c>
      <c r="H652" s="14">
        <v>45936.421736111108</v>
      </c>
      <c r="I652" s="12">
        <f>-Mvt_Inter_entrepot[[#This Row],[QTE]]</f>
        <v>-5</v>
      </c>
      <c r="J652" s="11" t="s">
        <v>853</v>
      </c>
      <c r="K652" s="11" t="str">
        <f>_xlfn.TEXTBEFORE(Mvt_Inter_entrepot[[#This Row],[Num Suivis]],"-",,,1)</f>
        <v>CA250015</v>
      </c>
      <c r="L652" s="11" t="e">
        <f>_xlfn.XLOOKUP(Mvt_Inter_entrepot[[#This Row],[Num OF]],#REF!,#REF!,"Non Trouvé")</f>
        <v>#REF!</v>
      </c>
      <c r="M652" s="11" t="e">
        <f>_xlfn.XLOOKUP(Mvt_Inter_entrepot[[#This Row],[Num OF]],#REF!,#REF!,"Non Trouvé")</f>
        <v>#REF!</v>
      </c>
      <c r="N652" s="11" t="e">
        <f>_xlfn.XLOOKUP(Mvt_Inter_entrepot[[#This Row],[Num OF]],#REF!,#REF!,"Non Trouvé")</f>
        <v>#REF!</v>
      </c>
      <c r="O652" s="11" t="e">
        <f>_xlfn.XLOOKUP(Mvt_Inter_entrepot[[#This Row],[Num OF]],#REF!,#REF!,"Non Trouvé")</f>
        <v>#REF!</v>
      </c>
      <c r="P652" s="11" t="e">
        <f>_xlfn.XLOOKUP(Mvt_Inter_entrepot[[#This Row],[Num OF]],#REF!,#REF!,"Non Trouvé")</f>
        <v>#REF!</v>
      </c>
      <c r="Q652" s="11" t="str">
        <f>IF(
   COUNTIFS($A$2:A652,A652,
             $B$2:B652,B652,
             $C$2:C652,C652,
             $D$2:D652,D652,
             $E$2:E652,E652,
             $H$2:H652,H652
             )&gt;1,
   "Doublon",
   "Correcte"
)</f>
        <v>Correcte</v>
      </c>
    </row>
    <row r="653" spans="1:17" x14ac:dyDescent="0.25">
      <c r="A653" s="11" t="s">
        <v>3441</v>
      </c>
      <c r="B653" s="11" t="s">
        <v>1153</v>
      </c>
      <c r="C653" s="11" t="s">
        <v>665</v>
      </c>
      <c r="D653" s="11" t="s">
        <v>1154</v>
      </c>
      <c r="E653" s="11">
        <v>5</v>
      </c>
      <c r="F653" s="11" t="s">
        <v>699</v>
      </c>
      <c r="G653" s="11" t="s">
        <v>634</v>
      </c>
      <c r="H653" s="14">
        <v>45936.422094907408</v>
      </c>
      <c r="I653" s="12">
        <f>-Mvt_Inter_entrepot[[#This Row],[QTE]]</f>
        <v>-5</v>
      </c>
      <c r="J653" s="11" t="s">
        <v>859</v>
      </c>
      <c r="K653" s="11" t="str">
        <f>_xlfn.TEXTBEFORE(Mvt_Inter_entrepot[[#This Row],[Num Suivis]],"-",,,1)</f>
        <v>CA250015</v>
      </c>
      <c r="L653" s="11" t="e">
        <f>_xlfn.XLOOKUP(Mvt_Inter_entrepot[[#This Row],[Num OF]],#REF!,#REF!,"Non Trouvé")</f>
        <v>#REF!</v>
      </c>
      <c r="M653" s="11" t="e">
        <f>_xlfn.XLOOKUP(Mvt_Inter_entrepot[[#This Row],[Num OF]],#REF!,#REF!,"Non Trouvé")</f>
        <v>#REF!</v>
      </c>
      <c r="N653" s="11" t="e">
        <f>_xlfn.XLOOKUP(Mvt_Inter_entrepot[[#This Row],[Num OF]],#REF!,#REF!,"Non Trouvé")</f>
        <v>#REF!</v>
      </c>
      <c r="O653" s="11" t="e">
        <f>_xlfn.XLOOKUP(Mvt_Inter_entrepot[[#This Row],[Num OF]],#REF!,#REF!,"Non Trouvé")</f>
        <v>#REF!</v>
      </c>
      <c r="P653" s="11" t="e">
        <f>_xlfn.XLOOKUP(Mvt_Inter_entrepot[[#This Row],[Num OF]],#REF!,#REF!,"Non Trouvé")</f>
        <v>#REF!</v>
      </c>
      <c r="Q653" s="11" t="str">
        <f>IF(
   COUNTIFS($A$2:A653,A653,
             $B$2:B653,B653,
             $C$2:C653,C653,
             $D$2:D653,D653,
             $E$2:E653,E653,
             $H$2:H653,H653
             )&gt;1,
   "Doublon",
   "Correcte"
)</f>
        <v>Correcte</v>
      </c>
    </row>
    <row r="654" spans="1:17" x14ac:dyDescent="0.25">
      <c r="A654" s="11" t="s">
        <v>3442</v>
      </c>
      <c r="B654" s="11" t="s">
        <v>1153</v>
      </c>
      <c r="C654" s="11" t="s">
        <v>665</v>
      </c>
      <c r="D654" s="11" t="s">
        <v>1154</v>
      </c>
      <c r="E654" s="11">
        <v>5</v>
      </c>
      <c r="F654" s="11" t="s">
        <v>699</v>
      </c>
      <c r="G654" s="11" t="s">
        <v>634</v>
      </c>
      <c r="H654" s="14">
        <v>45936.422337962962</v>
      </c>
      <c r="I654" s="12">
        <f>-Mvt_Inter_entrepot[[#This Row],[QTE]]</f>
        <v>-5</v>
      </c>
      <c r="J654" s="11" t="s">
        <v>857</v>
      </c>
      <c r="K654" s="11" t="str">
        <f>_xlfn.TEXTBEFORE(Mvt_Inter_entrepot[[#This Row],[Num Suivis]],"-",,,1)</f>
        <v>CA250015</v>
      </c>
      <c r="L654" s="11" t="e">
        <f>_xlfn.XLOOKUP(Mvt_Inter_entrepot[[#This Row],[Num OF]],#REF!,#REF!,"Non Trouvé")</f>
        <v>#REF!</v>
      </c>
      <c r="M654" s="11" t="e">
        <f>_xlfn.XLOOKUP(Mvt_Inter_entrepot[[#This Row],[Num OF]],#REF!,#REF!,"Non Trouvé")</f>
        <v>#REF!</v>
      </c>
      <c r="N654" s="11" t="e">
        <f>_xlfn.XLOOKUP(Mvt_Inter_entrepot[[#This Row],[Num OF]],#REF!,#REF!,"Non Trouvé")</f>
        <v>#REF!</v>
      </c>
      <c r="O654" s="11" t="e">
        <f>_xlfn.XLOOKUP(Mvt_Inter_entrepot[[#This Row],[Num OF]],#REF!,#REF!,"Non Trouvé")</f>
        <v>#REF!</v>
      </c>
      <c r="P654" s="11" t="e">
        <f>_xlfn.XLOOKUP(Mvt_Inter_entrepot[[#This Row],[Num OF]],#REF!,#REF!,"Non Trouvé")</f>
        <v>#REF!</v>
      </c>
      <c r="Q654" s="11" t="str">
        <f>IF(
   COUNTIFS($A$2:A654,A654,
             $B$2:B654,B654,
             $C$2:C654,C654,
             $D$2:D654,D654,
             $E$2:E654,E654,
             $H$2:H654,H654
             )&gt;1,
   "Doublon",
   "Correcte"
)</f>
        <v>Correcte</v>
      </c>
    </row>
    <row r="655" spans="1:17" x14ac:dyDescent="0.25">
      <c r="A655" s="11" t="s">
        <v>3443</v>
      </c>
      <c r="B655" s="11" t="s">
        <v>1153</v>
      </c>
      <c r="C655" s="11" t="s">
        <v>665</v>
      </c>
      <c r="D655" s="11" t="s">
        <v>1154</v>
      </c>
      <c r="E655" s="11">
        <v>5</v>
      </c>
      <c r="F655" s="11" t="s">
        <v>699</v>
      </c>
      <c r="G655" s="11" t="s">
        <v>634</v>
      </c>
      <c r="H655" s="14">
        <v>45936.422569444447</v>
      </c>
      <c r="I655" s="12">
        <f>-Mvt_Inter_entrepot[[#This Row],[QTE]]</f>
        <v>-5</v>
      </c>
      <c r="J655" s="11" t="s">
        <v>856</v>
      </c>
      <c r="K655" s="11" t="str">
        <f>_xlfn.TEXTBEFORE(Mvt_Inter_entrepot[[#This Row],[Num Suivis]],"-",,,1)</f>
        <v>CA250015</v>
      </c>
      <c r="L655" s="11" t="e">
        <f>_xlfn.XLOOKUP(Mvt_Inter_entrepot[[#This Row],[Num OF]],#REF!,#REF!,"Non Trouvé")</f>
        <v>#REF!</v>
      </c>
      <c r="M655" s="11" t="e">
        <f>_xlfn.XLOOKUP(Mvt_Inter_entrepot[[#This Row],[Num OF]],#REF!,#REF!,"Non Trouvé")</f>
        <v>#REF!</v>
      </c>
      <c r="N655" s="11" t="e">
        <f>_xlfn.XLOOKUP(Mvt_Inter_entrepot[[#This Row],[Num OF]],#REF!,#REF!,"Non Trouvé")</f>
        <v>#REF!</v>
      </c>
      <c r="O655" s="11" t="e">
        <f>_xlfn.XLOOKUP(Mvt_Inter_entrepot[[#This Row],[Num OF]],#REF!,#REF!,"Non Trouvé")</f>
        <v>#REF!</v>
      </c>
      <c r="P655" s="11" t="e">
        <f>_xlfn.XLOOKUP(Mvt_Inter_entrepot[[#This Row],[Num OF]],#REF!,#REF!,"Non Trouvé")</f>
        <v>#REF!</v>
      </c>
      <c r="Q655" s="11" t="str">
        <f>IF(
   COUNTIFS($A$2:A655,A655,
             $B$2:B655,B655,
             $C$2:C655,C655,
             $D$2:D655,D655,
             $E$2:E655,E655,
             $H$2:H655,H655
             )&gt;1,
   "Doublon",
   "Correcte"
)</f>
        <v>Correcte</v>
      </c>
    </row>
    <row r="656" spans="1:17" x14ac:dyDescent="0.25">
      <c r="A656" s="11" t="s">
        <v>3444</v>
      </c>
      <c r="B656" s="11" t="s">
        <v>1153</v>
      </c>
      <c r="C656" s="11" t="s">
        <v>665</v>
      </c>
      <c r="D656" s="11" t="s">
        <v>1154</v>
      </c>
      <c r="E656" s="11">
        <v>5</v>
      </c>
      <c r="F656" s="11" t="s">
        <v>699</v>
      </c>
      <c r="G656" s="11" t="s">
        <v>634</v>
      </c>
      <c r="H656" s="14">
        <v>45936.422881944447</v>
      </c>
      <c r="I656" s="12">
        <f>-Mvt_Inter_entrepot[[#This Row],[QTE]]</f>
        <v>-5</v>
      </c>
      <c r="J656" s="11" t="s">
        <v>878</v>
      </c>
      <c r="K656" s="11" t="str">
        <f>_xlfn.TEXTBEFORE(Mvt_Inter_entrepot[[#This Row],[Num Suivis]],"-",,,1)</f>
        <v>CA250014</v>
      </c>
      <c r="L656" s="11" t="e">
        <f>_xlfn.XLOOKUP(Mvt_Inter_entrepot[[#This Row],[Num OF]],#REF!,#REF!,"Non Trouvé")</f>
        <v>#REF!</v>
      </c>
      <c r="M656" s="11" t="e">
        <f>_xlfn.XLOOKUP(Mvt_Inter_entrepot[[#This Row],[Num OF]],#REF!,#REF!,"Non Trouvé")</f>
        <v>#REF!</v>
      </c>
      <c r="N656" s="11" t="e">
        <f>_xlfn.XLOOKUP(Mvt_Inter_entrepot[[#This Row],[Num OF]],#REF!,#REF!,"Non Trouvé")</f>
        <v>#REF!</v>
      </c>
      <c r="O656" s="11" t="e">
        <f>_xlfn.XLOOKUP(Mvt_Inter_entrepot[[#This Row],[Num OF]],#REF!,#REF!,"Non Trouvé")</f>
        <v>#REF!</v>
      </c>
      <c r="P656" s="11" t="e">
        <f>_xlfn.XLOOKUP(Mvt_Inter_entrepot[[#This Row],[Num OF]],#REF!,#REF!,"Non Trouvé")</f>
        <v>#REF!</v>
      </c>
      <c r="Q656" s="11" t="str">
        <f>IF(
   COUNTIFS($A$2:A656,A656,
             $B$2:B656,B656,
             $C$2:C656,C656,
             $D$2:D656,D656,
             $E$2:E656,E656,
             $H$2:H656,H656
             )&gt;1,
   "Doublon",
   "Correcte"
)</f>
        <v>Correcte</v>
      </c>
    </row>
    <row r="657" spans="1:17" x14ac:dyDescent="0.25">
      <c r="A657" s="11" t="s">
        <v>3445</v>
      </c>
      <c r="B657" s="11" t="s">
        <v>1153</v>
      </c>
      <c r="C657" s="11" t="s">
        <v>665</v>
      </c>
      <c r="D657" s="11" t="s">
        <v>1154</v>
      </c>
      <c r="E657" s="11">
        <v>5</v>
      </c>
      <c r="F657" s="11" t="s">
        <v>699</v>
      </c>
      <c r="G657" s="11" t="s">
        <v>634</v>
      </c>
      <c r="H657" s="14">
        <v>45936.423101851855</v>
      </c>
      <c r="I657" s="12">
        <f>-Mvt_Inter_entrepot[[#This Row],[QTE]]</f>
        <v>-5</v>
      </c>
      <c r="J657" s="11" t="s">
        <v>877</v>
      </c>
      <c r="K657" s="11" t="str">
        <f>_xlfn.TEXTBEFORE(Mvt_Inter_entrepot[[#This Row],[Num Suivis]],"-",,,1)</f>
        <v>CA250014</v>
      </c>
      <c r="L657" s="11" t="e">
        <f>_xlfn.XLOOKUP(Mvt_Inter_entrepot[[#This Row],[Num OF]],#REF!,#REF!,"Non Trouvé")</f>
        <v>#REF!</v>
      </c>
      <c r="M657" s="11" t="e">
        <f>_xlfn.XLOOKUP(Mvt_Inter_entrepot[[#This Row],[Num OF]],#REF!,#REF!,"Non Trouvé")</f>
        <v>#REF!</v>
      </c>
      <c r="N657" s="11" t="e">
        <f>_xlfn.XLOOKUP(Mvt_Inter_entrepot[[#This Row],[Num OF]],#REF!,#REF!,"Non Trouvé")</f>
        <v>#REF!</v>
      </c>
      <c r="O657" s="11" t="e">
        <f>_xlfn.XLOOKUP(Mvt_Inter_entrepot[[#This Row],[Num OF]],#REF!,#REF!,"Non Trouvé")</f>
        <v>#REF!</v>
      </c>
      <c r="P657" s="11" t="e">
        <f>_xlfn.XLOOKUP(Mvt_Inter_entrepot[[#This Row],[Num OF]],#REF!,#REF!,"Non Trouvé")</f>
        <v>#REF!</v>
      </c>
      <c r="Q657" s="11" t="str">
        <f>IF(
   COUNTIFS($A$2:A657,A657,
             $B$2:B657,B657,
             $C$2:C657,C657,
             $D$2:D657,D657,
             $E$2:E657,E657,
             $H$2:H657,H657
             )&gt;1,
   "Doublon",
   "Correcte"
)</f>
        <v>Correcte</v>
      </c>
    </row>
    <row r="658" spans="1:17" x14ac:dyDescent="0.25">
      <c r="A658" s="11" t="s">
        <v>3446</v>
      </c>
      <c r="B658" s="11" t="s">
        <v>1153</v>
      </c>
      <c r="C658" s="11" t="s">
        <v>665</v>
      </c>
      <c r="D658" s="11" t="s">
        <v>1154</v>
      </c>
      <c r="E658" s="11">
        <v>2</v>
      </c>
      <c r="F658" s="11" t="s">
        <v>699</v>
      </c>
      <c r="G658" s="11" t="s">
        <v>634</v>
      </c>
      <c r="H658" s="14">
        <v>45936.423275462963</v>
      </c>
      <c r="I658" s="12">
        <f>-Mvt_Inter_entrepot[[#This Row],[QTE]]</f>
        <v>-2</v>
      </c>
      <c r="J658" s="11" t="s">
        <v>846</v>
      </c>
      <c r="K658" s="11" t="str">
        <f>_xlfn.TEXTBEFORE(Mvt_Inter_entrepot[[#This Row],[Num Suivis]],"-",,,1)</f>
        <v>CA250012</v>
      </c>
      <c r="L658" s="11" t="e">
        <f>_xlfn.XLOOKUP(Mvt_Inter_entrepot[[#This Row],[Num OF]],#REF!,#REF!,"Non Trouvé")</f>
        <v>#REF!</v>
      </c>
      <c r="M658" s="11" t="e">
        <f>_xlfn.XLOOKUP(Mvt_Inter_entrepot[[#This Row],[Num OF]],#REF!,#REF!,"Non Trouvé")</f>
        <v>#REF!</v>
      </c>
      <c r="N658" s="11" t="e">
        <f>_xlfn.XLOOKUP(Mvt_Inter_entrepot[[#This Row],[Num OF]],#REF!,#REF!,"Non Trouvé")</f>
        <v>#REF!</v>
      </c>
      <c r="O658" s="11" t="e">
        <f>_xlfn.XLOOKUP(Mvt_Inter_entrepot[[#This Row],[Num OF]],#REF!,#REF!,"Non Trouvé")</f>
        <v>#REF!</v>
      </c>
      <c r="P658" s="11" t="e">
        <f>_xlfn.XLOOKUP(Mvt_Inter_entrepot[[#This Row],[Num OF]],#REF!,#REF!,"Non Trouvé")</f>
        <v>#REF!</v>
      </c>
      <c r="Q658" s="11" t="str">
        <f>IF(
   COUNTIFS($A$2:A658,A658,
             $B$2:B658,B658,
             $C$2:C658,C658,
             $D$2:D658,D658,
             $E$2:E658,E658,
             $H$2:H658,H658
             )&gt;1,
   "Doublon",
   "Correcte"
)</f>
        <v>Correcte</v>
      </c>
    </row>
    <row r="659" spans="1:17" x14ac:dyDescent="0.25">
      <c r="A659" s="11" t="s">
        <v>3447</v>
      </c>
      <c r="B659" s="11" t="s">
        <v>1153</v>
      </c>
      <c r="C659" s="11" t="s">
        <v>665</v>
      </c>
      <c r="D659" s="11" t="s">
        <v>1154</v>
      </c>
      <c r="E659" s="11">
        <v>5</v>
      </c>
      <c r="F659" s="11" t="s">
        <v>699</v>
      </c>
      <c r="G659" s="11" t="s">
        <v>634</v>
      </c>
      <c r="H659" s="14">
        <v>45936.42355324074</v>
      </c>
      <c r="I659" s="12">
        <f>-Mvt_Inter_entrepot[[#This Row],[QTE]]</f>
        <v>-5</v>
      </c>
      <c r="J659" s="11" t="s">
        <v>849</v>
      </c>
      <c r="K659" s="11" t="str">
        <f>_xlfn.TEXTBEFORE(Mvt_Inter_entrepot[[#This Row],[Num Suivis]],"-",,,1)</f>
        <v>CA250012</v>
      </c>
      <c r="L659" s="11" t="e">
        <f>_xlfn.XLOOKUP(Mvt_Inter_entrepot[[#This Row],[Num OF]],#REF!,#REF!,"Non Trouvé")</f>
        <v>#REF!</v>
      </c>
      <c r="M659" s="11" t="e">
        <f>_xlfn.XLOOKUP(Mvt_Inter_entrepot[[#This Row],[Num OF]],#REF!,#REF!,"Non Trouvé")</f>
        <v>#REF!</v>
      </c>
      <c r="N659" s="11" t="e">
        <f>_xlfn.XLOOKUP(Mvt_Inter_entrepot[[#This Row],[Num OF]],#REF!,#REF!,"Non Trouvé")</f>
        <v>#REF!</v>
      </c>
      <c r="O659" s="11" t="e">
        <f>_xlfn.XLOOKUP(Mvt_Inter_entrepot[[#This Row],[Num OF]],#REF!,#REF!,"Non Trouvé")</f>
        <v>#REF!</v>
      </c>
      <c r="P659" s="11" t="e">
        <f>_xlfn.XLOOKUP(Mvt_Inter_entrepot[[#This Row],[Num OF]],#REF!,#REF!,"Non Trouvé")</f>
        <v>#REF!</v>
      </c>
      <c r="Q659" s="11" t="str">
        <f>IF(
   COUNTIFS($A$2:A659,A659,
             $B$2:B659,B659,
             $C$2:C659,C659,
             $D$2:D659,D659,
             $E$2:E659,E659,
             $H$2:H659,H659
             )&gt;1,
   "Doublon",
   "Correcte"
)</f>
        <v>Correcte</v>
      </c>
    </row>
    <row r="660" spans="1:17" x14ac:dyDescent="0.25">
      <c r="A660" s="11" t="s">
        <v>3448</v>
      </c>
      <c r="B660" s="11" t="s">
        <v>1153</v>
      </c>
      <c r="C660" s="11" t="s">
        <v>665</v>
      </c>
      <c r="D660" s="11" t="s">
        <v>1154</v>
      </c>
      <c r="E660" s="11">
        <v>5</v>
      </c>
      <c r="F660" s="11" t="s">
        <v>699</v>
      </c>
      <c r="G660" s="11" t="s">
        <v>634</v>
      </c>
      <c r="H660" s="14">
        <v>45936.423726851855</v>
      </c>
      <c r="I660" s="12">
        <f>-Mvt_Inter_entrepot[[#This Row],[QTE]]</f>
        <v>-5</v>
      </c>
      <c r="J660" s="11" t="s">
        <v>845</v>
      </c>
      <c r="K660" s="11" t="str">
        <f>_xlfn.TEXTBEFORE(Mvt_Inter_entrepot[[#This Row],[Num Suivis]],"-",,,1)</f>
        <v>CA250012</v>
      </c>
      <c r="L660" s="11" t="e">
        <f>_xlfn.XLOOKUP(Mvt_Inter_entrepot[[#This Row],[Num OF]],#REF!,#REF!,"Non Trouvé")</f>
        <v>#REF!</v>
      </c>
      <c r="M660" s="11" t="e">
        <f>_xlfn.XLOOKUP(Mvt_Inter_entrepot[[#This Row],[Num OF]],#REF!,#REF!,"Non Trouvé")</f>
        <v>#REF!</v>
      </c>
      <c r="N660" s="11" t="e">
        <f>_xlfn.XLOOKUP(Mvt_Inter_entrepot[[#This Row],[Num OF]],#REF!,#REF!,"Non Trouvé")</f>
        <v>#REF!</v>
      </c>
      <c r="O660" s="11" t="e">
        <f>_xlfn.XLOOKUP(Mvt_Inter_entrepot[[#This Row],[Num OF]],#REF!,#REF!,"Non Trouvé")</f>
        <v>#REF!</v>
      </c>
      <c r="P660" s="11" t="e">
        <f>_xlfn.XLOOKUP(Mvt_Inter_entrepot[[#This Row],[Num OF]],#REF!,#REF!,"Non Trouvé")</f>
        <v>#REF!</v>
      </c>
      <c r="Q660" s="11" t="str">
        <f>IF(
   COUNTIFS($A$2:A660,A660,
             $B$2:B660,B660,
             $C$2:C660,C660,
             $D$2:D660,D660,
             $E$2:E660,E660,
             $H$2:H660,H660
             )&gt;1,
   "Doublon",
   "Correcte"
)</f>
        <v>Correcte</v>
      </c>
    </row>
    <row r="661" spans="1:17" x14ac:dyDescent="0.25">
      <c r="A661" s="11" t="s">
        <v>3449</v>
      </c>
      <c r="B661" s="11" t="s">
        <v>1153</v>
      </c>
      <c r="C661" s="11" t="s">
        <v>665</v>
      </c>
      <c r="D661" s="11" t="s">
        <v>1154</v>
      </c>
      <c r="E661" s="11">
        <v>5</v>
      </c>
      <c r="F661" s="11" t="s">
        <v>699</v>
      </c>
      <c r="G661" s="11" t="s">
        <v>634</v>
      </c>
      <c r="H661" s="14">
        <v>45936.424629629626</v>
      </c>
      <c r="I661" s="12">
        <f>-Mvt_Inter_entrepot[[#This Row],[QTE]]</f>
        <v>-5</v>
      </c>
      <c r="J661" s="11" t="s">
        <v>848</v>
      </c>
      <c r="K661" s="11" t="str">
        <f>_xlfn.TEXTBEFORE(Mvt_Inter_entrepot[[#This Row],[Num Suivis]],"-",,,1)</f>
        <v>CA250012</v>
      </c>
      <c r="L661" s="11" t="e">
        <f>_xlfn.XLOOKUP(Mvt_Inter_entrepot[[#This Row],[Num OF]],#REF!,#REF!,"Non Trouvé")</f>
        <v>#REF!</v>
      </c>
      <c r="M661" s="11" t="e">
        <f>_xlfn.XLOOKUP(Mvt_Inter_entrepot[[#This Row],[Num OF]],#REF!,#REF!,"Non Trouvé")</f>
        <v>#REF!</v>
      </c>
      <c r="N661" s="11" t="e">
        <f>_xlfn.XLOOKUP(Mvt_Inter_entrepot[[#This Row],[Num OF]],#REF!,#REF!,"Non Trouvé")</f>
        <v>#REF!</v>
      </c>
      <c r="O661" s="11" t="e">
        <f>_xlfn.XLOOKUP(Mvt_Inter_entrepot[[#This Row],[Num OF]],#REF!,#REF!,"Non Trouvé")</f>
        <v>#REF!</v>
      </c>
      <c r="P661" s="11" t="e">
        <f>_xlfn.XLOOKUP(Mvt_Inter_entrepot[[#This Row],[Num OF]],#REF!,#REF!,"Non Trouvé")</f>
        <v>#REF!</v>
      </c>
      <c r="Q661" s="11" t="str">
        <f>IF(
   COUNTIFS($A$2:A661,A661,
             $B$2:B661,B661,
             $C$2:C661,C661,
             $D$2:D661,D661,
             $E$2:E661,E661,
             $H$2:H661,H661
             )&gt;1,
   "Doublon",
   "Correcte"
)</f>
        <v>Correcte</v>
      </c>
    </row>
    <row r="662" spans="1:17" x14ac:dyDescent="0.25">
      <c r="A662" s="11" t="s">
        <v>3450</v>
      </c>
      <c r="B662" s="11" t="s">
        <v>1153</v>
      </c>
      <c r="C662" s="11" t="s">
        <v>665</v>
      </c>
      <c r="D662" s="11" t="s">
        <v>1154</v>
      </c>
      <c r="E662" s="11">
        <v>5</v>
      </c>
      <c r="F662" s="11" t="s">
        <v>699</v>
      </c>
      <c r="G662" s="11" t="s">
        <v>634</v>
      </c>
      <c r="H662" s="14">
        <v>45936.424826388888</v>
      </c>
      <c r="I662" s="12">
        <f>-Mvt_Inter_entrepot[[#This Row],[QTE]]</f>
        <v>-5</v>
      </c>
      <c r="J662" s="11" t="s">
        <v>1177</v>
      </c>
      <c r="K662" s="11" t="str">
        <f>_xlfn.TEXTBEFORE(Mvt_Inter_entrepot[[#This Row],[Num Suivis]],"-",,,1)</f>
        <v>CA250014</v>
      </c>
      <c r="L662" s="11" t="e">
        <f>_xlfn.XLOOKUP(Mvt_Inter_entrepot[[#This Row],[Num OF]],#REF!,#REF!,"Non Trouvé")</f>
        <v>#REF!</v>
      </c>
      <c r="M662" s="11" t="e">
        <f>_xlfn.XLOOKUP(Mvt_Inter_entrepot[[#This Row],[Num OF]],#REF!,#REF!,"Non Trouvé")</f>
        <v>#REF!</v>
      </c>
      <c r="N662" s="11" t="e">
        <f>_xlfn.XLOOKUP(Mvt_Inter_entrepot[[#This Row],[Num OF]],#REF!,#REF!,"Non Trouvé")</f>
        <v>#REF!</v>
      </c>
      <c r="O662" s="11" t="e">
        <f>_xlfn.XLOOKUP(Mvt_Inter_entrepot[[#This Row],[Num OF]],#REF!,#REF!,"Non Trouvé")</f>
        <v>#REF!</v>
      </c>
      <c r="P662" s="11" t="e">
        <f>_xlfn.XLOOKUP(Mvt_Inter_entrepot[[#This Row],[Num OF]],#REF!,#REF!,"Non Trouvé")</f>
        <v>#REF!</v>
      </c>
      <c r="Q662" s="11" t="str">
        <f>IF(
   COUNTIFS($A$2:A662,A662,
             $B$2:B662,B662,
             $C$2:C662,C662,
             $D$2:D662,D662,
             $E$2:E662,E662,
             $H$2:H662,H662
             )&gt;1,
   "Doublon",
   "Correcte"
)</f>
        <v>Correcte</v>
      </c>
    </row>
    <row r="663" spans="1:17" x14ac:dyDescent="0.25">
      <c r="A663" s="11" t="s">
        <v>3451</v>
      </c>
      <c r="B663" s="11" t="s">
        <v>1153</v>
      </c>
      <c r="C663" s="11" t="s">
        <v>665</v>
      </c>
      <c r="D663" s="11" t="s">
        <v>1154</v>
      </c>
      <c r="E663" s="11">
        <v>4</v>
      </c>
      <c r="F663" s="11" t="s">
        <v>699</v>
      </c>
      <c r="G663" s="11" t="s">
        <v>634</v>
      </c>
      <c r="H663" s="14">
        <v>45936.425300925926</v>
      </c>
      <c r="I663" s="12">
        <f>-Mvt_Inter_entrepot[[#This Row],[QTE]]</f>
        <v>-4</v>
      </c>
      <c r="J663" s="11" t="s">
        <v>873</v>
      </c>
      <c r="K663" s="11" t="str">
        <f>_xlfn.TEXTBEFORE(Mvt_Inter_entrepot[[#This Row],[Num Suivis]],"-",,,1)</f>
        <v>CA250014</v>
      </c>
      <c r="L663" s="11" t="e">
        <f>_xlfn.XLOOKUP(Mvt_Inter_entrepot[[#This Row],[Num OF]],#REF!,#REF!,"Non Trouvé")</f>
        <v>#REF!</v>
      </c>
      <c r="M663" s="11" t="e">
        <f>_xlfn.XLOOKUP(Mvt_Inter_entrepot[[#This Row],[Num OF]],#REF!,#REF!,"Non Trouvé")</f>
        <v>#REF!</v>
      </c>
      <c r="N663" s="11" t="e">
        <f>_xlfn.XLOOKUP(Mvt_Inter_entrepot[[#This Row],[Num OF]],#REF!,#REF!,"Non Trouvé")</f>
        <v>#REF!</v>
      </c>
      <c r="O663" s="11" t="e">
        <f>_xlfn.XLOOKUP(Mvt_Inter_entrepot[[#This Row],[Num OF]],#REF!,#REF!,"Non Trouvé")</f>
        <v>#REF!</v>
      </c>
      <c r="P663" s="11" t="e">
        <f>_xlfn.XLOOKUP(Mvt_Inter_entrepot[[#This Row],[Num OF]],#REF!,#REF!,"Non Trouvé")</f>
        <v>#REF!</v>
      </c>
      <c r="Q663" s="11" t="str">
        <f>IF(
   COUNTIFS($A$2:A663,A663,
             $B$2:B663,B663,
             $C$2:C663,C663,
             $D$2:D663,D663,
             $E$2:E663,E663,
             $H$2:H663,H663
             )&gt;1,
   "Doublon",
   "Correcte"
)</f>
        <v>Correcte</v>
      </c>
    </row>
    <row r="664" spans="1:17" x14ac:dyDescent="0.25">
      <c r="A664" s="11" t="s">
        <v>3452</v>
      </c>
      <c r="B664" s="11" t="s">
        <v>1153</v>
      </c>
      <c r="C664" s="11" t="s">
        <v>665</v>
      </c>
      <c r="D664" s="11" t="s">
        <v>1154</v>
      </c>
      <c r="E664" s="11">
        <v>5</v>
      </c>
      <c r="F664" s="11" t="s">
        <v>699</v>
      </c>
      <c r="G664" s="11" t="s">
        <v>634</v>
      </c>
      <c r="H664" s="14">
        <v>45936.425567129627</v>
      </c>
      <c r="I664" s="12">
        <f>-Mvt_Inter_entrepot[[#This Row],[QTE]]</f>
        <v>-5</v>
      </c>
      <c r="J664" s="11" t="s">
        <v>874</v>
      </c>
      <c r="K664" s="11" t="str">
        <f>_xlfn.TEXTBEFORE(Mvt_Inter_entrepot[[#This Row],[Num Suivis]],"-",,,1)</f>
        <v>CA250014</v>
      </c>
      <c r="L664" s="11" t="e">
        <f>_xlfn.XLOOKUP(Mvt_Inter_entrepot[[#This Row],[Num OF]],#REF!,#REF!,"Non Trouvé")</f>
        <v>#REF!</v>
      </c>
      <c r="M664" s="11" t="e">
        <f>_xlfn.XLOOKUP(Mvt_Inter_entrepot[[#This Row],[Num OF]],#REF!,#REF!,"Non Trouvé")</f>
        <v>#REF!</v>
      </c>
      <c r="N664" s="11" t="e">
        <f>_xlfn.XLOOKUP(Mvt_Inter_entrepot[[#This Row],[Num OF]],#REF!,#REF!,"Non Trouvé")</f>
        <v>#REF!</v>
      </c>
      <c r="O664" s="11" t="e">
        <f>_xlfn.XLOOKUP(Mvt_Inter_entrepot[[#This Row],[Num OF]],#REF!,#REF!,"Non Trouvé")</f>
        <v>#REF!</v>
      </c>
      <c r="P664" s="11" t="e">
        <f>_xlfn.XLOOKUP(Mvt_Inter_entrepot[[#This Row],[Num OF]],#REF!,#REF!,"Non Trouvé")</f>
        <v>#REF!</v>
      </c>
      <c r="Q664" s="11" t="str">
        <f>IF(
   COUNTIFS($A$2:A664,A664,
             $B$2:B664,B664,
             $C$2:C664,C664,
             $D$2:D664,D664,
             $E$2:E664,E664,
             $H$2:H664,H664
             )&gt;1,
   "Doublon",
   "Correcte"
)</f>
        <v>Correcte</v>
      </c>
    </row>
    <row r="665" spans="1:17" x14ac:dyDescent="0.25">
      <c r="A665" s="11" t="s">
        <v>3453</v>
      </c>
      <c r="B665" s="11" t="s">
        <v>1153</v>
      </c>
      <c r="C665" s="11" t="s">
        <v>665</v>
      </c>
      <c r="D665" s="11" t="s">
        <v>1154</v>
      </c>
      <c r="E665" s="11">
        <v>5</v>
      </c>
      <c r="F665" s="11" t="s">
        <v>699</v>
      </c>
      <c r="G665" s="11" t="s">
        <v>634</v>
      </c>
      <c r="H665" s="14">
        <v>45936.425844907404</v>
      </c>
      <c r="I665" s="12">
        <f>-Mvt_Inter_entrepot[[#This Row],[QTE]]</f>
        <v>-5</v>
      </c>
      <c r="J665" s="11" t="s">
        <v>881</v>
      </c>
      <c r="K665" s="11" t="str">
        <f>_xlfn.TEXTBEFORE(Mvt_Inter_entrepot[[#This Row],[Num Suivis]],"-",,,1)</f>
        <v>CA250014</v>
      </c>
      <c r="L665" s="11" t="e">
        <f>_xlfn.XLOOKUP(Mvt_Inter_entrepot[[#This Row],[Num OF]],#REF!,#REF!,"Non Trouvé")</f>
        <v>#REF!</v>
      </c>
      <c r="M665" s="11" t="e">
        <f>_xlfn.XLOOKUP(Mvt_Inter_entrepot[[#This Row],[Num OF]],#REF!,#REF!,"Non Trouvé")</f>
        <v>#REF!</v>
      </c>
      <c r="N665" s="11" t="e">
        <f>_xlfn.XLOOKUP(Mvt_Inter_entrepot[[#This Row],[Num OF]],#REF!,#REF!,"Non Trouvé")</f>
        <v>#REF!</v>
      </c>
      <c r="O665" s="11" t="e">
        <f>_xlfn.XLOOKUP(Mvt_Inter_entrepot[[#This Row],[Num OF]],#REF!,#REF!,"Non Trouvé")</f>
        <v>#REF!</v>
      </c>
      <c r="P665" s="11" t="e">
        <f>_xlfn.XLOOKUP(Mvt_Inter_entrepot[[#This Row],[Num OF]],#REF!,#REF!,"Non Trouvé")</f>
        <v>#REF!</v>
      </c>
      <c r="Q665" s="11" t="str">
        <f>IF(
   COUNTIFS($A$2:A665,A665,
             $B$2:B665,B665,
             $C$2:C665,C665,
             $D$2:D665,D665,
             $E$2:E665,E665,
             $H$2:H665,H665
             )&gt;1,
   "Doublon",
   "Correcte"
)</f>
        <v>Correcte</v>
      </c>
    </row>
    <row r="666" spans="1:17" x14ac:dyDescent="0.25">
      <c r="A666" s="11" t="s">
        <v>3454</v>
      </c>
      <c r="B666" s="11" t="s">
        <v>1153</v>
      </c>
      <c r="C666" s="11" t="s">
        <v>665</v>
      </c>
      <c r="D666" s="11" t="s">
        <v>1154</v>
      </c>
      <c r="E666" s="11">
        <v>5</v>
      </c>
      <c r="F666" s="11" t="s">
        <v>699</v>
      </c>
      <c r="G666" s="11" t="s">
        <v>634</v>
      </c>
      <c r="H666" s="14">
        <v>45936.426111111112</v>
      </c>
      <c r="I666" s="12">
        <f>-Mvt_Inter_entrepot[[#This Row],[QTE]]</f>
        <v>-5</v>
      </c>
      <c r="J666" s="11" t="s">
        <v>711</v>
      </c>
      <c r="K666" s="11" t="str">
        <f>_xlfn.TEXTBEFORE(Mvt_Inter_entrepot[[#This Row],[Num Suivis]],"-",,,1)</f>
        <v>CA250004</v>
      </c>
      <c r="L666" s="11" t="e">
        <f>_xlfn.XLOOKUP(Mvt_Inter_entrepot[[#This Row],[Num OF]],#REF!,#REF!,"Non Trouvé")</f>
        <v>#REF!</v>
      </c>
      <c r="M666" s="11" t="e">
        <f>_xlfn.XLOOKUP(Mvt_Inter_entrepot[[#This Row],[Num OF]],#REF!,#REF!,"Non Trouvé")</f>
        <v>#REF!</v>
      </c>
      <c r="N666" s="11" t="e">
        <f>_xlfn.XLOOKUP(Mvt_Inter_entrepot[[#This Row],[Num OF]],#REF!,#REF!,"Non Trouvé")</f>
        <v>#REF!</v>
      </c>
      <c r="O666" s="11" t="e">
        <f>_xlfn.XLOOKUP(Mvt_Inter_entrepot[[#This Row],[Num OF]],#REF!,#REF!,"Non Trouvé")</f>
        <v>#REF!</v>
      </c>
      <c r="P666" s="11" t="e">
        <f>_xlfn.XLOOKUP(Mvt_Inter_entrepot[[#This Row],[Num OF]],#REF!,#REF!,"Non Trouvé")</f>
        <v>#REF!</v>
      </c>
      <c r="Q666" s="11" t="str">
        <f>IF(
   COUNTIFS($A$2:A666,A666,
             $B$2:B666,B666,
             $C$2:C666,C666,
             $D$2:D666,D666,
             $E$2:E666,E666,
             $H$2:H666,H666
             )&gt;1,
   "Doublon",
   "Correcte"
)</f>
        <v>Correcte</v>
      </c>
    </row>
    <row r="667" spans="1:17" x14ac:dyDescent="0.25">
      <c r="A667" s="11" t="s">
        <v>3455</v>
      </c>
      <c r="B667" s="11" t="s">
        <v>1153</v>
      </c>
      <c r="C667" s="11" t="s">
        <v>665</v>
      </c>
      <c r="D667" s="11" t="s">
        <v>1154</v>
      </c>
      <c r="E667" s="11">
        <v>5</v>
      </c>
      <c r="F667" s="11" t="s">
        <v>699</v>
      </c>
      <c r="G667" s="11" t="s">
        <v>634</v>
      </c>
      <c r="H667" s="14">
        <v>45936.426446759258</v>
      </c>
      <c r="I667" s="12">
        <f>-Mvt_Inter_entrepot[[#This Row],[QTE]]</f>
        <v>-5</v>
      </c>
      <c r="J667" s="11" t="s">
        <v>766</v>
      </c>
      <c r="K667" s="11" t="str">
        <f>_xlfn.TEXTBEFORE(Mvt_Inter_entrepot[[#This Row],[Num Suivis]],"-",,,1)</f>
        <v>CA250004</v>
      </c>
      <c r="L667" s="11" t="e">
        <f>_xlfn.XLOOKUP(Mvt_Inter_entrepot[[#This Row],[Num OF]],#REF!,#REF!,"Non Trouvé")</f>
        <v>#REF!</v>
      </c>
      <c r="M667" s="11" t="e">
        <f>_xlfn.XLOOKUP(Mvt_Inter_entrepot[[#This Row],[Num OF]],#REF!,#REF!,"Non Trouvé")</f>
        <v>#REF!</v>
      </c>
      <c r="N667" s="11" t="e">
        <f>_xlfn.XLOOKUP(Mvt_Inter_entrepot[[#This Row],[Num OF]],#REF!,#REF!,"Non Trouvé")</f>
        <v>#REF!</v>
      </c>
      <c r="O667" s="11" t="e">
        <f>_xlfn.XLOOKUP(Mvt_Inter_entrepot[[#This Row],[Num OF]],#REF!,#REF!,"Non Trouvé")</f>
        <v>#REF!</v>
      </c>
      <c r="P667" s="11" t="e">
        <f>_xlfn.XLOOKUP(Mvt_Inter_entrepot[[#This Row],[Num OF]],#REF!,#REF!,"Non Trouvé")</f>
        <v>#REF!</v>
      </c>
      <c r="Q667" s="11" t="str">
        <f>IF(
   COUNTIFS($A$2:A667,A667,
             $B$2:B667,B667,
             $C$2:C667,C667,
             $D$2:D667,D667,
             $E$2:E667,E667,
             $H$2:H667,H667
             )&gt;1,
   "Doublon",
   "Correcte"
)</f>
        <v>Correcte</v>
      </c>
    </row>
    <row r="668" spans="1:17" x14ac:dyDescent="0.25">
      <c r="A668" s="11" t="s">
        <v>3456</v>
      </c>
      <c r="B668" s="11" t="s">
        <v>1153</v>
      </c>
      <c r="C668" s="11" t="s">
        <v>665</v>
      </c>
      <c r="D668" s="11" t="s">
        <v>1154</v>
      </c>
      <c r="E668" s="11">
        <v>5</v>
      </c>
      <c r="F668" s="11" t="s">
        <v>699</v>
      </c>
      <c r="G668" s="11" t="s">
        <v>634</v>
      </c>
      <c r="H668" s="14">
        <v>45936.426712962966</v>
      </c>
      <c r="I668" s="12">
        <f>-Mvt_Inter_entrepot[[#This Row],[QTE]]</f>
        <v>-5</v>
      </c>
      <c r="J668" s="11" t="s">
        <v>840</v>
      </c>
      <c r="K668" s="11" t="str">
        <f>_xlfn.TEXTBEFORE(Mvt_Inter_entrepot[[#This Row],[Num Suivis]],"-",,,1)</f>
        <v>CA250012</v>
      </c>
      <c r="L668" s="11" t="e">
        <f>_xlfn.XLOOKUP(Mvt_Inter_entrepot[[#This Row],[Num OF]],#REF!,#REF!,"Non Trouvé")</f>
        <v>#REF!</v>
      </c>
      <c r="M668" s="11" t="e">
        <f>_xlfn.XLOOKUP(Mvt_Inter_entrepot[[#This Row],[Num OF]],#REF!,#REF!,"Non Trouvé")</f>
        <v>#REF!</v>
      </c>
      <c r="N668" s="11" t="e">
        <f>_xlfn.XLOOKUP(Mvt_Inter_entrepot[[#This Row],[Num OF]],#REF!,#REF!,"Non Trouvé")</f>
        <v>#REF!</v>
      </c>
      <c r="O668" s="11" t="e">
        <f>_xlfn.XLOOKUP(Mvt_Inter_entrepot[[#This Row],[Num OF]],#REF!,#REF!,"Non Trouvé")</f>
        <v>#REF!</v>
      </c>
      <c r="P668" s="11" t="e">
        <f>_xlfn.XLOOKUP(Mvt_Inter_entrepot[[#This Row],[Num OF]],#REF!,#REF!,"Non Trouvé")</f>
        <v>#REF!</v>
      </c>
      <c r="Q668" s="11" t="str">
        <f>IF(
   COUNTIFS($A$2:A668,A668,
             $B$2:B668,B668,
             $C$2:C668,C668,
             $D$2:D668,D668,
             $E$2:E668,E668,
             $H$2:H668,H668
             )&gt;1,
   "Doublon",
   "Correcte"
)</f>
        <v>Correcte</v>
      </c>
    </row>
    <row r="669" spans="1:17" x14ac:dyDescent="0.25">
      <c r="A669" s="11" t="s">
        <v>3457</v>
      </c>
      <c r="B669" s="11" t="s">
        <v>1153</v>
      </c>
      <c r="C669" s="11" t="s">
        <v>665</v>
      </c>
      <c r="D669" s="11" t="s">
        <v>1154</v>
      </c>
      <c r="E669" s="11">
        <v>5</v>
      </c>
      <c r="F669" s="11" t="s">
        <v>699</v>
      </c>
      <c r="G669" s="11" t="s">
        <v>634</v>
      </c>
      <c r="H669" s="14">
        <v>45936.426932870374</v>
      </c>
      <c r="I669" s="12">
        <f>-Mvt_Inter_entrepot[[#This Row],[QTE]]</f>
        <v>-5</v>
      </c>
      <c r="J669" s="11" t="s">
        <v>764</v>
      </c>
      <c r="K669" s="11" t="str">
        <f>_xlfn.TEXTBEFORE(Mvt_Inter_entrepot[[#This Row],[Num Suivis]],"-",,,1)</f>
        <v>CA250004</v>
      </c>
      <c r="L669" s="11" t="e">
        <f>_xlfn.XLOOKUP(Mvt_Inter_entrepot[[#This Row],[Num OF]],#REF!,#REF!,"Non Trouvé")</f>
        <v>#REF!</v>
      </c>
      <c r="M669" s="11" t="e">
        <f>_xlfn.XLOOKUP(Mvt_Inter_entrepot[[#This Row],[Num OF]],#REF!,#REF!,"Non Trouvé")</f>
        <v>#REF!</v>
      </c>
      <c r="N669" s="11" t="e">
        <f>_xlfn.XLOOKUP(Mvt_Inter_entrepot[[#This Row],[Num OF]],#REF!,#REF!,"Non Trouvé")</f>
        <v>#REF!</v>
      </c>
      <c r="O669" s="11" t="e">
        <f>_xlfn.XLOOKUP(Mvt_Inter_entrepot[[#This Row],[Num OF]],#REF!,#REF!,"Non Trouvé")</f>
        <v>#REF!</v>
      </c>
      <c r="P669" s="11" t="e">
        <f>_xlfn.XLOOKUP(Mvt_Inter_entrepot[[#This Row],[Num OF]],#REF!,#REF!,"Non Trouvé")</f>
        <v>#REF!</v>
      </c>
      <c r="Q669" s="11" t="str">
        <f>IF(
   COUNTIFS($A$2:A669,A669,
             $B$2:B669,B669,
             $C$2:C669,C669,
             $D$2:D669,D669,
             $E$2:E669,E669,
             $H$2:H669,H669
             )&gt;1,
   "Doublon",
   "Correcte"
)</f>
        <v>Correcte</v>
      </c>
    </row>
    <row r="670" spans="1:17" x14ac:dyDescent="0.25">
      <c r="A670" s="11" t="s">
        <v>3458</v>
      </c>
      <c r="B670" s="11" t="s">
        <v>1153</v>
      </c>
      <c r="C670" s="11" t="s">
        <v>665</v>
      </c>
      <c r="D670" s="11" t="s">
        <v>1154</v>
      </c>
      <c r="E670" s="11">
        <v>5</v>
      </c>
      <c r="F670" s="11" t="s">
        <v>699</v>
      </c>
      <c r="G670" s="11" t="s">
        <v>634</v>
      </c>
      <c r="H670" s="14">
        <v>45936.427407407406</v>
      </c>
      <c r="I670" s="12">
        <f>-Mvt_Inter_entrepot[[#This Row],[QTE]]</f>
        <v>-5</v>
      </c>
      <c r="J670" s="11" t="s">
        <v>842</v>
      </c>
      <c r="K670" s="11" t="str">
        <f>_xlfn.TEXTBEFORE(Mvt_Inter_entrepot[[#This Row],[Num Suivis]],"-",,,1)</f>
        <v>CA250012</v>
      </c>
      <c r="L670" s="11" t="e">
        <f>_xlfn.XLOOKUP(Mvt_Inter_entrepot[[#This Row],[Num OF]],#REF!,#REF!,"Non Trouvé")</f>
        <v>#REF!</v>
      </c>
      <c r="M670" s="11" t="e">
        <f>_xlfn.XLOOKUP(Mvt_Inter_entrepot[[#This Row],[Num OF]],#REF!,#REF!,"Non Trouvé")</f>
        <v>#REF!</v>
      </c>
      <c r="N670" s="11" t="e">
        <f>_xlfn.XLOOKUP(Mvt_Inter_entrepot[[#This Row],[Num OF]],#REF!,#REF!,"Non Trouvé")</f>
        <v>#REF!</v>
      </c>
      <c r="O670" s="11" t="e">
        <f>_xlfn.XLOOKUP(Mvt_Inter_entrepot[[#This Row],[Num OF]],#REF!,#REF!,"Non Trouvé")</f>
        <v>#REF!</v>
      </c>
      <c r="P670" s="11" t="e">
        <f>_xlfn.XLOOKUP(Mvt_Inter_entrepot[[#This Row],[Num OF]],#REF!,#REF!,"Non Trouvé")</f>
        <v>#REF!</v>
      </c>
      <c r="Q670" s="11" t="str">
        <f>IF(
   COUNTIFS($A$2:A670,A670,
             $B$2:B670,B670,
             $C$2:C670,C670,
             $D$2:D670,D670,
             $E$2:E670,E670,
             $H$2:H670,H670
             )&gt;1,
   "Doublon",
   "Correcte"
)</f>
        <v>Correcte</v>
      </c>
    </row>
    <row r="671" spans="1:17" x14ac:dyDescent="0.25">
      <c r="A671" s="11" t="s">
        <v>3459</v>
      </c>
      <c r="B671" s="11" t="s">
        <v>1153</v>
      </c>
      <c r="C671" s="11" t="s">
        <v>665</v>
      </c>
      <c r="D671" s="11" t="s">
        <v>1154</v>
      </c>
      <c r="E671" s="11">
        <v>5</v>
      </c>
      <c r="F671" s="11" t="s">
        <v>699</v>
      </c>
      <c r="G671" s="11" t="s">
        <v>634</v>
      </c>
      <c r="H671" s="14">
        <v>45936.42763888889</v>
      </c>
      <c r="I671" s="12">
        <f>-Mvt_Inter_entrepot[[#This Row],[QTE]]</f>
        <v>-5</v>
      </c>
      <c r="J671" s="11" t="s">
        <v>841</v>
      </c>
      <c r="K671" s="11" t="str">
        <f>_xlfn.TEXTBEFORE(Mvt_Inter_entrepot[[#This Row],[Num Suivis]],"-",,,1)</f>
        <v>CA250012</v>
      </c>
      <c r="L671" s="11" t="e">
        <f>_xlfn.XLOOKUP(Mvt_Inter_entrepot[[#This Row],[Num OF]],#REF!,#REF!,"Non Trouvé")</f>
        <v>#REF!</v>
      </c>
      <c r="M671" s="11" t="e">
        <f>_xlfn.XLOOKUP(Mvt_Inter_entrepot[[#This Row],[Num OF]],#REF!,#REF!,"Non Trouvé")</f>
        <v>#REF!</v>
      </c>
      <c r="N671" s="11" t="e">
        <f>_xlfn.XLOOKUP(Mvt_Inter_entrepot[[#This Row],[Num OF]],#REF!,#REF!,"Non Trouvé")</f>
        <v>#REF!</v>
      </c>
      <c r="O671" s="11" t="e">
        <f>_xlfn.XLOOKUP(Mvt_Inter_entrepot[[#This Row],[Num OF]],#REF!,#REF!,"Non Trouvé")</f>
        <v>#REF!</v>
      </c>
      <c r="P671" s="11" t="e">
        <f>_xlfn.XLOOKUP(Mvt_Inter_entrepot[[#This Row],[Num OF]],#REF!,#REF!,"Non Trouvé")</f>
        <v>#REF!</v>
      </c>
      <c r="Q671" s="11" t="str">
        <f>IF(
   COUNTIFS($A$2:A671,A671,
             $B$2:B671,B671,
             $C$2:C671,C671,
             $D$2:D671,D671,
             $E$2:E671,E671,
             $H$2:H671,H671
             )&gt;1,
   "Doublon",
   "Correcte"
)</f>
        <v>Correcte</v>
      </c>
    </row>
    <row r="672" spans="1:17" x14ac:dyDescent="0.25">
      <c r="A672" s="11" t="s">
        <v>3460</v>
      </c>
      <c r="B672" s="11" t="s">
        <v>1153</v>
      </c>
      <c r="C672" s="11" t="s">
        <v>665</v>
      </c>
      <c r="D672" s="11" t="s">
        <v>1154</v>
      </c>
      <c r="E672" s="11">
        <v>5</v>
      </c>
      <c r="F672" s="11" t="s">
        <v>699</v>
      </c>
      <c r="G672" s="11" t="s">
        <v>634</v>
      </c>
      <c r="H672" s="14">
        <v>45936.427847222221</v>
      </c>
      <c r="I672" s="12">
        <f>-Mvt_Inter_entrepot[[#This Row],[QTE]]</f>
        <v>-5</v>
      </c>
      <c r="J672" s="11" t="s">
        <v>839</v>
      </c>
      <c r="K672" s="11" t="str">
        <f>_xlfn.TEXTBEFORE(Mvt_Inter_entrepot[[#This Row],[Num Suivis]],"-",,,1)</f>
        <v>CA250012</v>
      </c>
      <c r="L672" s="11" t="e">
        <f>_xlfn.XLOOKUP(Mvt_Inter_entrepot[[#This Row],[Num OF]],#REF!,#REF!,"Non Trouvé")</f>
        <v>#REF!</v>
      </c>
      <c r="M672" s="11" t="e">
        <f>_xlfn.XLOOKUP(Mvt_Inter_entrepot[[#This Row],[Num OF]],#REF!,#REF!,"Non Trouvé")</f>
        <v>#REF!</v>
      </c>
      <c r="N672" s="11" t="e">
        <f>_xlfn.XLOOKUP(Mvt_Inter_entrepot[[#This Row],[Num OF]],#REF!,#REF!,"Non Trouvé")</f>
        <v>#REF!</v>
      </c>
      <c r="O672" s="11" t="e">
        <f>_xlfn.XLOOKUP(Mvt_Inter_entrepot[[#This Row],[Num OF]],#REF!,#REF!,"Non Trouvé")</f>
        <v>#REF!</v>
      </c>
      <c r="P672" s="11" t="e">
        <f>_xlfn.XLOOKUP(Mvt_Inter_entrepot[[#This Row],[Num OF]],#REF!,#REF!,"Non Trouvé")</f>
        <v>#REF!</v>
      </c>
      <c r="Q672" s="11" t="str">
        <f>IF(
   COUNTIFS($A$2:A672,A672,
             $B$2:B672,B672,
             $C$2:C672,C672,
             $D$2:D672,D672,
             $E$2:E672,E672,
             $H$2:H672,H672
             )&gt;1,
   "Doublon",
   "Correcte"
)</f>
        <v>Correcte</v>
      </c>
    </row>
    <row r="673" spans="1:17" x14ac:dyDescent="0.25">
      <c r="A673" s="11" t="s">
        <v>3461</v>
      </c>
      <c r="B673" s="11" t="s">
        <v>1153</v>
      </c>
      <c r="C673" s="11" t="s">
        <v>665</v>
      </c>
      <c r="D673" s="11" t="s">
        <v>1154</v>
      </c>
      <c r="E673" s="11">
        <v>5</v>
      </c>
      <c r="F673" s="11" t="s">
        <v>699</v>
      </c>
      <c r="G673" s="11" t="s">
        <v>634</v>
      </c>
      <c r="H673" s="14">
        <v>45936.428067129629</v>
      </c>
      <c r="I673" s="12">
        <f>-Mvt_Inter_entrepot[[#This Row],[QTE]]</f>
        <v>-5</v>
      </c>
      <c r="J673" s="11" t="s">
        <v>838</v>
      </c>
      <c r="K673" s="11" t="str">
        <f>_xlfn.TEXTBEFORE(Mvt_Inter_entrepot[[#This Row],[Num Suivis]],"-",,,1)</f>
        <v>CA250012</v>
      </c>
      <c r="L673" s="11" t="e">
        <f>_xlfn.XLOOKUP(Mvt_Inter_entrepot[[#This Row],[Num OF]],#REF!,#REF!,"Non Trouvé")</f>
        <v>#REF!</v>
      </c>
      <c r="M673" s="11" t="e">
        <f>_xlfn.XLOOKUP(Mvt_Inter_entrepot[[#This Row],[Num OF]],#REF!,#REF!,"Non Trouvé")</f>
        <v>#REF!</v>
      </c>
      <c r="N673" s="11" t="e">
        <f>_xlfn.XLOOKUP(Mvt_Inter_entrepot[[#This Row],[Num OF]],#REF!,#REF!,"Non Trouvé")</f>
        <v>#REF!</v>
      </c>
      <c r="O673" s="11" t="e">
        <f>_xlfn.XLOOKUP(Mvt_Inter_entrepot[[#This Row],[Num OF]],#REF!,#REF!,"Non Trouvé")</f>
        <v>#REF!</v>
      </c>
      <c r="P673" s="11" t="e">
        <f>_xlfn.XLOOKUP(Mvt_Inter_entrepot[[#This Row],[Num OF]],#REF!,#REF!,"Non Trouvé")</f>
        <v>#REF!</v>
      </c>
      <c r="Q673" s="11" t="str">
        <f>IF(
   COUNTIFS($A$2:A673,A673,
             $B$2:B673,B673,
             $C$2:C673,C673,
             $D$2:D673,D673,
             $E$2:E673,E673,
             $H$2:H673,H673
             )&gt;1,
   "Doublon",
   "Correcte"
)</f>
        <v>Correcte</v>
      </c>
    </row>
    <row r="674" spans="1:17" x14ac:dyDescent="0.25">
      <c r="A674" s="11" t="s">
        <v>3462</v>
      </c>
      <c r="B674" s="11" t="s">
        <v>1153</v>
      </c>
      <c r="C674" s="11" t="s">
        <v>665</v>
      </c>
      <c r="D674" s="11" t="s">
        <v>1154</v>
      </c>
      <c r="E674" s="11">
        <v>5</v>
      </c>
      <c r="F674" s="11" t="s">
        <v>699</v>
      </c>
      <c r="G674" s="11" t="s">
        <v>634</v>
      </c>
      <c r="H674" s="14">
        <v>45936.42832175926</v>
      </c>
      <c r="I674" s="12">
        <f>-Mvt_Inter_entrepot[[#This Row],[QTE]]</f>
        <v>-5</v>
      </c>
      <c r="J674" s="11" t="s">
        <v>843</v>
      </c>
      <c r="K674" s="11" t="str">
        <f>_xlfn.TEXTBEFORE(Mvt_Inter_entrepot[[#This Row],[Num Suivis]],"-",,,1)</f>
        <v>CA250012</v>
      </c>
      <c r="L674" s="11" t="e">
        <f>_xlfn.XLOOKUP(Mvt_Inter_entrepot[[#This Row],[Num OF]],#REF!,#REF!,"Non Trouvé")</f>
        <v>#REF!</v>
      </c>
      <c r="M674" s="11" t="e">
        <f>_xlfn.XLOOKUP(Mvt_Inter_entrepot[[#This Row],[Num OF]],#REF!,#REF!,"Non Trouvé")</f>
        <v>#REF!</v>
      </c>
      <c r="N674" s="11" t="e">
        <f>_xlfn.XLOOKUP(Mvt_Inter_entrepot[[#This Row],[Num OF]],#REF!,#REF!,"Non Trouvé")</f>
        <v>#REF!</v>
      </c>
      <c r="O674" s="11" t="e">
        <f>_xlfn.XLOOKUP(Mvt_Inter_entrepot[[#This Row],[Num OF]],#REF!,#REF!,"Non Trouvé")</f>
        <v>#REF!</v>
      </c>
      <c r="P674" s="11" t="e">
        <f>_xlfn.XLOOKUP(Mvt_Inter_entrepot[[#This Row],[Num OF]],#REF!,#REF!,"Non Trouvé")</f>
        <v>#REF!</v>
      </c>
      <c r="Q674" s="11" t="str">
        <f>IF(
   COUNTIFS($A$2:A674,A674,
             $B$2:B674,B674,
             $C$2:C674,C674,
             $D$2:D674,D674,
             $E$2:E674,E674,
             $H$2:H674,H674
             )&gt;1,
   "Doublon",
   "Correcte"
)</f>
        <v>Correcte</v>
      </c>
    </row>
    <row r="675" spans="1:17" x14ac:dyDescent="0.25">
      <c r="A675" s="11" t="s">
        <v>3463</v>
      </c>
      <c r="B675" s="11" t="s">
        <v>1153</v>
      </c>
      <c r="C675" s="11" t="s">
        <v>665</v>
      </c>
      <c r="D675" s="11" t="s">
        <v>1154</v>
      </c>
      <c r="E675" s="11">
        <v>1</v>
      </c>
      <c r="F675" s="11" t="s">
        <v>699</v>
      </c>
      <c r="G675" s="11" t="s">
        <v>634</v>
      </c>
      <c r="H675" s="14">
        <v>45936.428611111114</v>
      </c>
      <c r="I675" s="12">
        <f>-Mvt_Inter_entrepot[[#This Row],[QTE]]</f>
        <v>-1</v>
      </c>
      <c r="J675" s="11" t="s">
        <v>759</v>
      </c>
      <c r="K675" s="11" t="str">
        <f>_xlfn.TEXTBEFORE(Mvt_Inter_entrepot[[#This Row],[Num Suivis]],"-",,,1)</f>
        <v>CA250002</v>
      </c>
      <c r="L675" s="11" t="e">
        <f>_xlfn.XLOOKUP(Mvt_Inter_entrepot[[#This Row],[Num OF]],#REF!,#REF!,"Non Trouvé")</f>
        <v>#REF!</v>
      </c>
      <c r="M675" s="11" t="e">
        <f>_xlfn.XLOOKUP(Mvt_Inter_entrepot[[#This Row],[Num OF]],#REF!,#REF!,"Non Trouvé")</f>
        <v>#REF!</v>
      </c>
      <c r="N675" s="11" t="e">
        <f>_xlfn.XLOOKUP(Mvt_Inter_entrepot[[#This Row],[Num OF]],#REF!,#REF!,"Non Trouvé")</f>
        <v>#REF!</v>
      </c>
      <c r="O675" s="11" t="e">
        <f>_xlfn.XLOOKUP(Mvt_Inter_entrepot[[#This Row],[Num OF]],#REF!,#REF!,"Non Trouvé")</f>
        <v>#REF!</v>
      </c>
      <c r="P675" s="11" t="e">
        <f>_xlfn.XLOOKUP(Mvt_Inter_entrepot[[#This Row],[Num OF]],#REF!,#REF!,"Non Trouvé")</f>
        <v>#REF!</v>
      </c>
      <c r="Q675" s="11" t="str">
        <f>IF(
   COUNTIFS($A$2:A675,A675,
             $B$2:B675,B675,
             $C$2:C675,C675,
             $D$2:D675,D675,
             $E$2:E675,E675,
             $H$2:H675,H675
             )&gt;1,
   "Doublon",
   "Correcte"
)</f>
        <v>Correcte</v>
      </c>
    </row>
    <row r="676" spans="1:17" x14ac:dyDescent="0.25">
      <c r="A676" s="11" t="s">
        <v>3464</v>
      </c>
      <c r="B676" s="11" t="s">
        <v>1153</v>
      </c>
      <c r="C676" s="11" t="s">
        <v>665</v>
      </c>
      <c r="D676" s="11" t="s">
        <v>1154</v>
      </c>
      <c r="E676" s="11">
        <v>5</v>
      </c>
      <c r="F676" s="11" t="s">
        <v>699</v>
      </c>
      <c r="G676" s="11" t="s">
        <v>634</v>
      </c>
      <c r="H676" s="14">
        <v>45936.428831018522</v>
      </c>
      <c r="I676" s="12">
        <f>-Mvt_Inter_entrepot[[#This Row],[QTE]]</f>
        <v>-5</v>
      </c>
      <c r="J676" s="11" t="s">
        <v>875</v>
      </c>
      <c r="K676" s="11" t="str">
        <f>_xlfn.TEXTBEFORE(Mvt_Inter_entrepot[[#This Row],[Num Suivis]],"-",,,1)</f>
        <v>CA250014</v>
      </c>
      <c r="L676" s="11" t="e">
        <f>_xlfn.XLOOKUP(Mvt_Inter_entrepot[[#This Row],[Num OF]],#REF!,#REF!,"Non Trouvé")</f>
        <v>#REF!</v>
      </c>
      <c r="M676" s="11" t="e">
        <f>_xlfn.XLOOKUP(Mvt_Inter_entrepot[[#This Row],[Num OF]],#REF!,#REF!,"Non Trouvé")</f>
        <v>#REF!</v>
      </c>
      <c r="N676" s="11" t="e">
        <f>_xlfn.XLOOKUP(Mvt_Inter_entrepot[[#This Row],[Num OF]],#REF!,#REF!,"Non Trouvé")</f>
        <v>#REF!</v>
      </c>
      <c r="O676" s="11" t="e">
        <f>_xlfn.XLOOKUP(Mvt_Inter_entrepot[[#This Row],[Num OF]],#REF!,#REF!,"Non Trouvé")</f>
        <v>#REF!</v>
      </c>
      <c r="P676" s="11" t="e">
        <f>_xlfn.XLOOKUP(Mvt_Inter_entrepot[[#This Row],[Num OF]],#REF!,#REF!,"Non Trouvé")</f>
        <v>#REF!</v>
      </c>
      <c r="Q676" s="11" t="str">
        <f>IF(
   COUNTIFS($A$2:A676,A676,
             $B$2:B676,B676,
             $C$2:C676,C676,
             $D$2:D676,D676,
             $E$2:E676,E676,
             $H$2:H676,H676
             )&gt;1,
   "Doublon",
   "Correcte"
)</f>
        <v>Correcte</v>
      </c>
    </row>
    <row r="677" spans="1:17" x14ac:dyDescent="0.25">
      <c r="A677" s="11" t="s">
        <v>3465</v>
      </c>
      <c r="B677" s="11" t="s">
        <v>1153</v>
      </c>
      <c r="C677" s="11" t="s">
        <v>665</v>
      </c>
      <c r="D677" s="11" t="s">
        <v>1154</v>
      </c>
      <c r="E677" s="11">
        <v>5</v>
      </c>
      <c r="F677" s="11" t="s">
        <v>699</v>
      </c>
      <c r="G677" s="11" t="s">
        <v>634</v>
      </c>
      <c r="H677" s="14">
        <v>45936.429050925923</v>
      </c>
      <c r="I677" s="12">
        <f>-Mvt_Inter_entrepot[[#This Row],[QTE]]</f>
        <v>-5</v>
      </c>
      <c r="J677" s="11" t="s">
        <v>770</v>
      </c>
      <c r="K677" s="11" t="str">
        <f>_xlfn.TEXTBEFORE(Mvt_Inter_entrepot[[#This Row],[Num Suivis]],"-",,,1)</f>
        <v>CA250004</v>
      </c>
      <c r="L677" s="11" t="e">
        <f>_xlfn.XLOOKUP(Mvt_Inter_entrepot[[#This Row],[Num OF]],#REF!,#REF!,"Non Trouvé")</f>
        <v>#REF!</v>
      </c>
      <c r="M677" s="11" t="e">
        <f>_xlfn.XLOOKUP(Mvt_Inter_entrepot[[#This Row],[Num OF]],#REF!,#REF!,"Non Trouvé")</f>
        <v>#REF!</v>
      </c>
      <c r="N677" s="11" t="e">
        <f>_xlfn.XLOOKUP(Mvt_Inter_entrepot[[#This Row],[Num OF]],#REF!,#REF!,"Non Trouvé")</f>
        <v>#REF!</v>
      </c>
      <c r="O677" s="11" t="e">
        <f>_xlfn.XLOOKUP(Mvt_Inter_entrepot[[#This Row],[Num OF]],#REF!,#REF!,"Non Trouvé")</f>
        <v>#REF!</v>
      </c>
      <c r="P677" s="11" t="e">
        <f>_xlfn.XLOOKUP(Mvt_Inter_entrepot[[#This Row],[Num OF]],#REF!,#REF!,"Non Trouvé")</f>
        <v>#REF!</v>
      </c>
      <c r="Q677" s="11" t="str">
        <f>IF(
   COUNTIFS($A$2:A677,A677,
             $B$2:B677,B677,
             $C$2:C677,C677,
             $D$2:D677,D677,
             $E$2:E677,E677,
             $H$2:H677,H677
             )&gt;1,
   "Doublon",
   "Correcte"
)</f>
        <v>Correcte</v>
      </c>
    </row>
    <row r="678" spans="1:17" x14ac:dyDescent="0.25">
      <c r="A678" s="11" t="s">
        <v>3466</v>
      </c>
      <c r="B678" s="11" t="s">
        <v>1153</v>
      </c>
      <c r="C678" s="11" t="s">
        <v>665</v>
      </c>
      <c r="D678" s="11" t="s">
        <v>1154</v>
      </c>
      <c r="E678" s="11">
        <v>5</v>
      </c>
      <c r="F678" s="11" t="s">
        <v>699</v>
      </c>
      <c r="G678" s="11" t="s">
        <v>634</v>
      </c>
      <c r="H678" s="14">
        <v>45936.429259259261</v>
      </c>
      <c r="I678" s="12">
        <f>-Mvt_Inter_entrepot[[#This Row],[QTE]]</f>
        <v>-5</v>
      </c>
      <c r="J678" s="11" t="s">
        <v>819</v>
      </c>
      <c r="K678" s="11" t="str">
        <f>_xlfn.TEXTBEFORE(Mvt_Inter_entrepot[[#This Row],[Num Suivis]],"-",,,1)</f>
        <v>CA250009</v>
      </c>
      <c r="L678" s="11" t="e">
        <f>_xlfn.XLOOKUP(Mvt_Inter_entrepot[[#This Row],[Num OF]],#REF!,#REF!,"Non Trouvé")</f>
        <v>#REF!</v>
      </c>
      <c r="M678" s="11" t="e">
        <f>_xlfn.XLOOKUP(Mvt_Inter_entrepot[[#This Row],[Num OF]],#REF!,#REF!,"Non Trouvé")</f>
        <v>#REF!</v>
      </c>
      <c r="N678" s="11" t="e">
        <f>_xlfn.XLOOKUP(Mvt_Inter_entrepot[[#This Row],[Num OF]],#REF!,#REF!,"Non Trouvé")</f>
        <v>#REF!</v>
      </c>
      <c r="O678" s="11" t="e">
        <f>_xlfn.XLOOKUP(Mvt_Inter_entrepot[[#This Row],[Num OF]],#REF!,#REF!,"Non Trouvé")</f>
        <v>#REF!</v>
      </c>
      <c r="P678" s="11" t="e">
        <f>_xlfn.XLOOKUP(Mvt_Inter_entrepot[[#This Row],[Num OF]],#REF!,#REF!,"Non Trouvé")</f>
        <v>#REF!</v>
      </c>
      <c r="Q678" s="11" t="str">
        <f>IF(
   COUNTIFS($A$2:A678,A678,
             $B$2:B678,B678,
             $C$2:C678,C678,
             $D$2:D678,D678,
             $E$2:E678,E678,
             $H$2:H678,H678
             )&gt;1,
   "Doublon",
   "Correcte"
)</f>
        <v>Correcte</v>
      </c>
    </row>
    <row r="679" spans="1:17" x14ac:dyDescent="0.25">
      <c r="A679" s="11" t="s">
        <v>3467</v>
      </c>
      <c r="B679" s="11" t="s">
        <v>1153</v>
      </c>
      <c r="C679" s="11" t="s">
        <v>665</v>
      </c>
      <c r="D679" s="11" t="s">
        <v>1154</v>
      </c>
      <c r="E679" s="11">
        <v>5</v>
      </c>
      <c r="F679" s="11" t="s">
        <v>699</v>
      </c>
      <c r="G679" s="11" t="s">
        <v>634</v>
      </c>
      <c r="H679" s="14">
        <v>45936.429490740738</v>
      </c>
      <c r="I679" s="12">
        <f>-Mvt_Inter_entrepot[[#This Row],[QTE]]</f>
        <v>-5</v>
      </c>
      <c r="J679" s="11" t="s">
        <v>820</v>
      </c>
      <c r="K679" s="11" t="str">
        <f>_xlfn.TEXTBEFORE(Mvt_Inter_entrepot[[#This Row],[Num Suivis]],"-",,,1)</f>
        <v>CA250009</v>
      </c>
      <c r="L679" s="11" t="e">
        <f>_xlfn.XLOOKUP(Mvt_Inter_entrepot[[#This Row],[Num OF]],#REF!,#REF!,"Non Trouvé")</f>
        <v>#REF!</v>
      </c>
      <c r="M679" s="11" t="e">
        <f>_xlfn.XLOOKUP(Mvt_Inter_entrepot[[#This Row],[Num OF]],#REF!,#REF!,"Non Trouvé")</f>
        <v>#REF!</v>
      </c>
      <c r="N679" s="11" t="e">
        <f>_xlfn.XLOOKUP(Mvt_Inter_entrepot[[#This Row],[Num OF]],#REF!,#REF!,"Non Trouvé")</f>
        <v>#REF!</v>
      </c>
      <c r="O679" s="11" t="e">
        <f>_xlfn.XLOOKUP(Mvt_Inter_entrepot[[#This Row],[Num OF]],#REF!,#REF!,"Non Trouvé")</f>
        <v>#REF!</v>
      </c>
      <c r="P679" s="11" t="e">
        <f>_xlfn.XLOOKUP(Mvt_Inter_entrepot[[#This Row],[Num OF]],#REF!,#REF!,"Non Trouvé")</f>
        <v>#REF!</v>
      </c>
      <c r="Q679" s="11" t="str">
        <f>IF(
   COUNTIFS($A$2:A679,A679,
             $B$2:B679,B679,
             $C$2:C679,C679,
             $D$2:D679,D679,
             $E$2:E679,E679,
             $H$2:H679,H679
             )&gt;1,
   "Doublon",
   "Correcte"
)</f>
        <v>Correcte</v>
      </c>
    </row>
    <row r="680" spans="1:17" x14ac:dyDescent="0.25">
      <c r="A680" s="11" t="s">
        <v>3468</v>
      </c>
      <c r="B680" s="11" t="s">
        <v>1153</v>
      </c>
      <c r="C680" s="11" t="s">
        <v>665</v>
      </c>
      <c r="D680" s="11" t="s">
        <v>1154</v>
      </c>
      <c r="E680" s="11">
        <v>5</v>
      </c>
      <c r="F680" s="11" t="s">
        <v>699</v>
      </c>
      <c r="G680" s="11" t="s">
        <v>634</v>
      </c>
      <c r="H680" s="14">
        <v>45936.429768518516</v>
      </c>
      <c r="I680" s="12">
        <f>-Mvt_Inter_entrepot[[#This Row],[QTE]]</f>
        <v>-5</v>
      </c>
      <c r="J680" s="11" t="s">
        <v>816</v>
      </c>
      <c r="K680" s="11" t="str">
        <f>_xlfn.TEXTBEFORE(Mvt_Inter_entrepot[[#This Row],[Num Suivis]],"-",,,1)</f>
        <v>CA250009</v>
      </c>
      <c r="L680" s="11" t="e">
        <f>_xlfn.XLOOKUP(Mvt_Inter_entrepot[[#This Row],[Num OF]],#REF!,#REF!,"Non Trouvé")</f>
        <v>#REF!</v>
      </c>
      <c r="M680" s="11" t="e">
        <f>_xlfn.XLOOKUP(Mvt_Inter_entrepot[[#This Row],[Num OF]],#REF!,#REF!,"Non Trouvé")</f>
        <v>#REF!</v>
      </c>
      <c r="N680" s="11" t="e">
        <f>_xlfn.XLOOKUP(Mvt_Inter_entrepot[[#This Row],[Num OF]],#REF!,#REF!,"Non Trouvé")</f>
        <v>#REF!</v>
      </c>
      <c r="O680" s="11" t="e">
        <f>_xlfn.XLOOKUP(Mvt_Inter_entrepot[[#This Row],[Num OF]],#REF!,#REF!,"Non Trouvé")</f>
        <v>#REF!</v>
      </c>
      <c r="P680" s="11" t="e">
        <f>_xlfn.XLOOKUP(Mvt_Inter_entrepot[[#This Row],[Num OF]],#REF!,#REF!,"Non Trouvé")</f>
        <v>#REF!</v>
      </c>
      <c r="Q680" s="11" t="str">
        <f>IF(
   COUNTIFS($A$2:A680,A680,
             $B$2:B680,B680,
             $C$2:C680,C680,
             $D$2:D680,D680,
             $E$2:E680,E680,
             $H$2:H680,H680
             )&gt;1,
   "Doublon",
   "Correcte"
)</f>
        <v>Correcte</v>
      </c>
    </row>
    <row r="681" spans="1:17" x14ac:dyDescent="0.25">
      <c r="A681" s="11" t="s">
        <v>3469</v>
      </c>
      <c r="B681" s="11" t="s">
        <v>1153</v>
      </c>
      <c r="C681" s="11" t="s">
        <v>665</v>
      </c>
      <c r="D681" s="11" t="s">
        <v>1154</v>
      </c>
      <c r="E681" s="11">
        <v>5</v>
      </c>
      <c r="F681" s="11" t="s">
        <v>699</v>
      </c>
      <c r="G681" s="11" t="s">
        <v>634</v>
      </c>
      <c r="H681" s="14">
        <v>45936.429988425924</v>
      </c>
      <c r="I681" s="12">
        <f>-Mvt_Inter_entrepot[[#This Row],[QTE]]</f>
        <v>-5</v>
      </c>
      <c r="J681" s="11" t="s">
        <v>815</v>
      </c>
      <c r="K681" s="11" t="str">
        <f>_xlfn.TEXTBEFORE(Mvt_Inter_entrepot[[#This Row],[Num Suivis]],"-",,,1)</f>
        <v>CA250009</v>
      </c>
      <c r="L681" s="11" t="e">
        <f>_xlfn.XLOOKUP(Mvt_Inter_entrepot[[#This Row],[Num OF]],#REF!,#REF!,"Non Trouvé")</f>
        <v>#REF!</v>
      </c>
      <c r="M681" s="11" t="e">
        <f>_xlfn.XLOOKUP(Mvt_Inter_entrepot[[#This Row],[Num OF]],#REF!,#REF!,"Non Trouvé")</f>
        <v>#REF!</v>
      </c>
      <c r="N681" s="11" t="e">
        <f>_xlfn.XLOOKUP(Mvt_Inter_entrepot[[#This Row],[Num OF]],#REF!,#REF!,"Non Trouvé")</f>
        <v>#REF!</v>
      </c>
      <c r="O681" s="11" t="e">
        <f>_xlfn.XLOOKUP(Mvt_Inter_entrepot[[#This Row],[Num OF]],#REF!,#REF!,"Non Trouvé")</f>
        <v>#REF!</v>
      </c>
      <c r="P681" s="11" t="e">
        <f>_xlfn.XLOOKUP(Mvt_Inter_entrepot[[#This Row],[Num OF]],#REF!,#REF!,"Non Trouvé")</f>
        <v>#REF!</v>
      </c>
      <c r="Q681" s="11" t="str">
        <f>IF(
   COUNTIFS($A$2:A681,A681,
             $B$2:B681,B681,
             $C$2:C681,C681,
             $D$2:D681,D681,
             $E$2:E681,E681,
             $H$2:H681,H681
             )&gt;1,
   "Doublon",
   "Correcte"
)</f>
        <v>Correcte</v>
      </c>
    </row>
    <row r="682" spans="1:17" x14ac:dyDescent="0.25">
      <c r="A682" s="11" t="s">
        <v>3470</v>
      </c>
      <c r="B682" s="11" t="s">
        <v>1153</v>
      </c>
      <c r="C682" s="11" t="s">
        <v>665</v>
      </c>
      <c r="D682" s="11" t="s">
        <v>1154</v>
      </c>
      <c r="E682" s="11">
        <v>5</v>
      </c>
      <c r="F682" s="11" t="s">
        <v>699</v>
      </c>
      <c r="G682" s="11" t="s">
        <v>634</v>
      </c>
      <c r="H682" s="14">
        <v>45936.430196759262</v>
      </c>
      <c r="I682" s="12">
        <f>-Mvt_Inter_entrepot[[#This Row],[QTE]]</f>
        <v>-5</v>
      </c>
      <c r="J682" s="11" t="s">
        <v>814</v>
      </c>
      <c r="K682" s="11" t="str">
        <f>_xlfn.TEXTBEFORE(Mvt_Inter_entrepot[[#This Row],[Num Suivis]],"-",,,1)</f>
        <v>CA250009</v>
      </c>
      <c r="L682" s="11" t="e">
        <f>_xlfn.XLOOKUP(Mvt_Inter_entrepot[[#This Row],[Num OF]],#REF!,#REF!,"Non Trouvé")</f>
        <v>#REF!</v>
      </c>
      <c r="M682" s="11" t="e">
        <f>_xlfn.XLOOKUP(Mvt_Inter_entrepot[[#This Row],[Num OF]],#REF!,#REF!,"Non Trouvé")</f>
        <v>#REF!</v>
      </c>
      <c r="N682" s="11" t="e">
        <f>_xlfn.XLOOKUP(Mvt_Inter_entrepot[[#This Row],[Num OF]],#REF!,#REF!,"Non Trouvé")</f>
        <v>#REF!</v>
      </c>
      <c r="O682" s="11" t="e">
        <f>_xlfn.XLOOKUP(Mvt_Inter_entrepot[[#This Row],[Num OF]],#REF!,#REF!,"Non Trouvé")</f>
        <v>#REF!</v>
      </c>
      <c r="P682" s="11" t="e">
        <f>_xlfn.XLOOKUP(Mvt_Inter_entrepot[[#This Row],[Num OF]],#REF!,#REF!,"Non Trouvé")</f>
        <v>#REF!</v>
      </c>
      <c r="Q682" s="11" t="str">
        <f>IF(
   COUNTIFS($A$2:A682,A682,
             $B$2:B682,B682,
             $C$2:C682,C682,
             $D$2:D682,D682,
             $E$2:E682,E682,
             $H$2:H682,H682
             )&gt;1,
   "Doublon",
   "Correcte"
)</f>
        <v>Correcte</v>
      </c>
    </row>
    <row r="683" spans="1:17" x14ac:dyDescent="0.25">
      <c r="A683" s="11" t="s">
        <v>3471</v>
      </c>
      <c r="B683" s="11" t="s">
        <v>1153</v>
      </c>
      <c r="C683" s="11" t="s">
        <v>665</v>
      </c>
      <c r="D683" s="11" t="s">
        <v>1154</v>
      </c>
      <c r="E683" s="11">
        <v>5</v>
      </c>
      <c r="F683" s="11" t="s">
        <v>699</v>
      </c>
      <c r="G683" s="11" t="s">
        <v>634</v>
      </c>
      <c r="H683" s="14">
        <v>45936.430509259262</v>
      </c>
      <c r="I683" s="12">
        <f>-Mvt_Inter_entrepot[[#This Row],[QTE]]</f>
        <v>-5</v>
      </c>
      <c r="J683" s="11" t="s">
        <v>879</v>
      </c>
      <c r="K683" s="11" t="str">
        <f>_xlfn.TEXTBEFORE(Mvt_Inter_entrepot[[#This Row],[Num Suivis]],"-",,,1)</f>
        <v>CA250014</v>
      </c>
      <c r="L683" s="11" t="e">
        <f>_xlfn.XLOOKUP(Mvt_Inter_entrepot[[#This Row],[Num OF]],#REF!,#REF!,"Non Trouvé")</f>
        <v>#REF!</v>
      </c>
      <c r="M683" s="11" t="e">
        <f>_xlfn.XLOOKUP(Mvt_Inter_entrepot[[#This Row],[Num OF]],#REF!,#REF!,"Non Trouvé")</f>
        <v>#REF!</v>
      </c>
      <c r="N683" s="11" t="e">
        <f>_xlfn.XLOOKUP(Mvt_Inter_entrepot[[#This Row],[Num OF]],#REF!,#REF!,"Non Trouvé")</f>
        <v>#REF!</v>
      </c>
      <c r="O683" s="11" t="e">
        <f>_xlfn.XLOOKUP(Mvt_Inter_entrepot[[#This Row],[Num OF]],#REF!,#REF!,"Non Trouvé")</f>
        <v>#REF!</v>
      </c>
      <c r="P683" s="11" t="e">
        <f>_xlfn.XLOOKUP(Mvt_Inter_entrepot[[#This Row],[Num OF]],#REF!,#REF!,"Non Trouvé")</f>
        <v>#REF!</v>
      </c>
      <c r="Q683" s="11" t="str">
        <f>IF(
   COUNTIFS($A$2:A683,A683,
             $B$2:B683,B683,
             $C$2:C683,C683,
             $D$2:D683,D683,
             $E$2:E683,E683,
             $H$2:H683,H683
             )&gt;1,
   "Doublon",
   "Correcte"
)</f>
        <v>Correcte</v>
      </c>
    </row>
    <row r="684" spans="1:17" x14ac:dyDescent="0.25">
      <c r="A684" s="11" t="s">
        <v>3472</v>
      </c>
      <c r="B684" s="11" t="s">
        <v>1153</v>
      </c>
      <c r="C684" s="11" t="s">
        <v>665</v>
      </c>
      <c r="D684" s="11" t="s">
        <v>1154</v>
      </c>
      <c r="E684" s="11">
        <v>5</v>
      </c>
      <c r="F684" s="11" t="s">
        <v>699</v>
      </c>
      <c r="G684" s="11" t="s">
        <v>634</v>
      </c>
      <c r="H684" s="14">
        <v>45936.430868055555</v>
      </c>
      <c r="I684" s="12">
        <f>-Mvt_Inter_entrepot[[#This Row],[QTE]]</f>
        <v>-5</v>
      </c>
      <c r="J684" s="11" t="s">
        <v>821</v>
      </c>
      <c r="K684" s="11" t="str">
        <f>_xlfn.TEXTBEFORE(Mvt_Inter_entrepot[[#This Row],[Num Suivis]],"-",,,1)</f>
        <v>CA250009</v>
      </c>
      <c r="L684" s="11" t="e">
        <f>_xlfn.XLOOKUP(Mvt_Inter_entrepot[[#This Row],[Num OF]],#REF!,#REF!,"Non Trouvé")</f>
        <v>#REF!</v>
      </c>
      <c r="M684" s="11" t="e">
        <f>_xlfn.XLOOKUP(Mvt_Inter_entrepot[[#This Row],[Num OF]],#REF!,#REF!,"Non Trouvé")</f>
        <v>#REF!</v>
      </c>
      <c r="N684" s="11" t="e">
        <f>_xlfn.XLOOKUP(Mvt_Inter_entrepot[[#This Row],[Num OF]],#REF!,#REF!,"Non Trouvé")</f>
        <v>#REF!</v>
      </c>
      <c r="O684" s="11" t="e">
        <f>_xlfn.XLOOKUP(Mvt_Inter_entrepot[[#This Row],[Num OF]],#REF!,#REF!,"Non Trouvé")</f>
        <v>#REF!</v>
      </c>
      <c r="P684" s="11" t="e">
        <f>_xlfn.XLOOKUP(Mvt_Inter_entrepot[[#This Row],[Num OF]],#REF!,#REF!,"Non Trouvé")</f>
        <v>#REF!</v>
      </c>
      <c r="Q684" s="11" t="str">
        <f>IF(
   COUNTIFS($A$2:A684,A684,
             $B$2:B684,B684,
             $C$2:C684,C684,
             $D$2:D684,D684,
             $E$2:E684,E684,
             $H$2:H684,H684
             )&gt;1,
   "Doublon",
   "Correcte"
)</f>
        <v>Correcte</v>
      </c>
    </row>
    <row r="685" spans="1:17" x14ac:dyDescent="0.25">
      <c r="A685" s="11" t="s">
        <v>3473</v>
      </c>
      <c r="B685" s="11" t="s">
        <v>1153</v>
      </c>
      <c r="C685" s="11" t="s">
        <v>665</v>
      </c>
      <c r="D685" s="11" t="s">
        <v>1154</v>
      </c>
      <c r="E685" s="11">
        <v>3</v>
      </c>
      <c r="F685" s="11" t="s">
        <v>699</v>
      </c>
      <c r="G685" s="11" t="s">
        <v>634</v>
      </c>
      <c r="H685" s="14">
        <v>45936.431215277778</v>
      </c>
      <c r="I685" s="12">
        <f>-Mvt_Inter_entrepot[[#This Row],[QTE]]</f>
        <v>-3</v>
      </c>
      <c r="J685" s="11" t="s">
        <v>817</v>
      </c>
      <c r="K685" s="11" t="str">
        <f>_xlfn.TEXTBEFORE(Mvt_Inter_entrepot[[#This Row],[Num Suivis]],"-",,,1)</f>
        <v>CA250009</v>
      </c>
      <c r="L685" s="11" t="e">
        <f>_xlfn.XLOOKUP(Mvt_Inter_entrepot[[#This Row],[Num OF]],#REF!,#REF!,"Non Trouvé")</f>
        <v>#REF!</v>
      </c>
      <c r="M685" s="11" t="e">
        <f>_xlfn.XLOOKUP(Mvt_Inter_entrepot[[#This Row],[Num OF]],#REF!,#REF!,"Non Trouvé")</f>
        <v>#REF!</v>
      </c>
      <c r="N685" s="11" t="e">
        <f>_xlfn.XLOOKUP(Mvt_Inter_entrepot[[#This Row],[Num OF]],#REF!,#REF!,"Non Trouvé")</f>
        <v>#REF!</v>
      </c>
      <c r="O685" s="11" t="e">
        <f>_xlfn.XLOOKUP(Mvt_Inter_entrepot[[#This Row],[Num OF]],#REF!,#REF!,"Non Trouvé")</f>
        <v>#REF!</v>
      </c>
      <c r="P685" s="11" t="e">
        <f>_xlfn.XLOOKUP(Mvt_Inter_entrepot[[#This Row],[Num OF]],#REF!,#REF!,"Non Trouvé")</f>
        <v>#REF!</v>
      </c>
      <c r="Q685" s="11" t="str">
        <f>IF(
   COUNTIFS($A$2:A685,A685,
             $B$2:B685,B685,
             $C$2:C685,C685,
             $D$2:D685,D685,
             $E$2:E685,E685,
             $H$2:H685,H685
             )&gt;1,
   "Doublon",
   "Correcte"
)</f>
        <v>Correcte</v>
      </c>
    </row>
    <row r="686" spans="1:17" x14ac:dyDescent="0.25">
      <c r="A686" s="11" t="s">
        <v>3474</v>
      </c>
      <c r="B686" s="11" t="s">
        <v>1153</v>
      </c>
      <c r="C686" s="11" t="s">
        <v>665</v>
      </c>
      <c r="D686" s="11" t="s">
        <v>1154</v>
      </c>
      <c r="E686" s="11">
        <v>1</v>
      </c>
      <c r="F686" s="11" t="s">
        <v>699</v>
      </c>
      <c r="G686" s="11" t="s">
        <v>634</v>
      </c>
      <c r="H686" s="14">
        <v>45936.431435185186</v>
      </c>
      <c r="I686" s="12">
        <f>-Mvt_Inter_entrepot[[#This Row],[QTE]]</f>
        <v>-1</v>
      </c>
      <c r="J686" s="11" t="s">
        <v>777</v>
      </c>
      <c r="K686" s="11" t="str">
        <f>_xlfn.TEXTBEFORE(Mvt_Inter_entrepot[[#This Row],[Num Suivis]],"-",,,1)</f>
        <v>CA250005</v>
      </c>
      <c r="L686" s="11" t="e">
        <f>_xlfn.XLOOKUP(Mvt_Inter_entrepot[[#This Row],[Num OF]],#REF!,#REF!,"Non Trouvé")</f>
        <v>#REF!</v>
      </c>
      <c r="M686" s="11" t="e">
        <f>_xlfn.XLOOKUP(Mvt_Inter_entrepot[[#This Row],[Num OF]],#REF!,#REF!,"Non Trouvé")</f>
        <v>#REF!</v>
      </c>
      <c r="N686" s="11" t="e">
        <f>_xlfn.XLOOKUP(Mvt_Inter_entrepot[[#This Row],[Num OF]],#REF!,#REF!,"Non Trouvé")</f>
        <v>#REF!</v>
      </c>
      <c r="O686" s="11" t="e">
        <f>_xlfn.XLOOKUP(Mvt_Inter_entrepot[[#This Row],[Num OF]],#REF!,#REF!,"Non Trouvé")</f>
        <v>#REF!</v>
      </c>
      <c r="P686" s="11" t="e">
        <f>_xlfn.XLOOKUP(Mvt_Inter_entrepot[[#This Row],[Num OF]],#REF!,#REF!,"Non Trouvé")</f>
        <v>#REF!</v>
      </c>
      <c r="Q686" s="11" t="str">
        <f>IF(
   COUNTIFS($A$2:A686,A686,
             $B$2:B686,B686,
             $C$2:C686,C686,
             $D$2:D686,D686,
             $E$2:E686,E686,
             $H$2:H686,H686
             )&gt;1,
   "Doublon",
   "Correcte"
)</f>
        <v>Correcte</v>
      </c>
    </row>
    <row r="687" spans="1:17" x14ac:dyDescent="0.25">
      <c r="A687" s="11" t="s">
        <v>3475</v>
      </c>
      <c r="B687" s="11" t="s">
        <v>1153</v>
      </c>
      <c r="C687" s="11" t="s">
        <v>665</v>
      </c>
      <c r="D687" s="11" t="s">
        <v>1154</v>
      </c>
      <c r="E687" s="11">
        <v>1</v>
      </c>
      <c r="F687" s="11" t="s">
        <v>699</v>
      </c>
      <c r="G687" s="11" t="s">
        <v>634</v>
      </c>
      <c r="H687" s="14">
        <v>45936.431608796294</v>
      </c>
      <c r="I687" s="12">
        <f>-Mvt_Inter_entrepot[[#This Row],[QTE]]</f>
        <v>-1</v>
      </c>
      <c r="J687" s="11" t="s">
        <v>876</v>
      </c>
      <c r="K687" s="11" t="str">
        <f>_xlfn.TEXTBEFORE(Mvt_Inter_entrepot[[#This Row],[Num Suivis]],"-",,,1)</f>
        <v>CA250014</v>
      </c>
      <c r="L687" s="11" t="e">
        <f>_xlfn.XLOOKUP(Mvt_Inter_entrepot[[#This Row],[Num OF]],#REF!,#REF!,"Non Trouvé")</f>
        <v>#REF!</v>
      </c>
      <c r="M687" s="11" t="e">
        <f>_xlfn.XLOOKUP(Mvt_Inter_entrepot[[#This Row],[Num OF]],#REF!,#REF!,"Non Trouvé")</f>
        <v>#REF!</v>
      </c>
      <c r="N687" s="11" t="e">
        <f>_xlfn.XLOOKUP(Mvt_Inter_entrepot[[#This Row],[Num OF]],#REF!,#REF!,"Non Trouvé")</f>
        <v>#REF!</v>
      </c>
      <c r="O687" s="11" t="e">
        <f>_xlfn.XLOOKUP(Mvt_Inter_entrepot[[#This Row],[Num OF]],#REF!,#REF!,"Non Trouvé")</f>
        <v>#REF!</v>
      </c>
      <c r="P687" s="11" t="e">
        <f>_xlfn.XLOOKUP(Mvt_Inter_entrepot[[#This Row],[Num OF]],#REF!,#REF!,"Non Trouvé")</f>
        <v>#REF!</v>
      </c>
      <c r="Q687" s="11" t="str">
        <f>IF(
   COUNTIFS($A$2:A687,A687,
             $B$2:B687,B687,
             $C$2:C687,C687,
             $D$2:D687,D687,
             $E$2:E687,E687,
             $H$2:H687,H687
             )&gt;1,
   "Doublon",
   "Correcte"
)</f>
        <v>Correcte</v>
      </c>
    </row>
    <row r="688" spans="1:17" x14ac:dyDescent="0.25">
      <c r="A688" s="11" t="s">
        <v>3476</v>
      </c>
      <c r="B688" s="11" t="s">
        <v>1153</v>
      </c>
      <c r="C688" s="11" t="s">
        <v>665</v>
      </c>
      <c r="D688" s="11" t="s">
        <v>1154</v>
      </c>
      <c r="E688" s="11">
        <v>5</v>
      </c>
      <c r="F688" s="11" t="s">
        <v>699</v>
      </c>
      <c r="G688" s="11" t="s">
        <v>634</v>
      </c>
      <c r="H688" s="14">
        <v>45936.431921296295</v>
      </c>
      <c r="I688" s="12">
        <f>-Mvt_Inter_entrepot[[#This Row],[QTE]]</f>
        <v>-5</v>
      </c>
      <c r="J688" s="11" t="s">
        <v>880</v>
      </c>
      <c r="K688" s="11" t="str">
        <f>_xlfn.TEXTBEFORE(Mvt_Inter_entrepot[[#This Row],[Num Suivis]],"-",,,1)</f>
        <v>CA250014</v>
      </c>
      <c r="L688" s="11" t="e">
        <f>_xlfn.XLOOKUP(Mvt_Inter_entrepot[[#This Row],[Num OF]],#REF!,#REF!,"Non Trouvé")</f>
        <v>#REF!</v>
      </c>
      <c r="M688" s="11" t="e">
        <f>_xlfn.XLOOKUP(Mvt_Inter_entrepot[[#This Row],[Num OF]],#REF!,#REF!,"Non Trouvé")</f>
        <v>#REF!</v>
      </c>
      <c r="N688" s="11" t="e">
        <f>_xlfn.XLOOKUP(Mvt_Inter_entrepot[[#This Row],[Num OF]],#REF!,#REF!,"Non Trouvé")</f>
        <v>#REF!</v>
      </c>
      <c r="O688" s="11" t="e">
        <f>_xlfn.XLOOKUP(Mvt_Inter_entrepot[[#This Row],[Num OF]],#REF!,#REF!,"Non Trouvé")</f>
        <v>#REF!</v>
      </c>
      <c r="P688" s="11" t="e">
        <f>_xlfn.XLOOKUP(Mvt_Inter_entrepot[[#This Row],[Num OF]],#REF!,#REF!,"Non Trouvé")</f>
        <v>#REF!</v>
      </c>
      <c r="Q688" s="11" t="str">
        <f>IF(
   COUNTIFS($A$2:A688,A688,
             $B$2:B688,B688,
             $C$2:C688,C688,
             $D$2:D688,D688,
             $E$2:E688,E688,
             $H$2:H688,H688
             )&gt;1,
   "Doublon",
   "Correcte"
)</f>
        <v>Correcte</v>
      </c>
    </row>
    <row r="689" spans="1:17" x14ac:dyDescent="0.25">
      <c r="A689" s="11" t="s">
        <v>3477</v>
      </c>
      <c r="B689" s="11" t="s">
        <v>1153</v>
      </c>
      <c r="C689" s="11" t="s">
        <v>665</v>
      </c>
      <c r="D689" s="11" t="s">
        <v>1154</v>
      </c>
      <c r="E689" s="11">
        <v>2</v>
      </c>
      <c r="F689" s="11" t="s">
        <v>699</v>
      </c>
      <c r="G689" s="11" t="s">
        <v>634</v>
      </c>
      <c r="H689" s="14">
        <v>45936.432164351849</v>
      </c>
      <c r="I689" s="12">
        <f>-Mvt_Inter_entrepot[[#This Row],[QTE]]</f>
        <v>-2</v>
      </c>
      <c r="J689" s="11" t="s">
        <v>818</v>
      </c>
      <c r="K689" s="11" t="str">
        <f>_xlfn.TEXTBEFORE(Mvt_Inter_entrepot[[#This Row],[Num Suivis]],"-",,,1)</f>
        <v>CA250009</v>
      </c>
      <c r="L689" s="11" t="e">
        <f>_xlfn.XLOOKUP(Mvt_Inter_entrepot[[#This Row],[Num OF]],#REF!,#REF!,"Non Trouvé")</f>
        <v>#REF!</v>
      </c>
      <c r="M689" s="11" t="e">
        <f>_xlfn.XLOOKUP(Mvt_Inter_entrepot[[#This Row],[Num OF]],#REF!,#REF!,"Non Trouvé")</f>
        <v>#REF!</v>
      </c>
      <c r="N689" s="11" t="e">
        <f>_xlfn.XLOOKUP(Mvt_Inter_entrepot[[#This Row],[Num OF]],#REF!,#REF!,"Non Trouvé")</f>
        <v>#REF!</v>
      </c>
      <c r="O689" s="11" t="e">
        <f>_xlfn.XLOOKUP(Mvt_Inter_entrepot[[#This Row],[Num OF]],#REF!,#REF!,"Non Trouvé")</f>
        <v>#REF!</v>
      </c>
      <c r="P689" s="11" t="e">
        <f>_xlfn.XLOOKUP(Mvt_Inter_entrepot[[#This Row],[Num OF]],#REF!,#REF!,"Non Trouvé")</f>
        <v>#REF!</v>
      </c>
      <c r="Q689" s="11" t="str">
        <f>IF(
   COUNTIFS($A$2:A689,A689,
             $B$2:B689,B689,
             $C$2:C689,C689,
             $D$2:D689,D689,
             $E$2:E689,E689,
             $H$2:H689,H689
             )&gt;1,
   "Doublon",
   "Correcte"
)</f>
        <v>Correcte</v>
      </c>
    </row>
    <row r="690" spans="1:17" x14ac:dyDescent="0.25">
      <c r="A690" s="11" t="s">
        <v>3478</v>
      </c>
      <c r="B690" s="11" t="s">
        <v>1153</v>
      </c>
      <c r="C690" s="11" t="s">
        <v>665</v>
      </c>
      <c r="D690" s="11" t="s">
        <v>1154</v>
      </c>
      <c r="E690" s="11">
        <v>5</v>
      </c>
      <c r="F690" s="11" t="s">
        <v>699</v>
      </c>
      <c r="G690" s="11" t="s">
        <v>634</v>
      </c>
      <c r="H690" s="14">
        <v>45936.432500000003</v>
      </c>
      <c r="I690" s="12">
        <f>-Mvt_Inter_entrepot[[#This Row],[QTE]]</f>
        <v>-5</v>
      </c>
      <c r="J690" s="11" t="s">
        <v>768</v>
      </c>
      <c r="K690" s="11" t="str">
        <f>_xlfn.TEXTBEFORE(Mvt_Inter_entrepot[[#This Row],[Num Suivis]],"-",,,1)</f>
        <v>CA250004</v>
      </c>
      <c r="L690" s="11" t="e">
        <f>_xlfn.XLOOKUP(Mvt_Inter_entrepot[[#This Row],[Num OF]],#REF!,#REF!,"Non Trouvé")</f>
        <v>#REF!</v>
      </c>
      <c r="M690" s="11" t="e">
        <f>_xlfn.XLOOKUP(Mvt_Inter_entrepot[[#This Row],[Num OF]],#REF!,#REF!,"Non Trouvé")</f>
        <v>#REF!</v>
      </c>
      <c r="N690" s="11" t="e">
        <f>_xlfn.XLOOKUP(Mvt_Inter_entrepot[[#This Row],[Num OF]],#REF!,#REF!,"Non Trouvé")</f>
        <v>#REF!</v>
      </c>
      <c r="O690" s="11" t="e">
        <f>_xlfn.XLOOKUP(Mvt_Inter_entrepot[[#This Row],[Num OF]],#REF!,#REF!,"Non Trouvé")</f>
        <v>#REF!</v>
      </c>
      <c r="P690" s="11" t="e">
        <f>_xlfn.XLOOKUP(Mvt_Inter_entrepot[[#This Row],[Num OF]],#REF!,#REF!,"Non Trouvé")</f>
        <v>#REF!</v>
      </c>
      <c r="Q690" s="11" t="str">
        <f>IF(
   COUNTIFS($A$2:A690,A690,
             $B$2:B690,B690,
             $C$2:C690,C690,
             $D$2:D690,D690,
             $E$2:E690,E690,
             $H$2:H690,H690
             )&gt;1,
   "Doublon",
   "Correcte"
)</f>
        <v>Correcte</v>
      </c>
    </row>
    <row r="691" spans="1:17" x14ac:dyDescent="0.25">
      <c r="A691" s="11" t="s">
        <v>3479</v>
      </c>
      <c r="B691" s="11" t="s">
        <v>1153</v>
      </c>
      <c r="C691" s="11" t="s">
        <v>665</v>
      </c>
      <c r="D691" s="11" t="s">
        <v>1154</v>
      </c>
      <c r="E691" s="11">
        <v>5</v>
      </c>
      <c r="F691" s="11" t="s">
        <v>699</v>
      </c>
      <c r="G691" s="11" t="s">
        <v>634</v>
      </c>
      <c r="H691" s="14">
        <v>45936.43273148148</v>
      </c>
      <c r="I691" s="12">
        <f>-Mvt_Inter_entrepot[[#This Row],[QTE]]</f>
        <v>-5</v>
      </c>
      <c r="J691" s="11" t="s">
        <v>772</v>
      </c>
      <c r="K691" s="11" t="str">
        <f>_xlfn.TEXTBEFORE(Mvt_Inter_entrepot[[#This Row],[Num Suivis]],"-",,,1)</f>
        <v>CA250004</v>
      </c>
      <c r="L691" s="11" t="e">
        <f>_xlfn.XLOOKUP(Mvt_Inter_entrepot[[#This Row],[Num OF]],#REF!,#REF!,"Non Trouvé")</f>
        <v>#REF!</v>
      </c>
      <c r="M691" s="11" t="e">
        <f>_xlfn.XLOOKUP(Mvt_Inter_entrepot[[#This Row],[Num OF]],#REF!,#REF!,"Non Trouvé")</f>
        <v>#REF!</v>
      </c>
      <c r="N691" s="11" t="e">
        <f>_xlfn.XLOOKUP(Mvt_Inter_entrepot[[#This Row],[Num OF]],#REF!,#REF!,"Non Trouvé")</f>
        <v>#REF!</v>
      </c>
      <c r="O691" s="11" t="e">
        <f>_xlfn.XLOOKUP(Mvt_Inter_entrepot[[#This Row],[Num OF]],#REF!,#REF!,"Non Trouvé")</f>
        <v>#REF!</v>
      </c>
      <c r="P691" s="11" t="e">
        <f>_xlfn.XLOOKUP(Mvt_Inter_entrepot[[#This Row],[Num OF]],#REF!,#REF!,"Non Trouvé")</f>
        <v>#REF!</v>
      </c>
      <c r="Q691" s="11" t="str">
        <f>IF(
   COUNTIFS($A$2:A691,A691,
             $B$2:B691,B691,
             $C$2:C691,C691,
             $D$2:D691,D691,
             $E$2:E691,E691,
             $H$2:H691,H691
             )&gt;1,
   "Doublon",
   "Correcte"
)</f>
        <v>Correcte</v>
      </c>
    </row>
    <row r="692" spans="1:17" x14ac:dyDescent="0.25">
      <c r="A692" s="11" t="s">
        <v>3457</v>
      </c>
      <c r="B692" s="11" t="s">
        <v>1153</v>
      </c>
      <c r="C692" s="11" t="s">
        <v>665</v>
      </c>
      <c r="D692" s="11" t="s">
        <v>1154</v>
      </c>
      <c r="E692" s="11">
        <v>5</v>
      </c>
      <c r="F692" s="11" t="s">
        <v>699</v>
      </c>
      <c r="G692" s="11" t="s">
        <v>634</v>
      </c>
      <c r="H692" s="14">
        <v>45936.433171296296</v>
      </c>
      <c r="I692" s="12">
        <f>-Mvt_Inter_entrepot[[#This Row],[QTE]]</f>
        <v>-5</v>
      </c>
      <c r="J692" s="11" t="s">
        <v>764</v>
      </c>
      <c r="K692" s="11" t="str">
        <f>_xlfn.TEXTBEFORE(Mvt_Inter_entrepot[[#This Row],[Num Suivis]],"-",,,1)</f>
        <v>CA250004</v>
      </c>
      <c r="L692" s="11" t="e">
        <f>_xlfn.XLOOKUP(Mvt_Inter_entrepot[[#This Row],[Num OF]],#REF!,#REF!,"Non Trouvé")</f>
        <v>#REF!</v>
      </c>
      <c r="M692" s="11" t="e">
        <f>_xlfn.XLOOKUP(Mvt_Inter_entrepot[[#This Row],[Num OF]],#REF!,#REF!,"Non Trouvé")</f>
        <v>#REF!</v>
      </c>
      <c r="N692" s="11" t="e">
        <f>_xlfn.XLOOKUP(Mvt_Inter_entrepot[[#This Row],[Num OF]],#REF!,#REF!,"Non Trouvé")</f>
        <v>#REF!</v>
      </c>
      <c r="O692" s="11" t="e">
        <f>_xlfn.XLOOKUP(Mvt_Inter_entrepot[[#This Row],[Num OF]],#REF!,#REF!,"Non Trouvé")</f>
        <v>#REF!</v>
      </c>
      <c r="P692" s="11" t="e">
        <f>_xlfn.XLOOKUP(Mvt_Inter_entrepot[[#This Row],[Num OF]],#REF!,#REF!,"Non Trouvé")</f>
        <v>#REF!</v>
      </c>
      <c r="Q692" s="11" t="str">
        <f>IF(
   COUNTIFS($A$2:A692,A692,
             $B$2:B692,B692,
             $C$2:C692,C692,
             $D$2:D692,D692,
             $E$2:E692,E692,
             $H$2:H692,H692
             )&gt;1,
   "Doublon",
   "Correcte"
)</f>
        <v>Correcte</v>
      </c>
    </row>
    <row r="693" spans="1:17" x14ac:dyDescent="0.25">
      <c r="A693" s="11" t="s">
        <v>3480</v>
      </c>
      <c r="B693" s="11" t="s">
        <v>1153</v>
      </c>
      <c r="C693" s="11" t="s">
        <v>665</v>
      </c>
      <c r="D693" s="11" t="s">
        <v>1154</v>
      </c>
      <c r="E693" s="11">
        <v>5</v>
      </c>
      <c r="F693" s="11" t="s">
        <v>699</v>
      </c>
      <c r="G693" s="11" t="s">
        <v>634</v>
      </c>
      <c r="H693" s="14">
        <v>45936.433379629627</v>
      </c>
      <c r="I693" s="12">
        <f>-Mvt_Inter_entrepot[[#This Row],[QTE]]</f>
        <v>-5</v>
      </c>
      <c r="J693" s="11" t="s">
        <v>861</v>
      </c>
      <c r="K693" s="11" t="str">
        <f>_xlfn.TEXTBEFORE(Mvt_Inter_entrepot[[#This Row],[Num Suivis]],"-",,,1)</f>
        <v>CA250013</v>
      </c>
      <c r="L693" s="11" t="e">
        <f>_xlfn.XLOOKUP(Mvt_Inter_entrepot[[#This Row],[Num OF]],#REF!,#REF!,"Non Trouvé")</f>
        <v>#REF!</v>
      </c>
      <c r="M693" s="11" t="e">
        <f>_xlfn.XLOOKUP(Mvt_Inter_entrepot[[#This Row],[Num OF]],#REF!,#REF!,"Non Trouvé")</f>
        <v>#REF!</v>
      </c>
      <c r="N693" s="11" t="e">
        <f>_xlfn.XLOOKUP(Mvt_Inter_entrepot[[#This Row],[Num OF]],#REF!,#REF!,"Non Trouvé")</f>
        <v>#REF!</v>
      </c>
      <c r="O693" s="11" t="e">
        <f>_xlfn.XLOOKUP(Mvt_Inter_entrepot[[#This Row],[Num OF]],#REF!,#REF!,"Non Trouvé")</f>
        <v>#REF!</v>
      </c>
      <c r="P693" s="11" t="e">
        <f>_xlfn.XLOOKUP(Mvt_Inter_entrepot[[#This Row],[Num OF]],#REF!,#REF!,"Non Trouvé")</f>
        <v>#REF!</v>
      </c>
      <c r="Q693" s="11" t="str">
        <f>IF(
   COUNTIFS($A$2:A693,A693,
             $B$2:B693,B693,
             $C$2:C693,C693,
             $D$2:D693,D693,
             $E$2:E693,E693,
             $H$2:H693,H693
             )&gt;1,
   "Doublon",
   "Correcte"
)</f>
        <v>Correcte</v>
      </c>
    </row>
    <row r="694" spans="1:17" x14ac:dyDescent="0.25">
      <c r="A694" s="11" t="s">
        <v>3481</v>
      </c>
      <c r="B694" s="11" t="s">
        <v>1153</v>
      </c>
      <c r="C694" s="11" t="s">
        <v>665</v>
      </c>
      <c r="D694" s="11" t="s">
        <v>1154</v>
      </c>
      <c r="E694" s="11">
        <v>5</v>
      </c>
      <c r="F694" s="11" t="s">
        <v>699</v>
      </c>
      <c r="G694" s="11" t="s">
        <v>634</v>
      </c>
      <c r="H694" s="14">
        <v>45936.433703703704</v>
      </c>
      <c r="I694" s="12">
        <f>-Mvt_Inter_entrepot[[#This Row],[QTE]]</f>
        <v>-5</v>
      </c>
      <c r="J694" s="11" t="s">
        <v>862</v>
      </c>
      <c r="K694" s="11" t="str">
        <f>_xlfn.TEXTBEFORE(Mvt_Inter_entrepot[[#This Row],[Num Suivis]],"-",,,1)</f>
        <v>CA250013</v>
      </c>
      <c r="L694" s="11" t="e">
        <f>_xlfn.XLOOKUP(Mvt_Inter_entrepot[[#This Row],[Num OF]],#REF!,#REF!,"Non Trouvé")</f>
        <v>#REF!</v>
      </c>
      <c r="M694" s="11" t="e">
        <f>_xlfn.XLOOKUP(Mvt_Inter_entrepot[[#This Row],[Num OF]],#REF!,#REF!,"Non Trouvé")</f>
        <v>#REF!</v>
      </c>
      <c r="N694" s="11" t="e">
        <f>_xlfn.XLOOKUP(Mvt_Inter_entrepot[[#This Row],[Num OF]],#REF!,#REF!,"Non Trouvé")</f>
        <v>#REF!</v>
      </c>
      <c r="O694" s="11" t="e">
        <f>_xlfn.XLOOKUP(Mvt_Inter_entrepot[[#This Row],[Num OF]],#REF!,#REF!,"Non Trouvé")</f>
        <v>#REF!</v>
      </c>
      <c r="P694" s="11" t="e">
        <f>_xlfn.XLOOKUP(Mvt_Inter_entrepot[[#This Row],[Num OF]],#REF!,#REF!,"Non Trouvé")</f>
        <v>#REF!</v>
      </c>
      <c r="Q694" s="11" t="str">
        <f>IF(
   COUNTIFS($A$2:A694,A694,
             $B$2:B694,B694,
             $C$2:C694,C694,
             $D$2:D694,D694,
             $E$2:E694,E694,
             $H$2:H694,H694
             )&gt;1,
   "Doublon",
   "Correcte"
)</f>
        <v>Correcte</v>
      </c>
    </row>
    <row r="695" spans="1:17" x14ac:dyDescent="0.25">
      <c r="A695" s="11" t="s">
        <v>3482</v>
      </c>
      <c r="B695" s="11" t="s">
        <v>1153</v>
      </c>
      <c r="C695" s="11" t="s">
        <v>665</v>
      </c>
      <c r="D695" s="11" t="s">
        <v>1154</v>
      </c>
      <c r="E695" s="11">
        <v>5</v>
      </c>
      <c r="F695" s="11" t="s">
        <v>699</v>
      </c>
      <c r="G695" s="11" t="s">
        <v>634</v>
      </c>
      <c r="H695" s="14">
        <v>45936.434849537036</v>
      </c>
      <c r="I695" s="12">
        <f>-Mvt_Inter_entrepot[[#This Row],[QTE]]</f>
        <v>-5</v>
      </c>
      <c r="J695" s="11" t="s">
        <v>831</v>
      </c>
      <c r="K695" s="11" t="str">
        <f>_xlfn.TEXTBEFORE(Mvt_Inter_entrepot[[#This Row],[Num Suivis]],"-",,,1)</f>
        <v>CA250010</v>
      </c>
      <c r="L695" s="11" t="e">
        <f>_xlfn.XLOOKUP(Mvt_Inter_entrepot[[#This Row],[Num OF]],#REF!,#REF!,"Non Trouvé")</f>
        <v>#REF!</v>
      </c>
      <c r="M695" s="11" t="e">
        <f>_xlfn.XLOOKUP(Mvt_Inter_entrepot[[#This Row],[Num OF]],#REF!,#REF!,"Non Trouvé")</f>
        <v>#REF!</v>
      </c>
      <c r="N695" s="11" t="e">
        <f>_xlfn.XLOOKUP(Mvt_Inter_entrepot[[#This Row],[Num OF]],#REF!,#REF!,"Non Trouvé")</f>
        <v>#REF!</v>
      </c>
      <c r="O695" s="11" t="e">
        <f>_xlfn.XLOOKUP(Mvt_Inter_entrepot[[#This Row],[Num OF]],#REF!,#REF!,"Non Trouvé")</f>
        <v>#REF!</v>
      </c>
      <c r="P695" s="11" t="e">
        <f>_xlfn.XLOOKUP(Mvt_Inter_entrepot[[#This Row],[Num OF]],#REF!,#REF!,"Non Trouvé")</f>
        <v>#REF!</v>
      </c>
      <c r="Q695" s="11" t="str">
        <f>IF(
   COUNTIFS($A$2:A695,A695,
             $B$2:B695,B695,
             $C$2:C695,C695,
             $D$2:D695,D695,
             $E$2:E695,E695,
             $H$2:H695,H695
             )&gt;1,
   "Doublon",
   "Correcte"
)</f>
        <v>Correcte</v>
      </c>
    </row>
    <row r="696" spans="1:17" x14ac:dyDescent="0.25">
      <c r="A696" s="11" t="s">
        <v>3483</v>
      </c>
      <c r="B696" s="11" t="s">
        <v>1153</v>
      </c>
      <c r="C696" s="11" t="s">
        <v>665</v>
      </c>
      <c r="D696" s="11" t="s">
        <v>1154</v>
      </c>
      <c r="E696" s="11">
        <v>5</v>
      </c>
      <c r="F696" s="11" t="s">
        <v>699</v>
      </c>
      <c r="G696" s="11" t="s">
        <v>634</v>
      </c>
      <c r="H696" s="14">
        <v>45936.435069444444</v>
      </c>
      <c r="I696" s="12">
        <f>-Mvt_Inter_entrepot[[#This Row],[QTE]]</f>
        <v>-5</v>
      </c>
      <c r="J696" s="11" t="s">
        <v>868</v>
      </c>
      <c r="K696" s="11" t="str">
        <f>_xlfn.TEXTBEFORE(Mvt_Inter_entrepot[[#This Row],[Num Suivis]],"-",,,1)</f>
        <v>CA250013</v>
      </c>
      <c r="L696" s="11" t="e">
        <f>_xlfn.XLOOKUP(Mvt_Inter_entrepot[[#This Row],[Num OF]],#REF!,#REF!,"Non Trouvé")</f>
        <v>#REF!</v>
      </c>
      <c r="M696" s="11" t="e">
        <f>_xlfn.XLOOKUP(Mvt_Inter_entrepot[[#This Row],[Num OF]],#REF!,#REF!,"Non Trouvé")</f>
        <v>#REF!</v>
      </c>
      <c r="N696" s="11" t="e">
        <f>_xlfn.XLOOKUP(Mvt_Inter_entrepot[[#This Row],[Num OF]],#REF!,#REF!,"Non Trouvé")</f>
        <v>#REF!</v>
      </c>
      <c r="O696" s="11" t="e">
        <f>_xlfn.XLOOKUP(Mvt_Inter_entrepot[[#This Row],[Num OF]],#REF!,#REF!,"Non Trouvé")</f>
        <v>#REF!</v>
      </c>
      <c r="P696" s="11" t="e">
        <f>_xlfn.XLOOKUP(Mvt_Inter_entrepot[[#This Row],[Num OF]],#REF!,#REF!,"Non Trouvé")</f>
        <v>#REF!</v>
      </c>
      <c r="Q696" s="11" t="str">
        <f>IF(
   COUNTIFS($A$2:A696,A696,
             $B$2:B696,B696,
             $C$2:C696,C696,
             $D$2:D696,D696,
             $E$2:E696,E696,
             $H$2:H696,H696
             )&gt;1,
   "Doublon",
   "Correcte"
)</f>
        <v>Correcte</v>
      </c>
    </row>
    <row r="697" spans="1:17" x14ac:dyDescent="0.25">
      <c r="A697" s="11" t="s">
        <v>3484</v>
      </c>
      <c r="B697" s="11" t="s">
        <v>1153</v>
      </c>
      <c r="C697" s="11" t="s">
        <v>665</v>
      </c>
      <c r="D697" s="11" t="s">
        <v>1154</v>
      </c>
      <c r="E697" s="11">
        <v>5</v>
      </c>
      <c r="F697" s="11" t="s">
        <v>699</v>
      </c>
      <c r="G697" s="11" t="s">
        <v>634</v>
      </c>
      <c r="H697" s="14">
        <v>45936.43540509259</v>
      </c>
      <c r="I697" s="12">
        <f>-Mvt_Inter_entrepot[[#This Row],[QTE]]</f>
        <v>-5</v>
      </c>
      <c r="J697" s="11" t="s">
        <v>870</v>
      </c>
      <c r="K697" s="11" t="str">
        <f>_xlfn.TEXTBEFORE(Mvt_Inter_entrepot[[#This Row],[Num Suivis]],"-",,,1)</f>
        <v>CA250013</v>
      </c>
      <c r="L697" s="11" t="e">
        <f>_xlfn.XLOOKUP(Mvt_Inter_entrepot[[#This Row],[Num OF]],#REF!,#REF!,"Non Trouvé")</f>
        <v>#REF!</v>
      </c>
      <c r="M697" s="11" t="e">
        <f>_xlfn.XLOOKUP(Mvt_Inter_entrepot[[#This Row],[Num OF]],#REF!,#REF!,"Non Trouvé")</f>
        <v>#REF!</v>
      </c>
      <c r="N697" s="11" t="e">
        <f>_xlfn.XLOOKUP(Mvt_Inter_entrepot[[#This Row],[Num OF]],#REF!,#REF!,"Non Trouvé")</f>
        <v>#REF!</v>
      </c>
      <c r="O697" s="11" t="e">
        <f>_xlfn.XLOOKUP(Mvt_Inter_entrepot[[#This Row],[Num OF]],#REF!,#REF!,"Non Trouvé")</f>
        <v>#REF!</v>
      </c>
      <c r="P697" s="11" t="e">
        <f>_xlfn.XLOOKUP(Mvt_Inter_entrepot[[#This Row],[Num OF]],#REF!,#REF!,"Non Trouvé")</f>
        <v>#REF!</v>
      </c>
      <c r="Q697" s="11" t="str">
        <f>IF(
   COUNTIFS($A$2:A697,A697,
             $B$2:B697,B697,
             $C$2:C697,C697,
             $D$2:D697,D697,
             $E$2:E697,E697,
             $H$2:H697,H697
             )&gt;1,
   "Doublon",
   "Correcte"
)</f>
        <v>Correcte</v>
      </c>
    </row>
    <row r="698" spans="1:17" x14ac:dyDescent="0.25">
      <c r="A698" s="11" t="s">
        <v>3485</v>
      </c>
      <c r="B698" s="11" t="s">
        <v>1153</v>
      </c>
      <c r="C698" s="11" t="s">
        <v>665</v>
      </c>
      <c r="D698" s="11" t="s">
        <v>1154</v>
      </c>
      <c r="E698" s="11">
        <v>5</v>
      </c>
      <c r="F698" s="11" t="s">
        <v>699</v>
      </c>
      <c r="G698" s="11" t="s">
        <v>634</v>
      </c>
      <c r="H698" s="14">
        <v>45936.435671296298</v>
      </c>
      <c r="I698" s="12">
        <f>-Mvt_Inter_entrepot[[#This Row],[QTE]]</f>
        <v>-5</v>
      </c>
      <c r="J698" s="11" t="s">
        <v>1178</v>
      </c>
      <c r="K698" s="11" t="str">
        <f>_xlfn.TEXTBEFORE(Mvt_Inter_entrepot[[#This Row],[Num Suivis]],"-",,,1)</f>
        <v>CA250013</v>
      </c>
      <c r="L698" s="11" t="e">
        <f>_xlfn.XLOOKUP(Mvt_Inter_entrepot[[#This Row],[Num OF]],#REF!,#REF!,"Non Trouvé")</f>
        <v>#REF!</v>
      </c>
      <c r="M698" s="11" t="e">
        <f>_xlfn.XLOOKUP(Mvt_Inter_entrepot[[#This Row],[Num OF]],#REF!,#REF!,"Non Trouvé")</f>
        <v>#REF!</v>
      </c>
      <c r="N698" s="11" t="e">
        <f>_xlfn.XLOOKUP(Mvt_Inter_entrepot[[#This Row],[Num OF]],#REF!,#REF!,"Non Trouvé")</f>
        <v>#REF!</v>
      </c>
      <c r="O698" s="11" t="e">
        <f>_xlfn.XLOOKUP(Mvt_Inter_entrepot[[#This Row],[Num OF]],#REF!,#REF!,"Non Trouvé")</f>
        <v>#REF!</v>
      </c>
      <c r="P698" s="11" t="e">
        <f>_xlfn.XLOOKUP(Mvt_Inter_entrepot[[#This Row],[Num OF]],#REF!,#REF!,"Non Trouvé")</f>
        <v>#REF!</v>
      </c>
      <c r="Q698" s="11" t="str">
        <f>IF(
   COUNTIFS($A$2:A698,A698,
             $B$2:B698,B698,
             $C$2:C698,C698,
             $D$2:D698,D698,
             $E$2:E698,E698,
             $H$2:H698,H698
             )&gt;1,
   "Doublon",
   "Correcte"
)</f>
        <v>Correcte</v>
      </c>
    </row>
    <row r="699" spans="1:17" x14ac:dyDescent="0.25">
      <c r="A699" s="11" t="s">
        <v>3486</v>
      </c>
      <c r="B699" s="11" t="s">
        <v>1153</v>
      </c>
      <c r="C699" s="11" t="s">
        <v>665</v>
      </c>
      <c r="D699" s="11" t="s">
        <v>1154</v>
      </c>
      <c r="E699" s="11">
        <v>5</v>
      </c>
      <c r="F699" s="11" t="s">
        <v>699</v>
      </c>
      <c r="G699" s="11" t="s">
        <v>634</v>
      </c>
      <c r="H699" s="14">
        <v>45936.435902777775</v>
      </c>
      <c r="I699" s="12">
        <f>-Mvt_Inter_entrepot[[#This Row],[QTE]]</f>
        <v>-5</v>
      </c>
      <c r="J699" s="11" t="s">
        <v>871</v>
      </c>
      <c r="K699" s="11" t="str">
        <f>_xlfn.TEXTBEFORE(Mvt_Inter_entrepot[[#This Row],[Num Suivis]],"-",,,1)</f>
        <v>CA250013</v>
      </c>
      <c r="L699" s="11" t="e">
        <f>_xlfn.XLOOKUP(Mvt_Inter_entrepot[[#This Row],[Num OF]],#REF!,#REF!,"Non Trouvé")</f>
        <v>#REF!</v>
      </c>
      <c r="M699" s="11" t="e">
        <f>_xlfn.XLOOKUP(Mvt_Inter_entrepot[[#This Row],[Num OF]],#REF!,#REF!,"Non Trouvé")</f>
        <v>#REF!</v>
      </c>
      <c r="N699" s="11" t="e">
        <f>_xlfn.XLOOKUP(Mvt_Inter_entrepot[[#This Row],[Num OF]],#REF!,#REF!,"Non Trouvé")</f>
        <v>#REF!</v>
      </c>
      <c r="O699" s="11" t="e">
        <f>_xlfn.XLOOKUP(Mvt_Inter_entrepot[[#This Row],[Num OF]],#REF!,#REF!,"Non Trouvé")</f>
        <v>#REF!</v>
      </c>
      <c r="P699" s="11" t="e">
        <f>_xlfn.XLOOKUP(Mvt_Inter_entrepot[[#This Row],[Num OF]],#REF!,#REF!,"Non Trouvé")</f>
        <v>#REF!</v>
      </c>
      <c r="Q699" s="11" t="str">
        <f>IF(
   COUNTIFS($A$2:A699,A699,
             $B$2:B699,B699,
             $C$2:C699,C699,
             $D$2:D699,D699,
             $E$2:E699,E699,
             $H$2:H699,H699
             )&gt;1,
   "Doublon",
   "Correcte"
)</f>
        <v>Correcte</v>
      </c>
    </row>
    <row r="700" spans="1:17" x14ac:dyDescent="0.25">
      <c r="A700" s="11" t="s">
        <v>3487</v>
      </c>
      <c r="B700" s="11" t="s">
        <v>1153</v>
      </c>
      <c r="C700" s="11" t="s">
        <v>665</v>
      </c>
      <c r="D700" s="11" t="s">
        <v>1154</v>
      </c>
      <c r="E700" s="11">
        <v>5</v>
      </c>
      <c r="F700" s="11" t="s">
        <v>699</v>
      </c>
      <c r="G700" s="11" t="s">
        <v>634</v>
      </c>
      <c r="H700" s="14">
        <v>45936.436180555553</v>
      </c>
      <c r="I700" s="12">
        <f>-Mvt_Inter_entrepot[[#This Row],[QTE]]</f>
        <v>-5</v>
      </c>
      <c r="J700" s="11" t="s">
        <v>830</v>
      </c>
      <c r="K700" s="11" t="str">
        <f>_xlfn.TEXTBEFORE(Mvt_Inter_entrepot[[#This Row],[Num Suivis]],"-",,,1)</f>
        <v>CA250010</v>
      </c>
      <c r="L700" s="11" t="e">
        <f>_xlfn.XLOOKUP(Mvt_Inter_entrepot[[#This Row],[Num OF]],#REF!,#REF!,"Non Trouvé")</f>
        <v>#REF!</v>
      </c>
      <c r="M700" s="11" t="e">
        <f>_xlfn.XLOOKUP(Mvt_Inter_entrepot[[#This Row],[Num OF]],#REF!,#REF!,"Non Trouvé")</f>
        <v>#REF!</v>
      </c>
      <c r="N700" s="11" t="e">
        <f>_xlfn.XLOOKUP(Mvt_Inter_entrepot[[#This Row],[Num OF]],#REF!,#REF!,"Non Trouvé")</f>
        <v>#REF!</v>
      </c>
      <c r="O700" s="11" t="e">
        <f>_xlfn.XLOOKUP(Mvt_Inter_entrepot[[#This Row],[Num OF]],#REF!,#REF!,"Non Trouvé")</f>
        <v>#REF!</v>
      </c>
      <c r="P700" s="11" t="e">
        <f>_xlfn.XLOOKUP(Mvt_Inter_entrepot[[#This Row],[Num OF]],#REF!,#REF!,"Non Trouvé")</f>
        <v>#REF!</v>
      </c>
      <c r="Q700" s="11" t="str">
        <f>IF(
   COUNTIFS($A$2:A700,A700,
             $B$2:B700,B700,
             $C$2:C700,C700,
             $D$2:D700,D700,
             $E$2:E700,E700,
             $H$2:H700,H700
             )&gt;1,
   "Doublon",
   "Correcte"
)</f>
        <v>Correcte</v>
      </c>
    </row>
    <row r="701" spans="1:17" x14ac:dyDescent="0.25">
      <c r="A701" s="11" t="s">
        <v>3488</v>
      </c>
      <c r="B701" s="11" t="s">
        <v>1153</v>
      </c>
      <c r="C701" s="11" t="s">
        <v>665</v>
      </c>
      <c r="D701" s="11" t="s">
        <v>1154</v>
      </c>
      <c r="E701" s="11">
        <v>4</v>
      </c>
      <c r="F701" s="11" t="s">
        <v>699</v>
      </c>
      <c r="G701" s="11" t="s">
        <v>634</v>
      </c>
      <c r="H701" s="14">
        <v>45936.436631944445</v>
      </c>
      <c r="I701" s="12">
        <f>-Mvt_Inter_entrepot[[#This Row],[QTE]]</f>
        <v>-4</v>
      </c>
      <c r="J701" s="11" t="s">
        <v>869</v>
      </c>
      <c r="K701" s="11" t="str">
        <f>_xlfn.TEXTBEFORE(Mvt_Inter_entrepot[[#This Row],[Num Suivis]],"-",,,1)</f>
        <v>CA250013</v>
      </c>
      <c r="L701" s="11" t="e">
        <f>_xlfn.XLOOKUP(Mvt_Inter_entrepot[[#This Row],[Num OF]],#REF!,#REF!,"Non Trouvé")</f>
        <v>#REF!</v>
      </c>
      <c r="M701" s="11" t="e">
        <f>_xlfn.XLOOKUP(Mvt_Inter_entrepot[[#This Row],[Num OF]],#REF!,#REF!,"Non Trouvé")</f>
        <v>#REF!</v>
      </c>
      <c r="N701" s="11" t="e">
        <f>_xlfn.XLOOKUP(Mvt_Inter_entrepot[[#This Row],[Num OF]],#REF!,#REF!,"Non Trouvé")</f>
        <v>#REF!</v>
      </c>
      <c r="O701" s="11" t="e">
        <f>_xlfn.XLOOKUP(Mvt_Inter_entrepot[[#This Row],[Num OF]],#REF!,#REF!,"Non Trouvé")</f>
        <v>#REF!</v>
      </c>
      <c r="P701" s="11" t="e">
        <f>_xlfn.XLOOKUP(Mvt_Inter_entrepot[[#This Row],[Num OF]],#REF!,#REF!,"Non Trouvé")</f>
        <v>#REF!</v>
      </c>
      <c r="Q701" s="11" t="str">
        <f>IF(
   COUNTIFS($A$2:A701,A701,
             $B$2:B701,B701,
             $C$2:C701,C701,
             $D$2:D701,D701,
             $E$2:E701,E701,
             $H$2:H701,H701
             )&gt;1,
   "Doublon",
   "Correcte"
)</f>
        <v>Correcte</v>
      </c>
    </row>
    <row r="702" spans="1:17" x14ac:dyDescent="0.25">
      <c r="A702" s="11" t="s">
        <v>3489</v>
      </c>
      <c r="B702" s="11" t="s">
        <v>1153</v>
      </c>
      <c r="C702" s="11" t="s">
        <v>665</v>
      </c>
      <c r="D702" s="11" t="s">
        <v>1154</v>
      </c>
      <c r="E702" s="11">
        <v>5</v>
      </c>
      <c r="F702" s="11" t="s">
        <v>699</v>
      </c>
      <c r="G702" s="11" t="s">
        <v>634</v>
      </c>
      <c r="H702" s="14">
        <v>45936.436967592592</v>
      </c>
      <c r="I702" s="12">
        <f>-Mvt_Inter_entrepot[[#This Row],[QTE]]</f>
        <v>-5</v>
      </c>
      <c r="J702" s="11" t="s">
        <v>867</v>
      </c>
      <c r="K702" s="11" t="str">
        <f>_xlfn.TEXTBEFORE(Mvt_Inter_entrepot[[#This Row],[Num Suivis]],"-",,,1)</f>
        <v>CA250013</v>
      </c>
      <c r="L702" s="11" t="e">
        <f>_xlfn.XLOOKUP(Mvt_Inter_entrepot[[#This Row],[Num OF]],#REF!,#REF!,"Non Trouvé")</f>
        <v>#REF!</v>
      </c>
      <c r="M702" s="11" t="e">
        <f>_xlfn.XLOOKUP(Mvt_Inter_entrepot[[#This Row],[Num OF]],#REF!,#REF!,"Non Trouvé")</f>
        <v>#REF!</v>
      </c>
      <c r="N702" s="11" t="e">
        <f>_xlfn.XLOOKUP(Mvt_Inter_entrepot[[#This Row],[Num OF]],#REF!,#REF!,"Non Trouvé")</f>
        <v>#REF!</v>
      </c>
      <c r="O702" s="11" t="e">
        <f>_xlfn.XLOOKUP(Mvt_Inter_entrepot[[#This Row],[Num OF]],#REF!,#REF!,"Non Trouvé")</f>
        <v>#REF!</v>
      </c>
      <c r="P702" s="11" t="e">
        <f>_xlfn.XLOOKUP(Mvt_Inter_entrepot[[#This Row],[Num OF]],#REF!,#REF!,"Non Trouvé")</f>
        <v>#REF!</v>
      </c>
      <c r="Q702" s="11" t="str">
        <f>IF(
   COUNTIFS($A$2:A702,A702,
             $B$2:B702,B702,
             $C$2:C702,C702,
             $D$2:D702,D702,
             $E$2:E702,E702,
             $H$2:H702,H702
             )&gt;1,
   "Doublon",
   "Correcte"
)</f>
        <v>Correcte</v>
      </c>
    </row>
    <row r="703" spans="1:17" x14ac:dyDescent="0.25">
      <c r="A703" s="11" t="s">
        <v>3490</v>
      </c>
      <c r="B703" s="11" t="s">
        <v>1153</v>
      </c>
      <c r="C703" s="11" t="s">
        <v>665</v>
      </c>
      <c r="D703" s="11" t="s">
        <v>1154</v>
      </c>
      <c r="E703" s="11">
        <v>5</v>
      </c>
      <c r="F703" s="11" t="s">
        <v>699</v>
      </c>
      <c r="G703" s="11" t="s">
        <v>634</v>
      </c>
      <c r="H703" s="14">
        <v>45936.437361111108</v>
      </c>
      <c r="I703" s="12">
        <f>-Mvt_Inter_entrepot[[#This Row],[QTE]]</f>
        <v>-5</v>
      </c>
      <c r="J703" s="11" t="s">
        <v>769</v>
      </c>
      <c r="K703" s="11" t="str">
        <f>_xlfn.TEXTBEFORE(Mvt_Inter_entrepot[[#This Row],[Num Suivis]],"-",,,1)</f>
        <v>CA250004</v>
      </c>
      <c r="L703" s="11" t="e">
        <f>_xlfn.XLOOKUP(Mvt_Inter_entrepot[[#This Row],[Num OF]],#REF!,#REF!,"Non Trouvé")</f>
        <v>#REF!</v>
      </c>
      <c r="M703" s="11" t="e">
        <f>_xlfn.XLOOKUP(Mvt_Inter_entrepot[[#This Row],[Num OF]],#REF!,#REF!,"Non Trouvé")</f>
        <v>#REF!</v>
      </c>
      <c r="N703" s="11" t="e">
        <f>_xlfn.XLOOKUP(Mvt_Inter_entrepot[[#This Row],[Num OF]],#REF!,#REF!,"Non Trouvé")</f>
        <v>#REF!</v>
      </c>
      <c r="O703" s="11" t="e">
        <f>_xlfn.XLOOKUP(Mvt_Inter_entrepot[[#This Row],[Num OF]],#REF!,#REF!,"Non Trouvé")</f>
        <v>#REF!</v>
      </c>
      <c r="P703" s="11" t="e">
        <f>_xlfn.XLOOKUP(Mvt_Inter_entrepot[[#This Row],[Num OF]],#REF!,#REF!,"Non Trouvé")</f>
        <v>#REF!</v>
      </c>
      <c r="Q703" s="11" t="str">
        <f>IF(
   COUNTIFS($A$2:A703,A703,
             $B$2:B703,B703,
             $C$2:C703,C703,
             $D$2:D703,D703,
             $E$2:E703,E703,
             $H$2:H703,H703
             )&gt;1,
   "Doublon",
   "Correcte"
)</f>
        <v>Correcte</v>
      </c>
    </row>
    <row r="704" spans="1:17" x14ac:dyDescent="0.25">
      <c r="A704" s="11" t="s">
        <v>3491</v>
      </c>
      <c r="B704" s="11" t="s">
        <v>1153</v>
      </c>
      <c r="C704" s="11" t="s">
        <v>665</v>
      </c>
      <c r="D704" s="11" t="s">
        <v>1154</v>
      </c>
      <c r="E704" s="11">
        <v>5</v>
      </c>
      <c r="F704" s="11" t="s">
        <v>699</v>
      </c>
      <c r="G704" s="11" t="s">
        <v>634</v>
      </c>
      <c r="H704" s="14">
        <v>45936.437754629631</v>
      </c>
      <c r="I704" s="12">
        <f>-Mvt_Inter_entrepot[[#This Row],[QTE]]</f>
        <v>-5</v>
      </c>
      <c r="J704" s="11" t="s">
        <v>866</v>
      </c>
      <c r="K704" s="11" t="str">
        <f>_xlfn.TEXTBEFORE(Mvt_Inter_entrepot[[#This Row],[Num Suivis]],"-",,,1)</f>
        <v>CA250013</v>
      </c>
      <c r="L704" s="11" t="e">
        <f>_xlfn.XLOOKUP(Mvt_Inter_entrepot[[#This Row],[Num OF]],#REF!,#REF!,"Non Trouvé")</f>
        <v>#REF!</v>
      </c>
      <c r="M704" s="11" t="e">
        <f>_xlfn.XLOOKUP(Mvt_Inter_entrepot[[#This Row],[Num OF]],#REF!,#REF!,"Non Trouvé")</f>
        <v>#REF!</v>
      </c>
      <c r="N704" s="11" t="e">
        <f>_xlfn.XLOOKUP(Mvt_Inter_entrepot[[#This Row],[Num OF]],#REF!,#REF!,"Non Trouvé")</f>
        <v>#REF!</v>
      </c>
      <c r="O704" s="11" t="e">
        <f>_xlfn.XLOOKUP(Mvt_Inter_entrepot[[#This Row],[Num OF]],#REF!,#REF!,"Non Trouvé")</f>
        <v>#REF!</v>
      </c>
      <c r="P704" s="11" t="e">
        <f>_xlfn.XLOOKUP(Mvt_Inter_entrepot[[#This Row],[Num OF]],#REF!,#REF!,"Non Trouvé")</f>
        <v>#REF!</v>
      </c>
      <c r="Q704" s="11" t="str">
        <f>IF(
   COUNTIFS($A$2:A704,A704,
             $B$2:B704,B704,
             $C$2:C704,C704,
             $D$2:D704,D704,
             $E$2:E704,E704,
             $H$2:H704,H704
             )&gt;1,
   "Doublon",
   "Correcte"
)</f>
        <v>Correcte</v>
      </c>
    </row>
    <row r="705" spans="1:17" x14ac:dyDescent="0.25">
      <c r="A705" s="11" t="s">
        <v>3492</v>
      </c>
      <c r="B705" s="11" t="s">
        <v>1153</v>
      </c>
      <c r="C705" s="11" t="s">
        <v>665</v>
      </c>
      <c r="D705" s="11" t="s">
        <v>1154</v>
      </c>
      <c r="E705" s="11">
        <v>5</v>
      </c>
      <c r="F705" s="11" t="s">
        <v>699</v>
      </c>
      <c r="G705" s="11" t="s">
        <v>634</v>
      </c>
      <c r="H705" s="14">
        <v>45936.437962962962</v>
      </c>
      <c r="I705" s="12">
        <f>-Mvt_Inter_entrepot[[#This Row],[QTE]]</f>
        <v>-5</v>
      </c>
      <c r="J705" s="11" t="s">
        <v>771</v>
      </c>
      <c r="K705" s="11" t="str">
        <f>_xlfn.TEXTBEFORE(Mvt_Inter_entrepot[[#This Row],[Num Suivis]],"-",,,1)</f>
        <v>CA250004</v>
      </c>
      <c r="L705" s="11" t="e">
        <f>_xlfn.XLOOKUP(Mvt_Inter_entrepot[[#This Row],[Num OF]],#REF!,#REF!,"Non Trouvé")</f>
        <v>#REF!</v>
      </c>
      <c r="M705" s="11" t="e">
        <f>_xlfn.XLOOKUP(Mvt_Inter_entrepot[[#This Row],[Num OF]],#REF!,#REF!,"Non Trouvé")</f>
        <v>#REF!</v>
      </c>
      <c r="N705" s="11" t="e">
        <f>_xlfn.XLOOKUP(Mvt_Inter_entrepot[[#This Row],[Num OF]],#REF!,#REF!,"Non Trouvé")</f>
        <v>#REF!</v>
      </c>
      <c r="O705" s="11" t="e">
        <f>_xlfn.XLOOKUP(Mvt_Inter_entrepot[[#This Row],[Num OF]],#REF!,#REF!,"Non Trouvé")</f>
        <v>#REF!</v>
      </c>
      <c r="P705" s="11" t="e">
        <f>_xlfn.XLOOKUP(Mvt_Inter_entrepot[[#This Row],[Num OF]],#REF!,#REF!,"Non Trouvé")</f>
        <v>#REF!</v>
      </c>
      <c r="Q705" s="11" t="str">
        <f>IF(
   COUNTIFS($A$2:A705,A705,
             $B$2:B705,B705,
             $C$2:C705,C705,
             $D$2:D705,D705,
             $E$2:E705,E705,
             $H$2:H705,H705
             )&gt;1,
   "Doublon",
   "Correcte"
)</f>
        <v>Correcte</v>
      </c>
    </row>
    <row r="706" spans="1:17" x14ac:dyDescent="0.25">
      <c r="A706" s="11" t="s">
        <v>3493</v>
      </c>
      <c r="B706" s="11" t="s">
        <v>1153</v>
      </c>
      <c r="C706" s="11" t="s">
        <v>665</v>
      </c>
      <c r="D706" s="11" t="s">
        <v>1154</v>
      </c>
      <c r="E706" s="11">
        <v>5</v>
      </c>
      <c r="F706" s="11" t="s">
        <v>699</v>
      </c>
      <c r="G706" s="11" t="s">
        <v>634</v>
      </c>
      <c r="H706" s="14">
        <v>45936.43849537037</v>
      </c>
      <c r="I706" s="12">
        <f>-Mvt_Inter_entrepot[[#This Row],[QTE]]</f>
        <v>-5</v>
      </c>
      <c r="J706" s="11" t="s">
        <v>864</v>
      </c>
      <c r="K706" s="11" t="str">
        <f>_xlfn.TEXTBEFORE(Mvt_Inter_entrepot[[#This Row],[Num Suivis]],"-",,,1)</f>
        <v>CA250013</v>
      </c>
      <c r="L706" s="11" t="e">
        <f>_xlfn.XLOOKUP(Mvt_Inter_entrepot[[#This Row],[Num OF]],#REF!,#REF!,"Non Trouvé")</f>
        <v>#REF!</v>
      </c>
      <c r="M706" s="11" t="e">
        <f>_xlfn.XLOOKUP(Mvt_Inter_entrepot[[#This Row],[Num OF]],#REF!,#REF!,"Non Trouvé")</f>
        <v>#REF!</v>
      </c>
      <c r="N706" s="11" t="e">
        <f>_xlfn.XLOOKUP(Mvt_Inter_entrepot[[#This Row],[Num OF]],#REF!,#REF!,"Non Trouvé")</f>
        <v>#REF!</v>
      </c>
      <c r="O706" s="11" t="e">
        <f>_xlfn.XLOOKUP(Mvt_Inter_entrepot[[#This Row],[Num OF]],#REF!,#REF!,"Non Trouvé")</f>
        <v>#REF!</v>
      </c>
      <c r="P706" s="11" t="e">
        <f>_xlfn.XLOOKUP(Mvt_Inter_entrepot[[#This Row],[Num OF]],#REF!,#REF!,"Non Trouvé")</f>
        <v>#REF!</v>
      </c>
      <c r="Q706" s="11" t="str">
        <f>IF(
   COUNTIFS($A$2:A706,A706,
             $B$2:B706,B706,
             $C$2:C706,C706,
             $D$2:D706,D706,
             $E$2:E706,E706,
             $H$2:H706,H706
             )&gt;1,
   "Doublon",
   "Correcte"
)</f>
        <v>Correcte</v>
      </c>
    </row>
    <row r="707" spans="1:17" x14ac:dyDescent="0.25">
      <c r="A707" s="11" t="s">
        <v>3494</v>
      </c>
      <c r="B707" s="11" t="s">
        <v>1153</v>
      </c>
      <c r="C707" s="11" t="s">
        <v>665</v>
      </c>
      <c r="D707" s="11" t="s">
        <v>1154</v>
      </c>
      <c r="E707" s="11">
        <v>5</v>
      </c>
      <c r="F707" s="11" t="s">
        <v>699</v>
      </c>
      <c r="G707" s="11" t="s">
        <v>634</v>
      </c>
      <c r="H707" s="14">
        <v>45936.438726851855</v>
      </c>
      <c r="I707" s="12">
        <f>-Mvt_Inter_entrepot[[#This Row],[QTE]]</f>
        <v>-5</v>
      </c>
      <c r="J707" s="11" t="s">
        <v>767</v>
      </c>
      <c r="K707" s="11" t="str">
        <f>_xlfn.TEXTBEFORE(Mvt_Inter_entrepot[[#This Row],[Num Suivis]],"-",,,1)</f>
        <v>CA250004</v>
      </c>
      <c r="L707" s="11" t="e">
        <f>_xlfn.XLOOKUP(Mvt_Inter_entrepot[[#This Row],[Num OF]],#REF!,#REF!,"Non Trouvé")</f>
        <v>#REF!</v>
      </c>
      <c r="M707" s="11" t="e">
        <f>_xlfn.XLOOKUP(Mvt_Inter_entrepot[[#This Row],[Num OF]],#REF!,#REF!,"Non Trouvé")</f>
        <v>#REF!</v>
      </c>
      <c r="N707" s="11" t="e">
        <f>_xlfn.XLOOKUP(Mvt_Inter_entrepot[[#This Row],[Num OF]],#REF!,#REF!,"Non Trouvé")</f>
        <v>#REF!</v>
      </c>
      <c r="O707" s="11" t="e">
        <f>_xlfn.XLOOKUP(Mvt_Inter_entrepot[[#This Row],[Num OF]],#REF!,#REF!,"Non Trouvé")</f>
        <v>#REF!</v>
      </c>
      <c r="P707" s="11" t="e">
        <f>_xlfn.XLOOKUP(Mvt_Inter_entrepot[[#This Row],[Num OF]],#REF!,#REF!,"Non Trouvé")</f>
        <v>#REF!</v>
      </c>
      <c r="Q707" s="11" t="str">
        <f>IF(
   COUNTIFS($A$2:A707,A707,
             $B$2:B707,B707,
             $C$2:C707,C707,
             $D$2:D707,D707,
             $E$2:E707,E707,
             $H$2:H707,H707
             )&gt;1,
   "Doublon",
   "Correcte"
)</f>
        <v>Correcte</v>
      </c>
    </row>
    <row r="708" spans="1:17" x14ac:dyDescent="0.25">
      <c r="A708" s="11" t="s">
        <v>3495</v>
      </c>
      <c r="B708" s="11" t="s">
        <v>1153</v>
      </c>
      <c r="C708" s="11" t="s">
        <v>665</v>
      </c>
      <c r="D708" s="11" t="s">
        <v>1154</v>
      </c>
      <c r="E708" s="11">
        <v>5</v>
      </c>
      <c r="F708" s="11" t="s">
        <v>699</v>
      </c>
      <c r="G708" s="11" t="s">
        <v>634</v>
      </c>
      <c r="H708" s="14">
        <v>45936.438958333332</v>
      </c>
      <c r="I708" s="12">
        <f>-Mvt_Inter_entrepot[[#This Row],[QTE]]</f>
        <v>-5</v>
      </c>
      <c r="J708" s="11" t="s">
        <v>863</v>
      </c>
      <c r="K708" s="11" t="str">
        <f>_xlfn.TEXTBEFORE(Mvt_Inter_entrepot[[#This Row],[Num Suivis]],"-",,,1)</f>
        <v>CA250013</v>
      </c>
      <c r="L708" s="11" t="e">
        <f>_xlfn.XLOOKUP(Mvt_Inter_entrepot[[#This Row],[Num OF]],#REF!,#REF!,"Non Trouvé")</f>
        <v>#REF!</v>
      </c>
      <c r="M708" s="11" t="e">
        <f>_xlfn.XLOOKUP(Mvt_Inter_entrepot[[#This Row],[Num OF]],#REF!,#REF!,"Non Trouvé")</f>
        <v>#REF!</v>
      </c>
      <c r="N708" s="11" t="e">
        <f>_xlfn.XLOOKUP(Mvt_Inter_entrepot[[#This Row],[Num OF]],#REF!,#REF!,"Non Trouvé")</f>
        <v>#REF!</v>
      </c>
      <c r="O708" s="11" t="e">
        <f>_xlfn.XLOOKUP(Mvt_Inter_entrepot[[#This Row],[Num OF]],#REF!,#REF!,"Non Trouvé")</f>
        <v>#REF!</v>
      </c>
      <c r="P708" s="11" t="e">
        <f>_xlfn.XLOOKUP(Mvt_Inter_entrepot[[#This Row],[Num OF]],#REF!,#REF!,"Non Trouvé")</f>
        <v>#REF!</v>
      </c>
      <c r="Q708" s="11" t="str">
        <f>IF(
   COUNTIFS($A$2:A708,A708,
             $B$2:B708,B708,
             $C$2:C708,C708,
             $D$2:D708,D708,
             $E$2:E708,E708,
             $H$2:H708,H708
             )&gt;1,
   "Doublon",
   "Correcte"
)</f>
        <v>Correcte</v>
      </c>
    </row>
    <row r="709" spans="1:17" x14ac:dyDescent="0.25">
      <c r="A709" s="11" t="s">
        <v>3496</v>
      </c>
      <c r="B709" s="11" t="s">
        <v>1153</v>
      </c>
      <c r="C709" s="11" t="s">
        <v>665</v>
      </c>
      <c r="D709" s="11" t="s">
        <v>1154</v>
      </c>
      <c r="E709" s="11">
        <v>5</v>
      </c>
      <c r="F709" s="11" t="s">
        <v>699</v>
      </c>
      <c r="G709" s="11" t="s">
        <v>634</v>
      </c>
      <c r="H709" s="14">
        <v>45936.43953703704</v>
      </c>
      <c r="I709" s="12">
        <f>-Mvt_Inter_entrepot[[#This Row],[QTE]]</f>
        <v>-5</v>
      </c>
      <c r="J709" s="11" t="s">
        <v>865</v>
      </c>
      <c r="K709" s="11" t="str">
        <f>_xlfn.TEXTBEFORE(Mvt_Inter_entrepot[[#This Row],[Num Suivis]],"-",,,1)</f>
        <v>CA250013</v>
      </c>
      <c r="L709" s="11" t="e">
        <f>_xlfn.XLOOKUP(Mvt_Inter_entrepot[[#This Row],[Num OF]],#REF!,#REF!,"Non Trouvé")</f>
        <v>#REF!</v>
      </c>
      <c r="M709" s="11" t="e">
        <f>_xlfn.XLOOKUP(Mvt_Inter_entrepot[[#This Row],[Num OF]],#REF!,#REF!,"Non Trouvé")</f>
        <v>#REF!</v>
      </c>
      <c r="N709" s="11" t="e">
        <f>_xlfn.XLOOKUP(Mvt_Inter_entrepot[[#This Row],[Num OF]],#REF!,#REF!,"Non Trouvé")</f>
        <v>#REF!</v>
      </c>
      <c r="O709" s="11" t="e">
        <f>_xlfn.XLOOKUP(Mvt_Inter_entrepot[[#This Row],[Num OF]],#REF!,#REF!,"Non Trouvé")</f>
        <v>#REF!</v>
      </c>
      <c r="P709" s="11" t="e">
        <f>_xlfn.XLOOKUP(Mvt_Inter_entrepot[[#This Row],[Num OF]],#REF!,#REF!,"Non Trouvé")</f>
        <v>#REF!</v>
      </c>
      <c r="Q709" s="11" t="str">
        <f>IF(
   COUNTIFS($A$2:A709,A709,
             $B$2:B709,B709,
             $C$2:C709,C709,
             $D$2:D709,D709,
             $E$2:E709,E709,
             $H$2:H709,H709
             )&gt;1,
   "Doublon",
   "Correcte"
)</f>
        <v>Correcte</v>
      </c>
    </row>
    <row r="710" spans="1:17" x14ac:dyDescent="0.25">
      <c r="A710" s="11" t="s">
        <v>3497</v>
      </c>
      <c r="B710" s="11" t="s">
        <v>1153</v>
      </c>
      <c r="C710" s="11" t="s">
        <v>665</v>
      </c>
      <c r="D710" s="11" t="s">
        <v>1154</v>
      </c>
      <c r="E710" s="11">
        <v>5</v>
      </c>
      <c r="F710" s="11" t="s">
        <v>699</v>
      </c>
      <c r="G710" s="11" t="s">
        <v>634</v>
      </c>
      <c r="H710" s="14">
        <v>45936.43986111111</v>
      </c>
      <c r="I710" s="12">
        <f>-Mvt_Inter_entrepot[[#This Row],[QTE]]</f>
        <v>-5</v>
      </c>
      <c r="J710" s="11" t="s">
        <v>811</v>
      </c>
      <c r="K710" s="11" t="str">
        <f>_xlfn.TEXTBEFORE(Mvt_Inter_entrepot[[#This Row],[Num Suivis]],"-",,,1)</f>
        <v>CA250011</v>
      </c>
      <c r="L710" s="11" t="e">
        <f>_xlfn.XLOOKUP(Mvt_Inter_entrepot[[#This Row],[Num OF]],#REF!,#REF!,"Non Trouvé")</f>
        <v>#REF!</v>
      </c>
      <c r="M710" s="11" t="e">
        <f>_xlfn.XLOOKUP(Mvt_Inter_entrepot[[#This Row],[Num OF]],#REF!,#REF!,"Non Trouvé")</f>
        <v>#REF!</v>
      </c>
      <c r="N710" s="11" t="e">
        <f>_xlfn.XLOOKUP(Mvt_Inter_entrepot[[#This Row],[Num OF]],#REF!,#REF!,"Non Trouvé")</f>
        <v>#REF!</v>
      </c>
      <c r="O710" s="11" t="e">
        <f>_xlfn.XLOOKUP(Mvt_Inter_entrepot[[#This Row],[Num OF]],#REF!,#REF!,"Non Trouvé")</f>
        <v>#REF!</v>
      </c>
      <c r="P710" s="11" t="e">
        <f>_xlfn.XLOOKUP(Mvt_Inter_entrepot[[#This Row],[Num OF]],#REF!,#REF!,"Non Trouvé")</f>
        <v>#REF!</v>
      </c>
      <c r="Q710" s="11" t="str">
        <f>IF(
   COUNTIFS($A$2:A710,A710,
             $B$2:B710,B710,
             $C$2:C710,C710,
             $D$2:D710,D710,
             $E$2:E710,E710,
             $H$2:H710,H710
             )&gt;1,
   "Doublon",
   "Correcte"
)</f>
        <v>Correcte</v>
      </c>
    </row>
    <row r="711" spans="1:17" x14ac:dyDescent="0.25">
      <c r="A711" s="11" t="s">
        <v>3498</v>
      </c>
      <c r="B711" s="11" t="s">
        <v>1153</v>
      </c>
      <c r="C711" s="11" t="s">
        <v>665</v>
      </c>
      <c r="D711" s="11" t="s">
        <v>1154</v>
      </c>
      <c r="E711" s="11">
        <v>5</v>
      </c>
      <c r="F711" s="11" t="s">
        <v>699</v>
      </c>
      <c r="G711" s="11" t="s">
        <v>634</v>
      </c>
      <c r="H711" s="14">
        <v>45936.440150462964</v>
      </c>
      <c r="I711" s="12">
        <f>-Mvt_Inter_entrepot[[#This Row],[QTE]]</f>
        <v>-5</v>
      </c>
      <c r="J711" s="11" t="s">
        <v>763</v>
      </c>
      <c r="K711" s="11" t="str">
        <f>_xlfn.TEXTBEFORE(Mvt_Inter_entrepot[[#This Row],[Num Suivis]],"-",,,1)</f>
        <v>CA250002</v>
      </c>
      <c r="L711" s="11" t="e">
        <f>_xlfn.XLOOKUP(Mvt_Inter_entrepot[[#This Row],[Num OF]],#REF!,#REF!,"Non Trouvé")</f>
        <v>#REF!</v>
      </c>
      <c r="M711" s="11" t="e">
        <f>_xlfn.XLOOKUP(Mvt_Inter_entrepot[[#This Row],[Num OF]],#REF!,#REF!,"Non Trouvé")</f>
        <v>#REF!</v>
      </c>
      <c r="N711" s="11" t="e">
        <f>_xlfn.XLOOKUP(Mvt_Inter_entrepot[[#This Row],[Num OF]],#REF!,#REF!,"Non Trouvé")</f>
        <v>#REF!</v>
      </c>
      <c r="O711" s="11" t="e">
        <f>_xlfn.XLOOKUP(Mvt_Inter_entrepot[[#This Row],[Num OF]],#REF!,#REF!,"Non Trouvé")</f>
        <v>#REF!</v>
      </c>
      <c r="P711" s="11" t="e">
        <f>_xlfn.XLOOKUP(Mvt_Inter_entrepot[[#This Row],[Num OF]],#REF!,#REF!,"Non Trouvé")</f>
        <v>#REF!</v>
      </c>
      <c r="Q711" s="11" t="str">
        <f>IF(
   COUNTIFS($A$2:A711,A711,
             $B$2:B711,B711,
             $C$2:C711,C711,
             $D$2:D711,D711,
             $E$2:E711,E711,
             $H$2:H711,H711
             )&gt;1,
   "Doublon",
   "Correcte"
)</f>
        <v>Correcte</v>
      </c>
    </row>
    <row r="712" spans="1:17" x14ac:dyDescent="0.25">
      <c r="A712" s="11" t="s">
        <v>3499</v>
      </c>
      <c r="B712" s="11" t="s">
        <v>1153</v>
      </c>
      <c r="C712" s="11" t="s">
        <v>665</v>
      </c>
      <c r="D712" s="11" t="s">
        <v>1154</v>
      </c>
      <c r="E712" s="11">
        <v>5</v>
      </c>
      <c r="F712" s="11" t="s">
        <v>699</v>
      </c>
      <c r="G712" s="11" t="s">
        <v>634</v>
      </c>
      <c r="H712" s="14">
        <v>45936.440370370372</v>
      </c>
      <c r="I712" s="12">
        <f>-Mvt_Inter_entrepot[[#This Row],[QTE]]</f>
        <v>-5</v>
      </c>
      <c r="J712" s="11" t="s">
        <v>826</v>
      </c>
      <c r="K712" s="11" t="str">
        <f>_xlfn.TEXTBEFORE(Mvt_Inter_entrepot[[#This Row],[Num Suivis]],"-",,,1)</f>
        <v>CA250010</v>
      </c>
      <c r="L712" s="11" t="e">
        <f>_xlfn.XLOOKUP(Mvt_Inter_entrepot[[#This Row],[Num OF]],#REF!,#REF!,"Non Trouvé")</f>
        <v>#REF!</v>
      </c>
      <c r="M712" s="11" t="e">
        <f>_xlfn.XLOOKUP(Mvt_Inter_entrepot[[#This Row],[Num OF]],#REF!,#REF!,"Non Trouvé")</f>
        <v>#REF!</v>
      </c>
      <c r="N712" s="11" t="e">
        <f>_xlfn.XLOOKUP(Mvt_Inter_entrepot[[#This Row],[Num OF]],#REF!,#REF!,"Non Trouvé")</f>
        <v>#REF!</v>
      </c>
      <c r="O712" s="11" t="e">
        <f>_xlfn.XLOOKUP(Mvt_Inter_entrepot[[#This Row],[Num OF]],#REF!,#REF!,"Non Trouvé")</f>
        <v>#REF!</v>
      </c>
      <c r="P712" s="11" t="e">
        <f>_xlfn.XLOOKUP(Mvt_Inter_entrepot[[#This Row],[Num OF]],#REF!,#REF!,"Non Trouvé")</f>
        <v>#REF!</v>
      </c>
      <c r="Q712" s="11" t="str">
        <f>IF(
   COUNTIFS($A$2:A712,A712,
             $B$2:B712,B712,
             $C$2:C712,C712,
             $D$2:D712,D712,
             $E$2:E712,E712,
             $H$2:H712,H712
             )&gt;1,
   "Doublon",
   "Correcte"
)</f>
        <v>Correcte</v>
      </c>
    </row>
    <row r="713" spans="1:17" x14ac:dyDescent="0.25">
      <c r="A713" s="11" t="s">
        <v>3500</v>
      </c>
      <c r="B713" s="11" t="s">
        <v>1153</v>
      </c>
      <c r="C713" s="11" t="s">
        <v>665</v>
      </c>
      <c r="D713" s="11" t="s">
        <v>1154</v>
      </c>
      <c r="E713" s="11">
        <v>5</v>
      </c>
      <c r="F713" s="11" t="s">
        <v>699</v>
      </c>
      <c r="G713" s="11" t="s">
        <v>634</v>
      </c>
      <c r="H713" s="14">
        <v>45936.440706018519</v>
      </c>
      <c r="I713" s="12">
        <f>-Mvt_Inter_entrepot[[#This Row],[QTE]]</f>
        <v>-5</v>
      </c>
      <c r="J713" s="11" t="s">
        <v>822</v>
      </c>
      <c r="K713" s="11" t="str">
        <f>_xlfn.TEXTBEFORE(Mvt_Inter_entrepot[[#This Row],[Num Suivis]],"-",,,1)</f>
        <v>CA250009</v>
      </c>
      <c r="L713" s="11" t="e">
        <f>_xlfn.XLOOKUP(Mvt_Inter_entrepot[[#This Row],[Num OF]],#REF!,#REF!,"Non Trouvé")</f>
        <v>#REF!</v>
      </c>
      <c r="M713" s="11" t="e">
        <f>_xlfn.XLOOKUP(Mvt_Inter_entrepot[[#This Row],[Num OF]],#REF!,#REF!,"Non Trouvé")</f>
        <v>#REF!</v>
      </c>
      <c r="N713" s="11" t="e">
        <f>_xlfn.XLOOKUP(Mvt_Inter_entrepot[[#This Row],[Num OF]],#REF!,#REF!,"Non Trouvé")</f>
        <v>#REF!</v>
      </c>
      <c r="O713" s="11" t="e">
        <f>_xlfn.XLOOKUP(Mvt_Inter_entrepot[[#This Row],[Num OF]],#REF!,#REF!,"Non Trouvé")</f>
        <v>#REF!</v>
      </c>
      <c r="P713" s="11" t="e">
        <f>_xlfn.XLOOKUP(Mvt_Inter_entrepot[[#This Row],[Num OF]],#REF!,#REF!,"Non Trouvé")</f>
        <v>#REF!</v>
      </c>
      <c r="Q713" s="11" t="str">
        <f>IF(
   COUNTIFS($A$2:A713,A713,
             $B$2:B713,B713,
             $C$2:C713,C713,
             $D$2:D713,D713,
             $E$2:E713,E713,
             $H$2:H713,H713
             )&gt;1,
   "Doublon",
   "Correcte"
)</f>
        <v>Correcte</v>
      </c>
    </row>
    <row r="714" spans="1:17" x14ac:dyDescent="0.25">
      <c r="A714" s="11" t="s">
        <v>3501</v>
      </c>
      <c r="B714" s="11" t="s">
        <v>1153</v>
      </c>
      <c r="C714" s="11" t="s">
        <v>665</v>
      </c>
      <c r="D714" s="11" t="s">
        <v>1154</v>
      </c>
      <c r="E714" s="11">
        <v>5</v>
      </c>
      <c r="F714" s="11" t="s">
        <v>699</v>
      </c>
      <c r="G714" s="11" t="s">
        <v>634</v>
      </c>
      <c r="H714" s="14">
        <v>45936.440995370373</v>
      </c>
      <c r="I714" s="12">
        <f>-Mvt_Inter_entrepot[[#This Row],[QTE]]</f>
        <v>-5</v>
      </c>
      <c r="J714" s="11" t="s">
        <v>829</v>
      </c>
      <c r="K714" s="11" t="str">
        <f>_xlfn.TEXTBEFORE(Mvt_Inter_entrepot[[#This Row],[Num Suivis]],"-",,,1)</f>
        <v>CA250010</v>
      </c>
      <c r="L714" s="11" t="e">
        <f>_xlfn.XLOOKUP(Mvt_Inter_entrepot[[#This Row],[Num OF]],#REF!,#REF!,"Non Trouvé")</f>
        <v>#REF!</v>
      </c>
      <c r="M714" s="11" t="e">
        <f>_xlfn.XLOOKUP(Mvt_Inter_entrepot[[#This Row],[Num OF]],#REF!,#REF!,"Non Trouvé")</f>
        <v>#REF!</v>
      </c>
      <c r="N714" s="11" t="e">
        <f>_xlfn.XLOOKUP(Mvt_Inter_entrepot[[#This Row],[Num OF]],#REF!,#REF!,"Non Trouvé")</f>
        <v>#REF!</v>
      </c>
      <c r="O714" s="11" t="e">
        <f>_xlfn.XLOOKUP(Mvt_Inter_entrepot[[#This Row],[Num OF]],#REF!,#REF!,"Non Trouvé")</f>
        <v>#REF!</v>
      </c>
      <c r="P714" s="11" t="e">
        <f>_xlfn.XLOOKUP(Mvt_Inter_entrepot[[#This Row],[Num OF]],#REF!,#REF!,"Non Trouvé")</f>
        <v>#REF!</v>
      </c>
      <c r="Q714" s="11" t="str">
        <f>IF(
   COUNTIFS($A$2:A714,A714,
             $B$2:B714,B714,
             $C$2:C714,C714,
             $D$2:D714,D714,
             $E$2:E714,E714,
             $H$2:H714,H714
             )&gt;1,
   "Doublon",
   "Correcte"
)</f>
        <v>Correcte</v>
      </c>
    </row>
    <row r="715" spans="1:17" x14ac:dyDescent="0.25">
      <c r="A715" s="11" t="s">
        <v>3502</v>
      </c>
      <c r="B715" s="11" t="s">
        <v>1153</v>
      </c>
      <c r="C715" s="11" t="s">
        <v>665</v>
      </c>
      <c r="D715" s="11" t="s">
        <v>1154</v>
      </c>
      <c r="E715" s="11">
        <v>5</v>
      </c>
      <c r="F715" s="11" t="s">
        <v>699</v>
      </c>
      <c r="G715" s="11" t="s">
        <v>634</v>
      </c>
      <c r="H715" s="14">
        <v>45936.441423611112</v>
      </c>
      <c r="I715" s="12">
        <f>-Mvt_Inter_entrepot[[#This Row],[QTE]]</f>
        <v>-5</v>
      </c>
      <c r="J715" s="11" t="s">
        <v>760</v>
      </c>
      <c r="K715" s="11" t="str">
        <f>_xlfn.TEXTBEFORE(Mvt_Inter_entrepot[[#This Row],[Num Suivis]],"-",,,1)</f>
        <v>CA250002</v>
      </c>
      <c r="L715" s="11" t="e">
        <f>_xlfn.XLOOKUP(Mvt_Inter_entrepot[[#This Row],[Num OF]],#REF!,#REF!,"Non Trouvé")</f>
        <v>#REF!</v>
      </c>
      <c r="M715" s="11" t="e">
        <f>_xlfn.XLOOKUP(Mvt_Inter_entrepot[[#This Row],[Num OF]],#REF!,#REF!,"Non Trouvé")</f>
        <v>#REF!</v>
      </c>
      <c r="N715" s="11" t="e">
        <f>_xlfn.XLOOKUP(Mvt_Inter_entrepot[[#This Row],[Num OF]],#REF!,#REF!,"Non Trouvé")</f>
        <v>#REF!</v>
      </c>
      <c r="O715" s="11" t="e">
        <f>_xlfn.XLOOKUP(Mvt_Inter_entrepot[[#This Row],[Num OF]],#REF!,#REF!,"Non Trouvé")</f>
        <v>#REF!</v>
      </c>
      <c r="P715" s="11" t="e">
        <f>_xlfn.XLOOKUP(Mvt_Inter_entrepot[[#This Row],[Num OF]],#REF!,#REF!,"Non Trouvé")</f>
        <v>#REF!</v>
      </c>
      <c r="Q715" s="11" t="str">
        <f>IF(
   COUNTIFS($A$2:A715,A715,
             $B$2:B715,B715,
             $C$2:C715,C715,
             $D$2:D715,D715,
             $E$2:E715,E715,
             $H$2:H715,H715
             )&gt;1,
   "Doublon",
   "Correcte"
)</f>
        <v>Correcte</v>
      </c>
    </row>
    <row r="716" spans="1:17" x14ac:dyDescent="0.25">
      <c r="A716" s="11" t="s">
        <v>3503</v>
      </c>
      <c r="B716" s="11" t="s">
        <v>1153</v>
      </c>
      <c r="C716" s="11" t="s">
        <v>665</v>
      </c>
      <c r="D716" s="11" t="s">
        <v>1154</v>
      </c>
      <c r="E716" s="11">
        <v>5</v>
      </c>
      <c r="F716" s="11" t="s">
        <v>699</v>
      </c>
      <c r="G716" s="11" t="s">
        <v>634</v>
      </c>
      <c r="H716" s="14">
        <v>45936.441851851851</v>
      </c>
      <c r="I716" s="12">
        <f>-Mvt_Inter_entrepot[[#This Row],[QTE]]</f>
        <v>-5</v>
      </c>
      <c r="J716" s="11" t="s">
        <v>805</v>
      </c>
      <c r="K716" s="11" t="str">
        <f>_xlfn.TEXTBEFORE(Mvt_Inter_entrepot[[#This Row],[Num Suivis]],"-",,,1)</f>
        <v>CA250011</v>
      </c>
      <c r="L716" s="11" t="e">
        <f>_xlfn.XLOOKUP(Mvt_Inter_entrepot[[#This Row],[Num OF]],#REF!,#REF!,"Non Trouvé")</f>
        <v>#REF!</v>
      </c>
      <c r="M716" s="11" t="e">
        <f>_xlfn.XLOOKUP(Mvt_Inter_entrepot[[#This Row],[Num OF]],#REF!,#REF!,"Non Trouvé")</f>
        <v>#REF!</v>
      </c>
      <c r="N716" s="11" t="e">
        <f>_xlfn.XLOOKUP(Mvt_Inter_entrepot[[#This Row],[Num OF]],#REF!,#REF!,"Non Trouvé")</f>
        <v>#REF!</v>
      </c>
      <c r="O716" s="11" t="e">
        <f>_xlfn.XLOOKUP(Mvt_Inter_entrepot[[#This Row],[Num OF]],#REF!,#REF!,"Non Trouvé")</f>
        <v>#REF!</v>
      </c>
      <c r="P716" s="11" t="e">
        <f>_xlfn.XLOOKUP(Mvt_Inter_entrepot[[#This Row],[Num OF]],#REF!,#REF!,"Non Trouvé")</f>
        <v>#REF!</v>
      </c>
      <c r="Q716" s="11" t="str">
        <f>IF(
   COUNTIFS($A$2:A716,A716,
             $B$2:B716,B716,
             $C$2:C716,C716,
             $D$2:D716,D716,
             $E$2:E716,E716,
             $H$2:H716,H716
             )&gt;1,
   "Doublon",
   "Correcte"
)</f>
        <v>Correcte</v>
      </c>
    </row>
    <row r="717" spans="1:17" x14ac:dyDescent="0.25">
      <c r="A717" s="11" t="s">
        <v>3504</v>
      </c>
      <c r="B717" s="11" t="s">
        <v>1153</v>
      </c>
      <c r="C717" s="11" t="s">
        <v>665</v>
      </c>
      <c r="D717" s="11" t="s">
        <v>1154</v>
      </c>
      <c r="E717" s="11">
        <v>5</v>
      </c>
      <c r="F717" s="11" t="s">
        <v>699</v>
      </c>
      <c r="G717" s="11" t="s">
        <v>634</v>
      </c>
      <c r="H717" s="14">
        <v>45936.442280092589</v>
      </c>
      <c r="I717" s="12">
        <f>-Mvt_Inter_entrepot[[#This Row],[QTE]]</f>
        <v>-5</v>
      </c>
      <c r="J717" s="11" t="s">
        <v>812</v>
      </c>
      <c r="K717" s="11" t="str">
        <f>_xlfn.TEXTBEFORE(Mvt_Inter_entrepot[[#This Row],[Num Suivis]],"-",,,1)</f>
        <v>CA250011</v>
      </c>
      <c r="L717" s="11" t="e">
        <f>_xlfn.XLOOKUP(Mvt_Inter_entrepot[[#This Row],[Num OF]],#REF!,#REF!,"Non Trouvé")</f>
        <v>#REF!</v>
      </c>
      <c r="M717" s="11" t="e">
        <f>_xlfn.XLOOKUP(Mvt_Inter_entrepot[[#This Row],[Num OF]],#REF!,#REF!,"Non Trouvé")</f>
        <v>#REF!</v>
      </c>
      <c r="N717" s="11" t="e">
        <f>_xlfn.XLOOKUP(Mvt_Inter_entrepot[[#This Row],[Num OF]],#REF!,#REF!,"Non Trouvé")</f>
        <v>#REF!</v>
      </c>
      <c r="O717" s="11" t="e">
        <f>_xlfn.XLOOKUP(Mvt_Inter_entrepot[[#This Row],[Num OF]],#REF!,#REF!,"Non Trouvé")</f>
        <v>#REF!</v>
      </c>
      <c r="P717" s="11" t="e">
        <f>_xlfn.XLOOKUP(Mvt_Inter_entrepot[[#This Row],[Num OF]],#REF!,#REF!,"Non Trouvé")</f>
        <v>#REF!</v>
      </c>
      <c r="Q717" s="11" t="str">
        <f>IF(
   COUNTIFS($A$2:A717,A717,
             $B$2:B717,B717,
             $C$2:C717,C717,
             $D$2:D717,D717,
             $E$2:E717,E717,
             $H$2:H717,H717
             )&gt;1,
   "Doublon",
   "Correcte"
)</f>
        <v>Correcte</v>
      </c>
    </row>
    <row r="718" spans="1:17" x14ac:dyDescent="0.25">
      <c r="A718" s="11" t="s">
        <v>3505</v>
      </c>
      <c r="B718" s="11" t="s">
        <v>1153</v>
      </c>
      <c r="C718" s="11" t="s">
        <v>665</v>
      </c>
      <c r="D718" s="11" t="s">
        <v>1154</v>
      </c>
      <c r="E718" s="11">
        <v>5</v>
      </c>
      <c r="F718" s="11" t="s">
        <v>699</v>
      </c>
      <c r="G718" s="11" t="s">
        <v>634</v>
      </c>
      <c r="H718" s="14">
        <v>45936.442604166667</v>
      </c>
      <c r="I718" s="12">
        <f>-Mvt_Inter_entrepot[[#This Row],[QTE]]</f>
        <v>-5</v>
      </c>
      <c r="J718" s="11" t="s">
        <v>804</v>
      </c>
      <c r="K718" s="11" t="str">
        <f>_xlfn.TEXTBEFORE(Mvt_Inter_entrepot[[#This Row],[Num Suivis]],"-",,,1)</f>
        <v>CA250011</v>
      </c>
      <c r="L718" s="11" t="e">
        <f>_xlfn.XLOOKUP(Mvt_Inter_entrepot[[#This Row],[Num OF]],#REF!,#REF!,"Non Trouvé")</f>
        <v>#REF!</v>
      </c>
      <c r="M718" s="11" t="e">
        <f>_xlfn.XLOOKUP(Mvt_Inter_entrepot[[#This Row],[Num OF]],#REF!,#REF!,"Non Trouvé")</f>
        <v>#REF!</v>
      </c>
      <c r="N718" s="11" t="e">
        <f>_xlfn.XLOOKUP(Mvt_Inter_entrepot[[#This Row],[Num OF]],#REF!,#REF!,"Non Trouvé")</f>
        <v>#REF!</v>
      </c>
      <c r="O718" s="11" t="e">
        <f>_xlfn.XLOOKUP(Mvt_Inter_entrepot[[#This Row],[Num OF]],#REF!,#REF!,"Non Trouvé")</f>
        <v>#REF!</v>
      </c>
      <c r="P718" s="11" t="e">
        <f>_xlfn.XLOOKUP(Mvt_Inter_entrepot[[#This Row],[Num OF]],#REF!,#REF!,"Non Trouvé")</f>
        <v>#REF!</v>
      </c>
      <c r="Q718" s="11" t="str">
        <f>IF(
   COUNTIFS($A$2:A718,A718,
             $B$2:B718,B718,
             $C$2:C718,C718,
             $D$2:D718,D718,
             $E$2:E718,E718,
             $H$2:H718,H718
             )&gt;1,
   "Doublon",
   "Correcte"
)</f>
        <v>Correcte</v>
      </c>
    </row>
    <row r="719" spans="1:17" x14ac:dyDescent="0.25">
      <c r="A719" s="11" t="s">
        <v>3506</v>
      </c>
      <c r="B719" s="11" t="s">
        <v>1153</v>
      </c>
      <c r="C719" s="11" t="s">
        <v>665</v>
      </c>
      <c r="D719" s="11" t="s">
        <v>1154</v>
      </c>
      <c r="E719" s="11">
        <v>5</v>
      </c>
      <c r="F719" s="11" t="s">
        <v>699</v>
      </c>
      <c r="G719" s="11" t="s">
        <v>634</v>
      </c>
      <c r="H719" s="14">
        <v>45936.442986111113</v>
      </c>
      <c r="I719" s="12">
        <f>-Mvt_Inter_entrepot[[#This Row],[QTE]]</f>
        <v>-5</v>
      </c>
      <c r="J719" s="11" t="s">
        <v>823</v>
      </c>
      <c r="K719" s="11" t="str">
        <f>_xlfn.TEXTBEFORE(Mvt_Inter_entrepot[[#This Row],[Num Suivis]],"-",,,1)</f>
        <v>CA250009</v>
      </c>
      <c r="L719" s="11" t="e">
        <f>_xlfn.XLOOKUP(Mvt_Inter_entrepot[[#This Row],[Num OF]],#REF!,#REF!,"Non Trouvé")</f>
        <v>#REF!</v>
      </c>
      <c r="M719" s="11" t="e">
        <f>_xlfn.XLOOKUP(Mvt_Inter_entrepot[[#This Row],[Num OF]],#REF!,#REF!,"Non Trouvé")</f>
        <v>#REF!</v>
      </c>
      <c r="N719" s="11" t="e">
        <f>_xlfn.XLOOKUP(Mvt_Inter_entrepot[[#This Row],[Num OF]],#REF!,#REF!,"Non Trouvé")</f>
        <v>#REF!</v>
      </c>
      <c r="O719" s="11" t="e">
        <f>_xlfn.XLOOKUP(Mvt_Inter_entrepot[[#This Row],[Num OF]],#REF!,#REF!,"Non Trouvé")</f>
        <v>#REF!</v>
      </c>
      <c r="P719" s="11" t="e">
        <f>_xlfn.XLOOKUP(Mvt_Inter_entrepot[[#This Row],[Num OF]],#REF!,#REF!,"Non Trouvé")</f>
        <v>#REF!</v>
      </c>
      <c r="Q719" s="11" t="str">
        <f>IF(
   COUNTIFS($A$2:A719,A719,
             $B$2:B719,B719,
             $C$2:C719,C719,
             $D$2:D719,D719,
             $E$2:E719,E719,
             $H$2:H719,H719
             )&gt;1,
   "Doublon",
   "Correcte"
)</f>
        <v>Correcte</v>
      </c>
    </row>
    <row r="720" spans="1:17" x14ac:dyDescent="0.25">
      <c r="A720" s="11" t="s">
        <v>3507</v>
      </c>
      <c r="B720" s="11" t="s">
        <v>1153</v>
      </c>
      <c r="C720" s="11" t="s">
        <v>665</v>
      </c>
      <c r="D720" s="11" t="s">
        <v>1154</v>
      </c>
      <c r="E720" s="11">
        <v>5</v>
      </c>
      <c r="F720" s="11" t="s">
        <v>699</v>
      </c>
      <c r="G720" s="11" t="s">
        <v>634</v>
      </c>
      <c r="H720" s="14">
        <v>45936.44321759259</v>
      </c>
      <c r="I720" s="12">
        <f>-Mvt_Inter_entrepot[[#This Row],[QTE]]</f>
        <v>-5</v>
      </c>
      <c r="J720" s="11" t="s">
        <v>803</v>
      </c>
      <c r="K720" s="11" t="str">
        <f>_xlfn.TEXTBEFORE(Mvt_Inter_entrepot[[#This Row],[Num Suivis]],"-",,,1)</f>
        <v>CA250011</v>
      </c>
      <c r="L720" s="11" t="e">
        <f>_xlfn.XLOOKUP(Mvt_Inter_entrepot[[#This Row],[Num OF]],#REF!,#REF!,"Non Trouvé")</f>
        <v>#REF!</v>
      </c>
      <c r="M720" s="11" t="e">
        <f>_xlfn.XLOOKUP(Mvt_Inter_entrepot[[#This Row],[Num OF]],#REF!,#REF!,"Non Trouvé")</f>
        <v>#REF!</v>
      </c>
      <c r="N720" s="11" t="e">
        <f>_xlfn.XLOOKUP(Mvt_Inter_entrepot[[#This Row],[Num OF]],#REF!,#REF!,"Non Trouvé")</f>
        <v>#REF!</v>
      </c>
      <c r="O720" s="11" t="e">
        <f>_xlfn.XLOOKUP(Mvt_Inter_entrepot[[#This Row],[Num OF]],#REF!,#REF!,"Non Trouvé")</f>
        <v>#REF!</v>
      </c>
      <c r="P720" s="11" t="e">
        <f>_xlfn.XLOOKUP(Mvt_Inter_entrepot[[#This Row],[Num OF]],#REF!,#REF!,"Non Trouvé")</f>
        <v>#REF!</v>
      </c>
      <c r="Q720" s="11" t="str">
        <f>IF(
   COUNTIFS($A$2:A720,A720,
             $B$2:B720,B720,
             $C$2:C720,C720,
             $D$2:D720,D720,
             $E$2:E720,E720,
             $H$2:H720,H720
             )&gt;1,
   "Doublon",
   "Correcte"
)</f>
        <v>Correcte</v>
      </c>
    </row>
    <row r="721" spans="1:17" x14ac:dyDescent="0.25">
      <c r="A721" s="11" t="s">
        <v>3508</v>
      </c>
      <c r="B721" s="11" t="s">
        <v>1153</v>
      </c>
      <c r="C721" s="11" t="s">
        <v>665</v>
      </c>
      <c r="D721" s="11" t="s">
        <v>1154</v>
      </c>
      <c r="E721" s="11">
        <v>5</v>
      </c>
      <c r="F721" s="11" t="s">
        <v>699</v>
      </c>
      <c r="G721" s="11" t="s">
        <v>634</v>
      </c>
      <c r="H721" s="14">
        <v>45936.443425925929</v>
      </c>
      <c r="I721" s="12">
        <f>-Mvt_Inter_entrepot[[#This Row],[QTE]]</f>
        <v>-5</v>
      </c>
      <c r="J721" s="11" t="s">
        <v>824</v>
      </c>
      <c r="K721" s="11" t="str">
        <f>_xlfn.TEXTBEFORE(Mvt_Inter_entrepot[[#This Row],[Num Suivis]],"-",,,1)</f>
        <v>CA250009</v>
      </c>
      <c r="L721" s="11" t="e">
        <f>_xlfn.XLOOKUP(Mvt_Inter_entrepot[[#This Row],[Num OF]],#REF!,#REF!,"Non Trouvé")</f>
        <v>#REF!</v>
      </c>
      <c r="M721" s="11" t="e">
        <f>_xlfn.XLOOKUP(Mvt_Inter_entrepot[[#This Row],[Num OF]],#REF!,#REF!,"Non Trouvé")</f>
        <v>#REF!</v>
      </c>
      <c r="N721" s="11" t="e">
        <f>_xlfn.XLOOKUP(Mvt_Inter_entrepot[[#This Row],[Num OF]],#REF!,#REF!,"Non Trouvé")</f>
        <v>#REF!</v>
      </c>
      <c r="O721" s="11" t="e">
        <f>_xlfn.XLOOKUP(Mvt_Inter_entrepot[[#This Row],[Num OF]],#REF!,#REF!,"Non Trouvé")</f>
        <v>#REF!</v>
      </c>
      <c r="P721" s="11" t="e">
        <f>_xlfn.XLOOKUP(Mvt_Inter_entrepot[[#This Row],[Num OF]],#REF!,#REF!,"Non Trouvé")</f>
        <v>#REF!</v>
      </c>
      <c r="Q721" s="11" t="str">
        <f>IF(
   COUNTIFS($A$2:A721,A721,
             $B$2:B721,B721,
             $C$2:C721,C721,
             $D$2:D721,D721,
             $E$2:E721,E721,
             $H$2:H721,H721
             )&gt;1,
   "Doublon",
   "Correcte"
)</f>
        <v>Correcte</v>
      </c>
    </row>
    <row r="722" spans="1:17" x14ac:dyDescent="0.25">
      <c r="A722" s="11" t="s">
        <v>3509</v>
      </c>
      <c r="B722" s="11" t="s">
        <v>1153</v>
      </c>
      <c r="C722" s="11" t="s">
        <v>665</v>
      </c>
      <c r="D722" s="11" t="s">
        <v>1154</v>
      </c>
      <c r="E722" s="11">
        <v>4</v>
      </c>
      <c r="F722" s="11" t="s">
        <v>699</v>
      </c>
      <c r="G722" s="11" t="s">
        <v>634</v>
      </c>
      <c r="H722" s="14">
        <v>45936.443865740737</v>
      </c>
      <c r="I722" s="12">
        <f>-Mvt_Inter_entrepot[[#This Row],[QTE]]</f>
        <v>-4</v>
      </c>
      <c r="J722" s="11" t="s">
        <v>808</v>
      </c>
      <c r="K722" s="11" t="str">
        <f>_xlfn.TEXTBEFORE(Mvt_Inter_entrepot[[#This Row],[Num Suivis]],"-",,,1)</f>
        <v>CA250011</v>
      </c>
      <c r="L722" s="11" t="e">
        <f>_xlfn.XLOOKUP(Mvt_Inter_entrepot[[#This Row],[Num OF]],#REF!,#REF!,"Non Trouvé")</f>
        <v>#REF!</v>
      </c>
      <c r="M722" s="11" t="e">
        <f>_xlfn.XLOOKUP(Mvt_Inter_entrepot[[#This Row],[Num OF]],#REF!,#REF!,"Non Trouvé")</f>
        <v>#REF!</v>
      </c>
      <c r="N722" s="11" t="e">
        <f>_xlfn.XLOOKUP(Mvt_Inter_entrepot[[#This Row],[Num OF]],#REF!,#REF!,"Non Trouvé")</f>
        <v>#REF!</v>
      </c>
      <c r="O722" s="11" t="e">
        <f>_xlfn.XLOOKUP(Mvt_Inter_entrepot[[#This Row],[Num OF]],#REF!,#REF!,"Non Trouvé")</f>
        <v>#REF!</v>
      </c>
      <c r="P722" s="11" t="e">
        <f>_xlfn.XLOOKUP(Mvt_Inter_entrepot[[#This Row],[Num OF]],#REF!,#REF!,"Non Trouvé")</f>
        <v>#REF!</v>
      </c>
      <c r="Q722" s="11" t="str">
        <f>IF(
   COUNTIFS($A$2:A722,A722,
             $B$2:B722,B722,
             $C$2:C722,C722,
             $D$2:D722,D722,
             $E$2:E722,E722,
             $H$2:H722,H722
             )&gt;1,
   "Doublon",
   "Correcte"
)</f>
        <v>Correcte</v>
      </c>
    </row>
    <row r="723" spans="1:17" x14ac:dyDescent="0.25">
      <c r="A723" s="11" t="s">
        <v>3510</v>
      </c>
      <c r="B723" s="11" t="s">
        <v>1153</v>
      </c>
      <c r="C723" s="11" t="s">
        <v>665</v>
      </c>
      <c r="D723" s="11" t="s">
        <v>1154</v>
      </c>
      <c r="E723" s="11">
        <v>5</v>
      </c>
      <c r="F723" s="11" t="s">
        <v>699</v>
      </c>
      <c r="G723" s="11" t="s">
        <v>634</v>
      </c>
      <c r="H723" s="14">
        <v>45936.444201388891</v>
      </c>
      <c r="I723" s="12">
        <f>-Mvt_Inter_entrepot[[#This Row],[QTE]]</f>
        <v>-5</v>
      </c>
      <c r="J723" s="11" t="s">
        <v>761</v>
      </c>
      <c r="K723" s="11" t="str">
        <f>_xlfn.TEXTBEFORE(Mvt_Inter_entrepot[[#This Row],[Num Suivis]],"-",,,1)</f>
        <v>CA250002</v>
      </c>
      <c r="L723" s="11" t="e">
        <f>_xlfn.XLOOKUP(Mvt_Inter_entrepot[[#This Row],[Num OF]],#REF!,#REF!,"Non Trouvé")</f>
        <v>#REF!</v>
      </c>
      <c r="M723" s="11" t="e">
        <f>_xlfn.XLOOKUP(Mvt_Inter_entrepot[[#This Row],[Num OF]],#REF!,#REF!,"Non Trouvé")</f>
        <v>#REF!</v>
      </c>
      <c r="N723" s="11" t="e">
        <f>_xlfn.XLOOKUP(Mvt_Inter_entrepot[[#This Row],[Num OF]],#REF!,#REF!,"Non Trouvé")</f>
        <v>#REF!</v>
      </c>
      <c r="O723" s="11" t="e">
        <f>_xlfn.XLOOKUP(Mvt_Inter_entrepot[[#This Row],[Num OF]],#REF!,#REF!,"Non Trouvé")</f>
        <v>#REF!</v>
      </c>
      <c r="P723" s="11" t="e">
        <f>_xlfn.XLOOKUP(Mvt_Inter_entrepot[[#This Row],[Num OF]],#REF!,#REF!,"Non Trouvé")</f>
        <v>#REF!</v>
      </c>
      <c r="Q723" s="11" t="str">
        <f>IF(
   COUNTIFS($A$2:A723,A723,
             $B$2:B723,B723,
             $C$2:C723,C723,
             $D$2:D723,D723,
             $E$2:E723,E723,
             $H$2:H723,H723
             )&gt;1,
   "Doublon",
   "Correcte"
)</f>
        <v>Correcte</v>
      </c>
    </row>
    <row r="724" spans="1:17" x14ac:dyDescent="0.25">
      <c r="A724" s="11" t="s">
        <v>3511</v>
      </c>
      <c r="B724" s="11" t="s">
        <v>1153</v>
      </c>
      <c r="C724" s="11" t="s">
        <v>665</v>
      </c>
      <c r="D724" s="11" t="s">
        <v>1154</v>
      </c>
      <c r="E724" s="11">
        <v>5</v>
      </c>
      <c r="F724" s="11" t="s">
        <v>699</v>
      </c>
      <c r="G724" s="11" t="s">
        <v>634</v>
      </c>
      <c r="H724" s="14">
        <v>45936.444756944446</v>
      </c>
      <c r="I724" s="12">
        <f>-Mvt_Inter_entrepot[[#This Row],[QTE]]</f>
        <v>-5</v>
      </c>
      <c r="J724" s="11" t="s">
        <v>832</v>
      </c>
      <c r="K724" s="11" t="str">
        <f>_xlfn.TEXTBEFORE(Mvt_Inter_entrepot[[#This Row],[Num Suivis]],"-",,,1)</f>
        <v>CA250010</v>
      </c>
      <c r="L724" s="11" t="e">
        <f>_xlfn.XLOOKUP(Mvt_Inter_entrepot[[#This Row],[Num OF]],#REF!,#REF!,"Non Trouvé")</f>
        <v>#REF!</v>
      </c>
      <c r="M724" s="11" t="e">
        <f>_xlfn.XLOOKUP(Mvt_Inter_entrepot[[#This Row],[Num OF]],#REF!,#REF!,"Non Trouvé")</f>
        <v>#REF!</v>
      </c>
      <c r="N724" s="11" t="e">
        <f>_xlfn.XLOOKUP(Mvt_Inter_entrepot[[#This Row],[Num OF]],#REF!,#REF!,"Non Trouvé")</f>
        <v>#REF!</v>
      </c>
      <c r="O724" s="11" t="e">
        <f>_xlfn.XLOOKUP(Mvt_Inter_entrepot[[#This Row],[Num OF]],#REF!,#REF!,"Non Trouvé")</f>
        <v>#REF!</v>
      </c>
      <c r="P724" s="11" t="e">
        <f>_xlfn.XLOOKUP(Mvt_Inter_entrepot[[#This Row],[Num OF]],#REF!,#REF!,"Non Trouvé")</f>
        <v>#REF!</v>
      </c>
      <c r="Q724" s="11" t="str">
        <f>IF(
   COUNTIFS($A$2:A724,A724,
             $B$2:B724,B724,
             $C$2:C724,C724,
             $D$2:D724,D724,
             $E$2:E724,E724,
             $H$2:H724,H724
             )&gt;1,
   "Doublon",
   "Correcte"
)</f>
        <v>Correcte</v>
      </c>
    </row>
    <row r="725" spans="1:17" x14ac:dyDescent="0.25">
      <c r="A725" s="11" t="s">
        <v>3512</v>
      </c>
      <c r="B725" s="11" t="s">
        <v>1153</v>
      </c>
      <c r="C725" s="11" t="s">
        <v>665</v>
      </c>
      <c r="D725" s="11" t="s">
        <v>1154</v>
      </c>
      <c r="E725" s="11">
        <v>5</v>
      </c>
      <c r="F725" s="11" t="s">
        <v>699</v>
      </c>
      <c r="G725" s="11" t="s">
        <v>634</v>
      </c>
      <c r="H725" s="14">
        <v>45936.445</v>
      </c>
      <c r="I725" s="12">
        <f>-Mvt_Inter_entrepot[[#This Row],[QTE]]</f>
        <v>-5</v>
      </c>
      <c r="J725" s="11" t="s">
        <v>835</v>
      </c>
      <c r="K725" s="11" t="str">
        <f>_xlfn.TEXTBEFORE(Mvt_Inter_entrepot[[#This Row],[Num Suivis]],"-",,,1)</f>
        <v>CA250010</v>
      </c>
      <c r="L725" s="11" t="e">
        <f>_xlfn.XLOOKUP(Mvt_Inter_entrepot[[#This Row],[Num OF]],#REF!,#REF!,"Non Trouvé")</f>
        <v>#REF!</v>
      </c>
      <c r="M725" s="11" t="e">
        <f>_xlfn.XLOOKUP(Mvt_Inter_entrepot[[#This Row],[Num OF]],#REF!,#REF!,"Non Trouvé")</f>
        <v>#REF!</v>
      </c>
      <c r="N725" s="11" t="e">
        <f>_xlfn.XLOOKUP(Mvt_Inter_entrepot[[#This Row],[Num OF]],#REF!,#REF!,"Non Trouvé")</f>
        <v>#REF!</v>
      </c>
      <c r="O725" s="11" t="e">
        <f>_xlfn.XLOOKUP(Mvt_Inter_entrepot[[#This Row],[Num OF]],#REF!,#REF!,"Non Trouvé")</f>
        <v>#REF!</v>
      </c>
      <c r="P725" s="11" t="e">
        <f>_xlfn.XLOOKUP(Mvt_Inter_entrepot[[#This Row],[Num OF]],#REF!,#REF!,"Non Trouvé")</f>
        <v>#REF!</v>
      </c>
      <c r="Q725" s="11" t="str">
        <f>IF(
   COUNTIFS($A$2:A725,A725,
             $B$2:B725,B725,
             $C$2:C725,C725,
             $D$2:D725,D725,
             $E$2:E725,E725,
             $H$2:H725,H725
             )&gt;1,
   "Doublon",
   "Correcte"
)</f>
        <v>Correcte</v>
      </c>
    </row>
    <row r="726" spans="1:17" x14ac:dyDescent="0.25">
      <c r="A726" s="11" t="s">
        <v>3513</v>
      </c>
      <c r="B726" s="11" t="s">
        <v>1153</v>
      </c>
      <c r="C726" s="11" t="s">
        <v>665</v>
      </c>
      <c r="D726" s="11" t="s">
        <v>1154</v>
      </c>
      <c r="E726" s="11">
        <v>5</v>
      </c>
      <c r="F726" s="11" t="s">
        <v>699</v>
      </c>
      <c r="G726" s="11" t="s">
        <v>634</v>
      </c>
      <c r="H726" s="14">
        <v>45936.445451388892</v>
      </c>
      <c r="I726" s="12">
        <f>-Mvt_Inter_entrepot[[#This Row],[QTE]]</f>
        <v>-5</v>
      </c>
      <c r="J726" s="11" t="s">
        <v>807</v>
      </c>
      <c r="K726" s="11" t="str">
        <f>_xlfn.TEXTBEFORE(Mvt_Inter_entrepot[[#This Row],[Num Suivis]],"-",,,1)</f>
        <v>CA250011</v>
      </c>
      <c r="L726" s="11" t="e">
        <f>_xlfn.XLOOKUP(Mvt_Inter_entrepot[[#This Row],[Num OF]],#REF!,#REF!,"Non Trouvé")</f>
        <v>#REF!</v>
      </c>
      <c r="M726" s="11" t="e">
        <f>_xlfn.XLOOKUP(Mvt_Inter_entrepot[[#This Row],[Num OF]],#REF!,#REF!,"Non Trouvé")</f>
        <v>#REF!</v>
      </c>
      <c r="N726" s="11" t="e">
        <f>_xlfn.XLOOKUP(Mvt_Inter_entrepot[[#This Row],[Num OF]],#REF!,#REF!,"Non Trouvé")</f>
        <v>#REF!</v>
      </c>
      <c r="O726" s="11" t="e">
        <f>_xlfn.XLOOKUP(Mvt_Inter_entrepot[[#This Row],[Num OF]],#REF!,#REF!,"Non Trouvé")</f>
        <v>#REF!</v>
      </c>
      <c r="P726" s="11" t="e">
        <f>_xlfn.XLOOKUP(Mvt_Inter_entrepot[[#This Row],[Num OF]],#REF!,#REF!,"Non Trouvé")</f>
        <v>#REF!</v>
      </c>
      <c r="Q726" s="11" t="str">
        <f>IF(
   COUNTIFS($A$2:A726,A726,
             $B$2:B726,B726,
             $C$2:C726,C726,
             $D$2:D726,D726,
             $E$2:E726,E726,
             $H$2:H726,H726
             )&gt;1,
   "Doublon",
   "Correcte"
)</f>
        <v>Correcte</v>
      </c>
    </row>
    <row r="727" spans="1:17" x14ac:dyDescent="0.25">
      <c r="A727" s="11" t="s">
        <v>3514</v>
      </c>
      <c r="B727" s="11" t="s">
        <v>1153</v>
      </c>
      <c r="C727" s="11" t="s">
        <v>665</v>
      </c>
      <c r="D727" s="11" t="s">
        <v>1154</v>
      </c>
      <c r="E727" s="11">
        <v>5</v>
      </c>
      <c r="F727" s="11" t="s">
        <v>699</v>
      </c>
      <c r="G727" s="11" t="s">
        <v>634</v>
      </c>
      <c r="H727" s="14">
        <v>45936.445740740739</v>
      </c>
      <c r="I727" s="12">
        <f>-Mvt_Inter_entrepot[[#This Row],[QTE]]</f>
        <v>-5</v>
      </c>
      <c r="J727" s="11" t="s">
        <v>806</v>
      </c>
      <c r="K727" s="11" t="str">
        <f>_xlfn.TEXTBEFORE(Mvt_Inter_entrepot[[#This Row],[Num Suivis]],"-",,,1)</f>
        <v>CA250011</v>
      </c>
      <c r="L727" s="11" t="e">
        <f>_xlfn.XLOOKUP(Mvt_Inter_entrepot[[#This Row],[Num OF]],#REF!,#REF!,"Non Trouvé")</f>
        <v>#REF!</v>
      </c>
      <c r="M727" s="11" t="e">
        <f>_xlfn.XLOOKUP(Mvt_Inter_entrepot[[#This Row],[Num OF]],#REF!,#REF!,"Non Trouvé")</f>
        <v>#REF!</v>
      </c>
      <c r="N727" s="11" t="e">
        <f>_xlfn.XLOOKUP(Mvt_Inter_entrepot[[#This Row],[Num OF]],#REF!,#REF!,"Non Trouvé")</f>
        <v>#REF!</v>
      </c>
      <c r="O727" s="11" t="e">
        <f>_xlfn.XLOOKUP(Mvt_Inter_entrepot[[#This Row],[Num OF]],#REF!,#REF!,"Non Trouvé")</f>
        <v>#REF!</v>
      </c>
      <c r="P727" s="11" t="e">
        <f>_xlfn.XLOOKUP(Mvt_Inter_entrepot[[#This Row],[Num OF]],#REF!,#REF!,"Non Trouvé")</f>
        <v>#REF!</v>
      </c>
      <c r="Q727" s="11" t="str">
        <f>IF(
   COUNTIFS($A$2:A727,A727,
             $B$2:B727,B727,
             $C$2:C727,C727,
             $D$2:D727,D727,
             $E$2:E727,E727,
             $H$2:H727,H727
             )&gt;1,
   "Doublon",
   "Correcte"
)</f>
        <v>Correcte</v>
      </c>
    </row>
    <row r="728" spans="1:17" x14ac:dyDescent="0.25">
      <c r="A728" s="11" t="s">
        <v>3515</v>
      </c>
      <c r="B728" s="11" t="s">
        <v>1153</v>
      </c>
      <c r="C728" s="11" t="s">
        <v>665</v>
      </c>
      <c r="D728" s="11" t="s">
        <v>1154</v>
      </c>
      <c r="E728" s="11">
        <v>5</v>
      </c>
      <c r="F728" s="11" t="s">
        <v>699</v>
      </c>
      <c r="G728" s="11" t="s">
        <v>634</v>
      </c>
      <c r="H728" s="14">
        <v>45936.446203703701</v>
      </c>
      <c r="I728" s="12">
        <f>-Mvt_Inter_entrepot[[#This Row],[QTE]]</f>
        <v>-5</v>
      </c>
      <c r="J728" s="11" t="s">
        <v>825</v>
      </c>
      <c r="K728" s="11" t="str">
        <f>_xlfn.TEXTBEFORE(Mvt_Inter_entrepot[[#This Row],[Num Suivis]],"-",,,1)</f>
        <v>CA250009</v>
      </c>
      <c r="L728" s="11" t="e">
        <f>_xlfn.XLOOKUP(Mvt_Inter_entrepot[[#This Row],[Num OF]],#REF!,#REF!,"Non Trouvé")</f>
        <v>#REF!</v>
      </c>
      <c r="M728" s="11" t="e">
        <f>_xlfn.XLOOKUP(Mvt_Inter_entrepot[[#This Row],[Num OF]],#REF!,#REF!,"Non Trouvé")</f>
        <v>#REF!</v>
      </c>
      <c r="N728" s="11" t="e">
        <f>_xlfn.XLOOKUP(Mvt_Inter_entrepot[[#This Row],[Num OF]],#REF!,#REF!,"Non Trouvé")</f>
        <v>#REF!</v>
      </c>
      <c r="O728" s="11" t="e">
        <f>_xlfn.XLOOKUP(Mvt_Inter_entrepot[[#This Row],[Num OF]],#REF!,#REF!,"Non Trouvé")</f>
        <v>#REF!</v>
      </c>
      <c r="P728" s="11" t="e">
        <f>_xlfn.XLOOKUP(Mvt_Inter_entrepot[[#This Row],[Num OF]],#REF!,#REF!,"Non Trouvé")</f>
        <v>#REF!</v>
      </c>
      <c r="Q728" s="11" t="str">
        <f>IF(
   COUNTIFS($A$2:A728,A728,
             $B$2:B728,B728,
             $C$2:C728,C728,
             $D$2:D728,D728,
             $E$2:E728,E728,
             $H$2:H728,H728
             )&gt;1,
   "Doublon",
   "Correcte"
)</f>
        <v>Correcte</v>
      </c>
    </row>
    <row r="729" spans="1:17" x14ac:dyDescent="0.25">
      <c r="A729" s="11" t="s">
        <v>3516</v>
      </c>
      <c r="B729" s="11" t="s">
        <v>1153</v>
      </c>
      <c r="C729" s="11" t="s">
        <v>665</v>
      </c>
      <c r="D729" s="11" t="s">
        <v>1154</v>
      </c>
      <c r="E729" s="11">
        <v>5</v>
      </c>
      <c r="F729" s="11" t="s">
        <v>699</v>
      </c>
      <c r="G729" s="11" t="s">
        <v>634</v>
      </c>
      <c r="H729" s="14">
        <v>45936.446736111109</v>
      </c>
      <c r="I729" s="12">
        <f>-Mvt_Inter_entrepot[[#This Row],[QTE]]</f>
        <v>-5</v>
      </c>
      <c r="J729" s="11" t="s">
        <v>762</v>
      </c>
      <c r="K729" s="11" t="str">
        <f>_xlfn.TEXTBEFORE(Mvt_Inter_entrepot[[#This Row],[Num Suivis]],"-",,,1)</f>
        <v>CA250002</v>
      </c>
      <c r="L729" s="11" t="e">
        <f>_xlfn.XLOOKUP(Mvt_Inter_entrepot[[#This Row],[Num OF]],#REF!,#REF!,"Non Trouvé")</f>
        <v>#REF!</v>
      </c>
      <c r="M729" s="11" t="e">
        <f>_xlfn.XLOOKUP(Mvt_Inter_entrepot[[#This Row],[Num OF]],#REF!,#REF!,"Non Trouvé")</f>
        <v>#REF!</v>
      </c>
      <c r="N729" s="11" t="e">
        <f>_xlfn.XLOOKUP(Mvt_Inter_entrepot[[#This Row],[Num OF]],#REF!,#REF!,"Non Trouvé")</f>
        <v>#REF!</v>
      </c>
      <c r="O729" s="11" t="e">
        <f>_xlfn.XLOOKUP(Mvt_Inter_entrepot[[#This Row],[Num OF]],#REF!,#REF!,"Non Trouvé")</f>
        <v>#REF!</v>
      </c>
      <c r="P729" s="11" t="e">
        <f>_xlfn.XLOOKUP(Mvt_Inter_entrepot[[#This Row],[Num OF]],#REF!,#REF!,"Non Trouvé")</f>
        <v>#REF!</v>
      </c>
      <c r="Q729" s="11" t="str">
        <f>IF(
   COUNTIFS($A$2:A729,A729,
             $B$2:B729,B729,
             $C$2:C729,C729,
             $D$2:D729,D729,
             $E$2:E729,E729,
             $H$2:H729,H729
             )&gt;1,
   "Doublon",
   "Correcte"
)</f>
        <v>Correcte</v>
      </c>
    </row>
    <row r="730" spans="1:17" x14ac:dyDescent="0.25">
      <c r="A730" s="11" t="s">
        <v>3517</v>
      </c>
      <c r="B730" s="11" t="s">
        <v>1153</v>
      </c>
      <c r="C730" s="11" t="s">
        <v>665</v>
      </c>
      <c r="D730" s="11" t="s">
        <v>1154</v>
      </c>
      <c r="E730" s="11">
        <v>5</v>
      </c>
      <c r="F730" s="11" t="s">
        <v>699</v>
      </c>
      <c r="G730" s="11" t="s">
        <v>634</v>
      </c>
      <c r="H730" s="14">
        <v>45936.447013888886</v>
      </c>
      <c r="I730" s="12">
        <f>-Mvt_Inter_entrepot[[#This Row],[QTE]]</f>
        <v>-5</v>
      </c>
      <c r="J730" s="11" t="s">
        <v>809</v>
      </c>
      <c r="K730" s="11" t="str">
        <f>_xlfn.TEXTBEFORE(Mvt_Inter_entrepot[[#This Row],[Num Suivis]],"-",,,1)</f>
        <v>CA250011</v>
      </c>
      <c r="L730" s="11" t="e">
        <f>_xlfn.XLOOKUP(Mvt_Inter_entrepot[[#This Row],[Num OF]],#REF!,#REF!,"Non Trouvé")</f>
        <v>#REF!</v>
      </c>
      <c r="M730" s="11" t="e">
        <f>_xlfn.XLOOKUP(Mvt_Inter_entrepot[[#This Row],[Num OF]],#REF!,#REF!,"Non Trouvé")</f>
        <v>#REF!</v>
      </c>
      <c r="N730" s="11" t="e">
        <f>_xlfn.XLOOKUP(Mvt_Inter_entrepot[[#This Row],[Num OF]],#REF!,#REF!,"Non Trouvé")</f>
        <v>#REF!</v>
      </c>
      <c r="O730" s="11" t="e">
        <f>_xlfn.XLOOKUP(Mvt_Inter_entrepot[[#This Row],[Num OF]],#REF!,#REF!,"Non Trouvé")</f>
        <v>#REF!</v>
      </c>
      <c r="P730" s="11" t="e">
        <f>_xlfn.XLOOKUP(Mvt_Inter_entrepot[[#This Row],[Num OF]],#REF!,#REF!,"Non Trouvé")</f>
        <v>#REF!</v>
      </c>
      <c r="Q730" s="11" t="str">
        <f>IF(
   COUNTIFS($A$2:A730,A730,
             $B$2:B730,B730,
             $C$2:C730,C730,
             $D$2:D730,D730,
             $E$2:E730,E730,
             $H$2:H730,H730
             )&gt;1,
   "Doublon",
   "Correcte"
)</f>
        <v>Correcte</v>
      </c>
    </row>
    <row r="731" spans="1:17" x14ac:dyDescent="0.25">
      <c r="A731" s="11" t="s">
        <v>3518</v>
      </c>
      <c r="B731" s="11" t="s">
        <v>1153</v>
      </c>
      <c r="C731" s="11" t="s">
        <v>665</v>
      </c>
      <c r="D731" s="11" t="s">
        <v>1154</v>
      </c>
      <c r="E731" s="11">
        <v>5</v>
      </c>
      <c r="F731" s="11" t="s">
        <v>699</v>
      </c>
      <c r="G731" s="11" t="s">
        <v>634</v>
      </c>
      <c r="H731" s="14">
        <v>45936.447337962964</v>
      </c>
      <c r="I731" s="12">
        <f>-Mvt_Inter_entrepot[[#This Row],[QTE]]</f>
        <v>-5</v>
      </c>
      <c r="J731" s="11" t="s">
        <v>836</v>
      </c>
      <c r="K731" s="11" t="str">
        <f>_xlfn.TEXTBEFORE(Mvt_Inter_entrepot[[#This Row],[Num Suivis]],"-",,,1)</f>
        <v>CA250010</v>
      </c>
      <c r="L731" s="11" t="e">
        <f>_xlfn.XLOOKUP(Mvt_Inter_entrepot[[#This Row],[Num OF]],#REF!,#REF!,"Non Trouvé")</f>
        <v>#REF!</v>
      </c>
      <c r="M731" s="11" t="e">
        <f>_xlfn.XLOOKUP(Mvt_Inter_entrepot[[#This Row],[Num OF]],#REF!,#REF!,"Non Trouvé")</f>
        <v>#REF!</v>
      </c>
      <c r="N731" s="11" t="e">
        <f>_xlfn.XLOOKUP(Mvt_Inter_entrepot[[#This Row],[Num OF]],#REF!,#REF!,"Non Trouvé")</f>
        <v>#REF!</v>
      </c>
      <c r="O731" s="11" t="e">
        <f>_xlfn.XLOOKUP(Mvt_Inter_entrepot[[#This Row],[Num OF]],#REF!,#REF!,"Non Trouvé")</f>
        <v>#REF!</v>
      </c>
      <c r="P731" s="11" t="e">
        <f>_xlfn.XLOOKUP(Mvt_Inter_entrepot[[#This Row],[Num OF]],#REF!,#REF!,"Non Trouvé")</f>
        <v>#REF!</v>
      </c>
      <c r="Q731" s="11" t="str">
        <f>IF(
   COUNTIFS($A$2:A731,A731,
             $B$2:B731,B731,
             $C$2:C731,C731,
             $D$2:D731,D731,
             $E$2:E731,E731,
             $H$2:H731,H731
             )&gt;1,
   "Doublon",
   "Correcte"
)</f>
        <v>Correcte</v>
      </c>
    </row>
    <row r="732" spans="1:17" x14ac:dyDescent="0.25">
      <c r="A732" s="11" t="s">
        <v>3519</v>
      </c>
      <c r="B732" s="11" t="s">
        <v>1153</v>
      </c>
      <c r="C732" s="11" t="s">
        <v>665</v>
      </c>
      <c r="D732" s="11" t="s">
        <v>1154</v>
      </c>
      <c r="E732" s="11">
        <v>5</v>
      </c>
      <c r="F732" s="11" t="s">
        <v>699</v>
      </c>
      <c r="G732" s="11" t="s">
        <v>634</v>
      </c>
      <c r="H732" s="14">
        <v>45936.447557870371</v>
      </c>
      <c r="I732" s="12">
        <f>-Mvt_Inter_entrepot[[#This Row],[QTE]]</f>
        <v>-5</v>
      </c>
      <c r="J732" s="11" t="s">
        <v>785</v>
      </c>
      <c r="K732" s="11" t="str">
        <f>_xlfn.TEXTBEFORE(Mvt_Inter_entrepot[[#This Row],[Num Suivis]],"-",,,1)</f>
        <v>CA250006</v>
      </c>
      <c r="L732" s="11" t="e">
        <f>_xlfn.XLOOKUP(Mvt_Inter_entrepot[[#This Row],[Num OF]],#REF!,#REF!,"Non Trouvé")</f>
        <v>#REF!</v>
      </c>
      <c r="M732" s="11" t="e">
        <f>_xlfn.XLOOKUP(Mvt_Inter_entrepot[[#This Row],[Num OF]],#REF!,#REF!,"Non Trouvé")</f>
        <v>#REF!</v>
      </c>
      <c r="N732" s="11" t="e">
        <f>_xlfn.XLOOKUP(Mvt_Inter_entrepot[[#This Row],[Num OF]],#REF!,#REF!,"Non Trouvé")</f>
        <v>#REF!</v>
      </c>
      <c r="O732" s="11" t="e">
        <f>_xlfn.XLOOKUP(Mvt_Inter_entrepot[[#This Row],[Num OF]],#REF!,#REF!,"Non Trouvé")</f>
        <v>#REF!</v>
      </c>
      <c r="P732" s="11" t="e">
        <f>_xlfn.XLOOKUP(Mvt_Inter_entrepot[[#This Row],[Num OF]],#REF!,#REF!,"Non Trouvé")</f>
        <v>#REF!</v>
      </c>
      <c r="Q732" s="11" t="str">
        <f>IF(
   COUNTIFS($A$2:A732,A732,
             $B$2:B732,B732,
             $C$2:C732,C732,
             $D$2:D732,D732,
             $E$2:E732,E732,
             $H$2:H732,H732
             )&gt;1,
   "Doublon",
   "Correcte"
)</f>
        <v>Correcte</v>
      </c>
    </row>
    <row r="733" spans="1:17" x14ac:dyDescent="0.25">
      <c r="A733" s="11" t="s">
        <v>3520</v>
      </c>
      <c r="B733" s="11" t="s">
        <v>1153</v>
      </c>
      <c r="C733" s="11" t="s">
        <v>665</v>
      </c>
      <c r="D733" s="11" t="s">
        <v>1154</v>
      </c>
      <c r="E733" s="11">
        <v>5</v>
      </c>
      <c r="F733" s="11" t="s">
        <v>699</v>
      </c>
      <c r="G733" s="11" t="s">
        <v>634</v>
      </c>
      <c r="H733" s="14">
        <v>45936.447951388887</v>
      </c>
      <c r="I733" s="12">
        <f>-Mvt_Inter_entrepot[[#This Row],[QTE]]</f>
        <v>-5</v>
      </c>
      <c r="J733" s="11" t="s">
        <v>781</v>
      </c>
      <c r="K733" s="11" t="str">
        <f>_xlfn.TEXTBEFORE(Mvt_Inter_entrepot[[#This Row],[Num Suivis]],"-",,,1)</f>
        <v>CA250006</v>
      </c>
      <c r="L733" s="11" t="e">
        <f>_xlfn.XLOOKUP(Mvt_Inter_entrepot[[#This Row],[Num OF]],#REF!,#REF!,"Non Trouvé")</f>
        <v>#REF!</v>
      </c>
      <c r="M733" s="11" t="e">
        <f>_xlfn.XLOOKUP(Mvt_Inter_entrepot[[#This Row],[Num OF]],#REF!,#REF!,"Non Trouvé")</f>
        <v>#REF!</v>
      </c>
      <c r="N733" s="11" t="e">
        <f>_xlfn.XLOOKUP(Mvt_Inter_entrepot[[#This Row],[Num OF]],#REF!,#REF!,"Non Trouvé")</f>
        <v>#REF!</v>
      </c>
      <c r="O733" s="11" t="e">
        <f>_xlfn.XLOOKUP(Mvt_Inter_entrepot[[#This Row],[Num OF]],#REF!,#REF!,"Non Trouvé")</f>
        <v>#REF!</v>
      </c>
      <c r="P733" s="11" t="e">
        <f>_xlfn.XLOOKUP(Mvt_Inter_entrepot[[#This Row],[Num OF]],#REF!,#REF!,"Non Trouvé")</f>
        <v>#REF!</v>
      </c>
      <c r="Q733" s="11" t="str">
        <f>IF(
   COUNTIFS($A$2:A733,A733,
             $B$2:B733,B733,
             $C$2:C733,C733,
             $D$2:D733,D733,
             $E$2:E733,E733,
             $H$2:H733,H733
             )&gt;1,
   "Doublon",
   "Correcte"
)</f>
        <v>Correcte</v>
      </c>
    </row>
    <row r="734" spans="1:17" x14ac:dyDescent="0.25">
      <c r="A734" s="11" t="s">
        <v>3521</v>
      </c>
      <c r="B734" s="11" t="s">
        <v>1153</v>
      </c>
      <c r="C734" s="11" t="s">
        <v>665</v>
      </c>
      <c r="D734" s="11" t="s">
        <v>1154</v>
      </c>
      <c r="E734" s="11">
        <v>5</v>
      </c>
      <c r="F734" s="11" t="s">
        <v>699</v>
      </c>
      <c r="G734" s="11" t="s">
        <v>634</v>
      </c>
      <c r="H734" s="14">
        <v>45936.448148148149</v>
      </c>
      <c r="I734" s="12">
        <f>-Mvt_Inter_entrepot[[#This Row],[QTE]]</f>
        <v>-5</v>
      </c>
      <c r="J734" s="11" t="s">
        <v>790</v>
      </c>
      <c r="K734" s="11" t="str">
        <f>_xlfn.TEXTBEFORE(Mvt_Inter_entrepot[[#This Row],[Num Suivis]],"-",,,1)</f>
        <v>CA250006</v>
      </c>
      <c r="L734" s="11" t="e">
        <f>_xlfn.XLOOKUP(Mvt_Inter_entrepot[[#This Row],[Num OF]],#REF!,#REF!,"Non Trouvé")</f>
        <v>#REF!</v>
      </c>
      <c r="M734" s="11" t="e">
        <f>_xlfn.XLOOKUP(Mvt_Inter_entrepot[[#This Row],[Num OF]],#REF!,#REF!,"Non Trouvé")</f>
        <v>#REF!</v>
      </c>
      <c r="N734" s="11" t="e">
        <f>_xlfn.XLOOKUP(Mvt_Inter_entrepot[[#This Row],[Num OF]],#REF!,#REF!,"Non Trouvé")</f>
        <v>#REF!</v>
      </c>
      <c r="O734" s="11" t="e">
        <f>_xlfn.XLOOKUP(Mvt_Inter_entrepot[[#This Row],[Num OF]],#REF!,#REF!,"Non Trouvé")</f>
        <v>#REF!</v>
      </c>
      <c r="P734" s="11" t="e">
        <f>_xlfn.XLOOKUP(Mvt_Inter_entrepot[[#This Row],[Num OF]],#REF!,#REF!,"Non Trouvé")</f>
        <v>#REF!</v>
      </c>
      <c r="Q734" s="11" t="str">
        <f>IF(
   COUNTIFS($A$2:A734,A734,
             $B$2:B734,B734,
             $C$2:C734,C734,
             $D$2:D734,D734,
             $E$2:E734,E734,
             $H$2:H734,H734
             )&gt;1,
   "Doublon",
   "Correcte"
)</f>
        <v>Correcte</v>
      </c>
    </row>
    <row r="735" spans="1:17" x14ac:dyDescent="0.25">
      <c r="A735" s="11" t="s">
        <v>3522</v>
      </c>
      <c r="B735" s="11" t="s">
        <v>1153</v>
      </c>
      <c r="C735" s="11" t="s">
        <v>665</v>
      </c>
      <c r="D735" s="11" t="s">
        <v>1154</v>
      </c>
      <c r="E735" s="11">
        <v>5</v>
      </c>
      <c r="F735" s="11" t="s">
        <v>699</v>
      </c>
      <c r="G735" s="11" t="s">
        <v>634</v>
      </c>
      <c r="H735" s="14">
        <v>45936.448379629626</v>
      </c>
      <c r="I735" s="12">
        <f>-Mvt_Inter_entrepot[[#This Row],[QTE]]</f>
        <v>-5</v>
      </c>
      <c r="J735" s="11" t="s">
        <v>837</v>
      </c>
      <c r="K735" s="11" t="str">
        <f>_xlfn.TEXTBEFORE(Mvt_Inter_entrepot[[#This Row],[Num Suivis]],"-",,,1)</f>
        <v>CA250010</v>
      </c>
      <c r="L735" s="11" t="e">
        <f>_xlfn.XLOOKUP(Mvt_Inter_entrepot[[#This Row],[Num OF]],#REF!,#REF!,"Non Trouvé")</f>
        <v>#REF!</v>
      </c>
      <c r="M735" s="11" t="e">
        <f>_xlfn.XLOOKUP(Mvt_Inter_entrepot[[#This Row],[Num OF]],#REF!,#REF!,"Non Trouvé")</f>
        <v>#REF!</v>
      </c>
      <c r="N735" s="11" t="e">
        <f>_xlfn.XLOOKUP(Mvt_Inter_entrepot[[#This Row],[Num OF]],#REF!,#REF!,"Non Trouvé")</f>
        <v>#REF!</v>
      </c>
      <c r="O735" s="11" t="e">
        <f>_xlfn.XLOOKUP(Mvt_Inter_entrepot[[#This Row],[Num OF]],#REF!,#REF!,"Non Trouvé")</f>
        <v>#REF!</v>
      </c>
      <c r="P735" s="11" t="e">
        <f>_xlfn.XLOOKUP(Mvt_Inter_entrepot[[#This Row],[Num OF]],#REF!,#REF!,"Non Trouvé")</f>
        <v>#REF!</v>
      </c>
      <c r="Q735" s="11" t="str">
        <f>IF(
   COUNTIFS($A$2:A735,A735,
             $B$2:B735,B735,
             $C$2:C735,C735,
             $D$2:D735,D735,
             $E$2:E735,E735,
             $H$2:H735,H735
             )&gt;1,
   "Doublon",
   "Correcte"
)</f>
        <v>Correcte</v>
      </c>
    </row>
    <row r="736" spans="1:17" x14ac:dyDescent="0.25">
      <c r="A736" s="11" t="s">
        <v>3523</v>
      </c>
      <c r="B736" s="11" t="s">
        <v>1153</v>
      </c>
      <c r="C736" s="11" t="s">
        <v>665</v>
      </c>
      <c r="D736" s="11" t="s">
        <v>1154</v>
      </c>
      <c r="E736" s="11">
        <v>1</v>
      </c>
      <c r="F736" s="11" t="s">
        <v>699</v>
      </c>
      <c r="G736" s="11" t="s">
        <v>634</v>
      </c>
      <c r="H736" s="14">
        <v>45936.448645833334</v>
      </c>
      <c r="I736" s="12">
        <f>-Mvt_Inter_entrepot[[#This Row],[QTE]]</f>
        <v>-1</v>
      </c>
      <c r="J736" s="11" t="s">
        <v>788</v>
      </c>
      <c r="K736" s="11" t="str">
        <f>_xlfn.TEXTBEFORE(Mvt_Inter_entrepot[[#This Row],[Num Suivis]],"-",,,1)</f>
        <v>CA250006</v>
      </c>
      <c r="L736" s="11" t="e">
        <f>_xlfn.XLOOKUP(Mvt_Inter_entrepot[[#This Row],[Num OF]],#REF!,#REF!,"Non Trouvé")</f>
        <v>#REF!</v>
      </c>
      <c r="M736" s="11" t="e">
        <f>_xlfn.XLOOKUP(Mvt_Inter_entrepot[[#This Row],[Num OF]],#REF!,#REF!,"Non Trouvé")</f>
        <v>#REF!</v>
      </c>
      <c r="N736" s="11" t="e">
        <f>_xlfn.XLOOKUP(Mvt_Inter_entrepot[[#This Row],[Num OF]],#REF!,#REF!,"Non Trouvé")</f>
        <v>#REF!</v>
      </c>
      <c r="O736" s="11" t="e">
        <f>_xlfn.XLOOKUP(Mvt_Inter_entrepot[[#This Row],[Num OF]],#REF!,#REF!,"Non Trouvé")</f>
        <v>#REF!</v>
      </c>
      <c r="P736" s="11" t="e">
        <f>_xlfn.XLOOKUP(Mvt_Inter_entrepot[[#This Row],[Num OF]],#REF!,#REF!,"Non Trouvé")</f>
        <v>#REF!</v>
      </c>
      <c r="Q736" s="11" t="str">
        <f>IF(
   COUNTIFS($A$2:A736,A736,
             $B$2:B736,B736,
             $C$2:C736,C736,
             $D$2:D736,D736,
             $E$2:E736,E736,
             $H$2:H736,H736
             )&gt;1,
   "Doublon",
   "Correcte"
)</f>
        <v>Correcte</v>
      </c>
    </row>
    <row r="737" spans="1:17" x14ac:dyDescent="0.25">
      <c r="A737" s="11" t="s">
        <v>3524</v>
      </c>
      <c r="B737" s="11" t="s">
        <v>1153</v>
      </c>
      <c r="C737" s="11" t="s">
        <v>665</v>
      </c>
      <c r="D737" s="11" t="s">
        <v>1154</v>
      </c>
      <c r="E737" s="11">
        <v>5</v>
      </c>
      <c r="F737" s="11" t="s">
        <v>699</v>
      </c>
      <c r="G737" s="11" t="s">
        <v>634</v>
      </c>
      <c r="H737" s="14">
        <v>45936.449108796296</v>
      </c>
      <c r="I737" s="12">
        <f>-Mvt_Inter_entrepot[[#This Row],[QTE]]</f>
        <v>-5</v>
      </c>
      <c r="J737" s="11" t="s">
        <v>789</v>
      </c>
      <c r="K737" s="11" t="str">
        <f>_xlfn.TEXTBEFORE(Mvt_Inter_entrepot[[#This Row],[Num Suivis]],"-",,,1)</f>
        <v>CA250006</v>
      </c>
      <c r="L737" s="11" t="e">
        <f>_xlfn.XLOOKUP(Mvt_Inter_entrepot[[#This Row],[Num OF]],#REF!,#REF!,"Non Trouvé")</f>
        <v>#REF!</v>
      </c>
      <c r="M737" s="11" t="e">
        <f>_xlfn.XLOOKUP(Mvt_Inter_entrepot[[#This Row],[Num OF]],#REF!,#REF!,"Non Trouvé")</f>
        <v>#REF!</v>
      </c>
      <c r="N737" s="11" t="e">
        <f>_xlfn.XLOOKUP(Mvt_Inter_entrepot[[#This Row],[Num OF]],#REF!,#REF!,"Non Trouvé")</f>
        <v>#REF!</v>
      </c>
      <c r="O737" s="11" t="e">
        <f>_xlfn.XLOOKUP(Mvt_Inter_entrepot[[#This Row],[Num OF]],#REF!,#REF!,"Non Trouvé")</f>
        <v>#REF!</v>
      </c>
      <c r="P737" s="11" t="e">
        <f>_xlfn.XLOOKUP(Mvt_Inter_entrepot[[#This Row],[Num OF]],#REF!,#REF!,"Non Trouvé")</f>
        <v>#REF!</v>
      </c>
      <c r="Q737" s="11" t="str">
        <f>IF(
   COUNTIFS($A$2:A737,A737,
             $B$2:B737,B737,
             $C$2:C737,C737,
             $D$2:D737,D737,
             $E$2:E737,E737,
             $H$2:H737,H737
             )&gt;1,
   "Doublon",
   "Correcte"
)</f>
        <v>Correcte</v>
      </c>
    </row>
    <row r="738" spans="1:17" x14ac:dyDescent="0.25">
      <c r="A738" s="11" t="s">
        <v>3525</v>
      </c>
      <c r="B738" s="11" t="s">
        <v>1153</v>
      </c>
      <c r="C738" s="11" t="s">
        <v>665</v>
      </c>
      <c r="D738" s="11" t="s">
        <v>1154</v>
      </c>
      <c r="E738" s="11">
        <v>5</v>
      </c>
      <c r="F738" s="11" t="s">
        <v>699</v>
      </c>
      <c r="G738" s="11" t="s">
        <v>634</v>
      </c>
      <c r="H738" s="14">
        <v>45936.44935185185</v>
      </c>
      <c r="I738" s="12">
        <f>-Mvt_Inter_entrepot[[#This Row],[QTE]]</f>
        <v>-5</v>
      </c>
      <c r="J738" s="11" t="s">
        <v>810</v>
      </c>
      <c r="K738" s="11" t="str">
        <f>_xlfn.TEXTBEFORE(Mvt_Inter_entrepot[[#This Row],[Num Suivis]],"-",,,1)</f>
        <v>CA250011</v>
      </c>
      <c r="L738" s="11" t="e">
        <f>_xlfn.XLOOKUP(Mvt_Inter_entrepot[[#This Row],[Num OF]],#REF!,#REF!,"Non Trouvé")</f>
        <v>#REF!</v>
      </c>
      <c r="M738" s="11" t="e">
        <f>_xlfn.XLOOKUP(Mvt_Inter_entrepot[[#This Row],[Num OF]],#REF!,#REF!,"Non Trouvé")</f>
        <v>#REF!</v>
      </c>
      <c r="N738" s="11" t="e">
        <f>_xlfn.XLOOKUP(Mvt_Inter_entrepot[[#This Row],[Num OF]],#REF!,#REF!,"Non Trouvé")</f>
        <v>#REF!</v>
      </c>
      <c r="O738" s="11" t="e">
        <f>_xlfn.XLOOKUP(Mvt_Inter_entrepot[[#This Row],[Num OF]],#REF!,#REF!,"Non Trouvé")</f>
        <v>#REF!</v>
      </c>
      <c r="P738" s="11" t="e">
        <f>_xlfn.XLOOKUP(Mvt_Inter_entrepot[[#This Row],[Num OF]],#REF!,#REF!,"Non Trouvé")</f>
        <v>#REF!</v>
      </c>
      <c r="Q738" s="11" t="str">
        <f>IF(
   COUNTIFS($A$2:A738,A738,
             $B$2:B738,B738,
             $C$2:C738,C738,
             $D$2:D738,D738,
             $E$2:E738,E738,
             $H$2:H738,H738
             )&gt;1,
   "Doublon",
   "Correcte"
)</f>
        <v>Correcte</v>
      </c>
    </row>
    <row r="739" spans="1:17" x14ac:dyDescent="0.25">
      <c r="A739" s="11" t="s">
        <v>3526</v>
      </c>
      <c r="B739" s="11" t="s">
        <v>1153</v>
      </c>
      <c r="C739" s="11" t="s">
        <v>665</v>
      </c>
      <c r="D739" s="11" t="s">
        <v>1154</v>
      </c>
      <c r="E739" s="11">
        <v>5</v>
      </c>
      <c r="F739" s="11" t="s">
        <v>699</v>
      </c>
      <c r="G739" s="11" t="s">
        <v>634</v>
      </c>
      <c r="H739" s="14">
        <v>45936.449629629627</v>
      </c>
      <c r="I739" s="12">
        <f>-Mvt_Inter_entrepot[[#This Row],[QTE]]</f>
        <v>-5</v>
      </c>
      <c r="J739" s="11" t="s">
        <v>773</v>
      </c>
      <c r="K739" s="11" t="str">
        <f>_xlfn.TEXTBEFORE(Mvt_Inter_entrepot[[#This Row],[Num Suivis]],"-",,,1)</f>
        <v>CA250005</v>
      </c>
      <c r="L739" s="11" t="e">
        <f>_xlfn.XLOOKUP(Mvt_Inter_entrepot[[#This Row],[Num OF]],#REF!,#REF!,"Non Trouvé")</f>
        <v>#REF!</v>
      </c>
      <c r="M739" s="11" t="e">
        <f>_xlfn.XLOOKUP(Mvt_Inter_entrepot[[#This Row],[Num OF]],#REF!,#REF!,"Non Trouvé")</f>
        <v>#REF!</v>
      </c>
      <c r="N739" s="11" t="e">
        <f>_xlfn.XLOOKUP(Mvt_Inter_entrepot[[#This Row],[Num OF]],#REF!,#REF!,"Non Trouvé")</f>
        <v>#REF!</v>
      </c>
      <c r="O739" s="11" t="e">
        <f>_xlfn.XLOOKUP(Mvt_Inter_entrepot[[#This Row],[Num OF]],#REF!,#REF!,"Non Trouvé")</f>
        <v>#REF!</v>
      </c>
      <c r="P739" s="11" t="e">
        <f>_xlfn.XLOOKUP(Mvt_Inter_entrepot[[#This Row],[Num OF]],#REF!,#REF!,"Non Trouvé")</f>
        <v>#REF!</v>
      </c>
      <c r="Q739" s="11" t="str">
        <f>IF(
   COUNTIFS($A$2:A739,A739,
             $B$2:B739,B739,
             $C$2:C739,C739,
             $D$2:D739,D739,
             $E$2:E739,E739,
             $H$2:H739,H739
             )&gt;1,
   "Doublon",
   "Correcte"
)</f>
        <v>Correcte</v>
      </c>
    </row>
    <row r="740" spans="1:17" x14ac:dyDescent="0.25">
      <c r="A740" s="11" t="s">
        <v>3527</v>
      </c>
      <c r="B740" s="11" t="s">
        <v>1153</v>
      </c>
      <c r="C740" s="11" t="s">
        <v>665</v>
      </c>
      <c r="D740" s="11" t="s">
        <v>1154</v>
      </c>
      <c r="E740" s="11">
        <v>5</v>
      </c>
      <c r="F740" s="11" t="s">
        <v>699</v>
      </c>
      <c r="G740" s="11" t="s">
        <v>634</v>
      </c>
      <c r="H740" s="14">
        <v>45936.450046296297</v>
      </c>
      <c r="I740" s="12">
        <f>-Mvt_Inter_entrepot[[#This Row],[QTE]]</f>
        <v>-5</v>
      </c>
      <c r="J740" s="11" t="s">
        <v>32</v>
      </c>
      <c r="K740" s="11" t="str">
        <f>_xlfn.TEXTBEFORE(Mvt_Inter_entrepot[[#This Row],[Num Suivis]],"-",,,1)</f>
        <v>CA250006</v>
      </c>
      <c r="L740" s="11" t="e">
        <f>_xlfn.XLOOKUP(Mvt_Inter_entrepot[[#This Row],[Num OF]],#REF!,#REF!,"Non Trouvé")</f>
        <v>#REF!</v>
      </c>
      <c r="M740" s="11" t="e">
        <f>_xlfn.XLOOKUP(Mvt_Inter_entrepot[[#This Row],[Num OF]],#REF!,#REF!,"Non Trouvé")</f>
        <v>#REF!</v>
      </c>
      <c r="N740" s="11" t="e">
        <f>_xlfn.XLOOKUP(Mvt_Inter_entrepot[[#This Row],[Num OF]],#REF!,#REF!,"Non Trouvé")</f>
        <v>#REF!</v>
      </c>
      <c r="O740" s="11" t="e">
        <f>_xlfn.XLOOKUP(Mvt_Inter_entrepot[[#This Row],[Num OF]],#REF!,#REF!,"Non Trouvé")</f>
        <v>#REF!</v>
      </c>
      <c r="P740" s="11" t="e">
        <f>_xlfn.XLOOKUP(Mvt_Inter_entrepot[[#This Row],[Num OF]],#REF!,#REF!,"Non Trouvé")</f>
        <v>#REF!</v>
      </c>
      <c r="Q740" s="11" t="str">
        <f>IF(
   COUNTIFS($A$2:A740,A740,
             $B$2:B740,B740,
             $C$2:C740,C740,
             $D$2:D740,D740,
             $E$2:E740,E740,
             $H$2:H740,H740
             )&gt;1,
   "Doublon",
   "Correcte"
)</f>
        <v>Correcte</v>
      </c>
    </row>
    <row r="741" spans="1:17" x14ac:dyDescent="0.25">
      <c r="A741" s="11" t="s">
        <v>3528</v>
      </c>
      <c r="B741" s="11" t="s">
        <v>1153</v>
      </c>
      <c r="C741" s="11" t="s">
        <v>665</v>
      </c>
      <c r="D741" s="11" t="s">
        <v>1154</v>
      </c>
      <c r="E741" s="11">
        <v>5</v>
      </c>
      <c r="F741" s="11" t="s">
        <v>699</v>
      </c>
      <c r="G741" s="11" t="s">
        <v>634</v>
      </c>
      <c r="H741" s="14">
        <v>45936.450567129628</v>
      </c>
      <c r="I741" s="12">
        <f>-Mvt_Inter_entrepot[[#This Row],[QTE]]</f>
        <v>-5</v>
      </c>
      <c r="J741" s="11" t="s">
        <v>910</v>
      </c>
      <c r="K741" s="11" t="str">
        <f>_xlfn.TEXTBEFORE(Mvt_Inter_entrepot[[#This Row],[Num Suivis]],"-",,,1)</f>
        <v>CA250017</v>
      </c>
      <c r="L741" s="11" t="e">
        <f>_xlfn.XLOOKUP(Mvt_Inter_entrepot[[#This Row],[Num OF]],#REF!,#REF!,"Non Trouvé")</f>
        <v>#REF!</v>
      </c>
      <c r="M741" s="11" t="e">
        <f>_xlfn.XLOOKUP(Mvt_Inter_entrepot[[#This Row],[Num OF]],#REF!,#REF!,"Non Trouvé")</f>
        <v>#REF!</v>
      </c>
      <c r="N741" s="11" t="e">
        <f>_xlfn.XLOOKUP(Mvt_Inter_entrepot[[#This Row],[Num OF]],#REF!,#REF!,"Non Trouvé")</f>
        <v>#REF!</v>
      </c>
      <c r="O741" s="11" t="e">
        <f>_xlfn.XLOOKUP(Mvt_Inter_entrepot[[#This Row],[Num OF]],#REF!,#REF!,"Non Trouvé")</f>
        <v>#REF!</v>
      </c>
      <c r="P741" s="11" t="e">
        <f>_xlfn.XLOOKUP(Mvt_Inter_entrepot[[#This Row],[Num OF]],#REF!,#REF!,"Non Trouvé")</f>
        <v>#REF!</v>
      </c>
      <c r="Q741" s="11" t="str">
        <f>IF(
   COUNTIFS($A$2:A741,A741,
             $B$2:B741,B741,
             $C$2:C741,C741,
             $D$2:D741,D741,
             $E$2:E741,E741,
             $H$2:H741,H741
             )&gt;1,
   "Doublon",
   "Correcte"
)</f>
        <v>Correcte</v>
      </c>
    </row>
    <row r="742" spans="1:17" x14ac:dyDescent="0.25">
      <c r="A742" s="11" t="s">
        <v>3529</v>
      </c>
      <c r="B742" s="11" t="s">
        <v>1153</v>
      </c>
      <c r="C742" s="11" t="s">
        <v>665</v>
      </c>
      <c r="D742" s="11" t="s">
        <v>1154</v>
      </c>
      <c r="E742" s="11">
        <v>5</v>
      </c>
      <c r="F742" s="11" t="s">
        <v>699</v>
      </c>
      <c r="G742" s="11" t="s">
        <v>634</v>
      </c>
      <c r="H742" s="14">
        <v>45936.451018518521</v>
      </c>
      <c r="I742" s="12">
        <f>-Mvt_Inter_entrepot[[#This Row],[QTE]]</f>
        <v>-5</v>
      </c>
      <c r="J742" s="11" t="s">
        <v>786</v>
      </c>
      <c r="K742" s="11" t="str">
        <f>_xlfn.TEXTBEFORE(Mvt_Inter_entrepot[[#This Row],[Num Suivis]],"-",,,1)</f>
        <v>CA250006</v>
      </c>
      <c r="L742" s="11" t="e">
        <f>_xlfn.XLOOKUP(Mvt_Inter_entrepot[[#This Row],[Num OF]],#REF!,#REF!,"Non Trouvé")</f>
        <v>#REF!</v>
      </c>
      <c r="M742" s="11" t="e">
        <f>_xlfn.XLOOKUP(Mvt_Inter_entrepot[[#This Row],[Num OF]],#REF!,#REF!,"Non Trouvé")</f>
        <v>#REF!</v>
      </c>
      <c r="N742" s="11" t="e">
        <f>_xlfn.XLOOKUP(Mvt_Inter_entrepot[[#This Row],[Num OF]],#REF!,#REF!,"Non Trouvé")</f>
        <v>#REF!</v>
      </c>
      <c r="O742" s="11" t="e">
        <f>_xlfn.XLOOKUP(Mvt_Inter_entrepot[[#This Row],[Num OF]],#REF!,#REF!,"Non Trouvé")</f>
        <v>#REF!</v>
      </c>
      <c r="P742" s="11" t="e">
        <f>_xlfn.XLOOKUP(Mvt_Inter_entrepot[[#This Row],[Num OF]],#REF!,#REF!,"Non Trouvé")</f>
        <v>#REF!</v>
      </c>
      <c r="Q742" s="11" t="str">
        <f>IF(
   COUNTIFS($A$2:A742,A742,
             $B$2:B742,B742,
             $C$2:C742,C742,
             $D$2:D742,D742,
             $E$2:E742,E742,
             $H$2:H742,H742
             )&gt;1,
   "Doublon",
   "Correcte"
)</f>
        <v>Correcte</v>
      </c>
    </row>
    <row r="743" spans="1:17" x14ac:dyDescent="0.25">
      <c r="A743" s="11" t="s">
        <v>3530</v>
      </c>
      <c r="B743" s="11" t="s">
        <v>1153</v>
      </c>
      <c r="C743" s="11" t="s">
        <v>665</v>
      </c>
      <c r="D743" s="11" t="s">
        <v>1154</v>
      </c>
      <c r="E743" s="11">
        <v>5</v>
      </c>
      <c r="F743" s="11" t="s">
        <v>699</v>
      </c>
      <c r="G743" s="11" t="s">
        <v>634</v>
      </c>
      <c r="H743" s="14">
        <v>45936.451238425929</v>
      </c>
      <c r="I743" s="12">
        <f>-Mvt_Inter_entrepot[[#This Row],[QTE]]</f>
        <v>-5</v>
      </c>
      <c r="J743" s="11" t="s">
        <v>779</v>
      </c>
      <c r="K743" s="11" t="str">
        <f>_xlfn.TEXTBEFORE(Mvt_Inter_entrepot[[#This Row],[Num Suivis]],"-",,,1)</f>
        <v>CA250005</v>
      </c>
      <c r="L743" s="11" t="e">
        <f>_xlfn.XLOOKUP(Mvt_Inter_entrepot[[#This Row],[Num OF]],#REF!,#REF!,"Non Trouvé")</f>
        <v>#REF!</v>
      </c>
      <c r="M743" s="11" t="e">
        <f>_xlfn.XLOOKUP(Mvt_Inter_entrepot[[#This Row],[Num OF]],#REF!,#REF!,"Non Trouvé")</f>
        <v>#REF!</v>
      </c>
      <c r="N743" s="11" t="e">
        <f>_xlfn.XLOOKUP(Mvt_Inter_entrepot[[#This Row],[Num OF]],#REF!,#REF!,"Non Trouvé")</f>
        <v>#REF!</v>
      </c>
      <c r="O743" s="11" t="e">
        <f>_xlfn.XLOOKUP(Mvt_Inter_entrepot[[#This Row],[Num OF]],#REF!,#REF!,"Non Trouvé")</f>
        <v>#REF!</v>
      </c>
      <c r="P743" s="11" t="e">
        <f>_xlfn.XLOOKUP(Mvt_Inter_entrepot[[#This Row],[Num OF]],#REF!,#REF!,"Non Trouvé")</f>
        <v>#REF!</v>
      </c>
      <c r="Q743" s="11" t="str">
        <f>IF(
   COUNTIFS($A$2:A743,A743,
             $B$2:B743,B743,
             $C$2:C743,C743,
             $D$2:D743,D743,
             $E$2:E743,E743,
             $H$2:H743,H743
             )&gt;1,
   "Doublon",
   "Correcte"
)</f>
        <v>Correcte</v>
      </c>
    </row>
    <row r="744" spans="1:17" x14ac:dyDescent="0.25">
      <c r="A744" s="11" t="s">
        <v>3531</v>
      </c>
      <c r="B744" s="11" t="s">
        <v>1153</v>
      </c>
      <c r="C744" s="11" t="s">
        <v>665</v>
      </c>
      <c r="D744" s="11" t="s">
        <v>1154</v>
      </c>
      <c r="E744" s="11">
        <v>5</v>
      </c>
      <c r="F744" s="11" t="s">
        <v>699</v>
      </c>
      <c r="G744" s="11" t="s">
        <v>634</v>
      </c>
      <c r="H744" s="14">
        <v>45936.451423611114</v>
      </c>
      <c r="I744" s="12">
        <f>-Mvt_Inter_entrepot[[#This Row],[QTE]]</f>
        <v>-5</v>
      </c>
      <c r="J744" s="11" t="s">
        <v>899</v>
      </c>
      <c r="K744" s="11" t="str">
        <f>_xlfn.TEXTBEFORE(Mvt_Inter_entrepot[[#This Row],[Num Suivis]],"-",,,1)</f>
        <v>CA250017</v>
      </c>
      <c r="L744" s="11" t="e">
        <f>_xlfn.XLOOKUP(Mvt_Inter_entrepot[[#This Row],[Num OF]],#REF!,#REF!,"Non Trouvé")</f>
        <v>#REF!</v>
      </c>
      <c r="M744" s="11" t="e">
        <f>_xlfn.XLOOKUP(Mvt_Inter_entrepot[[#This Row],[Num OF]],#REF!,#REF!,"Non Trouvé")</f>
        <v>#REF!</v>
      </c>
      <c r="N744" s="11" t="e">
        <f>_xlfn.XLOOKUP(Mvt_Inter_entrepot[[#This Row],[Num OF]],#REF!,#REF!,"Non Trouvé")</f>
        <v>#REF!</v>
      </c>
      <c r="O744" s="11" t="e">
        <f>_xlfn.XLOOKUP(Mvt_Inter_entrepot[[#This Row],[Num OF]],#REF!,#REF!,"Non Trouvé")</f>
        <v>#REF!</v>
      </c>
      <c r="P744" s="11" t="e">
        <f>_xlfn.XLOOKUP(Mvt_Inter_entrepot[[#This Row],[Num OF]],#REF!,#REF!,"Non Trouvé")</f>
        <v>#REF!</v>
      </c>
      <c r="Q744" s="11" t="str">
        <f>IF(
   COUNTIFS($A$2:A744,A744,
             $B$2:B744,B744,
             $C$2:C744,C744,
             $D$2:D744,D744,
             $E$2:E744,E744,
             $H$2:H744,H744
             )&gt;1,
   "Doublon",
   "Correcte"
)</f>
        <v>Correcte</v>
      </c>
    </row>
    <row r="745" spans="1:17" x14ac:dyDescent="0.25">
      <c r="A745" s="11" t="s">
        <v>3532</v>
      </c>
      <c r="B745" s="11" t="s">
        <v>1153</v>
      </c>
      <c r="C745" s="11" t="s">
        <v>665</v>
      </c>
      <c r="D745" s="11" t="s">
        <v>1154</v>
      </c>
      <c r="E745" s="11">
        <v>5</v>
      </c>
      <c r="F745" s="11" t="s">
        <v>699</v>
      </c>
      <c r="G745" s="11" t="s">
        <v>634</v>
      </c>
      <c r="H745" s="14">
        <v>45936.451666666668</v>
      </c>
      <c r="I745" s="12">
        <f>-Mvt_Inter_entrepot[[#This Row],[QTE]]</f>
        <v>-5</v>
      </c>
      <c r="J745" s="11" t="s">
        <v>780</v>
      </c>
      <c r="K745" s="11" t="str">
        <f>_xlfn.TEXTBEFORE(Mvt_Inter_entrepot[[#This Row],[Num Suivis]],"-",,,1)</f>
        <v>CA250006</v>
      </c>
      <c r="L745" s="11" t="e">
        <f>_xlfn.XLOOKUP(Mvt_Inter_entrepot[[#This Row],[Num OF]],#REF!,#REF!,"Non Trouvé")</f>
        <v>#REF!</v>
      </c>
      <c r="M745" s="11" t="e">
        <f>_xlfn.XLOOKUP(Mvt_Inter_entrepot[[#This Row],[Num OF]],#REF!,#REF!,"Non Trouvé")</f>
        <v>#REF!</v>
      </c>
      <c r="N745" s="11" t="e">
        <f>_xlfn.XLOOKUP(Mvt_Inter_entrepot[[#This Row],[Num OF]],#REF!,#REF!,"Non Trouvé")</f>
        <v>#REF!</v>
      </c>
      <c r="O745" s="11" t="e">
        <f>_xlfn.XLOOKUP(Mvt_Inter_entrepot[[#This Row],[Num OF]],#REF!,#REF!,"Non Trouvé")</f>
        <v>#REF!</v>
      </c>
      <c r="P745" s="11" t="e">
        <f>_xlfn.XLOOKUP(Mvt_Inter_entrepot[[#This Row],[Num OF]],#REF!,#REF!,"Non Trouvé")</f>
        <v>#REF!</v>
      </c>
      <c r="Q745" s="11" t="str">
        <f>IF(
   COUNTIFS($A$2:A745,A745,
             $B$2:B745,B745,
             $C$2:C745,C745,
             $D$2:D745,D745,
             $E$2:E745,E745,
             $H$2:H745,H745
             )&gt;1,
   "Doublon",
   "Correcte"
)</f>
        <v>Correcte</v>
      </c>
    </row>
    <row r="746" spans="1:17" x14ac:dyDescent="0.25">
      <c r="A746" s="11" t="s">
        <v>3533</v>
      </c>
      <c r="B746" s="11" t="s">
        <v>1153</v>
      </c>
      <c r="C746" s="11" t="s">
        <v>665</v>
      </c>
      <c r="D746" s="11" t="s">
        <v>1154</v>
      </c>
      <c r="E746" s="11">
        <v>5</v>
      </c>
      <c r="F746" s="11" t="s">
        <v>699</v>
      </c>
      <c r="G746" s="11" t="s">
        <v>634</v>
      </c>
      <c r="H746" s="14">
        <v>45936.451898148145</v>
      </c>
      <c r="I746" s="12">
        <f>-Mvt_Inter_entrepot[[#This Row],[QTE]]</f>
        <v>-5</v>
      </c>
      <c r="J746" s="11" t="s">
        <v>782</v>
      </c>
      <c r="K746" s="11" t="str">
        <f>_xlfn.TEXTBEFORE(Mvt_Inter_entrepot[[#This Row],[Num Suivis]],"-",,,1)</f>
        <v>CA250006</v>
      </c>
      <c r="L746" s="11" t="e">
        <f>_xlfn.XLOOKUP(Mvt_Inter_entrepot[[#This Row],[Num OF]],#REF!,#REF!,"Non Trouvé")</f>
        <v>#REF!</v>
      </c>
      <c r="M746" s="11" t="e">
        <f>_xlfn.XLOOKUP(Mvt_Inter_entrepot[[#This Row],[Num OF]],#REF!,#REF!,"Non Trouvé")</f>
        <v>#REF!</v>
      </c>
      <c r="N746" s="11" t="e">
        <f>_xlfn.XLOOKUP(Mvt_Inter_entrepot[[#This Row],[Num OF]],#REF!,#REF!,"Non Trouvé")</f>
        <v>#REF!</v>
      </c>
      <c r="O746" s="11" t="e">
        <f>_xlfn.XLOOKUP(Mvt_Inter_entrepot[[#This Row],[Num OF]],#REF!,#REF!,"Non Trouvé")</f>
        <v>#REF!</v>
      </c>
      <c r="P746" s="11" t="e">
        <f>_xlfn.XLOOKUP(Mvt_Inter_entrepot[[#This Row],[Num OF]],#REF!,#REF!,"Non Trouvé")</f>
        <v>#REF!</v>
      </c>
      <c r="Q746" s="11" t="str">
        <f>IF(
   COUNTIFS($A$2:A746,A746,
             $B$2:B746,B746,
             $C$2:C746,C746,
             $D$2:D746,D746,
             $E$2:E746,E746,
             $H$2:H746,H746
             )&gt;1,
   "Doublon",
   "Correcte"
)</f>
        <v>Correcte</v>
      </c>
    </row>
    <row r="747" spans="1:17" x14ac:dyDescent="0.25">
      <c r="A747" s="11" t="s">
        <v>3534</v>
      </c>
      <c r="B747" s="11" t="s">
        <v>1153</v>
      </c>
      <c r="C747" s="11" t="s">
        <v>665</v>
      </c>
      <c r="D747" s="11" t="s">
        <v>1154</v>
      </c>
      <c r="E747" s="11">
        <v>5</v>
      </c>
      <c r="F747" s="11" t="s">
        <v>699</v>
      </c>
      <c r="G747" s="11" t="s">
        <v>634</v>
      </c>
      <c r="H747" s="14">
        <v>45936.45212962963</v>
      </c>
      <c r="I747" s="12">
        <f>-Mvt_Inter_entrepot[[#This Row],[QTE]]</f>
        <v>-5</v>
      </c>
      <c r="J747" s="11" t="s">
        <v>783</v>
      </c>
      <c r="K747" s="11" t="str">
        <f>_xlfn.TEXTBEFORE(Mvt_Inter_entrepot[[#This Row],[Num Suivis]],"-",,,1)</f>
        <v>CA250006</v>
      </c>
      <c r="L747" s="11" t="e">
        <f>_xlfn.XLOOKUP(Mvt_Inter_entrepot[[#This Row],[Num OF]],#REF!,#REF!,"Non Trouvé")</f>
        <v>#REF!</v>
      </c>
      <c r="M747" s="11" t="e">
        <f>_xlfn.XLOOKUP(Mvt_Inter_entrepot[[#This Row],[Num OF]],#REF!,#REF!,"Non Trouvé")</f>
        <v>#REF!</v>
      </c>
      <c r="N747" s="11" t="e">
        <f>_xlfn.XLOOKUP(Mvt_Inter_entrepot[[#This Row],[Num OF]],#REF!,#REF!,"Non Trouvé")</f>
        <v>#REF!</v>
      </c>
      <c r="O747" s="11" t="e">
        <f>_xlfn.XLOOKUP(Mvt_Inter_entrepot[[#This Row],[Num OF]],#REF!,#REF!,"Non Trouvé")</f>
        <v>#REF!</v>
      </c>
      <c r="P747" s="11" t="e">
        <f>_xlfn.XLOOKUP(Mvt_Inter_entrepot[[#This Row],[Num OF]],#REF!,#REF!,"Non Trouvé")</f>
        <v>#REF!</v>
      </c>
      <c r="Q747" s="11" t="str">
        <f>IF(
   COUNTIFS($A$2:A747,A747,
             $B$2:B747,B747,
             $C$2:C747,C747,
             $D$2:D747,D747,
             $E$2:E747,E747,
             $H$2:H747,H747
             )&gt;1,
   "Doublon",
   "Correcte"
)</f>
        <v>Correcte</v>
      </c>
    </row>
    <row r="748" spans="1:17" x14ac:dyDescent="0.25">
      <c r="A748" s="11" t="s">
        <v>3535</v>
      </c>
      <c r="B748" s="11" t="s">
        <v>1153</v>
      </c>
      <c r="C748" s="11" t="s">
        <v>665</v>
      </c>
      <c r="D748" s="11" t="s">
        <v>1154</v>
      </c>
      <c r="E748" s="11">
        <v>5</v>
      </c>
      <c r="F748" s="11" t="s">
        <v>699</v>
      </c>
      <c r="G748" s="11" t="s">
        <v>634</v>
      </c>
      <c r="H748" s="14">
        <v>45936.452361111114</v>
      </c>
      <c r="I748" s="12">
        <f>-Mvt_Inter_entrepot[[#This Row],[QTE]]</f>
        <v>-5</v>
      </c>
      <c r="J748" s="11" t="s">
        <v>784</v>
      </c>
      <c r="K748" s="11" t="str">
        <f>_xlfn.TEXTBEFORE(Mvt_Inter_entrepot[[#This Row],[Num Suivis]],"-",,,1)</f>
        <v>CA250006</v>
      </c>
      <c r="L748" s="11" t="e">
        <f>_xlfn.XLOOKUP(Mvt_Inter_entrepot[[#This Row],[Num OF]],#REF!,#REF!,"Non Trouvé")</f>
        <v>#REF!</v>
      </c>
      <c r="M748" s="11" t="e">
        <f>_xlfn.XLOOKUP(Mvt_Inter_entrepot[[#This Row],[Num OF]],#REF!,#REF!,"Non Trouvé")</f>
        <v>#REF!</v>
      </c>
      <c r="N748" s="11" t="e">
        <f>_xlfn.XLOOKUP(Mvt_Inter_entrepot[[#This Row],[Num OF]],#REF!,#REF!,"Non Trouvé")</f>
        <v>#REF!</v>
      </c>
      <c r="O748" s="11" t="e">
        <f>_xlfn.XLOOKUP(Mvt_Inter_entrepot[[#This Row],[Num OF]],#REF!,#REF!,"Non Trouvé")</f>
        <v>#REF!</v>
      </c>
      <c r="P748" s="11" t="e">
        <f>_xlfn.XLOOKUP(Mvt_Inter_entrepot[[#This Row],[Num OF]],#REF!,#REF!,"Non Trouvé")</f>
        <v>#REF!</v>
      </c>
      <c r="Q748" s="11" t="str">
        <f>IF(
   COUNTIFS($A$2:A748,A748,
             $B$2:B748,B748,
             $C$2:C748,C748,
             $D$2:D748,D748,
             $E$2:E748,E748,
             $H$2:H748,H748
             )&gt;1,
   "Doublon",
   "Correcte"
)</f>
        <v>Correcte</v>
      </c>
    </row>
    <row r="749" spans="1:17" x14ac:dyDescent="0.25">
      <c r="A749" s="11" t="s">
        <v>3536</v>
      </c>
      <c r="B749" s="11" t="s">
        <v>1153</v>
      </c>
      <c r="C749" s="11" t="s">
        <v>665</v>
      </c>
      <c r="D749" s="11" t="s">
        <v>1154</v>
      </c>
      <c r="E749" s="11">
        <v>5</v>
      </c>
      <c r="F749" s="11" t="s">
        <v>699</v>
      </c>
      <c r="G749" s="11" t="s">
        <v>634</v>
      </c>
      <c r="H749" s="14">
        <v>45936.452615740738</v>
      </c>
      <c r="I749" s="12">
        <f>-Mvt_Inter_entrepot[[#This Row],[QTE]]</f>
        <v>-5</v>
      </c>
      <c r="J749" s="11" t="s">
        <v>787</v>
      </c>
      <c r="K749" s="11" t="str">
        <f>_xlfn.TEXTBEFORE(Mvt_Inter_entrepot[[#This Row],[Num Suivis]],"-",,,1)</f>
        <v>CA250006</v>
      </c>
      <c r="L749" s="11" t="e">
        <f>_xlfn.XLOOKUP(Mvt_Inter_entrepot[[#This Row],[Num OF]],#REF!,#REF!,"Non Trouvé")</f>
        <v>#REF!</v>
      </c>
      <c r="M749" s="11" t="e">
        <f>_xlfn.XLOOKUP(Mvt_Inter_entrepot[[#This Row],[Num OF]],#REF!,#REF!,"Non Trouvé")</f>
        <v>#REF!</v>
      </c>
      <c r="N749" s="11" t="e">
        <f>_xlfn.XLOOKUP(Mvt_Inter_entrepot[[#This Row],[Num OF]],#REF!,#REF!,"Non Trouvé")</f>
        <v>#REF!</v>
      </c>
      <c r="O749" s="11" t="e">
        <f>_xlfn.XLOOKUP(Mvt_Inter_entrepot[[#This Row],[Num OF]],#REF!,#REF!,"Non Trouvé")</f>
        <v>#REF!</v>
      </c>
      <c r="P749" s="11" t="e">
        <f>_xlfn.XLOOKUP(Mvt_Inter_entrepot[[#This Row],[Num OF]],#REF!,#REF!,"Non Trouvé")</f>
        <v>#REF!</v>
      </c>
      <c r="Q749" s="11" t="str">
        <f>IF(
   COUNTIFS($A$2:A749,A749,
             $B$2:B749,B749,
             $C$2:C749,C749,
             $D$2:D749,D749,
             $E$2:E749,E749,
             $H$2:H749,H749
             )&gt;1,
   "Doublon",
   "Correcte"
)</f>
        <v>Correcte</v>
      </c>
    </row>
    <row r="750" spans="1:17" x14ac:dyDescent="0.25">
      <c r="A750" s="11" t="s">
        <v>3537</v>
      </c>
      <c r="B750" s="11" t="s">
        <v>1153</v>
      </c>
      <c r="C750" s="11" t="s">
        <v>665</v>
      </c>
      <c r="D750" s="11" t="s">
        <v>1154</v>
      </c>
      <c r="E750" s="11">
        <v>5</v>
      </c>
      <c r="F750" s="11" t="s">
        <v>699</v>
      </c>
      <c r="G750" s="11" t="s">
        <v>634</v>
      </c>
      <c r="H750" s="14">
        <v>45936.452847222223</v>
      </c>
      <c r="I750" s="12">
        <f>-Mvt_Inter_entrepot[[#This Row],[QTE]]</f>
        <v>-5</v>
      </c>
      <c r="J750" s="11" t="s">
        <v>778</v>
      </c>
      <c r="K750" s="11" t="str">
        <f>_xlfn.TEXTBEFORE(Mvt_Inter_entrepot[[#This Row],[Num Suivis]],"-",,,1)</f>
        <v>CA250005</v>
      </c>
      <c r="L750" s="11" t="e">
        <f>_xlfn.XLOOKUP(Mvt_Inter_entrepot[[#This Row],[Num OF]],#REF!,#REF!,"Non Trouvé")</f>
        <v>#REF!</v>
      </c>
      <c r="M750" s="11" t="e">
        <f>_xlfn.XLOOKUP(Mvt_Inter_entrepot[[#This Row],[Num OF]],#REF!,#REF!,"Non Trouvé")</f>
        <v>#REF!</v>
      </c>
      <c r="N750" s="11" t="e">
        <f>_xlfn.XLOOKUP(Mvt_Inter_entrepot[[#This Row],[Num OF]],#REF!,#REF!,"Non Trouvé")</f>
        <v>#REF!</v>
      </c>
      <c r="O750" s="11" t="e">
        <f>_xlfn.XLOOKUP(Mvt_Inter_entrepot[[#This Row],[Num OF]],#REF!,#REF!,"Non Trouvé")</f>
        <v>#REF!</v>
      </c>
      <c r="P750" s="11" t="e">
        <f>_xlfn.XLOOKUP(Mvt_Inter_entrepot[[#This Row],[Num OF]],#REF!,#REF!,"Non Trouvé")</f>
        <v>#REF!</v>
      </c>
      <c r="Q750" s="11" t="str">
        <f>IF(
   COUNTIFS($A$2:A750,A750,
             $B$2:B750,B750,
             $C$2:C750,C750,
             $D$2:D750,D750,
             $E$2:E750,E750,
             $H$2:H750,H750
             )&gt;1,
   "Doublon",
   "Correcte"
)</f>
        <v>Correcte</v>
      </c>
    </row>
    <row r="751" spans="1:17" x14ac:dyDescent="0.25">
      <c r="A751" s="11" t="s">
        <v>3538</v>
      </c>
      <c r="B751" s="11" t="s">
        <v>1153</v>
      </c>
      <c r="C751" s="11" t="s">
        <v>665</v>
      </c>
      <c r="D751" s="11" t="s">
        <v>1154</v>
      </c>
      <c r="E751" s="11">
        <v>5</v>
      </c>
      <c r="F751" s="11" t="s">
        <v>699</v>
      </c>
      <c r="G751" s="11" t="s">
        <v>634</v>
      </c>
      <c r="H751" s="14">
        <v>45936.453182870369</v>
      </c>
      <c r="I751" s="12">
        <f>-Mvt_Inter_entrepot[[#This Row],[QTE]]</f>
        <v>-5</v>
      </c>
      <c r="J751" s="11" t="s">
        <v>908</v>
      </c>
      <c r="K751" s="11" t="str">
        <f>_xlfn.TEXTBEFORE(Mvt_Inter_entrepot[[#This Row],[Num Suivis]],"-",,,1)</f>
        <v>CA250017</v>
      </c>
      <c r="L751" s="11" t="e">
        <f>_xlfn.XLOOKUP(Mvt_Inter_entrepot[[#This Row],[Num OF]],#REF!,#REF!,"Non Trouvé")</f>
        <v>#REF!</v>
      </c>
      <c r="M751" s="11" t="e">
        <f>_xlfn.XLOOKUP(Mvt_Inter_entrepot[[#This Row],[Num OF]],#REF!,#REF!,"Non Trouvé")</f>
        <v>#REF!</v>
      </c>
      <c r="N751" s="11" t="e">
        <f>_xlfn.XLOOKUP(Mvt_Inter_entrepot[[#This Row],[Num OF]],#REF!,#REF!,"Non Trouvé")</f>
        <v>#REF!</v>
      </c>
      <c r="O751" s="11" t="e">
        <f>_xlfn.XLOOKUP(Mvt_Inter_entrepot[[#This Row],[Num OF]],#REF!,#REF!,"Non Trouvé")</f>
        <v>#REF!</v>
      </c>
      <c r="P751" s="11" t="e">
        <f>_xlfn.XLOOKUP(Mvt_Inter_entrepot[[#This Row],[Num OF]],#REF!,#REF!,"Non Trouvé")</f>
        <v>#REF!</v>
      </c>
      <c r="Q751" s="11" t="str">
        <f>IF(
   COUNTIFS($A$2:A751,A751,
             $B$2:B751,B751,
             $C$2:C751,C751,
             $D$2:D751,D751,
             $E$2:E751,E751,
             $H$2:H751,H751
             )&gt;1,
   "Doublon",
   "Correcte"
)</f>
        <v>Correcte</v>
      </c>
    </row>
    <row r="752" spans="1:17" x14ac:dyDescent="0.25">
      <c r="A752" s="11" t="s">
        <v>3539</v>
      </c>
      <c r="B752" s="11" t="s">
        <v>1153</v>
      </c>
      <c r="C752" s="11" t="s">
        <v>665</v>
      </c>
      <c r="D752" s="11" t="s">
        <v>1154</v>
      </c>
      <c r="E752" s="11">
        <v>5</v>
      </c>
      <c r="F752" s="11" t="s">
        <v>699</v>
      </c>
      <c r="G752" s="11" t="s">
        <v>634</v>
      </c>
      <c r="H752" s="14">
        <v>45936.453356481485</v>
      </c>
      <c r="I752" s="12">
        <f>-Mvt_Inter_entrepot[[#This Row],[QTE]]</f>
        <v>-5</v>
      </c>
      <c r="J752" s="11" t="s">
        <v>904</v>
      </c>
      <c r="K752" s="11" t="str">
        <f>_xlfn.TEXTBEFORE(Mvt_Inter_entrepot[[#This Row],[Num Suivis]],"-",,,1)</f>
        <v>CA250017</v>
      </c>
      <c r="L752" s="11" t="e">
        <f>_xlfn.XLOOKUP(Mvt_Inter_entrepot[[#This Row],[Num OF]],#REF!,#REF!,"Non Trouvé")</f>
        <v>#REF!</v>
      </c>
      <c r="M752" s="11" t="e">
        <f>_xlfn.XLOOKUP(Mvt_Inter_entrepot[[#This Row],[Num OF]],#REF!,#REF!,"Non Trouvé")</f>
        <v>#REF!</v>
      </c>
      <c r="N752" s="11" t="e">
        <f>_xlfn.XLOOKUP(Mvt_Inter_entrepot[[#This Row],[Num OF]],#REF!,#REF!,"Non Trouvé")</f>
        <v>#REF!</v>
      </c>
      <c r="O752" s="11" t="e">
        <f>_xlfn.XLOOKUP(Mvt_Inter_entrepot[[#This Row],[Num OF]],#REF!,#REF!,"Non Trouvé")</f>
        <v>#REF!</v>
      </c>
      <c r="P752" s="11" t="e">
        <f>_xlfn.XLOOKUP(Mvt_Inter_entrepot[[#This Row],[Num OF]],#REF!,#REF!,"Non Trouvé")</f>
        <v>#REF!</v>
      </c>
      <c r="Q752" s="11" t="str">
        <f>IF(
   COUNTIFS($A$2:A752,A752,
             $B$2:B752,B752,
             $C$2:C752,C752,
             $D$2:D752,D752,
             $E$2:E752,E752,
             $H$2:H752,H752
             )&gt;1,
   "Doublon",
   "Correcte"
)</f>
        <v>Correcte</v>
      </c>
    </row>
    <row r="753" spans="1:17" x14ac:dyDescent="0.25">
      <c r="A753" s="11" t="s">
        <v>3540</v>
      </c>
      <c r="B753" s="11" t="s">
        <v>1153</v>
      </c>
      <c r="C753" s="11" t="s">
        <v>665</v>
      </c>
      <c r="D753" s="11" t="s">
        <v>1154</v>
      </c>
      <c r="E753" s="11">
        <v>5</v>
      </c>
      <c r="F753" s="11" t="s">
        <v>699</v>
      </c>
      <c r="G753" s="11" t="s">
        <v>634</v>
      </c>
      <c r="H753" s="14">
        <v>45936.453553240739</v>
      </c>
      <c r="I753" s="12">
        <f>-Mvt_Inter_entrepot[[#This Row],[QTE]]</f>
        <v>-5</v>
      </c>
      <c r="J753" s="11" t="s">
        <v>905</v>
      </c>
      <c r="K753" s="11" t="str">
        <f>_xlfn.TEXTBEFORE(Mvt_Inter_entrepot[[#This Row],[Num Suivis]],"-",,,1)</f>
        <v>CA250017</v>
      </c>
      <c r="L753" s="11" t="e">
        <f>_xlfn.XLOOKUP(Mvt_Inter_entrepot[[#This Row],[Num OF]],#REF!,#REF!,"Non Trouvé")</f>
        <v>#REF!</v>
      </c>
      <c r="M753" s="11" t="e">
        <f>_xlfn.XLOOKUP(Mvt_Inter_entrepot[[#This Row],[Num OF]],#REF!,#REF!,"Non Trouvé")</f>
        <v>#REF!</v>
      </c>
      <c r="N753" s="11" t="e">
        <f>_xlfn.XLOOKUP(Mvt_Inter_entrepot[[#This Row],[Num OF]],#REF!,#REF!,"Non Trouvé")</f>
        <v>#REF!</v>
      </c>
      <c r="O753" s="11" t="e">
        <f>_xlfn.XLOOKUP(Mvt_Inter_entrepot[[#This Row],[Num OF]],#REF!,#REF!,"Non Trouvé")</f>
        <v>#REF!</v>
      </c>
      <c r="P753" s="11" t="e">
        <f>_xlfn.XLOOKUP(Mvt_Inter_entrepot[[#This Row],[Num OF]],#REF!,#REF!,"Non Trouvé")</f>
        <v>#REF!</v>
      </c>
      <c r="Q753" s="11" t="str">
        <f>IF(
   COUNTIFS($A$2:A753,A753,
             $B$2:B753,B753,
             $C$2:C753,C753,
             $D$2:D753,D753,
             $E$2:E753,E753,
             $H$2:H753,H753
             )&gt;1,
   "Doublon",
   "Correcte"
)</f>
        <v>Correcte</v>
      </c>
    </row>
    <row r="754" spans="1:17" x14ac:dyDescent="0.25">
      <c r="A754" s="11" t="s">
        <v>3541</v>
      </c>
      <c r="B754" s="11" t="s">
        <v>1153</v>
      </c>
      <c r="C754" s="11" t="s">
        <v>665</v>
      </c>
      <c r="D754" s="11" t="s">
        <v>1154</v>
      </c>
      <c r="E754" s="11">
        <v>5</v>
      </c>
      <c r="F754" s="11" t="s">
        <v>699</v>
      </c>
      <c r="G754" s="11" t="s">
        <v>634</v>
      </c>
      <c r="H754" s="14">
        <v>45936.453796296293</v>
      </c>
      <c r="I754" s="12">
        <f>-Mvt_Inter_entrepot[[#This Row],[QTE]]</f>
        <v>-5</v>
      </c>
      <c r="J754" s="11" t="s">
        <v>902</v>
      </c>
      <c r="K754" s="11" t="str">
        <f>_xlfn.TEXTBEFORE(Mvt_Inter_entrepot[[#This Row],[Num Suivis]],"-",,,1)</f>
        <v>CA250017</v>
      </c>
      <c r="L754" s="11" t="e">
        <f>_xlfn.XLOOKUP(Mvt_Inter_entrepot[[#This Row],[Num OF]],#REF!,#REF!,"Non Trouvé")</f>
        <v>#REF!</v>
      </c>
      <c r="M754" s="11" t="e">
        <f>_xlfn.XLOOKUP(Mvt_Inter_entrepot[[#This Row],[Num OF]],#REF!,#REF!,"Non Trouvé")</f>
        <v>#REF!</v>
      </c>
      <c r="N754" s="11" t="e">
        <f>_xlfn.XLOOKUP(Mvt_Inter_entrepot[[#This Row],[Num OF]],#REF!,#REF!,"Non Trouvé")</f>
        <v>#REF!</v>
      </c>
      <c r="O754" s="11" t="e">
        <f>_xlfn.XLOOKUP(Mvt_Inter_entrepot[[#This Row],[Num OF]],#REF!,#REF!,"Non Trouvé")</f>
        <v>#REF!</v>
      </c>
      <c r="P754" s="11" t="e">
        <f>_xlfn.XLOOKUP(Mvt_Inter_entrepot[[#This Row],[Num OF]],#REF!,#REF!,"Non Trouvé")</f>
        <v>#REF!</v>
      </c>
      <c r="Q754" s="11" t="str">
        <f>IF(
   COUNTIFS($A$2:A754,A754,
             $B$2:B754,B754,
             $C$2:C754,C754,
             $D$2:D754,D754,
             $E$2:E754,E754,
             $H$2:H754,H754
             )&gt;1,
   "Doublon",
   "Correcte"
)</f>
        <v>Correcte</v>
      </c>
    </row>
    <row r="755" spans="1:17" x14ac:dyDescent="0.25">
      <c r="A755" s="11" t="s">
        <v>3542</v>
      </c>
      <c r="B755" s="11" t="s">
        <v>1153</v>
      </c>
      <c r="C755" s="11" t="s">
        <v>665</v>
      </c>
      <c r="D755" s="11" t="s">
        <v>1154</v>
      </c>
      <c r="E755" s="11">
        <v>5</v>
      </c>
      <c r="F755" s="11" t="s">
        <v>699</v>
      </c>
      <c r="G755" s="11" t="s">
        <v>634</v>
      </c>
      <c r="H755" s="14">
        <v>45936.454305555555</v>
      </c>
      <c r="I755" s="12">
        <f>-Mvt_Inter_entrepot[[#This Row],[QTE]]</f>
        <v>-5</v>
      </c>
      <c r="J755" s="11" t="s">
        <v>906</v>
      </c>
      <c r="K755" s="11" t="str">
        <f>_xlfn.TEXTBEFORE(Mvt_Inter_entrepot[[#This Row],[Num Suivis]],"-",,,1)</f>
        <v>CA250017</v>
      </c>
      <c r="L755" s="11" t="e">
        <f>_xlfn.XLOOKUP(Mvt_Inter_entrepot[[#This Row],[Num OF]],#REF!,#REF!,"Non Trouvé")</f>
        <v>#REF!</v>
      </c>
      <c r="M755" s="11" t="e">
        <f>_xlfn.XLOOKUP(Mvt_Inter_entrepot[[#This Row],[Num OF]],#REF!,#REF!,"Non Trouvé")</f>
        <v>#REF!</v>
      </c>
      <c r="N755" s="11" t="e">
        <f>_xlfn.XLOOKUP(Mvt_Inter_entrepot[[#This Row],[Num OF]],#REF!,#REF!,"Non Trouvé")</f>
        <v>#REF!</v>
      </c>
      <c r="O755" s="11" t="e">
        <f>_xlfn.XLOOKUP(Mvt_Inter_entrepot[[#This Row],[Num OF]],#REF!,#REF!,"Non Trouvé")</f>
        <v>#REF!</v>
      </c>
      <c r="P755" s="11" t="e">
        <f>_xlfn.XLOOKUP(Mvt_Inter_entrepot[[#This Row],[Num OF]],#REF!,#REF!,"Non Trouvé")</f>
        <v>#REF!</v>
      </c>
      <c r="Q755" s="11" t="str">
        <f>IF(
   COUNTIFS($A$2:A755,A755,
             $B$2:B755,B755,
             $C$2:C755,C755,
             $D$2:D755,D755,
             $E$2:E755,E755,
             $H$2:H755,H755
             )&gt;1,
   "Doublon",
   "Correcte"
)</f>
        <v>Correcte</v>
      </c>
    </row>
    <row r="756" spans="1:17" x14ac:dyDescent="0.25">
      <c r="A756" s="11" t="s">
        <v>3543</v>
      </c>
      <c r="B756" s="11" t="s">
        <v>1153</v>
      </c>
      <c r="C756" s="11" t="s">
        <v>665</v>
      </c>
      <c r="D756" s="11" t="s">
        <v>1154</v>
      </c>
      <c r="E756" s="11">
        <v>5</v>
      </c>
      <c r="F756" s="11" t="s">
        <v>699</v>
      </c>
      <c r="G756" s="11" t="s">
        <v>634</v>
      </c>
      <c r="H756" s="14">
        <v>45936.45453703704</v>
      </c>
      <c r="I756" s="12">
        <f>-Mvt_Inter_entrepot[[#This Row],[QTE]]</f>
        <v>-5</v>
      </c>
      <c r="J756" s="11" t="s">
        <v>901</v>
      </c>
      <c r="K756" s="11" t="str">
        <f>_xlfn.TEXTBEFORE(Mvt_Inter_entrepot[[#This Row],[Num Suivis]],"-",,,1)</f>
        <v>CA250017</v>
      </c>
      <c r="L756" s="11" t="e">
        <f>_xlfn.XLOOKUP(Mvt_Inter_entrepot[[#This Row],[Num OF]],#REF!,#REF!,"Non Trouvé")</f>
        <v>#REF!</v>
      </c>
      <c r="M756" s="11" t="e">
        <f>_xlfn.XLOOKUP(Mvt_Inter_entrepot[[#This Row],[Num OF]],#REF!,#REF!,"Non Trouvé")</f>
        <v>#REF!</v>
      </c>
      <c r="N756" s="11" t="e">
        <f>_xlfn.XLOOKUP(Mvt_Inter_entrepot[[#This Row],[Num OF]],#REF!,#REF!,"Non Trouvé")</f>
        <v>#REF!</v>
      </c>
      <c r="O756" s="11" t="e">
        <f>_xlfn.XLOOKUP(Mvt_Inter_entrepot[[#This Row],[Num OF]],#REF!,#REF!,"Non Trouvé")</f>
        <v>#REF!</v>
      </c>
      <c r="P756" s="11" t="e">
        <f>_xlfn.XLOOKUP(Mvt_Inter_entrepot[[#This Row],[Num OF]],#REF!,#REF!,"Non Trouvé")</f>
        <v>#REF!</v>
      </c>
      <c r="Q756" s="11" t="str">
        <f>IF(
   COUNTIFS($A$2:A756,A756,
             $B$2:B756,B756,
             $C$2:C756,C756,
             $D$2:D756,D756,
             $E$2:E756,E756,
             $H$2:H756,H756
             )&gt;1,
   "Doublon",
   "Correcte"
)</f>
        <v>Correcte</v>
      </c>
    </row>
    <row r="757" spans="1:17" x14ac:dyDescent="0.25">
      <c r="A757" s="11" t="s">
        <v>3544</v>
      </c>
      <c r="B757" s="11" t="s">
        <v>1153</v>
      </c>
      <c r="C757" s="11" t="s">
        <v>665</v>
      </c>
      <c r="D757" s="11" t="s">
        <v>1154</v>
      </c>
      <c r="E757" s="11">
        <v>5</v>
      </c>
      <c r="F757" s="11" t="s">
        <v>699</v>
      </c>
      <c r="G757" s="11" t="s">
        <v>634</v>
      </c>
      <c r="H757" s="14">
        <v>45936.454699074071</v>
      </c>
      <c r="I757" s="12">
        <f>-Mvt_Inter_entrepot[[#This Row],[QTE]]</f>
        <v>-5</v>
      </c>
      <c r="J757" s="11" t="s">
        <v>903</v>
      </c>
      <c r="K757" s="11" t="str">
        <f>_xlfn.TEXTBEFORE(Mvt_Inter_entrepot[[#This Row],[Num Suivis]],"-",,,1)</f>
        <v>CA250017</v>
      </c>
      <c r="L757" s="11" t="e">
        <f>_xlfn.XLOOKUP(Mvt_Inter_entrepot[[#This Row],[Num OF]],#REF!,#REF!,"Non Trouvé")</f>
        <v>#REF!</v>
      </c>
      <c r="M757" s="11" t="e">
        <f>_xlfn.XLOOKUP(Mvt_Inter_entrepot[[#This Row],[Num OF]],#REF!,#REF!,"Non Trouvé")</f>
        <v>#REF!</v>
      </c>
      <c r="N757" s="11" t="e">
        <f>_xlfn.XLOOKUP(Mvt_Inter_entrepot[[#This Row],[Num OF]],#REF!,#REF!,"Non Trouvé")</f>
        <v>#REF!</v>
      </c>
      <c r="O757" s="11" t="e">
        <f>_xlfn.XLOOKUP(Mvt_Inter_entrepot[[#This Row],[Num OF]],#REF!,#REF!,"Non Trouvé")</f>
        <v>#REF!</v>
      </c>
      <c r="P757" s="11" t="e">
        <f>_xlfn.XLOOKUP(Mvt_Inter_entrepot[[#This Row],[Num OF]],#REF!,#REF!,"Non Trouvé")</f>
        <v>#REF!</v>
      </c>
      <c r="Q757" s="11" t="str">
        <f>IF(
   COUNTIFS($A$2:A757,A757,
             $B$2:B757,B757,
             $C$2:C757,C757,
             $D$2:D757,D757,
             $E$2:E757,E757,
             $H$2:H757,H757
             )&gt;1,
   "Doublon",
   "Correcte"
)</f>
        <v>Correcte</v>
      </c>
    </row>
    <row r="758" spans="1:17" x14ac:dyDescent="0.25">
      <c r="A758" s="11" t="s">
        <v>3545</v>
      </c>
      <c r="B758" s="11" t="s">
        <v>1153</v>
      </c>
      <c r="C758" s="11" t="s">
        <v>665</v>
      </c>
      <c r="D758" s="11" t="s">
        <v>1154</v>
      </c>
      <c r="E758" s="11">
        <v>5</v>
      </c>
      <c r="F758" s="11" t="s">
        <v>699</v>
      </c>
      <c r="G758" s="11" t="s">
        <v>634</v>
      </c>
      <c r="H758" s="14">
        <v>45936.455266203702</v>
      </c>
      <c r="I758" s="12">
        <f>-Mvt_Inter_entrepot[[#This Row],[QTE]]</f>
        <v>-5</v>
      </c>
      <c r="J758" s="11" t="s">
        <v>907</v>
      </c>
      <c r="K758" s="11" t="str">
        <f>_xlfn.TEXTBEFORE(Mvt_Inter_entrepot[[#This Row],[Num Suivis]],"-",,,1)</f>
        <v>CA250017</v>
      </c>
      <c r="L758" s="11" t="e">
        <f>_xlfn.XLOOKUP(Mvt_Inter_entrepot[[#This Row],[Num OF]],#REF!,#REF!,"Non Trouvé")</f>
        <v>#REF!</v>
      </c>
      <c r="M758" s="11" t="e">
        <f>_xlfn.XLOOKUP(Mvt_Inter_entrepot[[#This Row],[Num OF]],#REF!,#REF!,"Non Trouvé")</f>
        <v>#REF!</v>
      </c>
      <c r="N758" s="11" t="e">
        <f>_xlfn.XLOOKUP(Mvt_Inter_entrepot[[#This Row],[Num OF]],#REF!,#REF!,"Non Trouvé")</f>
        <v>#REF!</v>
      </c>
      <c r="O758" s="11" t="e">
        <f>_xlfn.XLOOKUP(Mvt_Inter_entrepot[[#This Row],[Num OF]],#REF!,#REF!,"Non Trouvé")</f>
        <v>#REF!</v>
      </c>
      <c r="P758" s="11" t="e">
        <f>_xlfn.XLOOKUP(Mvt_Inter_entrepot[[#This Row],[Num OF]],#REF!,#REF!,"Non Trouvé")</f>
        <v>#REF!</v>
      </c>
      <c r="Q758" s="11" t="str">
        <f>IF(
   COUNTIFS($A$2:A758,A758,
             $B$2:B758,B758,
             $C$2:C758,C758,
             $D$2:D758,D758,
             $E$2:E758,E758,
             $H$2:H758,H758
             )&gt;1,
   "Doublon",
   "Correcte"
)</f>
        <v>Correcte</v>
      </c>
    </row>
    <row r="759" spans="1:17" x14ac:dyDescent="0.25">
      <c r="A759" s="11" t="s">
        <v>3546</v>
      </c>
      <c r="B759" s="11" t="s">
        <v>1153</v>
      </c>
      <c r="C759" s="11" t="s">
        <v>665</v>
      </c>
      <c r="D759" s="11" t="s">
        <v>1154</v>
      </c>
      <c r="E759" s="11">
        <v>5</v>
      </c>
      <c r="F759" s="11" t="s">
        <v>699</v>
      </c>
      <c r="G759" s="11" t="s">
        <v>634</v>
      </c>
      <c r="H759" s="14">
        <v>45936.455497685187</v>
      </c>
      <c r="I759" s="12">
        <f>-Mvt_Inter_entrepot[[#This Row],[QTE]]</f>
        <v>-5</v>
      </c>
      <c r="J759" s="11" t="s">
        <v>900</v>
      </c>
      <c r="K759" s="11" t="str">
        <f>_xlfn.TEXTBEFORE(Mvt_Inter_entrepot[[#This Row],[Num Suivis]],"-",,,1)</f>
        <v>CA250017</v>
      </c>
      <c r="L759" s="11" t="e">
        <f>_xlfn.XLOOKUP(Mvt_Inter_entrepot[[#This Row],[Num OF]],#REF!,#REF!,"Non Trouvé")</f>
        <v>#REF!</v>
      </c>
      <c r="M759" s="11" t="e">
        <f>_xlfn.XLOOKUP(Mvt_Inter_entrepot[[#This Row],[Num OF]],#REF!,#REF!,"Non Trouvé")</f>
        <v>#REF!</v>
      </c>
      <c r="N759" s="11" t="e">
        <f>_xlfn.XLOOKUP(Mvt_Inter_entrepot[[#This Row],[Num OF]],#REF!,#REF!,"Non Trouvé")</f>
        <v>#REF!</v>
      </c>
      <c r="O759" s="11" t="e">
        <f>_xlfn.XLOOKUP(Mvt_Inter_entrepot[[#This Row],[Num OF]],#REF!,#REF!,"Non Trouvé")</f>
        <v>#REF!</v>
      </c>
      <c r="P759" s="11" t="e">
        <f>_xlfn.XLOOKUP(Mvt_Inter_entrepot[[#This Row],[Num OF]],#REF!,#REF!,"Non Trouvé")</f>
        <v>#REF!</v>
      </c>
      <c r="Q759" s="11" t="str">
        <f>IF(
   COUNTIFS($A$2:A759,A759,
             $B$2:B759,B759,
             $C$2:C759,C759,
             $D$2:D759,D759,
             $E$2:E759,E759,
             $H$2:H759,H759
             )&gt;1,
   "Doublon",
   "Correcte"
)</f>
        <v>Correcte</v>
      </c>
    </row>
    <row r="760" spans="1:17" x14ac:dyDescent="0.25">
      <c r="A760" s="11" t="s">
        <v>3547</v>
      </c>
      <c r="B760" s="11" t="s">
        <v>1153</v>
      </c>
      <c r="C760" s="11" t="s">
        <v>665</v>
      </c>
      <c r="D760" s="11" t="s">
        <v>1154</v>
      </c>
      <c r="E760" s="11">
        <v>5</v>
      </c>
      <c r="F760" s="11" t="s">
        <v>699</v>
      </c>
      <c r="G760" s="11" t="s">
        <v>634</v>
      </c>
      <c r="H760" s="14">
        <v>45936.455740740741</v>
      </c>
      <c r="I760" s="12">
        <f>-Mvt_Inter_entrepot[[#This Row],[QTE]]</f>
        <v>-5</v>
      </c>
      <c r="J760" s="11" t="s">
        <v>909</v>
      </c>
      <c r="K760" s="11" t="str">
        <f>_xlfn.TEXTBEFORE(Mvt_Inter_entrepot[[#This Row],[Num Suivis]],"-",,,1)</f>
        <v>CA250017</v>
      </c>
      <c r="L760" s="11" t="e">
        <f>_xlfn.XLOOKUP(Mvt_Inter_entrepot[[#This Row],[Num OF]],#REF!,#REF!,"Non Trouvé")</f>
        <v>#REF!</v>
      </c>
      <c r="M760" s="11" t="e">
        <f>_xlfn.XLOOKUP(Mvt_Inter_entrepot[[#This Row],[Num OF]],#REF!,#REF!,"Non Trouvé")</f>
        <v>#REF!</v>
      </c>
      <c r="N760" s="11" t="e">
        <f>_xlfn.XLOOKUP(Mvt_Inter_entrepot[[#This Row],[Num OF]],#REF!,#REF!,"Non Trouvé")</f>
        <v>#REF!</v>
      </c>
      <c r="O760" s="11" t="e">
        <f>_xlfn.XLOOKUP(Mvt_Inter_entrepot[[#This Row],[Num OF]],#REF!,#REF!,"Non Trouvé")</f>
        <v>#REF!</v>
      </c>
      <c r="P760" s="11" t="e">
        <f>_xlfn.XLOOKUP(Mvt_Inter_entrepot[[#This Row],[Num OF]],#REF!,#REF!,"Non Trouvé")</f>
        <v>#REF!</v>
      </c>
      <c r="Q760" s="11" t="str">
        <f>IF(
   COUNTIFS($A$2:A760,A760,
             $B$2:B760,B760,
             $C$2:C760,C760,
             $D$2:D760,D760,
             $E$2:E760,E760,
             $H$2:H760,H760
             )&gt;1,
   "Doublon",
   "Correcte"
)</f>
        <v>Correcte</v>
      </c>
    </row>
    <row r="761" spans="1:17" x14ac:dyDescent="0.25">
      <c r="A761" s="11" t="s">
        <v>3548</v>
      </c>
      <c r="B761" s="11" t="s">
        <v>1153</v>
      </c>
      <c r="C761" s="11" t="s">
        <v>665</v>
      </c>
      <c r="D761" s="11" t="s">
        <v>1154</v>
      </c>
      <c r="E761" s="11">
        <v>5</v>
      </c>
      <c r="F761" s="11" t="s">
        <v>699</v>
      </c>
      <c r="G761" s="11" t="s">
        <v>634</v>
      </c>
      <c r="H761" s="14">
        <v>45936.459594907406</v>
      </c>
      <c r="I761" s="12">
        <f>-Mvt_Inter_entrepot[[#This Row],[QTE]]</f>
        <v>-5</v>
      </c>
      <c r="J761" s="11" t="s">
        <v>765</v>
      </c>
      <c r="K761" s="11" t="str">
        <f>_xlfn.TEXTBEFORE(Mvt_Inter_entrepot[[#This Row],[Num Suivis]],"-",,,1)</f>
        <v>CA250004</v>
      </c>
      <c r="L761" s="11" t="e">
        <f>_xlfn.XLOOKUP(Mvt_Inter_entrepot[[#This Row],[Num OF]],#REF!,#REF!,"Non Trouvé")</f>
        <v>#REF!</v>
      </c>
      <c r="M761" s="11" t="e">
        <f>_xlfn.XLOOKUP(Mvt_Inter_entrepot[[#This Row],[Num OF]],#REF!,#REF!,"Non Trouvé")</f>
        <v>#REF!</v>
      </c>
      <c r="N761" s="11" t="e">
        <f>_xlfn.XLOOKUP(Mvt_Inter_entrepot[[#This Row],[Num OF]],#REF!,#REF!,"Non Trouvé")</f>
        <v>#REF!</v>
      </c>
      <c r="O761" s="11" t="e">
        <f>_xlfn.XLOOKUP(Mvt_Inter_entrepot[[#This Row],[Num OF]],#REF!,#REF!,"Non Trouvé")</f>
        <v>#REF!</v>
      </c>
      <c r="P761" s="11" t="e">
        <f>_xlfn.XLOOKUP(Mvt_Inter_entrepot[[#This Row],[Num OF]],#REF!,#REF!,"Non Trouvé")</f>
        <v>#REF!</v>
      </c>
      <c r="Q761" s="11" t="str">
        <f>IF(
   COUNTIFS($A$2:A761,A761,
             $B$2:B761,B761,
             $C$2:C761,C761,
             $D$2:D761,D761,
             $E$2:E761,E761,
             $H$2:H761,H761
             )&gt;1,
   "Doublon",
   "Correcte"
)</f>
        <v>Correcte</v>
      </c>
    </row>
    <row r="762" spans="1:17" x14ac:dyDescent="0.25">
      <c r="A762" s="11" t="s">
        <v>3549</v>
      </c>
      <c r="B762" s="11" t="s">
        <v>1153</v>
      </c>
      <c r="C762" s="11" t="s">
        <v>665</v>
      </c>
      <c r="D762" s="11" t="s">
        <v>1154</v>
      </c>
      <c r="E762" s="11">
        <v>5</v>
      </c>
      <c r="F762" s="11" t="s">
        <v>699</v>
      </c>
      <c r="G762" s="11" t="s">
        <v>634</v>
      </c>
      <c r="H762" s="14">
        <v>45936.460127314815</v>
      </c>
      <c r="I762" s="12">
        <f>-Mvt_Inter_entrepot[[#This Row],[QTE]]</f>
        <v>-5</v>
      </c>
      <c r="J762" s="11" t="s">
        <v>895</v>
      </c>
      <c r="K762" s="11" t="str">
        <f>_xlfn.TEXTBEFORE(Mvt_Inter_entrepot[[#This Row],[Num Suivis]],"-",,,1)</f>
        <v>CA250018</v>
      </c>
      <c r="L762" s="11" t="e">
        <f>_xlfn.XLOOKUP(Mvt_Inter_entrepot[[#This Row],[Num OF]],#REF!,#REF!,"Non Trouvé")</f>
        <v>#REF!</v>
      </c>
      <c r="M762" s="11" t="e">
        <f>_xlfn.XLOOKUP(Mvt_Inter_entrepot[[#This Row],[Num OF]],#REF!,#REF!,"Non Trouvé")</f>
        <v>#REF!</v>
      </c>
      <c r="N762" s="11" t="e">
        <f>_xlfn.XLOOKUP(Mvt_Inter_entrepot[[#This Row],[Num OF]],#REF!,#REF!,"Non Trouvé")</f>
        <v>#REF!</v>
      </c>
      <c r="O762" s="11" t="e">
        <f>_xlfn.XLOOKUP(Mvt_Inter_entrepot[[#This Row],[Num OF]],#REF!,#REF!,"Non Trouvé")</f>
        <v>#REF!</v>
      </c>
      <c r="P762" s="11" t="e">
        <f>_xlfn.XLOOKUP(Mvt_Inter_entrepot[[#This Row],[Num OF]],#REF!,#REF!,"Non Trouvé")</f>
        <v>#REF!</v>
      </c>
      <c r="Q762" s="11" t="str">
        <f>IF(
   COUNTIFS($A$2:A762,A762,
             $B$2:B762,B762,
             $C$2:C762,C762,
             $D$2:D762,D762,
             $E$2:E762,E762,
             $H$2:H762,H762
             )&gt;1,
   "Doublon",
   "Correcte"
)</f>
        <v>Correcte</v>
      </c>
    </row>
    <row r="763" spans="1:17" x14ac:dyDescent="0.25">
      <c r="A763" s="11" t="s">
        <v>3550</v>
      </c>
      <c r="B763" s="11" t="s">
        <v>1153</v>
      </c>
      <c r="C763" s="11" t="s">
        <v>665</v>
      </c>
      <c r="D763" s="11" t="s">
        <v>1154</v>
      </c>
      <c r="E763" s="11">
        <v>5</v>
      </c>
      <c r="F763" s="11" t="s">
        <v>699</v>
      </c>
      <c r="G763" s="11" t="s">
        <v>634</v>
      </c>
      <c r="H763" s="14">
        <v>45936.460381944446</v>
      </c>
      <c r="I763" s="12">
        <f>-Mvt_Inter_entrepot[[#This Row],[QTE]]</f>
        <v>-5</v>
      </c>
      <c r="J763" s="11" t="s">
        <v>883</v>
      </c>
      <c r="K763" s="11" t="str">
        <f>_xlfn.TEXTBEFORE(Mvt_Inter_entrepot[[#This Row],[Num Suivis]],"-",,,1)</f>
        <v>CA250014</v>
      </c>
      <c r="L763" s="11" t="e">
        <f>_xlfn.XLOOKUP(Mvt_Inter_entrepot[[#This Row],[Num OF]],#REF!,#REF!,"Non Trouvé")</f>
        <v>#REF!</v>
      </c>
      <c r="M763" s="11" t="e">
        <f>_xlfn.XLOOKUP(Mvt_Inter_entrepot[[#This Row],[Num OF]],#REF!,#REF!,"Non Trouvé")</f>
        <v>#REF!</v>
      </c>
      <c r="N763" s="11" t="e">
        <f>_xlfn.XLOOKUP(Mvt_Inter_entrepot[[#This Row],[Num OF]],#REF!,#REF!,"Non Trouvé")</f>
        <v>#REF!</v>
      </c>
      <c r="O763" s="11" t="e">
        <f>_xlfn.XLOOKUP(Mvt_Inter_entrepot[[#This Row],[Num OF]],#REF!,#REF!,"Non Trouvé")</f>
        <v>#REF!</v>
      </c>
      <c r="P763" s="11" t="e">
        <f>_xlfn.XLOOKUP(Mvt_Inter_entrepot[[#This Row],[Num OF]],#REF!,#REF!,"Non Trouvé")</f>
        <v>#REF!</v>
      </c>
      <c r="Q763" s="11" t="str">
        <f>IF(
   COUNTIFS($A$2:A763,A763,
             $B$2:B763,B763,
             $C$2:C763,C763,
             $D$2:D763,D763,
             $E$2:E763,E763,
             $H$2:H763,H763
             )&gt;1,
   "Doublon",
   "Correcte"
)</f>
        <v>Correcte</v>
      </c>
    </row>
    <row r="764" spans="1:17" x14ac:dyDescent="0.25">
      <c r="A764" s="11" t="s">
        <v>3551</v>
      </c>
      <c r="B764" s="11" t="s">
        <v>1153</v>
      </c>
      <c r="C764" s="11" t="s">
        <v>665</v>
      </c>
      <c r="D764" s="11" t="s">
        <v>1154</v>
      </c>
      <c r="E764" s="11">
        <v>5</v>
      </c>
      <c r="F764" s="11" t="s">
        <v>699</v>
      </c>
      <c r="G764" s="11" t="s">
        <v>634</v>
      </c>
      <c r="H764" s="14">
        <v>45936.460590277777</v>
      </c>
      <c r="I764" s="12">
        <f>-Mvt_Inter_entrepot[[#This Row],[QTE]]</f>
        <v>-5</v>
      </c>
      <c r="J764" s="11" t="s">
        <v>884</v>
      </c>
      <c r="K764" s="11" t="str">
        <f>_xlfn.TEXTBEFORE(Mvt_Inter_entrepot[[#This Row],[Num Suivis]],"-",,,1)</f>
        <v>CA250014</v>
      </c>
      <c r="L764" s="11" t="e">
        <f>_xlfn.XLOOKUP(Mvt_Inter_entrepot[[#This Row],[Num OF]],#REF!,#REF!,"Non Trouvé")</f>
        <v>#REF!</v>
      </c>
      <c r="M764" s="11" t="e">
        <f>_xlfn.XLOOKUP(Mvt_Inter_entrepot[[#This Row],[Num OF]],#REF!,#REF!,"Non Trouvé")</f>
        <v>#REF!</v>
      </c>
      <c r="N764" s="11" t="e">
        <f>_xlfn.XLOOKUP(Mvt_Inter_entrepot[[#This Row],[Num OF]],#REF!,#REF!,"Non Trouvé")</f>
        <v>#REF!</v>
      </c>
      <c r="O764" s="11" t="e">
        <f>_xlfn.XLOOKUP(Mvt_Inter_entrepot[[#This Row],[Num OF]],#REF!,#REF!,"Non Trouvé")</f>
        <v>#REF!</v>
      </c>
      <c r="P764" s="11" t="e">
        <f>_xlfn.XLOOKUP(Mvt_Inter_entrepot[[#This Row],[Num OF]],#REF!,#REF!,"Non Trouvé")</f>
        <v>#REF!</v>
      </c>
      <c r="Q764" s="11" t="str">
        <f>IF(
   COUNTIFS($A$2:A764,A764,
             $B$2:B764,B764,
             $C$2:C764,C764,
             $D$2:D764,D764,
             $E$2:E764,E764,
             $H$2:H764,H764
             )&gt;1,
   "Doublon",
   "Correcte"
)</f>
        <v>Correcte</v>
      </c>
    </row>
    <row r="765" spans="1:17" x14ac:dyDescent="0.25">
      <c r="A765" s="11" t="s">
        <v>3552</v>
      </c>
      <c r="B765" s="11" t="s">
        <v>1153</v>
      </c>
      <c r="C765" s="11" t="s">
        <v>665</v>
      </c>
      <c r="D765" s="11" t="s">
        <v>1154</v>
      </c>
      <c r="E765" s="11">
        <v>5</v>
      </c>
      <c r="F765" s="11" t="s">
        <v>699</v>
      </c>
      <c r="G765" s="11" t="s">
        <v>634</v>
      </c>
      <c r="H765" s="14">
        <v>45936.460844907408</v>
      </c>
      <c r="I765" s="12">
        <f>-Mvt_Inter_entrepot[[#This Row],[QTE]]</f>
        <v>-5</v>
      </c>
      <c r="J765" s="11" t="s">
        <v>882</v>
      </c>
      <c r="K765" s="11" t="str">
        <f>_xlfn.TEXTBEFORE(Mvt_Inter_entrepot[[#This Row],[Num Suivis]],"-",,,1)</f>
        <v>CA250014</v>
      </c>
      <c r="L765" s="11" t="e">
        <f>_xlfn.XLOOKUP(Mvt_Inter_entrepot[[#This Row],[Num OF]],#REF!,#REF!,"Non Trouvé")</f>
        <v>#REF!</v>
      </c>
      <c r="M765" s="11" t="e">
        <f>_xlfn.XLOOKUP(Mvt_Inter_entrepot[[#This Row],[Num OF]],#REF!,#REF!,"Non Trouvé")</f>
        <v>#REF!</v>
      </c>
      <c r="N765" s="11" t="e">
        <f>_xlfn.XLOOKUP(Mvt_Inter_entrepot[[#This Row],[Num OF]],#REF!,#REF!,"Non Trouvé")</f>
        <v>#REF!</v>
      </c>
      <c r="O765" s="11" t="e">
        <f>_xlfn.XLOOKUP(Mvt_Inter_entrepot[[#This Row],[Num OF]],#REF!,#REF!,"Non Trouvé")</f>
        <v>#REF!</v>
      </c>
      <c r="P765" s="11" t="e">
        <f>_xlfn.XLOOKUP(Mvt_Inter_entrepot[[#This Row],[Num OF]],#REF!,#REF!,"Non Trouvé")</f>
        <v>#REF!</v>
      </c>
      <c r="Q765" s="11" t="str">
        <f>IF(
   COUNTIFS($A$2:A765,A765,
             $B$2:B765,B765,
             $C$2:C765,C765,
             $D$2:D765,D765,
             $E$2:E765,E765,
             $H$2:H765,H765
             )&gt;1,
   "Doublon",
   "Correcte"
)</f>
        <v>Correcte</v>
      </c>
    </row>
    <row r="766" spans="1:17" x14ac:dyDescent="0.25">
      <c r="A766" s="11" t="s">
        <v>3553</v>
      </c>
      <c r="B766" s="11" t="s">
        <v>1153</v>
      </c>
      <c r="C766" s="11" t="s">
        <v>665</v>
      </c>
      <c r="D766" s="11" t="s">
        <v>1154</v>
      </c>
      <c r="E766" s="11">
        <v>5</v>
      </c>
      <c r="F766" s="11" t="s">
        <v>699</v>
      </c>
      <c r="G766" s="11" t="s">
        <v>634</v>
      </c>
      <c r="H766" s="14">
        <v>45936.461111111108</v>
      </c>
      <c r="I766" s="12">
        <f>-Mvt_Inter_entrepot[[#This Row],[QTE]]</f>
        <v>-5</v>
      </c>
      <c r="J766" s="11" t="s">
        <v>894</v>
      </c>
      <c r="K766" s="11" t="str">
        <f>_xlfn.TEXTBEFORE(Mvt_Inter_entrepot[[#This Row],[Num Suivis]],"-",,,1)</f>
        <v>CA250018</v>
      </c>
      <c r="L766" s="11" t="e">
        <f>_xlfn.XLOOKUP(Mvt_Inter_entrepot[[#This Row],[Num OF]],#REF!,#REF!,"Non Trouvé")</f>
        <v>#REF!</v>
      </c>
      <c r="M766" s="11" t="e">
        <f>_xlfn.XLOOKUP(Mvt_Inter_entrepot[[#This Row],[Num OF]],#REF!,#REF!,"Non Trouvé")</f>
        <v>#REF!</v>
      </c>
      <c r="N766" s="11" t="e">
        <f>_xlfn.XLOOKUP(Mvt_Inter_entrepot[[#This Row],[Num OF]],#REF!,#REF!,"Non Trouvé")</f>
        <v>#REF!</v>
      </c>
      <c r="O766" s="11" t="e">
        <f>_xlfn.XLOOKUP(Mvt_Inter_entrepot[[#This Row],[Num OF]],#REF!,#REF!,"Non Trouvé")</f>
        <v>#REF!</v>
      </c>
      <c r="P766" s="11" t="e">
        <f>_xlfn.XLOOKUP(Mvt_Inter_entrepot[[#This Row],[Num OF]],#REF!,#REF!,"Non Trouvé")</f>
        <v>#REF!</v>
      </c>
      <c r="Q766" s="11" t="str">
        <f>IF(
   COUNTIFS($A$2:A766,A766,
             $B$2:B766,B766,
             $C$2:C766,C766,
             $D$2:D766,D766,
             $E$2:E766,E766,
             $H$2:H766,H766
             )&gt;1,
   "Doublon",
   "Correcte"
)</f>
        <v>Correcte</v>
      </c>
    </row>
    <row r="767" spans="1:17" x14ac:dyDescent="0.25">
      <c r="A767" s="11" t="s">
        <v>3554</v>
      </c>
      <c r="B767" s="11" t="s">
        <v>1153</v>
      </c>
      <c r="C767" s="11" t="s">
        <v>665</v>
      </c>
      <c r="D767" s="11" t="s">
        <v>1154</v>
      </c>
      <c r="E767" s="11">
        <v>5</v>
      </c>
      <c r="F767" s="11" t="s">
        <v>699</v>
      </c>
      <c r="G767" s="11" t="s">
        <v>634</v>
      </c>
      <c r="H767" s="14">
        <v>45936.461319444446</v>
      </c>
      <c r="I767" s="12">
        <f>-Mvt_Inter_entrepot[[#This Row],[QTE]]</f>
        <v>-5</v>
      </c>
      <c r="J767" s="11" t="s">
        <v>898</v>
      </c>
      <c r="K767" s="11" t="str">
        <f>_xlfn.TEXTBEFORE(Mvt_Inter_entrepot[[#This Row],[Num Suivis]],"-",,,1)</f>
        <v>CA250018</v>
      </c>
      <c r="L767" s="11" t="e">
        <f>_xlfn.XLOOKUP(Mvt_Inter_entrepot[[#This Row],[Num OF]],#REF!,#REF!,"Non Trouvé")</f>
        <v>#REF!</v>
      </c>
      <c r="M767" s="11" t="e">
        <f>_xlfn.XLOOKUP(Mvt_Inter_entrepot[[#This Row],[Num OF]],#REF!,#REF!,"Non Trouvé")</f>
        <v>#REF!</v>
      </c>
      <c r="N767" s="11" t="e">
        <f>_xlfn.XLOOKUP(Mvt_Inter_entrepot[[#This Row],[Num OF]],#REF!,#REF!,"Non Trouvé")</f>
        <v>#REF!</v>
      </c>
      <c r="O767" s="11" t="e">
        <f>_xlfn.XLOOKUP(Mvt_Inter_entrepot[[#This Row],[Num OF]],#REF!,#REF!,"Non Trouvé")</f>
        <v>#REF!</v>
      </c>
      <c r="P767" s="11" t="e">
        <f>_xlfn.XLOOKUP(Mvt_Inter_entrepot[[#This Row],[Num OF]],#REF!,#REF!,"Non Trouvé")</f>
        <v>#REF!</v>
      </c>
      <c r="Q767" s="11" t="str">
        <f>IF(
   COUNTIFS($A$2:A767,A767,
             $B$2:B767,B767,
             $C$2:C767,C767,
             $D$2:D767,D767,
             $E$2:E767,E767,
             $H$2:H767,H767
             )&gt;1,
   "Doublon",
   "Correcte"
)</f>
        <v>Correcte</v>
      </c>
    </row>
    <row r="768" spans="1:17" x14ac:dyDescent="0.25">
      <c r="A768" s="11" t="s">
        <v>3555</v>
      </c>
      <c r="B768" s="11" t="s">
        <v>1153</v>
      </c>
      <c r="C768" s="11" t="s">
        <v>665</v>
      </c>
      <c r="D768" s="11" t="s">
        <v>1154</v>
      </c>
      <c r="E768" s="11">
        <v>5</v>
      </c>
      <c r="F768" s="11" t="s">
        <v>699</v>
      </c>
      <c r="G768" s="11" t="s">
        <v>634</v>
      </c>
      <c r="H768" s="14">
        <v>45936.461631944447</v>
      </c>
      <c r="I768" s="12">
        <f>-Mvt_Inter_entrepot[[#This Row],[QTE]]</f>
        <v>-5</v>
      </c>
      <c r="J768" s="11" t="s">
        <v>896</v>
      </c>
      <c r="K768" s="11" t="str">
        <f>_xlfn.TEXTBEFORE(Mvt_Inter_entrepot[[#This Row],[Num Suivis]],"-",,,1)</f>
        <v>CA250018</v>
      </c>
      <c r="L768" s="11" t="e">
        <f>_xlfn.XLOOKUP(Mvt_Inter_entrepot[[#This Row],[Num OF]],#REF!,#REF!,"Non Trouvé")</f>
        <v>#REF!</v>
      </c>
      <c r="M768" s="11" t="e">
        <f>_xlfn.XLOOKUP(Mvt_Inter_entrepot[[#This Row],[Num OF]],#REF!,#REF!,"Non Trouvé")</f>
        <v>#REF!</v>
      </c>
      <c r="N768" s="11" t="e">
        <f>_xlfn.XLOOKUP(Mvt_Inter_entrepot[[#This Row],[Num OF]],#REF!,#REF!,"Non Trouvé")</f>
        <v>#REF!</v>
      </c>
      <c r="O768" s="11" t="e">
        <f>_xlfn.XLOOKUP(Mvt_Inter_entrepot[[#This Row],[Num OF]],#REF!,#REF!,"Non Trouvé")</f>
        <v>#REF!</v>
      </c>
      <c r="P768" s="11" t="e">
        <f>_xlfn.XLOOKUP(Mvt_Inter_entrepot[[#This Row],[Num OF]],#REF!,#REF!,"Non Trouvé")</f>
        <v>#REF!</v>
      </c>
      <c r="Q768" s="11" t="str">
        <f>IF(
   COUNTIFS($A$2:A768,A768,
             $B$2:B768,B768,
             $C$2:C768,C768,
             $D$2:D768,D768,
             $E$2:E768,E768,
             $H$2:H768,H768
             )&gt;1,
   "Doublon",
   "Correcte"
)</f>
        <v>Correcte</v>
      </c>
    </row>
    <row r="769" spans="1:17" x14ac:dyDescent="0.25">
      <c r="A769" s="11" t="s">
        <v>3556</v>
      </c>
      <c r="B769" s="11" t="s">
        <v>1153</v>
      </c>
      <c r="C769" s="11" t="s">
        <v>665</v>
      </c>
      <c r="D769" s="11" t="s">
        <v>1154</v>
      </c>
      <c r="E769" s="11">
        <v>5</v>
      </c>
      <c r="F769" s="11" t="s">
        <v>699</v>
      </c>
      <c r="G769" s="11" t="s">
        <v>634</v>
      </c>
      <c r="H769" s="14">
        <v>45936.461886574078</v>
      </c>
      <c r="I769" s="12">
        <f>-Mvt_Inter_entrepot[[#This Row],[QTE]]</f>
        <v>-5</v>
      </c>
      <c r="J769" s="11" t="s">
        <v>813</v>
      </c>
      <c r="K769" s="11" t="str">
        <f>_xlfn.TEXTBEFORE(Mvt_Inter_entrepot[[#This Row],[Num Suivis]],"-",,,1)</f>
        <v>CA250011</v>
      </c>
      <c r="L769" s="11" t="e">
        <f>_xlfn.XLOOKUP(Mvt_Inter_entrepot[[#This Row],[Num OF]],#REF!,#REF!,"Non Trouvé")</f>
        <v>#REF!</v>
      </c>
      <c r="M769" s="11" t="e">
        <f>_xlfn.XLOOKUP(Mvt_Inter_entrepot[[#This Row],[Num OF]],#REF!,#REF!,"Non Trouvé")</f>
        <v>#REF!</v>
      </c>
      <c r="N769" s="11" t="e">
        <f>_xlfn.XLOOKUP(Mvt_Inter_entrepot[[#This Row],[Num OF]],#REF!,#REF!,"Non Trouvé")</f>
        <v>#REF!</v>
      </c>
      <c r="O769" s="11" t="e">
        <f>_xlfn.XLOOKUP(Mvt_Inter_entrepot[[#This Row],[Num OF]],#REF!,#REF!,"Non Trouvé")</f>
        <v>#REF!</v>
      </c>
      <c r="P769" s="11" t="e">
        <f>_xlfn.XLOOKUP(Mvt_Inter_entrepot[[#This Row],[Num OF]],#REF!,#REF!,"Non Trouvé")</f>
        <v>#REF!</v>
      </c>
      <c r="Q769" s="11" t="str">
        <f>IF(
   COUNTIFS($A$2:A769,A769,
             $B$2:B769,B769,
             $C$2:C769,C769,
             $D$2:D769,D769,
             $E$2:E769,E769,
             $H$2:H769,H769
             )&gt;1,
   "Doublon",
   "Correcte"
)</f>
        <v>Correcte</v>
      </c>
    </row>
    <row r="770" spans="1:17" x14ac:dyDescent="0.25">
      <c r="A770" s="11" t="s">
        <v>3557</v>
      </c>
      <c r="B770" s="11" t="s">
        <v>1153</v>
      </c>
      <c r="C770" s="11" t="s">
        <v>665</v>
      </c>
      <c r="D770" s="11" t="s">
        <v>1154</v>
      </c>
      <c r="E770" s="11">
        <v>5</v>
      </c>
      <c r="F770" s="11" t="s">
        <v>699</v>
      </c>
      <c r="G770" s="11" t="s">
        <v>634</v>
      </c>
      <c r="H770" s="14">
        <v>45936.462245370371</v>
      </c>
      <c r="I770" s="12">
        <f>-Mvt_Inter_entrepot[[#This Row],[QTE]]</f>
        <v>-5</v>
      </c>
      <c r="J770" s="11" t="s">
        <v>1020</v>
      </c>
      <c r="K770" s="11" t="str">
        <f>_xlfn.TEXTBEFORE(Mvt_Inter_entrepot[[#This Row],[Num Suivis]],"-",,,1)</f>
        <v>CA250030</v>
      </c>
      <c r="L770" s="11" t="e">
        <f>_xlfn.XLOOKUP(Mvt_Inter_entrepot[[#This Row],[Num OF]],#REF!,#REF!,"Non Trouvé")</f>
        <v>#REF!</v>
      </c>
      <c r="M770" s="11" t="e">
        <f>_xlfn.XLOOKUP(Mvt_Inter_entrepot[[#This Row],[Num OF]],#REF!,#REF!,"Non Trouvé")</f>
        <v>#REF!</v>
      </c>
      <c r="N770" s="11" t="e">
        <f>_xlfn.XLOOKUP(Mvt_Inter_entrepot[[#This Row],[Num OF]],#REF!,#REF!,"Non Trouvé")</f>
        <v>#REF!</v>
      </c>
      <c r="O770" s="11" t="e">
        <f>_xlfn.XLOOKUP(Mvt_Inter_entrepot[[#This Row],[Num OF]],#REF!,#REF!,"Non Trouvé")</f>
        <v>#REF!</v>
      </c>
      <c r="P770" s="11" t="e">
        <f>_xlfn.XLOOKUP(Mvt_Inter_entrepot[[#This Row],[Num OF]],#REF!,#REF!,"Non Trouvé")</f>
        <v>#REF!</v>
      </c>
      <c r="Q770" s="11" t="str">
        <f>IF(
   COUNTIFS($A$2:A770,A770,
             $B$2:B770,B770,
             $C$2:C770,C770,
             $D$2:D770,D770,
             $E$2:E770,E770,
             $H$2:H770,H770
             )&gt;1,
   "Doublon",
   "Correcte"
)</f>
        <v>Correcte</v>
      </c>
    </row>
    <row r="771" spans="1:17" x14ac:dyDescent="0.25">
      <c r="A771" s="11" t="s">
        <v>3558</v>
      </c>
      <c r="B771" s="11" t="s">
        <v>1153</v>
      </c>
      <c r="C771" s="11" t="s">
        <v>665</v>
      </c>
      <c r="D771" s="11" t="s">
        <v>1154</v>
      </c>
      <c r="E771" s="11">
        <v>5</v>
      </c>
      <c r="F771" s="11" t="s">
        <v>699</v>
      </c>
      <c r="G771" s="11" t="s">
        <v>634</v>
      </c>
      <c r="H771" s="14">
        <v>45936.462511574071</v>
      </c>
      <c r="I771" s="12">
        <f>-Mvt_Inter_entrepot[[#This Row],[QTE]]</f>
        <v>-5</v>
      </c>
      <c r="J771" s="11" t="s">
        <v>989</v>
      </c>
      <c r="K771" s="11" t="str">
        <f>_xlfn.TEXTBEFORE(Mvt_Inter_entrepot[[#This Row],[Num Suivis]],"-",,,1)</f>
        <v>CA250050</v>
      </c>
      <c r="L771" s="11" t="e">
        <f>_xlfn.XLOOKUP(Mvt_Inter_entrepot[[#This Row],[Num OF]],#REF!,#REF!,"Non Trouvé")</f>
        <v>#REF!</v>
      </c>
      <c r="M771" s="11" t="e">
        <f>_xlfn.XLOOKUP(Mvt_Inter_entrepot[[#This Row],[Num OF]],#REF!,#REF!,"Non Trouvé")</f>
        <v>#REF!</v>
      </c>
      <c r="N771" s="11" t="e">
        <f>_xlfn.XLOOKUP(Mvt_Inter_entrepot[[#This Row],[Num OF]],#REF!,#REF!,"Non Trouvé")</f>
        <v>#REF!</v>
      </c>
      <c r="O771" s="11" t="e">
        <f>_xlfn.XLOOKUP(Mvt_Inter_entrepot[[#This Row],[Num OF]],#REF!,#REF!,"Non Trouvé")</f>
        <v>#REF!</v>
      </c>
      <c r="P771" s="11" t="e">
        <f>_xlfn.XLOOKUP(Mvt_Inter_entrepot[[#This Row],[Num OF]],#REF!,#REF!,"Non Trouvé")</f>
        <v>#REF!</v>
      </c>
      <c r="Q771" s="11" t="str">
        <f>IF(
   COUNTIFS($A$2:A771,A771,
             $B$2:B771,B771,
             $C$2:C771,C771,
             $D$2:D771,D771,
             $E$2:E771,E771,
             $H$2:H771,H771
             )&gt;1,
   "Doublon",
   "Correcte"
)</f>
        <v>Correcte</v>
      </c>
    </row>
    <row r="772" spans="1:17" x14ac:dyDescent="0.25">
      <c r="A772" s="11" t="s">
        <v>3559</v>
      </c>
      <c r="B772" s="11" t="s">
        <v>1153</v>
      </c>
      <c r="C772" s="11" t="s">
        <v>665</v>
      </c>
      <c r="D772" s="11" t="s">
        <v>1154</v>
      </c>
      <c r="E772" s="11">
        <v>5</v>
      </c>
      <c r="F772" s="11" t="s">
        <v>699</v>
      </c>
      <c r="G772" s="11" t="s">
        <v>634</v>
      </c>
      <c r="H772" s="14">
        <v>45936.462777777779</v>
      </c>
      <c r="I772" s="12">
        <f>-Mvt_Inter_entrepot[[#This Row],[QTE]]</f>
        <v>-5</v>
      </c>
      <c r="J772" s="11" t="s">
        <v>958</v>
      </c>
      <c r="K772" s="11" t="str">
        <f>_xlfn.TEXTBEFORE(Mvt_Inter_entrepot[[#This Row],[Num Suivis]],"-",,,1)</f>
        <v>CA250057</v>
      </c>
      <c r="L772" s="11" t="e">
        <f>_xlfn.XLOOKUP(Mvt_Inter_entrepot[[#This Row],[Num OF]],#REF!,#REF!,"Non Trouvé")</f>
        <v>#REF!</v>
      </c>
      <c r="M772" s="11" t="e">
        <f>_xlfn.XLOOKUP(Mvt_Inter_entrepot[[#This Row],[Num OF]],#REF!,#REF!,"Non Trouvé")</f>
        <v>#REF!</v>
      </c>
      <c r="N772" s="11" t="e">
        <f>_xlfn.XLOOKUP(Mvt_Inter_entrepot[[#This Row],[Num OF]],#REF!,#REF!,"Non Trouvé")</f>
        <v>#REF!</v>
      </c>
      <c r="O772" s="11" t="e">
        <f>_xlfn.XLOOKUP(Mvt_Inter_entrepot[[#This Row],[Num OF]],#REF!,#REF!,"Non Trouvé")</f>
        <v>#REF!</v>
      </c>
      <c r="P772" s="11" t="e">
        <f>_xlfn.XLOOKUP(Mvt_Inter_entrepot[[#This Row],[Num OF]],#REF!,#REF!,"Non Trouvé")</f>
        <v>#REF!</v>
      </c>
      <c r="Q772" s="11" t="str">
        <f>IF(
   COUNTIFS($A$2:A772,A772,
             $B$2:B772,B772,
             $C$2:C772,C772,
             $D$2:D772,D772,
             $E$2:E772,E772,
             $H$2:H772,H772
             )&gt;1,
   "Doublon",
   "Correcte"
)</f>
        <v>Correcte</v>
      </c>
    </row>
    <row r="773" spans="1:17" x14ac:dyDescent="0.25">
      <c r="A773" s="11" t="s">
        <v>3560</v>
      </c>
      <c r="B773" s="11" t="s">
        <v>1153</v>
      </c>
      <c r="C773" s="11" t="s">
        <v>665</v>
      </c>
      <c r="D773" s="11" t="s">
        <v>1154</v>
      </c>
      <c r="E773" s="11">
        <v>5</v>
      </c>
      <c r="F773" s="11" t="s">
        <v>699</v>
      </c>
      <c r="G773" s="11" t="s">
        <v>634</v>
      </c>
      <c r="H773" s="14">
        <v>45936.463113425925</v>
      </c>
      <c r="I773" s="12">
        <f>-Mvt_Inter_entrepot[[#This Row],[QTE]]</f>
        <v>-5</v>
      </c>
      <c r="J773" s="11" t="s">
        <v>1021</v>
      </c>
      <c r="K773" s="11" t="str">
        <f>_xlfn.TEXTBEFORE(Mvt_Inter_entrepot[[#This Row],[Num Suivis]],"-",,,1)</f>
        <v>CA250050</v>
      </c>
      <c r="L773" s="11" t="e">
        <f>_xlfn.XLOOKUP(Mvt_Inter_entrepot[[#This Row],[Num OF]],#REF!,#REF!,"Non Trouvé")</f>
        <v>#REF!</v>
      </c>
      <c r="M773" s="11" t="e">
        <f>_xlfn.XLOOKUP(Mvt_Inter_entrepot[[#This Row],[Num OF]],#REF!,#REF!,"Non Trouvé")</f>
        <v>#REF!</v>
      </c>
      <c r="N773" s="11" t="e">
        <f>_xlfn.XLOOKUP(Mvt_Inter_entrepot[[#This Row],[Num OF]],#REF!,#REF!,"Non Trouvé")</f>
        <v>#REF!</v>
      </c>
      <c r="O773" s="11" t="e">
        <f>_xlfn.XLOOKUP(Mvt_Inter_entrepot[[#This Row],[Num OF]],#REF!,#REF!,"Non Trouvé")</f>
        <v>#REF!</v>
      </c>
      <c r="P773" s="11" t="e">
        <f>_xlfn.XLOOKUP(Mvt_Inter_entrepot[[#This Row],[Num OF]],#REF!,#REF!,"Non Trouvé")</f>
        <v>#REF!</v>
      </c>
      <c r="Q773" s="11" t="str">
        <f>IF(
   COUNTIFS($A$2:A773,A773,
             $B$2:B773,B773,
             $C$2:C773,C773,
             $D$2:D773,D773,
             $E$2:E773,E773,
             $H$2:H773,H773
             )&gt;1,
   "Doublon",
   "Correcte"
)</f>
        <v>Correcte</v>
      </c>
    </row>
    <row r="774" spans="1:17" x14ac:dyDescent="0.25">
      <c r="A774" s="11" t="s">
        <v>3561</v>
      </c>
      <c r="B774" s="11" t="s">
        <v>1153</v>
      </c>
      <c r="C774" s="11" t="s">
        <v>665</v>
      </c>
      <c r="D774" s="11" t="s">
        <v>1154</v>
      </c>
      <c r="E774" s="11">
        <v>5</v>
      </c>
      <c r="F774" s="11" t="s">
        <v>699</v>
      </c>
      <c r="G774" s="11" t="s">
        <v>634</v>
      </c>
      <c r="H774" s="14">
        <v>45936.463437500002</v>
      </c>
      <c r="I774" s="12">
        <f>-Mvt_Inter_entrepot[[#This Row],[QTE]]</f>
        <v>-5</v>
      </c>
      <c r="J774" s="11" t="s">
        <v>1022</v>
      </c>
      <c r="K774" s="11" t="str">
        <f>_xlfn.TEXTBEFORE(Mvt_Inter_entrepot[[#This Row],[Num Suivis]],"-",,,1)</f>
        <v>CA250050</v>
      </c>
      <c r="L774" s="11" t="e">
        <f>_xlfn.XLOOKUP(Mvt_Inter_entrepot[[#This Row],[Num OF]],#REF!,#REF!,"Non Trouvé")</f>
        <v>#REF!</v>
      </c>
      <c r="M774" s="11" t="e">
        <f>_xlfn.XLOOKUP(Mvt_Inter_entrepot[[#This Row],[Num OF]],#REF!,#REF!,"Non Trouvé")</f>
        <v>#REF!</v>
      </c>
      <c r="N774" s="11" t="e">
        <f>_xlfn.XLOOKUP(Mvt_Inter_entrepot[[#This Row],[Num OF]],#REF!,#REF!,"Non Trouvé")</f>
        <v>#REF!</v>
      </c>
      <c r="O774" s="11" t="e">
        <f>_xlfn.XLOOKUP(Mvt_Inter_entrepot[[#This Row],[Num OF]],#REF!,#REF!,"Non Trouvé")</f>
        <v>#REF!</v>
      </c>
      <c r="P774" s="11" t="e">
        <f>_xlfn.XLOOKUP(Mvt_Inter_entrepot[[#This Row],[Num OF]],#REF!,#REF!,"Non Trouvé")</f>
        <v>#REF!</v>
      </c>
      <c r="Q774" s="11" t="str">
        <f>IF(
   COUNTIFS($A$2:A774,A774,
             $B$2:B774,B774,
             $C$2:C774,C774,
             $D$2:D774,D774,
             $E$2:E774,E774,
             $H$2:H774,H774
             )&gt;1,
   "Doublon",
   "Correcte"
)</f>
        <v>Correcte</v>
      </c>
    </row>
    <row r="775" spans="1:17" x14ac:dyDescent="0.25">
      <c r="A775" s="11" t="s">
        <v>3562</v>
      </c>
      <c r="B775" s="11" t="s">
        <v>1153</v>
      </c>
      <c r="C775" s="11" t="s">
        <v>665</v>
      </c>
      <c r="D775" s="11" t="s">
        <v>1154</v>
      </c>
      <c r="E775" s="11">
        <v>5</v>
      </c>
      <c r="F775" s="11" t="s">
        <v>699</v>
      </c>
      <c r="G775" s="11" t="s">
        <v>634</v>
      </c>
      <c r="H775" s="14">
        <v>45936.463634259257</v>
      </c>
      <c r="I775" s="12">
        <f>-Mvt_Inter_entrepot[[#This Row],[QTE]]</f>
        <v>-5</v>
      </c>
      <c r="J775" s="11" t="s">
        <v>987</v>
      </c>
      <c r="K775" s="11" t="str">
        <f>_xlfn.TEXTBEFORE(Mvt_Inter_entrepot[[#This Row],[Num Suivis]],"-",,,1)</f>
        <v>CA250050</v>
      </c>
      <c r="L775" s="11" t="e">
        <f>_xlfn.XLOOKUP(Mvt_Inter_entrepot[[#This Row],[Num OF]],#REF!,#REF!,"Non Trouvé")</f>
        <v>#REF!</v>
      </c>
      <c r="M775" s="11" t="e">
        <f>_xlfn.XLOOKUP(Mvt_Inter_entrepot[[#This Row],[Num OF]],#REF!,#REF!,"Non Trouvé")</f>
        <v>#REF!</v>
      </c>
      <c r="N775" s="11" t="e">
        <f>_xlfn.XLOOKUP(Mvt_Inter_entrepot[[#This Row],[Num OF]],#REF!,#REF!,"Non Trouvé")</f>
        <v>#REF!</v>
      </c>
      <c r="O775" s="11" t="e">
        <f>_xlfn.XLOOKUP(Mvt_Inter_entrepot[[#This Row],[Num OF]],#REF!,#REF!,"Non Trouvé")</f>
        <v>#REF!</v>
      </c>
      <c r="P775" s="11" t="e">
        <f>_xlfn.XLOOKUP(Mvt_Inter_entrepot[[#This Row],[Num OF]],#REF!,#REF!,"Non Trouvé")</f>
        <v>#REF!</v>
      </c>
      <c r="Q775" s="11" t="str">
        <f>IF(
   COUNTIFS($A$2:A775,A775,
             $B$2:B775,B775,
             $C$2:C775,C775,
             $D$2:D775,D775,
             $E$2:E775,E775,
             $H$2:H775,H775
             )&gt;1,
   "Doublon",
   "Correcte"
)</f>
        <v>Correcte</v>
      </c>
    </row>
    <row r="776" spans="1:17" x14ac:dyDescent="0.25">
      <c r="A776" s="11" t="s">
        <v>3563</v>
      </c>
      <c r="B776" s="11" t="s">
        <v>1153</v>
      </c>
      <c r="C776" s="11" t="s">
        <v>665</v>
      </c>
      <c r="D776" s="11" t="s">
        <v>1154</v>
      </c>
      <c r="E776" s="11">
        <v>5</v>
      </c>
      <c r="F776" s="11" t="s">
        <v>699</v>
      </c>
      <c r="G776" s="11" t="s">
        <v>634</v>
      </c>
      <c r="H776" s="14">
        <v>45936.463958333334</v>
      </c>
      <c r="I776" s="12">
        <f>-Mvt_Inter_entrepot[[#This Row],[QTE]]</f>
        <v>-5</v>
      </c>
      <c r="J776" s="11" t="s">
        <v>957</v>
      </c>
      <c r="K776" s="11" t="str">
        <f>_xlfn.TEXTBEFORE(Mvt_Inter_entrepot[[#This Row],[Num Suivis]],"-",,,1)</f>
        <v>CA250057</v>
      </c>
      <c r="L776" s="11" t="e">
        <f>_xlfn.XLOOKUP(Mvt_Inter_entrepot[[#This Row],[Num OF]],#REF!,#REF!,"Non Trouvé")</f>
        <v>#REF!</v>
      </c>
      <c r="M776" s="11" t="e">
        <f>_xlfn.XLOOKUP(Mvt_Inter_entrepot[[#This Row],[Num OF]],#REF!,#REF!,"Non Trouvé")</f>
        <v>#REF!</v>
      </c>
      <c r="N776" s="11" t="e">
        <f>_xlfn.XLOOKUP(Mvt_Inter_entrepot[[#This Row],[Num OF]],#REF!,#REF!,"Non Trouvé")</f>
        <v>#REF!</v>
      </c>
      <c r="O776" s="11" t="e">
        <f>_xlfn.XLOOKUP(Mvt_Inter_entrepot[[#This Row],[Num OF]],#REF!,#REF!,"Non Trouvé")</f>
        <v>#REF!</v>
      </c>
      <c r="P776" s="11" t="e">
        <f>_xlfn.XLOOKUP(Mvt_Inter_entrepot[[#This Row],[Num OF]],#REF!,#REF!,"Non Trouvé")</f>
        <v>#REF!</v>
      </c>
      <c r="Q776" s="11" t="str">
        <f>IF(
   COUNTIFS($A$2:A776,A776,
             $B$2:B776,B776,
             $C$2:C776,C776,
             $D$2:D776,D776,
             $E$2:E776,E776,
             $H$2:H776,H776
             )&gt;1,
   "Doublon",
   "Correcte"
)</f>
        <v>Correcte</v>
      </c>
    </row>
    <row r="777" spans="1:17" x14ac:dyDescent="0.25">
      <c r="A777" s="11" t="s">
        <v>3564</v>
      </c>
      <c r="B777" s="11" t="s">
        <v>1153</v>
      </c>
      <c r="C777" s="11" t="s">
        <v>665</v>
      </c>
      <c r="D777" s="11" t="s">
        <v>1154</v>
      </c>
      <c r="E777" s="11">
        <v>5</v>
      </c>
      <c r="F777" s="11" t="s">
        <v>699</v>
      </c>
      <c r="G777" s="11" t="s">
        <v>634</v>
      </c>
      <c r="H777" s="14">
        <v>45936.464270833334</v>
      </c>
      <c r="I777" s="12">
        <f>-Mvt_Inter_entrepot[[#This Row],[QTE]]</f>
        <v>-5</v>
      </c>
      <c r="J777" s="11" t="s">
        <v>1024</v>
      </c>
      <c r="K777" s="11" t="str">
        <f>_xlfn.TEXTBEFORE(Mvt_Inter_entrepot[[#This Row],[Num Suivis]],"-",,,1)</f>
        <v>CA250059</v>
      </c>
      <c r="L777" s="11" t="e">
        <f>_xlfn.XLOOKUP(Mvt_Inter_entrepot[[#This Row],[Num OF]],#REF!,#REF!,"Non Trouvé")</f>
        <v>#REF!</v>
      </c>
      <c r="M777" s="11" t="e">
        <f>_xlfn.XLOOKUP(Mvt_Inter_entrepot[[#This Row],[Num OF]],#REF!,#REF!,"Non Trouvé")</f>
        <v>#REF!</v>
      </c>
      <c r="N777" s="11" t="e">
        <f>_xlfn.XLOOKUP(Mvt_Inter_entrepot[[#This Row],[Num OF]],#REF!,#REF!,"Non Trouvé")</f>
        <v>#REF!</v>
      </c>
      <c r="O777" s="11" t="e">
        <f>_xlfn.XLOOKUP(Mvt_Inter_entrepot[[#This Row],[Num OF]],#REF!,#REF!,"Non Trouvé")</f>
        <v>#REF!</v>
      </c>
      <c r="P777" s="11" t="e">
        <f>_xlfn.XLOOKUP(Mvt_Inter_entrepot[[#This Row],[Num OF]],#REF!,#REF!,"Non Trouvé")</f>
        <v>#REF!</v>
      </c>
      <c r="Q777" s="11" t="str">
        <f>IF(
   COUNTIFS($A$2:A777,A777,
             $B$2:B777,B777,
             $C$2:C777,C777,
             $D$2:D777,D777,
             $E$2:E777,E777,
             $H$2:H777,H777
             )&gt;1,
   "Doublon",
   "Correcte"
)</f>
        <v>Correcte</v>
      </c>
    </row>
    <row r="778" spans="1:17" x14ac:dyDescent="0.25">
      <c r="A778" s="11" t="s">
        <v>3565</v>
      </c>
      <c r="B778" s="11" t="s">
        <v>1153</v>
      </c>
      <c r="C778" s="11" t="s">
        <v>665</v>
      </c>
      <c r="D778" s="11" t="s">
        <v>1154</v>
      </c>
      <c r="E778" s="11">
        <v>5</v>
      </c>
      <c r="F778" s="11" t="s">
        <v>699</v>
      </c>
      <c r="G778" s="11" t="s">
        <v>634</v>
      </c>
      <c r="H778" s="14">
        <v>45936.464571759258</v>
      </c>
      <c r="I778" s="12">
        <f>-Mvt_Inter_entrepot[[#This Row],[QTE]]</f>
        <v>-5</v>
      </c>
      <c r="J778" s="11" t="s">
        <v>1011</v>
      </c>
      <c r="K778" s="11" t="str">
        <f>_xlfn.TEXTBEFORE(Mvt_Inter_entrepot[[#This Row],[Num Suivis]],"-",,,1)</f>
        <v>CA250055</v>
      </c>
      <c r="L778" s="11" t="e">
        <f>_xlfn.XLOOKUP(Mvt_Inter_entrepot[[#This Row],[Num OF]],#REF!,#REF!,"Non Trouvé")</f>
        <v>#REF!</v>
      </c>
      <c r="M778" s="11" t="e">
        <f>_xlfn.XLOOKUP(Mvt_Inter_entrepot[[#This Row],[Num OF]],#REF!,#REF!,"Non Trouvé")</f>
        <v>#REF!</v>
      </c>
      <c r="N778" s="11" t="e">
        <f>_xlfn.XLOOKUP(Mvt_Inter_entrepot[[#This Row],[Num OF]],#REF!,#REF!,"Non Trouvé")</f>
        <v>#REF!</v>
      </c>
      <c r="O778" s="11" t="e">
        <f>_xlfn.XLOOKUP(Mvt_Inter_entrepot[[#This Row],[Num OF]],#REF!,#REF!,"Non Trouvé")</f>
        <v>#REF!</v>
      </c>
      <c r="P778" s="11" t="e">
        <f>_xlfn.XLOOKUP(Mvt_Inter_entrepot[[#This Row],[Num OF]],#REF!,#REF!,"Non Trouvé")</f>
        <v>#REF!</v>
      </c>
      <c r="Q778" s="11" t="str">
        <f>IF(
   COUNTIFS($A$2:A778,A778,
             $B$2:B778,B778,
             $C$2:C778,C778,
             $D$2:D778,D778,
             $E$2:E778,E778,
             $H$2:H778,H778
             )&gt;1,
   "Doublon",
   "Correcte"
)</f>
        <v>Correcte</v>
      </c>
    </row>
    <row r="779" spans="1:17" x14ac:dyDescent="0.25">
      <c r="A779" s="11" t="s">
        <v>3566</v>
      </c>
      <c r="B779" s="11" t="s">
        <v>1153</v>
      </c>
      <c r="C779" s="11" t="s">
        <v>665</v>
      </c>
      <c r="D779" s="11" t="s">
        <v>1154</v>
      </c>
      <c r="E779" s="11">
        <v>5</v>
      </c>
      <c r="F779" s="11" t="s">
        <v>699</v>
      </c>
      <c r="G779" s="11" t="s">
        <v>634</v>
      </c>
      <c r="H779" s="14">
        <v>45936.46497685185</v>
      </c>
      <c r="I779" s="12">
        <f>-Mvt_Inter_entrepot[[#This Row],[QTE]]</f>
        <v>-5</v>
      </c>
      <c r="J779" s="11" t="s">
        <v>986</v>
      </c>
      <c r="K779" s="11" t="str">
        <f>_xlfn.TEXTBEFORE(Mvt_Inter_entrepot[[#This Row],[Num Suivis]],"-",,,1)</f>
        <v>CA250050</v>
      </c>
      <c r="L779" s="11" t="e">
        <f>_xlfn.XLOOKUP(Mvt_Inter_entrepot[[#This Row],[Num OF]],#REF!,#REF!,"Non Trouvé")</f>
        <v>#REF!</v>
      </c>
      <c r="M779" s="11" t="e">
        <f>_xlfn.XLOOKUP(Mvt_Inter_entrepot[[#This Row],[Num OF]],#REF!,#REF!,"Non Trouvé")</f>
        <v>#REF!</v>
      </c>
      <c r="N779" s="11" t="e">
        <f>_xlfn.XLOOKUP(Mvt_Inter_entrepot[[#This Row],[Num OF]],#REF!,#REF!,"Non Trouvé")</f>
        <v>#REF!</v>
      </c>
      <c r="O779" s="11" t="e">
        <f>_xlfn.XLOOKUP(Mvt_Inter_entrepot[[#This Row],[Num OF]],#REF!,#REF!,"Non Trouvé")</f>
        <v>#REF!</v>
      </c>
      <c r="P779" s="11" t="e">
        <f>_xlfn.XLOOKUP(Mvt_Inter_entrepot[[#This Row],[Num OF]],#REF!,#REF!,"Non Trouvé")</f>
        <v>#REF!</v>
      </c>
      <c r="Q779" s="11" t="str">
        <f>IF(
   COUNTIFS($A$2:A779,A779,
             $B$2:B779,B779,
             $C$2:C779,C779,
             $D$2:D779,D779,
             $E$2:E779,E779,
             $H$2:H779,H779
             )&gt;1,
   "Doublon",
   "Correcte"
)</f>
        <v>Correcte</v>
      </c>
    </row>
    <row r="780" spans="1:17" x14ac:dyDescent="0.25">
      <c r="A780" s="11" t="s">
        <v>3567</v>
      </c>
      <c r="B780" s="11" t="s">
        <v>1153</v>
      </c>
      <c r="C780" s="11" t="s">
        <v>665</v>
      </c>
      <c r="D780" s="11" t="s">
        <v>1154</v>
      </c>
      <c r="E780" s="11">
        <v>5</v>
      </c>
      <c r="F780" s="11" t="s">
        <v>699</v>
      </c>
      <c r="G780" s="11" t="s">
        <v>634</v>
      </c>
      <c r="H780" s="14">
        <v>45936.465243055558</v>
      </c>
      <c r="I780" s="12">
        <f>-Mvt_Inter_entrepot[[#This Row],[QTE]]</f>
        <v>-5</v>
      </c>
      <c r="J780" s="11" t="s">
        <v>988</v>
      </c>
      <c r="K780" s="11" t="str">
        <f>_xlfn.TEXTBEFORE(Mvt_Inter_entrepot[[#This Row],[Num Suivis]],"-",,,1)</f>
        <v>CA250050</v>
      </c>
      <c r="L780" s="11" t="e">
        <f>_xlfn.XLOOKUP(Mvt_Inter_entrepot[[#This Row],[Num OF]],#REF!,#REF!,"Non Trouvé")</f>
        <v>#REF!</v>
      </c>
      <c r="M780" s="11" t="e">
        <f>_xlfn.XLOOKUP(Mvt_Inter_entrepot[[#This Row],[Num OF]],#REF!,#REF!,"Non Trouvé")</f>
        <v>#REF!</v>
      </c>
      <c r="N780" s="11" t="e">
        <f>_xlfn.XLOOKUP(Mvt_Inter_entrepot[[#This Row],[Num OF]],#REF!,#REF!,"Non Trouvé")</f>
        <v>#REF!</v>
      </c>
      <c r="O780" s="11" t="e">
        <f>_xlfn.XLOOKUP(Mvt_Inter_entrepot[[#This Row],[Num OF]],#REF!,#REF!,"Non Trouvé")</f>
        <v>#REF!</v>
      </c>
      <c r="P780" s="11" t="e">
        <f>_xlfn.XLOOKUP(Mvt_Inter_entrepot[[#This Row],[Num OF]],#REF!,#REF!,"Non Trouvé")</f>
        <v>#REF!</v>
      </c>
      <c r="Q780" s="11" t="str">
        <f>IF(
   COUNTIFS($A$2:A780,A780,
             $B$2:B780,B780,
             $C$2:C780,C780,
             $D$2:D780,D780,
             $E$2:E780,E780,
             $H$2:H780,H780
             )&gt;1,
   "Doublon",
   "Correcte"
)</f>
        <v>Correcte</v>
      </c>
    </row>
    <row r="781" spans="1:17" x14ac:dyDescent="0.25">
      <c r="A781" s="11" t="s">
        <v>3568</v>
      </c>
      <c r="B781" s="11" t="s">
        <v>1153</v>
      </c>
      <c r="C781" s="11" t="s">
        <v>665</v>
      </c>
      <c r="D781" s="11" t="s">
        <v>1154</v>
      </c>
      <c r="E781" s="11">
        <v>5</v>
      </c>
      <c r="F781" s="11" t="s">
        <v>699</v>
      </c>
      <c r="G781" s="11" t="s">
        <v>634</v>
      </c>
      <c r="H781" s="14">
        <v>45936.467465277776</v>
      </c>
      <c r="I781" s="12">
        <f>-Mvt_Inter_entrepot[[#This Row],[QTE]]</f>
        <v>-5</v>
      </c>
      <c r="J781" s="11" t="s">
        <v>1007</v>
      </c>
      <c r="K781" s="11" t="str">
        <f>_xlfn.TEXTBEFORE(Mvt_Inter_entrepot[[#This Row],[Num Suivis]],"-",,,1)</f>
        <v>CA250055</v>
      </c>
      <c r="L781" s="11" t="e">
        <f>_xlfn.XLOOKUP(Mvt_Inter_entrepot[[#This Row],[Num OF]],#REF!,#REF!,"Non Trouvé")</f>
        <v>#REF!</v>
      </c>
      <c r="M781" s="11" t="e">
        <f>_xlfn.XLOOKUP(Mvt_Inter_entrepot[[#This Row],[Num OF]],#REF!,#REF!,"Non Trouvé")</f>
        <v>#REF!</v>
      </c>
      <c r="N781" s="11" t="e">
        <f>_xlfn.XLOOKUP(Mvt_Inter_entrepot[[#This Row],[Num OF]],#REF!,#REF!,"Non Trouvé")</f>
        <v>#REF!</v>
      </c>
      <c r="O781" s="11" t="e">
        <f>_xlfn.XLOOKUP(Mvt_Inter_entrepot[[#This Row],[Num OF]],#REF!,#REF!,"Non Trouvé")</f>
        <v>#REF!</v>
      </c>
      <c r="P781" s="11" t="e">
        <f>_xlfn.XLOOKUP(Mvt_Inter_entrepot[[#This Row],[Num OF]],#REF!,#REF!,"Non Trouvé")</f>
        <v>#REF!</v>
      </c>
      <c r="Q781" s="11" t="str">
        <f>IF(
   COUNTIFS($A$2:A781,A781,
             $B$2:B781,B781,
             $C$2:C781,C781,
             $D$2:D781,D781,
             $E$2:E781,E781,
             $H$2:H781,H781
             )&gt;1,
   "Doublon",
   "Correcte"
)</f>
        <v>Correcte</v>
      </c>
    </row>
    <row r="782" spans="1:17" x14ac:dyDescent="0.25">
      <c r="A782" s="11" t="s">
        <v>3569</v>
      </c>
      <c r="B782" s="11" t="s">
        <v>1153</v>
      </c>
      <c r="C782" s="11" t="s">
        <v>665</v>
      </c>
      <c r="D782" s="11" t="s">
        <v>1154</v>
      </c>
      <c r="E782" s="11">
        <v>5</v>
      </c>
      <c r="F782" s="11" t="s">
        <v>699</v>
      </c>
      <c r="G782" s="11" t="s">
        <v>634</v>
      </c>
      <c r="H782" s="14">
        <v>45936.4687037037</v>
      </c>
      <c r="I782" s="12">
        <f>-Mvt_Inter_entrepot[[#This Row],[QTE]]</f>
        <v>-5</v>
      </c>
      <c r="J782" s="11" t="s">
        <v>1010</v>
      </c>
      <c r="K782" s="11" t="str">
        <f>_xlfn.TEXTBEFORE(Mvt_Inter_entrepot[[#This Row],[Num Suivis]],"-",,,1)</f>
        <v>CA250055</v>
      </c>
      <c r="L782" s="11" t="e">
        <f>_xlfn.XLOOKUP(Mvt_Inter_entrepot[[#This Row],[Num OF]],#REF!,#REF!,"Non Trouvé")</f>
        <v>#REF!</v>
      </c>
      <c r="M782" s="11" t="e">
        <f>_xlfn.XLOOKUP(Mvt_Inter_entrepot[[#This Row],[Num OF]],#REF!,#REF!,"Non Trouvé")</f>
        <v>#REF!</v>
      </c>
      <c r="N782" s="11" t="e">
        <f>_xlfn.XLOOKUP(Mvt_Inter_entrepot[[#This Row],[Num OF]],#REF!,#REF!,"Non Trouvé")</f>
        <v>#REF!</v>
      </c>
      <c r="O782" s="11" t="e">
        <f>_xlfn.XLOOKUP(Mvt_Inter_entrepot[[#This Row],[Num OF]],#REF!,#REF!,"Non Trouvé")</f>
        <v>#REF!</v>
      </c>
      <c r="P782" s="11" t="e">
        <f>_xlfn.XLOOKUP(Mvt_Inter_entrepot[[#This Row],[Num OF]],#REF!,#REF!,"Non Trouvé")</f>
        <v>#REF!</v>
      </c>
      <c r="Q782" s="11" t="str">
        <f>IF(
   COUNTIFS($A$2:A782,A782,
             $B$2:B782,B782,
             $C$2:C782,C782,
             $D$2:D782,D782,
             $E$2:E782,E782,
             $H$2:H782,H782
             )&gt;1,
   "Doublon",
   "Correcte"
)</f>
        <v>Correcte</v>
      </c>
    </row>
    <row r="783" spans="1:17" x14ac:dyDescent="0.25">
      <c r="A783" s="11" t="s">
        <v>3570</v>
      </c>
      <c r="B783" s="11" t="s">
        <v>1153</v>
      </c>
      <c r="C783" s="11" t="s">
        <v>665</v>
      </c>
      <c r="D783" s="11" t="s">
        <v>1154</v>
      </c>
      <c r="E783" s="11">
        <v>5</v>
      </c>
      <c r="F783" s="11" t="s">
        <v>699</v>
      </c>
      <c r="G783" s="11" t="s">
        <v>634</v>
      </c>
      <c r="H783" s="14">
        <v>45936.469108796293</v>
      </c>
      <c r="I783" s="12">
        <f>-Mvt_Inter_entrepot[[#This Row],[QTE]]</f>
        <v>-5</v>
      </c>
      <c r="J783" s="11" t="s">
        <v>959</v>
      </c>
      <c r="K783" s="11" t="str">
        <f>_xlfn.TEXTBEFORE(Mvt_Inter_entrepot[[#This Row],[Num Suivis]],"-",,,1)</f>
        <v>CA250057</v>
      </c>
      <c r="L783" s="11" t="e">
        <f>_xlfn.XLOOKUP(Mvt_Inter_entrepot[[#This Row],[Num OF]],#REF!,#REF!,"Non Trouvé")</f>
        <v>#REF!</v>
      </c>
      <c r="M783" s="11" t="e">
        <f>_xlfn.XLOOKUP(Mvt_Inter_entrepot[[#This Row],[Num OF]],#REF!,#REF!,"Non Trouvé")</f>
        <v>#REF!</v>
      </c>
      <c r="N783" s="11" t="e">
        <f>_xlfn.XLOOKUP(Mvt_Inter_entrepot[[#This Row],[Num OF]],#REF!,#REF!,"Non Trouvé")</f>
        <v>#REF!</v>
      </c>
      <c r="O783" s="11" t="e">
        <f>_xlfn.XLOOKUP(Mvt_Inter_entrepot[[#This Row],[Num OF]],#REF!,#REF!,"Non Trouvé")</f>
        <v>#REF!</v>
      </c>
      <c r="P783" s="11" t="e">
        <f>_xlfn.XLOOKUP(Mvt_Inter_entrepot[[#This Row],[Num OF]],#REF!,#REF!,"Non Trouvé")</f>
        <v>#REF!</v>
      </c>
      <c r="Q783" s="11" t="str">
        <f>IF(
   COUNTIFS($A$2:A783,A783,
             $B$2:B783,B783,
             $C$2:C783,C783,
             $D$2:D783,D783,
             $E$2:E783,E783,
             $H$2:H783,H783
             )&gt;1,
   "Doublon",
   "Correcte"
)</f>
        <v>Correcte</v>
      </c>
    </row>
    <row r="784" spans="1:17" x14ac:dyDescent="0.25">
      <c r="A784" s="11" t="s">
        <v>3302</v>
      </c>
      <c r="B784" s="11" t="s">
        <v>1153</v>
      </c>
      <c r="C784" s="11" t="s">
        <v>665</v>
      </c>
      <c r="D784" s="11" t="s">
        <v>1154</v>
      </c>
      <c r="E784" s="11">
        <v>5</v>
      </c>
      <c r="F784" s="11" t="s">
        <v>699</v>
      </c>
      <c r="G784" s="11" t="s">
        <v>634</v>
      </c>
      <c r="H784" s="14">
        <v>45936.469537037039</v>
      </c>
      <c r="I784" s="12">
        <f>-Mvt_Inter_entrepot[[#This Row],[QTE]]</f>
        <v>-5</v>
      </c>
      <c r="J784" s="11" t="s">
        <v>47</v>
      </c>
      <c r="K784" s="11" t="str">
        <f>_xlfn.TEXTBEFORE(Mvt_Inter_entrepot[[#This Row],[Num Suivis]],"-",,,1)</f>
        <v>CA250025</v>
      </c>
      <c r="L784" s="11" t="e">
        <f>_xlfn.XLOOKUP(Mvt_Inter_entrepot[[#This Row],[Num OF]],#REF!,#REF!,"Non Trouvé")</f>
        <v>#REF!</v>
      </c>
      <c r="M784" s="11" t="e">
        <f>_xlfn.XLOOKUP(Mvt_Inter_entrepot[[#This Row],[Num OF]],#REF!,#REF!,"Non Trouvé")</f>
        <v>#REF!</v>
      </c>
      <c r="N784" s="11" t="e">
        <f>_xlfn.XLOOKUP(Mvt_Inter_entrepot[[#This Row],[Num OF]],#REF!,#REF!,"Non Trouvé")</f>
        <v>#REF!</v>
      </c>
      <c r="O784" s="11" t="e">
        <f>_xlfn.XLOOKUP(Mvt_Inter_entrepot[[#This Row],[Num OF]],#REF!,#REF!,"Non Trouvé")</f>
        <v>#REF!</v>
      </c>
      <c r="P784" s="11" t="e">
        <f>_xlfn.XLOOKUP(Mvt_Inter_entrepot[[#This Row],[Num OF]],#REF!,#REF!,"Non Trouvé")</f>
        <v>#REF!</v>
      </c>
      <c r="Q784" s="11" t="str">
        <f>IF(
   COUNTIFS($A$2:A784,A784,
             $B$2:B784,B784,
             $C$2:C784,C784,
             $D$2:D784,D784,
             $E$2:E784,E784,
             $H$2:H784,H784
             )&gt;1,
   "Doublon",
   "Correcte"
)</f>
        <v>Correcte</v>
      </c>
    </row>
    <row r="785" spans="1:17" x14ac:dyDescent="0.25">
      <c r="A785" s="11" t="s">
        <v>3571</v>
      </c>
      <c r="B785" s="11" t="s">
        <v>1153</v>
      </c>
      <c r="C785" s="11" t="s">
        <v>665</v>
      </c>
      <c r="D785" s="11" t="s">
        <v>1154</v>
      </c>
      <c r="E785" s="11">
        <v>5</v>
      </c>
      <c r="F785" s="11" t="s">
        <v>699</v>
      </c>
      <c r="G785" s="11" t="s">
        <v>634</v>
      </c>
      <c r="H785" s="14">
        <v>45936.470034722224</v>
      </c>
      <c r="I785" s="12">
        <f>-Mvt_Inter_entrepot[[#This Row],[QTE]]</f>
        <v>-5</v>
      </c>
      <c r="J785" s="11" t="s">
        <v>1019</v>
      </c>
      <c r="K785" s="11" t="str">
        <f>_xlfn.TEXTBEFORE(Mvt_Inter_entrepot[[#This Row],[Num Suivis]],"-",,,1)</f>
        <v>CA250030</v>
      </c>
      <c r="L785" s="11" t="e">
        <f>_xlfn.XLOOKUP(Mvt_Inter_entrepot[[#This Row],[Num OF]],#REF!,#REF!,"Non Trouvé")</f>
        <v>#REF!</v>
      </c>
      <c r="M785" s="11" t="e">
        <f>_xlfn.XLOOKUP(Mvt_Inter_entrepot[[#This Row],[Num OF]],#REF!,#REF!,"Non Trouvé")</f>
        <v>#REF!</v>
      </c>
      <c r="N785" s="11" t="e">
        <f>_xlfn.XLOOKUP(Mvt_Inter_entrepot[[#This Row],[Num OF]],#REF!,#REF!,"Non Trouvé")</f>
        <v>#REF!</v>
      </c>
      <c r="O785" s="11" t="e">
        <f>_xlfn.XLOOKUP(Mvt_Inter_entrepot[[#This Row],[Num OF]],#REF!,#REF!,"Non Trouvé")</f>
        <v>#REF!</v>
      </c>
      <c r="P785" s="11" t="e">
        <f>_xlfn.XLOOKUP(Mvt_Inter_entrepot[[#This Row],[Num OF]],#REF!,#REF!,"Non Trouvé")</f>
        <v>#REF!</v>
      </c>
      <c r="Q785" s="11" t="str">
        <f>IF(
   COUNTIFS($A$2:A785,A785,
             $B$2:B785,B785,
             $C$2:C785,C785,
             $D$2:D785,D785,
             $E$2:E785,E785,
             $H$2:H785,H785
             )&gt;1,
   "Doublon",
   "Correcte"
)</f>
        <v>Correcte</v>
      </c>
    </row>
    <row r="786" spans="1:17" x14ac:dyDescent="0.25">
      <c r="A786" s="11" t="s">
        <v>3572</v>
      </c>
      <c r="B786" s="11" t="s">
        <v>1153</v>
      </c>
      <c r="C786" s="11" t="s">
        <v>665</v>
      </c>
      <c r="D786" s="11" t="s">
        <v>1154</v>
      </c>
      <c r="E786" s="11">
        <v>5</v>
      </c>
      <c r="F786" s="11" t="s">
        <v>699</v>
      </c>
      <c r="G786" s="11" t="s">
        <v>634</v>
      </c>
      <c r="H786" s="14">
        <v>45936.470381944448</v>
      </c>
      <c r="I786" s="12">
        <f>-Mvt_Inter_entrepot[[#This Row],[QTE]]</f>
        <v>-5</v>
      </c>
      <c r="J786" s="11" t="s">
        <v>937</v>
      </c>
      <c r="K786" s="11" t="str">
        <f>_xlfn.TEXTBEFORE(Mvt_Inter_entrepot[[#This Row],[Num Suivis]],"-",,,1)</f>
        <v>CA250033</v>
      </c>
      <c r="L786" s="11" t="e">
        <f>_xlfn.XLOOKUP(Mvt_Inter_entrepot[[#This Row],[Num OF]],#REF!,#REF!,"Non Trouvé")</f>
        <v>#REF!</v>
      </c>
      <c r="M786" s="11" t="e">
        <f>_xlfn.XLOOKUP(Mvt_Inter_entrepot[[#This Row],[Num OF]],#REF!,#REF!,"Non Trouvé")</f>
        <v>#REF!</v>
      </c>
      <c r="N786" s="11" t="e">
        <f>_xlfn.XLOOKUP(Mvt_Inter_entrepot[[#This Row],[Num OF]],#REF!,#REF!,"Non Trouvé")</f>
        <v>#REF!</v>
      </c>
      <c r="O786" s="11" t="e">
        <f>_xlfn.XLOOKUP(Mvt_Inter_entrepot[[#This Row],[Num OF]],#REF!,#REF!,"Non Trouvé")</f>
        <v>#REF!</v>
      </c>
      <c r="P786" s="11" t="e">
        <f>_xlfn.XLOOKUP(Mvt_Inter_entrepot[[#This Row],[Num OF]],#REF!,#REF!,"Non Trouvé")</f>
        <v>#REF!</v>
      </c>
      <c r="Q786" s="11" t="str">
        <f>IF(
   COUNTIFS($A$2:A786,A786,
             $B$2:B786,B786,
             $C$2:C786,C786,
             $D$2:D786,D786,
             $E$2:E786,E786,
             $H$2:H786,H786
             )&gt;1,
   "Doublon",
   "Correcte"
)</f>
        <v>Correcte</v>
      </c>
    </row>
    <row r="787" spans="1:17" x14ac:dyDescent="0.25">
      <c r="A787" s="11" t="s">
        <v>3573</v>
      </c>
      <c r="B787" s="11" t="s">
        <v>1153</v>
      </c>
      <c r="C787" s="11" t="s">
        <v>665</v>
      </c>
      <c r="D787" s="11" t="s">
        <v>1154</v>
      </c>
      <c r="E787" s="11">
        <v>5</v>
      </c>
      <c r="F787" s="11" t="s">
        <v>699</v>
      </c>
      <c r="G787" s="11" t="s">
        <v>634</v>
      </c>
      <c r="H787" s="14">
        <v>45936.470729166664</v>
      </c>
      <c r="I787" s="12">
        <f>-Mvt_Inter_entrepot[[#This Row],[QTE]]</f>
        <v>-5</v>
      </c>
      <c r="J787" s="11" t="s">
        <v>939</v>
      </c>
      <c r="K787" s="11" t="str">
        <f>_xlfn.TEXTBEFORE(Mvt_Inter_entrepot[[#This Row],[Num Suivis]],"-",,,1)</f>
        <v>CA250023</v>
      </c>
      <c r="L787" s="11" t="e">
        <f>_xlfn.XLOOKUP(Mvt_Inter_entrepot[[#This Row],[Num OF]],#REF!,#REF!,"Non Trouvé")</f>
        <v>#REF!</v>
      </c>
      <c r="M787" s="11" t="e">
        <f>_xlfn.XLOOKUP(Mvt_Inter_entrepot[[#This Row],[Num OF]],#REF!,#REF!,"Non Trouvé")</f>
        <v>#REF!</v>
      </c>
      <c r="N787" s="11" t="e">
        <f>_xlfn.XLOOKUP(Mvt_Inter_entrepot[[#This Row],[Num OF]],#REF!,#REF!,"Non Trouvé")</f>
        <v>#REF!</v>
      </c>
      <c r="O787" s="11" t="e">
        <f>_xlfn.XLOOKUP(Mvt_Inter_entrepot[[#This Row],[Num OF]],#REF!,#REF!,"Non Trouvé")</f>
        <v>#REF!</v>
      </c>
      <c r="P787" s="11" t="e">
        <f>_xlfn.XLOOKUP(Mvt_Inter_entrepot[[#This Row],[Num OF]],#REF!,#REF!,"Non Trouvé")</f>
        <v>#REF!</v>
      </c>
      <c r="Q787" s="11" t="str">
        <f>IF(
   COUNTIFS($A$2:A787,A787,
             $B$2:B787,B787,
             $C$2:C787,C787,
             $D$2:D787,D787,
             $E$2:E787,E787,
             $H$2:H787,H787
             )&gt;1,
   "Doublon",
   "Correcte"
)</f>
        <v>Correcte</v>
      </c>
    </row>
    <row r="788" spans="1:17" x14ac:dyDescent="0.25">
      <c r="A788" s="11" t="s">
        <v>3574</v>
      </c>
      <c r="B788" s="11" t="s">
        <v>1153</v>
      </c>
      <c r="C788" s="11" t="s">
        <v>665</v>
      </c>
      <c r="D788" s="11" t="s">
        <v>1154</v>
      </c>
      <c r="E788" s="11">
        <v>5</v>
      </c>
      <c r="F788" s="11" t="s">
        <v>699</v>
      </c>
      <c r="G788" s="11" t="s">
        <v>634</v>
      </c>
      <c r="H788" s="14">
        <v>45936.471053240741</v>
      </c>
      <c r="I788" s="12">
        <f>-Mvt_Inter_entrepot[[#This Row],[QTE]]</f>
        <v>-5</v>
      </c>
      <c r="J788" s="11" t="s">
        <v>1023</v>
      </c>
      <c r="K788" s="11" t="str">
        <f>_xlfn.TEXTBEFORE(Mvt_Inter_entrepot[[#This Row],[Num Suivis]],"-",,,1)</f>
        <v>CA250059</v>
      </c>
      <c r="L788" s="11" t="e">
        <f>_xlfn.XLOOKUP(Mvt_Inter_entrepot[[#This Row],[Num OF]],#REF!,#REF!,"Non Trouvé")</f>
        <v>#REF!</v>
      </c>
      <c r="M788" s="11" t="e">
        <f>_xlfn.XLOOKUP(Mvt_Inter_entrepot[[#This Row],[Num OF]],#REF!,#REF!,"Non Trouvé")</f>
        <v>#REF!</v>
      </c>
      <c r="N788" s="11" t="e">
        <f>_xlfn.XLOOKUP(Mvt_Inter_entrepot[[#This Row],[Num OF]],#REF!,#REF!,"Non Trouvé")</f>
        <v>#REF!</v>
      </c>
      <c r="O788" s="11" t="e">
        <f>_xlfn.XLOOKUP(Mvt_Inter_entrepot[[#This Row],[Num OF]],#REF!,#REF!,"Non Trouvé")</f>
        <v>#REF!</v>
      </c>
      <c r="P788" s="11" t="e">
        <f>_xlfn.XLOOKUP(Mvt_Inter_entrepot[[#This Row],[Num OF]],#REF!,#REF!,"Non Trouvé")</f>
        <v>#REF!</v>
      </c>
      <c r="Q788" s="11" t="str">
        <f>IF(
   COUNTIFS($A$2:A788,A788,
             $B$2:B788,B788,
             $C$2:C788,C788,
             $D$2:D788,D788,
             $E$2:E788,E788,
             $H$2:H788,H788
             )&gt;1,
   "Doublon",
   "Correcte"
)</f>
        <v>Correcte</v>
      </c>
    </row>
    <row r="789" spans="1:17" x14ac:dyDescent="0.25">
      <c r="A789" s="11" t="s">
        <v>3575</v>
      </c>
      <c r="B789" s="11" t="s">
        <v>1153</v>
      </c>
      <c r="C789" s="11" t="s">
        <v>665</v>
      </c>
      <c r="D789" s="11" t="s">
        <v>1154</v>
      </c>
      <c r="E789" s="11">
        <v>5</v>
      </c>
      <c r="F789" s="11" t="s">
        <v>699</v>
      </c>
      <c r="G789" s="11" t="s">
        <v>634</v>
      </c>
      <c r="H789" s="14">
        <v>45936.47152777778</v>
      </c>
      <c r="I789" s="12">
        <f>-Mvt_Inter_entrepot[[#This Row],[QTE]]</f>
        <v>-5</v>
      </c>
      <c r="J789" s="11" t="s">
        <v>960</v>
      </c>
      <c r="K789" s="11" t="str">
        <f>_xlfn.TEXTBEFORE(Mvt_Inter_entrepot[[#This Row],[Num Suivis]],"-",,,1)</f>
        <v>CA250043</v>
      </c>
      <c r="L789" s="11" t="e">
        <f>_xlfn.XLOOKUP(Mvt_Inter_entrepot[[#This Row],[Num OF]],#REF!,#REF!,"Non Trouvé")</f>
        <v>#REF!</v>
      </c>
      <c r="M789" s="11" t="e">
        <f>_xlfn.XLOOKUP(Mvt_Inter_entrepot[[#This Row],[Num OF]],#REF!,#REF!,"Non Trouvé")</f>
        <v>#REF!</v>
      </c>
      <c r="N789" s="11" t="e">
        <f>_xlfn.XLOOKUP(Mvt_Inter_entrepot[[#This Row],[Num OF]],#REF!,#REF!,"Non Trouvé")</f>
        <v>#REF!</v>
      </c>
      <c r="O789" s="11" t="e">
        <f>_xlfn.XLOOKUP(Mvt_Inter_entrepot[[#This Row],[Num OF]],#REF!,#REF!,"Non Trouvé")</f>
        <v>#REF!</v>
      </c>
      <c r="P789" s="11" t="e">
        <f>_xlfn.XLOOKUP(Mvt_Inter_entrepot[[#This Row],[Num OF]],#REF!,#REF!,"Non Trouvé")</f>
        <v>#REF!</v>
      </c>
      <c r="Q789" s="11" t="str">
        <f>IF(
   COUNTIFS($A$2:A789,A789,
             $B$2:B789,B789,
             $C$2:C789,C789,
             $D$2:D789,D789,
             $E$2:E789,E789,
             $H$2:H789,H789
             )&gt;1,
   "Doublon",
   "Correcte"
)</f>
        <v>Correcte</v>
      </c>
    </row>
    <row r="790" spans="1:17" x14ac:dyDescent="0.25">
      <c r="A790" s="11" t="s">
        <v>3576</v>
      </c>
      <c r="B790" s="11" t="s">
        <v>1153</v>
      </c>
      <c r="C790" s="11" t="s">
        <v>665</v>
      </c>
      <c r="D790" s="11" t="s">
        <v>1154</v>
      </c>
      <c r="E790" s="11">
        <v>5</v>
      </c>
      <c r="F790" s="11" t="s">
        <v>699</v>
      </c>
      <c r="G790" s="11" t="s">
        <v>634</v>
      </c>
      <c r="H790" s="14">
        <v>45936.471990740742</v>
      </c>
      <c r="I790" s="12">
        <f>-Mvt_Inter_entrepot[[#This Row],[QTE]]</f>
        <v>-5</v>
      </c>
      <c r="J790" s="11" t="s">
        <v>948</v>
      </c>
      <c r="K790" s="11" t="str">
        <f>_xlfn.TEXTBEFORE(Mvt_Inter_entrepot[[#This Row],[Num Suivis]],"-",,,1)</f>
        <v>CA250045</v>
      </c>
      <c r="L790" s="11" t="e">
        <f>_xlfn.XLOOKUP(Mvt_Inter_entrepot[[#This Row],[Num OF]],#REF!,#REF!,"Non Trouvé")</f>
        <v>#REF!</v>
      </c>
      <c r="M790" s="11" t="e">
        <f>_xlfn.XLOOKUP(Mvt_Inter_entrepot[[#This Row],[Num OF]],#REF!,#REF!,"Non Trouvé")</f>
        <v>#REF!</v>
      </c>
      <c r="N790" s="11" t="e">
        <f>_xlfn.XLOOKUP(Mvt_Inter_entrepot[[#This Row],[Num OF]],#REF!,#REF!,"Non Trouvé")</f>
        <v>#REF!</v>
      </c>
      <c r="O790" s="11" t="e">
        <f>_xlfn.XLOOKUP(Mvt_Inter_entrepot[[#This Row],[Num OF]],#REF!,#REF!,"Non Trouvé")</f>
        <v>#REF!</v>
      </c>
      <c r="P790" s="11" t="e">
        <f>_xlfn.XLOOKUP(Mvt_Inter_entrepot[[#This Row],[Num OF]],#REF!,#REF!,"Non Trouvé")</f>
        <v>#REF!</v>
      </c>
      <c r="Q790" s="11" t="str">
        <f>IF(
   COUNTIFS($A$2:A790,A790,
             $B$2:B790,B790,
             $C$2:C790,C790,
             $D$2:D790,D790,
             $E$2:E790,E790,
             $H$2:H790,H790
             )&gt;1,
   "Doublon",
   "Correcte"
)</f>
        <v>Correcte</v>
      </c>
    </row>
    <row r="791" spans="1:17" x14ac:dyDescent="0.25">
      <c r="A791" s="11" t="s">
        <v>3577</v>
      </c>
      <c r="B791" s="11" t="s">
        <v>1153</v>
      </c>
      <c r="C791" s="11" t="s">
        <v>665</v>
      </c>
      <c r="D791" s="11" t="s">
        <v>1154</v>
      </c>
      <c r="E791" s="11">
        <v>5</v>
      </c>
      <c r="F791" s="11" t="s">
        <v>699</v>
      </c>
      <c r="G791" s="11" t="s">
        <v>634</v>
      </c>
      <c r="H791" s="14">
        <v>45936.472175925926</v>
      </c>
      <c r="I791" s="12">
        <f>-Mvt_Inter_entrepot[[#This Row],[QTE]]</f>
        <v>-5</v>
      </c>
      <c r="J791" s="11" t="s">
        <v>926</v>
      </c>
      <c r="K791" s="11" t="str">
        <f>_xlfn.TEXTBEFORE(Mvt_Inter_entrepot[[#This Row],[Num Suivis]],"-",,,1)</f>
        <v>CA250032</v>
      </c>
      <c r="L791" s="11" t="e">
        <f>_xlfn.XLOOKUP(Mvt_Inter_entrepot[[#This Row],[Num OF]],#REF!,#REF!,"Non Trouvé")</f>
        <v>#REF!</v>
      </c>
      <c r="M791" s="11" t="e">
        <f>_xlfn.XLOOKUP(Mvt_Inter_entrepot[[#This Row],[Num OF]],#REF!,#REF!,"Non Trouvé")</f>
        <v>#REF!</v>
      </c>
      <c r="N791" s="11" t="e">
        <f>_xlfn.XLOOKUP(Mvt_Inter_entrepot[[#This Row],[Num OF]],#REF!,#REF!,"Non Trouvé")</f>
        <v>#REF!</v>
      </c>
      <c r="O791" s="11" t="e">
        <f>_xlfn.XLOOKUP(Mvt_Inter_entrepot[[#This Row],[Num OF]],#REF!,#REF!,"Non Trouvé")</f>
        <v>#REF!</v>
      </c>
      <c r="P791" s="11" t="e">
        <f>_xlfn.XLOOKUP(Mvt_Inter_entrepot[[#This Row],[Num OF]],#REF!,#REF!,"Non Trouvé")</f>
        <v>#REF!</v>
      </c>
      <c r="Q791" s="11" t="str">
        <f>IF(
   COUNTIFS($A$2:A791,A791,
             $B$2:B791,B791,
             $C$2:C791,C791,
             $D$2:D791,D791,
             $E$2:E791,E791,
             $H$2:H791,H791
             )&gt;1,
   "Doublon",
   "Correcte"
)</f>
        <v>Correcte</v>
      </c>
    </row>
    <row r="792" spans="1:17" x14ac:dyDescent="0.25">
      <c r="A792" s="11" t="s">
        <v>3578</v>
      </c>
      <c r="B792" s="11" t="s">
        <v>1153</v>
      </c>
      <c r="C792" s="11" t="s">
        <v>665</v>
      </c>
      <c r="D792" s="11" t="s">
        <v>1154</v>
      </c>
      <c r="E792" s="11">
        <v>5</v>
      </c>
      <c r="F792" s="11" t="s">
        <v>699</v>
      </c>
      <c r="G792" s="11" t="s">
        <v>634</v>
      </c>
      <c r="H792" s="14">
        <v>45936.47247685185</v>
      </c>
      <c r="I792" s="12">
        <f>-Mvt_Inter_entrepot[[#This Row],[QTE]]</f>
        <v>-5</v>
      </c>
      <c r="J792" s="11" t="s">
        <v>1025</v>
      </c>
      <c r="K792" s="11" t="str">
        <f>_xlfn.TEXTBEFORE(Mvt_Inter_entrepot[[#This Row],[Num Suivis]],"-",,,1)</f>
        <v>CA250059</v>
      </c>
      <c r="L792" s="11" t="e">
        <f>_xlfn.XLOOKUP(Mvt_Inter_entrepot[[#This Row],[Num OF]],#REF!,#REF!,"Non Trouvé")</f>
        <v>#REF!</v>
      </c>
      <c r="M792" s="11" t="e">
        <f>_xlfn.XLOOKUP(Mvt_Inter_entrepot[[#This Row],[Num OF]],#REF!,#REF!,"Non Trouvé")</f>
        <v>#REF!</v>
      </c>
      <c r="N792" s="11" t="e">
        <f>_xlfn.XLOOKUP(Mvt_Inter_entrepot[[#This Row],[Num OF]],#REF!,#REF!,"Non Trouvé")</f>
        <v>#REF!</v>
      </c>
      <c r="O792" s="11" t="e">
        <f>_xlfn.XLOOKUP(Mvt_Inter_entrepot[[#This Row],[Num OF]],#REF!,#REF!,"Non Trouvé")</f>
        <v>#REF!</v>
      </c>
      <c r="P792" s="11" t="e">
        <f>_xlfn.XLOOKUP(Mvt_Inter_entrepot[[#This Row],[Num OF]],#REF!,#REF!,"Non Trouvé")</f>
        <v>#REF!</v>
      </c>
      <c r="Q792" s="11" t="str">
        <f>IF(
   COUNTIFS($A$2:A792,A792,
             $B$2:B792,B792,
             $C$2:C792,C792,
             $D$2:D792,D792,
             $E$2:E792,E792,
             $H$2:H792,H792
             )&gt;1,
   "Doublon",
   "Correcte"
)</f>
        <v>Correcte</v>
      </c>
    </row>
    <row r="793" spans="1:17" x14ac:dyDescent="0.25">
      <c r="A793" s="11" t="s">
        <v>3579</v>
      </c>
      <c r="B793" s="11" t="s">
        <v>1153</v>
      </c>
      <c r="C793" s="11" t="s">
        <v>665</v>
      </c>
      <c r="D793" s="11" t="s">
        <v>1154</v>
      </c>
      <c r="E793" s="11">
        <v>5</v>
      </c>
      <c r="F793" s="11" t="s">
        <v>699</v>
      </c>
      <c r="G793" s="11" t="s">
        <v>634</v>
      </c>
      <c r="H793" s="14">
        <v>45936.473171296297</v>
      </c>
      <c r="I793" s="12">
        <f>-Mvt_Inter_entrepot[[#This Row],[QTE]]</f>
        <v>-5</v>
      </c>
      <c r="J793" s="11" t="s">
        <v>983</v>
      </c>
      <c r="K793" s="11" t="str">
        <f>_xlfn.TEXTBEFORE(Mvt_Inter_entrepot[[#This Row],[Num Suivis]],"-",,,1)</f>
        <v>CA250039</v>
      </c>
      <c r="L793" s="11" t="e">
        <f>_xlfn.XLOOKUP(Mvt_Inter_entrepot[[#This Row],[Num OF]],#REF!,#REF!,"Non Trouvé")</f>
        <v>#REF!</v>
      </c>
      <c r="M793" s="11" t="e">
        <f>_xlfn.XLOOKUP(Mvt_Inter_entrepot[[#This Row],[Num OF]],#REF!,#REF!,"Non Trouvé")</f>
        <v>#REF!</v>
      </c>
      <c r="N793" s="11" t="e">
        <f>_xlfn.XLOOKUP(Mvt_Inter_entrepot[[#This Row],[Num OF]],#REF!,#REF!,"Non Trouvé")</f>
        <v>#REF!</v>
      </c>
      <c r="O793" s="11" t="e">
        <f>_xlfn.XLOOKUP(Mvt_Inter_entrepot[[#This Row],[Num OF]],#REF!,#REF!,"Non Trouvé")</f>
        <v>#REF!</v>
      </c>
      <c r="P793" s="11" t="e">
        <f>_xlfn.XLOOKUP(Mvt_Inter_entrepot[[#This Row],[Num OF]],#REF!,#REF!,"Non Trouvé")</f>
        <v>#REF!</v>
      </c>
      <c r="Q793" s="11" t="str">
        <f>IF(
   COUNTIFS($A$2:A793,A793,
             $B$2:B793,B793,
             $C$2:C793,C793,
             $D$2:D793,D793,
             $E$2:E793,E793,
             $H$2:H793,H793
             )&gt;1,
   "Doublon",
   "Correcte"
)</f>
        <v>Correcte</v>
      </c>
    </row>
    <row r="794" spans="1:17" x14ac:dyDescent="0.25">
      <c r="A794" s="11" t="s">
        <v>3580</v>
      </c>
      <c r="B794" s="11" t="s">
        <v>1153</v>
      </c>
      <c r="C794" s="11" t="s">
        <v>665</v>
      </c>
      <c r="D794" s="11" t="s">
        <v>1154</v>
      </c>
      <c r="E794" s="11">
        <v>5</v>
      </c>
      <c r="F794" s="11" t="s">
        <v>699</v>
      </c>
      <c r="G794" s="11" t="s">
        <v>634</v>
      </c>
      <c r="H794" s="14">
        <v>45936.473483796297</v>
      </c>
      <c r="I794" s="12">
        <f>-Mvt_Inter_entrepot[[#This Row],[QTE]]</f>
        <v>-5</v>
      </c>
      <c r="J794" s="11" t="s">
        <v>924</v>
      </c>
      <c r="K794" s="11" t="str">
        <f>_xlfn.TEXTBEFORE(Mvt_Inter_entrepot[[#This Row],[Num Suivis]],"-",,,1)</f>
        <v>CA250032</v>
      </c>
      <c r="L794" s="11" t="e">
        <f>_xlfn.XLOOKUP(Mvt_Inter_entrepot[[#This Row],[Num OF]],#REF!,#REF!,"Non Trouvé")</f>
        <v>#REF!</v>
      </c>
      <c r="M794" s="11" t="e">
        <f>_xlfn.XLOOKUP(Mvt_Inter_entrepot[[#This Row],[Num OF]],#REF!,#REF!,"Non Trouvé")</f>
        <v>#REF!</v>
      </c>
      <c r="N794" s="11" t="e">
        <f>_xlfn.XLOOKUP(Mvt_Inter_entrepot[[#This Row],[Num OF]],#REF!,#REF!,"Non Trouvé")</f>
        <v>#REF!</v>
      </c>
      <c r="O794" s="11" t="e">
        <f>_xlfn.XLOOKUP(Mvt_Inter_entrepot[[#This Row],[Num OF]],#REF!,#REF!,"Non Trouvé")</f>
        <v>#REF!</v>
      </c>
      <c r="P794" s="11" t="e">
        <f>_xlfn.XLOOKUP(Mvt_Inter_entrepot[[#This Row],[Num OF]],#REF!,#REF!,"Non Trouvé")</f>
        <v>#REF!</v>
      </c>
      <c r="Q794" s="11" t="str">
        <f>IF(
   COUNTIFS($A$2:A794,A794,
             $B$2:B794,B794,
             $C$2:C794,C794,
             $D$2:D794,D794,
             $E$2:E794,E794,
             $H$2:H794,H794
             )&gt;1,
   "Doublon",
   "Correcte"
)</f>
        <v>Correcte</v>
      </c>
    </row>
    <row r="795" spans="1:17" x14ac:dyDescent="0.25">
      <c r="A795" s="11" t="s">
        <v>3581</v>
      </c>
      <c r="B795" s="11" t="s">
        <v>1153</v>
      </c>
      <c r="C795" s="11" t="s">
        <v>665</v>
      </c>
      <c r="D795" s="11" t="s">
        <v>1154</v>
      </c>
      <c r="E795" s="11">
        <v>1</v>
      </c>
      <c r="F795" s="11" t="s">
        <v>699</v>
      </c>
      <c r="G795" s="11" t="s">
        <v>634</v>
      </c>
      <c r="H795" s="14">
        <v>45936.473807870374</v>
      </c>
      <c r="I795" s="12">
        <f>-Mvt_Inter_entrepot[[#This Row],[QTE]]</f>
        <v>-1</v>
      </c>
      <c r="J795" s="11" t="s">
        <v>923</v>
      </c>
      <c r="K795" s="11" t="str">
        <f>_xlfn.TEXTBEFORE(Mvt_Inter_entrepot[[#This Row],[Num Suivis]],"-",,,1)</f>
        <v>CA250044</v>
      </c>
      <c r="L795" s="11" t="e">
        <f>_xlfn.XLOOKUP(Mvt_Inter_entrepot[[#This Row],[Num OF]],#REF!,#REF!,"Non Trouvé")</f>
        <v>#REF!</v>
      </c>
      <c r="M795" s="11" t="e">
        <f>_xlfn.XLOOKUP(Mvt_Inter_entrepot[[#This Row],[Num OF]],#REF!,#REF!,"Non Trouvé")</f>
        <v>#REF!</v>
      </c>
      <c r="N795" s="11" t="e">
        <f>_xlfn.XLOOKUP(Mvt_Inter_entrepot[[#This Row],[Num OF]],#REF!,#REF!,"Non Trouvé")</f>
        <v>#REF!</v>
      </c>
      <c r="O795" s="11" t="e">
        <f>_xlfn.XLOOKUP(Mvt_Inter_entrepot[[#This Row],[Num OF]],#REF!,#REF!,"Non Trouvé")</f>
        <v>#REF!</v>
      </c>
      <c r="P795" s="11" t="e">
        <f>_xlfn.XLOOKUP(Mvt_Inter_entrepot[[#This Row],[Num OF]],#REF!,#REF!,"Non Trouvé")</f>
        <v>#REF!</v>
      </c>
      <c r="Q795" s="11" t="str">
        <f>IF(
   COUNTIFS($A$2:A795,A795,
             $B$2:B795,B795,
             $C$2:C795,C795,
             $D$2:D795,D795,
             $E$2:E795,E795,
             $H$2:H795,H795
             )&gt;1,
   "Doublon",
   "Correcte"
)</f>
        <v>Correcte</v>
      </c>
    </row>
    <row r="796" spans="1:17" x14ac:dyDescent="0.25">
      <c r="A796" s="11" t="s">
        <v>3582</v>
      </c>
      <c r="B796" s="11" t="s">
        <v>1153</v>
      </c>
      <c r="C796" s="11" t="s">
        <v>665</v>
      </c>
      <c r="D796" s="11" t="s">
        <v>1154</v>
      </c>
      <c r="E796" s="11">
        <v>1</v>
      </c>
      <c r="F796" s="11" t="s">
        <v>699</v>
      </c>
      <c r="G796" s="11" t="s">
        <v>634</v>
      </c>
      <c r="H796" s="14">
        <v>45936.473993055559</v>
      </c>
      <c r="I796" s="12">
        <f>-Mvt_Inter_entrepot[[#This Row],[QTE]]</f>
        <v>-1</v>
      </c>
      <c r="J796" s="11" t="s">
        <v>889</v>
      </c>
      <c r="K796" s="11" t="str">
        <f>_xlfn.TEXTBEFORE(Mvt_Inter_entrepot[[#This Row],[Num Suivis]],"-",,,1)</f>
        <v>CA250072</v>
      </c>
      <c r="L796" s="11" t="e">
        <f>_xlfn.XLOOKUP(Mvt_Inter_entrepot[[#This Row],[Num OF]],#REF!,#REF!,"Non Trouvé")</f>
        <v>#REF!</v>
      </c>
      <c r="M796" s="11" t="e">
        <f>_xlfn.XLOOKUP(Mvt_Inter_entrepot[[#This Row],[Num OF]],#REF!,#REF!,"Non Trouvé")</f>
        <v>#REF!</v>
      </c>
      <c r="N796" s="11" t="e">
        <f>_xlfn.XLOOKUP(Mvt_Inter_entrepot[[#This Row],[Num OF]],#REF!,#REF!,"Non Trouvé")</f>
        <v>#REF!</v>
      </c>
      <c r="O796" s="11" t="e">
        <f>_xlfn.XLOOKUP(Mvt_Inter_entrepot[[#This Row],[Num OF]],#REF!,#REF!,"Non Trouvé")</f>
        <v>#REF!</v>
      </c>
      <c r="P796" s="11" t="e">
        <f>_xlfn.XLOOKUP(Mvt_Inter_entrepot[[#This Row],[Num OF]],#REF!,#REF!,"Non Trouvé")</f>
        <v>#REF!</v>
      </c>
      <c r="Q796" s="11" t="str">
        <f>IF(
   COUNTIFS($A$2:A796,A796,
             $B$2:B796,B796,
             $C$2:C796,C796,
             $D$2:D796,D796,
             $E$2:E796,E796,
             $H$2:H796,H796
             )&gt;1,
   "Doublon",
   "Correcte"
)</f>
        <v>Correcte</v>
      </c>
    </row>
    <row r="797" spans="1:17" x14ac:dyDescent="0.25">
      <c r="A797" s="11" t="s">
        <v>3583</v>
      </c>
      <c r="B797" s="11" t="s">
        <v>1153</v>
      </c>
      <c r="C797" s="11" t="s">
        <v>665</v>
      </c>
      <c r="D797" s="11" t="s">
        <v>1154</v>
      </c>
      <c r="E797" s="11">
        <v>5</v>
      </c>
      <c r="F797" s="11" t="s">
        <v>699</v>
      </c>
      <c r="G797" s="11" t="s">
        <v>634</v>
      </c>
      <c r="H797" s="14">
        <v>45936.474212962959</v>
      </c>
      <c r="I797" s="12">
        <f>-Mvt_Inter_entrepot[[#This Row],[QTE]]</f>
        <v>-5</v>
      </c>
      <c r="J797" s="11" t="s">
        <v>922</v>
      </c>
      <c r="K797" s="11" t="str">
        <f>_xlfn.TEXTBEFORE(Mvt_Inter_entrepot[[#This Row],[Num Suivis]],"-",,,1)</f>
        <v>CA250044</v>
      </c>
      <c r="L797" s="11" t="e">
        <f>_xlfn.XLOOKUP(Mvt_Inter_entrepot[[#This Row],[Num OF]],#REF!,#REF!,"Non Trouvé")</f>
        <v>#REF!</v>
      </c>
      <c r="M797" s="11" t="e">
        <f>_xlfn.XLOOKUP(Mvt_Inter_entrepot[[#This Row],[Num OF]],#REF!,#REF!,"Non Trouvé")</f>
        <v>#REF!</v>
      </c>
      <c r="N797" s="11" t="e">
        <f>_xlfn.XLOOKUP(Mvt_Inter_entrepot[[#This Row],[Num OF]],#REF!,#REF!,"Non Trouvé")</f>
        <v>#REF!</v>
      </c>
      <c r="O797" s="11" t="e">
        <f>_xlfn.XLOOKUP(Mvt_Inter_entrepot[[#This Row],[Num OF]],#REF!,#REF!,"Non Trouvé")</f>
        <v>#REF!</v>
      </c>
      <c r="P797" s="11" t="e">
        <f>_xlfn.XLOOKUP(Mvt_Inter_entrepot[[#This Row],[Num OF]],#REF!,#REF!,"Non Trouvé")</f>
        <v>#REF!</v>
      </c>
      <c r="Q797" s="11" t="str">
        <f>IF(
   COUNTIFS($A$2:A797,A797,
             $B$2:B797,B797,
             $C$2:C797,C797,
             $D$2:D797,D797,
             $E$2:E797,E797,
             $H$2:H797,H797
             )&gt;1,
   "Doublon",
   "Correcte"
)</f>
        <v>Correcte</v>
      </c>
    </row>
    <row r="798" spans="1:17" x14ac:dyDescent="0.25">
      <c r="A798" s="11" t="s">
        <v>3584</v>
      </c>
      <c r="B798" s="11" t="s">
        <v>1153</v>
      </c>
      <c r="C798" s="11" t="s">
        <v>665</v>
      </c>
      <c r="D798" s="11" t="s">
        <v>1154</v>
      </c>
      <c r="E798" s="11">
        <v>5</v>
      </c>
      <c r="F798" s="11" t="s">
        <v>699</v>
      </c>
      <c r="G798" s="11" t="s">
        <v>634</v>
      </c>
      <c r="H798" s="14">
        <v>45936.474583333336</v>
      </c>
      <c r="I798" s="12">
        <f>-Mvt_Inter_entrepot[[#This Row],[QTE]]</f>
        <v>-5</v>
      </c>
      <c r="J798" s="11" t="s">
        <v>925</v>
      </c>
      <c r="K798" s="11" t="str">
        <f>_xlfn.TEXTBEFORE(Mvt_Inter_entrepot[[#This Row],[Num Suivis]],"-",,,1)</f>
        <v>CA250032</v>
      </c>
      <c r="L798" s="11" t="e">
        <f>_xlfn.XLOOKUP(Mvt_Inter_entrepot[[#This Row],[Num OF]],#REF!,#REF!,"Non Trouvé")</f>
        <v>#REF!</v>
      </c>
      <c r="M798" s="11" t="e">
        <f>_xlfn.XLOOKUP(Mvt_Inter_entrepot[[#This Row],[Num OF]],#REF!,#REF!,"Non Trouvé")</f>
        <v>#REF!</v>
      </c>
      <c r="N798" s="11" t="e">
        <f>_xlfn.XLOOKUP(Mvt_Inter_entrepot[[#This Row],[Num OF]],#REF!,#REF!,"Non Trouvé")</f>
        <v>#REF!</v>
      </c>
      <c r="O798" s="11" t="e">
        <f>_xlfn.XLOOKUP(Mvt_Inter_entrepot[[#This Row],[Num OF]],#REF!,#REF!,"Non Trouvé")</f>
        <v>#REF!</v>
      </c>
      <c r="P798" s="11" t="e">
        <f>_xlfn.XLOOKUP(Mvt_Inter_entrepot[[#This Row],[Num OF]],#REF!,#REF!,"Non Trouvé")</f>
        <v>#REF!</v>
      </c>
      <c r="Q798" s="11" t="str">
        <f>IF(
   COUNTIFS($A$2:A798,A798,
             $B$2:B798,B798,
             $C$2:C798,C798,
             $D$2:D798,D798,
             $E$2:E798,E798,
             $H$2:H798,H798
             )&gt;1,
   "Doublon",
   "Correcte"
)</f>
        <v>Correcte</v>
      </c>
    </row>
    <row r="799" spans="1:17" x14ac:dyDescent="0.25">
      <c r="A799" s="11" t="s">
        <v>3585</v>
      </c>
      <c r="B799" s="11" t="s">
        <v>1153</v>
      </c>
      <c r="C799" s="11" t="s">
        <v>665</v>
      </c>
      <c r="D799" s="11" t="s">
        <v>1154</v>
      </c>
      <c r="E799" s="11">
        <v>5</v>
      </c>
      <c r="F799" s="11" t="s">
        <v>699</v>
      </c>
      <c r="G799" s="11" t="s">
        <v>634</v>
      </c>
      <c r="H799" s="14">
        <v>45936.474999999999</v>
      </c>
      <c r="I799" s="12">
        <f>-Mvt_Inter_entrepot[[#This Row],[QTE]]</f>
        <v>-5</v>
      </c>
      <c r="J799" s="11" t="s">
        <v>929</v>
      </c>
      <c r="K799" s="11" t="str">
        <f>_xlfn.TEXTBEFORE(Mvt_Inter_entrepot[[#This Row],[Num Suivis]],"-",,,1)</f>
        <v>CA250043</v>
      </c>
      <c r="L799" s="11" t="e">
        <f>_xlfn.XLOOKUP(Mvt_Inter_entrepot[[#This Row],[Num OF]],#REF!,#REF!,"Non Trouvé")</f>
        <v>#REF!</v>
      </c>
      <c r="M799" s="11" t="e">
        <f>_xlfn.XLOOKUP(Mvt_Inter_entrepot[[#This Row],[Num OF]],#REF!,#REF!,"Non Trouvé")</f>
        <v>#REF!</v>
      </c>
      <c r="N799" s="11" t="e">
        <f>_xlfn.XLOOKUP(Mvt_Inter_entrepot[[#This Row],[Num OF]],#REF!,#REF!,"Non Trouvé")</f>
        <v>#REF!</v>
      </c>
      <c r="O799" s="11" t="e">
        <f>_xlfn.XLOOKUP(Mvt_Inter_entrepot[[#This Row],[Num OF]],#REF!,#REF!,"Non Trouvé")</f>
        <v>#REF!</v>
      </c>
      <c r="P799" s="11" t="e">
        <f>_xlfn.XLOOKUP(Mvt_Inter_entrepot[[#This Row],[Num OF]],#REF!,#REF!,"Non Trouvé")</f>
        <v>#REF!</v>
      </c>
      <c r="Q799" s="11" t="str">
        <f>IF(
   COUNTIFS($A$2:A799,A799,
             $B$2:B799,B799,
             $C$2:C799,C799,
             $D$2:D799,D799,
             $E$2:E799,E799,
             $H$2:H799,H799
             )&gt;1,
   "Doublon",
   "Correcte"
)</f>
        <v>Correcte</v>
      </c>
    </row>
    <row r="800" spans="1:17" x14ac:dyDescent="0.25">
      <c r="A800" s="11" t="s">
        <v>3586</v>
      </c>
      <c r="B800" s="11" t="s">
        <v>1153</v>
      </c>
      <c r="C800" s="11" t="s">
        <v>665</v>
      </c>
      <c r="D800" s="11" t="s">
        <v>1154</v>
      </c>
      <c r="E800" s="11">
        <v>5</v>
      </c>
      <c r="F800" s="11" t="s">
        <v>699</v>
      </c>
      <c r="G800" s="11" t="s">
        <v>634</v>
      </c>
      <c r="H800" s="14">
        <v>45936.475439814814</v>
      </c>
      <c r="I800" s="12">
        <f>-Mvt_Inter_entrepot[[#This Row],[QTE]]</f>
        <v>-5</v>
      </c>
      <c r="J800" s="11" t="s">
        <v>1014</v>
      </c>
      <c r="K800" s="11" t="str">
        <f>_xlfn.TEXTBEFORE(Mvt_Inter_entrepot[[#This Row],[Num Suivis]],"-",,,1)</f>
        <v>CA250024</v>
      </c>
      <c r="L800" s="11" t="e">
        <f>_xlfn.XLOOKUP(Mvt_Inter_entrepot[[#This Row],[Num OF]],#REF!,#REF!,"Non Trouvé")</f>
        <v>#REF!</v>
      </c>
      <c r="M800" s="11" t="e">
        <f>_xlfn.XLOOKUP(Mvt_Inter_entrepot[[#This Row],[Num OF]],#REF!,#REF!,"Non Trouvé")</f>
        <v>#REF!</v>
      </c>
      <c r="N800" s="11" t="e">
        <f>_xlfn.XLOOKUP(Mvt_Inter_entrepot[[#This Row],[Num OF]],#REF!,#REF!,"Non Trouvé")</f>
        <v>#REF!</v>
      </c>
      <c r="O800" s="11" t="e">
        <f>_xlfn.XLOOKUP(Mvt_Inter_entrepot[[#This Row],[Num OF]],#REF!,#REF!,"Non Trouvé")</f>
        <v>#REF!</v>
      </c>
      <c r="P800" s="11" t="e">
        <f>_xlfn.XLOOKUP(Mvt_Inter_entrepot[[#This Row],[Num OF]],#REF!,#REF!,"Non Trouvé")</f>
        <v>#REF!</v>
      </c>
      <c r="Q800" s="11" t="str">
        <f>IF(
   COUNTIFS($A$2:A800,A800,
             $B$2:B800,B800,
             $C$2:C800,C800,
             $D$2:D800,D800,
             $E$2:E800,E800,
             $H$2:H800,H800
             )&gt;1,
   "Doublon",
   "Correcte"
)</f>
        <v>Correcte</v>
      </c>
    </row>
    <row r="801" spans="1:17" x14ac:dyDescent="0.25">
      <c r="A801" s="11" t="s">
        <v>3587</v>
      </c>
      <c r="B801" s="11" t="s">
        <v>1153</v>
      </c>
      <c r="C801" s="11" t="s">
        <v>665</v>
      </c>
      <c r="D801" s="11" t="s">
        <v>1154</v>
      </c>
      <c r="E801" s="11">
        <v>5</v>
      </c>
      <c r="F801" s="11" t="s">
        <v>699</v>
      </c>
      <c r="G801" s="11" t="s">
        <v>634</v>
      </c>
      <c r="H801" s="14">
        <v>45936.475648148145</v>
      </c>
      <c r="I801" s="12">
        <f>-Mvt_Inter_entrepot[[#This Row],[QTE]]</f>
        <v>-5</v>
      </c>
      <c r="J801" s="11" t="s">
        <v>916</v>
      </c>
      <c r="K801" s="11" t="str">
        <f>_xlfn.TEXTBEFORE(Mvt_Inter_entrepot[[#This Row],[Num Suivis]],"-",,,1)</f>
        <v>CA250021</v>
      </c>
      <c r="L801" s="11" t="e">
        <f>_xlfn.XLOOKUP(Mvt_Inter_entrepot[[#This Row],[Num OF]],#REF!,#REF!,"Non Trouvé")</f>
        <v>#REF!</v>
      </c>
      <c r="M801" s="11" t="e">
        <f>_xlfn.XLOOKUP(Mvt_Inter_entrepot[[#This Row],[Num OF]],#REF!,#REF!,"Non Trouvé")</f>
        <v>#REF!</v>
      </c>
      <c r="N801" s="11" t="e">
        <f>_xlfn.XLOOKUP(Mvt_Inter_entrepot[[#This Row],[Num OF]],#REF!,#REF!,"Non Trouvé")</f>
        <v>#REF!</v>
      </c>
      <c r="O801" s="11" t="e">
        <f>_xlfn.XLOOKUP(Mvt_Inter_entrepot[[#This Row],[Num OF]],#REF!,#REF!,"Non Trouvé")</f>
        <v>#REF!</v>
      </c>
      <c r="P801" s="11" t="e">
        <f>_xlfn.XLOOKUP(Mvt_Inter_entrepot[[#This Row],[Num OF]],#REF!,#REF!,"Non Trouvé")</f>
        <v>#REF!</v>
      </c>
      <c r="Q801" s="11" t="str">
        <f>IF(
   COUNTIFS($A$2:A801,A801,
             $B$2:B801,B801,
             $C$2:C801,C801,
             $D$2:D801,D801,
             $E$2:E801,E801,
             $H$2:H801,H801
             )&gt;1,
   "Doublon",
   "Correcte"
)</f>
        <v>Correcte</v>
      </c>
    </row>
    <row r="802" spans="1:17" x14ac:dyDescent="0.25">
      <c r="A802" s="11" t="s">
        <v>3588</v>
      </c>
      <c r="B802" s="11" t="s">
        <v>1153</v>
      </c>
      <c r="C802" s="11" t="s">
        <v>665</v>
      </c>
      <c r="D802" s="11" t="s">
        <v>1154</v>
      </c>
      <c r="E802" s="11">
        <v>5</v>
      </c>
      <c r="F802" s="11" t="s">
        <v>699</v>
      </c>
      <c r="G802" s="11" t="s">
        <v>634</v>
      </c>
      <c r="H802" s="14">
        <v>45936.476030092592</v>
      </c>
      <c r="I802" s="12">
        <f>-Mvt_Inter_entrepot[[#This Row],[QTE]]</f>
        <v>-5</v>
      </c>
      <c r="J802" s="11" t="s">
        <v>940</v>
      </c>
      <c r="K802" s="11" t="str">
        <f>_xlfn.TEXTBEFORE(Mvt_Inter_entrepot[[#This Row],[Num Suivis]],"-",,,1)</f>
        <v>CA250023</v>
      </c>
      <c r="L802" s="11" t="e">
        <f>_xlfn.XLOOKUP(Mvt_Inter_entrepot[[#This Row],[Num OF]],#REF!,#REF!,"Non Trouvé")</f>
        <v>#REF!</v>
      </c>
      <c r="M802" s="11" t="e">
        <f>_xlfn.XLOOKUP(Mvt_Inter_entrepot[[#This Row],[Num OF]],#REF!,#REF!,"Non Trouvé")</f>
        <v>#REF!</v>
      </c>
      <c r="N802" s="11" t="e">
        <f>_xlfn.XLOOKUP(Mvt_Inter_entrepot[[#This Row],[Num OF]],#REF!,#REF!,"Non Trouvé")</f>
        <v>#REF!</v>
      </c>
      <c r="O802" s="11" t="e">
        <f>_xlfn.XLOOKUP(Mvt_Inter_entrepot[[#This Row],[Num OF]],#REF!,#REF!,"Non Trouvé")</f>
        <v>#REF!</v>
      </c>
      <c r="P802" s="11" t="e">
        <f>_xlfn.XLOOKUP(Mvt_Inter_entrepot[[#This Row],[Num OF]],#REF!,#REF!,"Non Trouvé")</f>
        <v>#REF!</v>
      </c>
      <c r="Q802" s="11" t="str">
        <f>IF(
   COUNTIFS($A$2:A802,A802,
             $B$2:B802,B802,
             $C$2:C802,C802,
             $D$2:D802,D802,
             $E$2:E802,E802,
             $H$2:H802,H802
             )&gt;1,
   "Doublon",
   "Correcte"
)</f>
        <v>Correcte</v>
      </c>
    </row>
    <row r="803" spans="1:17" x14ac:dyDescent="0.25">
      <c r="A803" s="11" t="s">
        <v>3589</v>
      </c>
      <c r="B803" s="11" t="s">
        <v>1153</v>
      </c>
      <c r="C803" s="11" t="s">
        <v>665</v>
      </c>
      <c r="D803" s="11" t="s">
        <v>1154</v>
      </c>
      <c r="E803" s="11">
        <v>5</v>
      </c>
      <c r="F803" s="11" t="s">
        <v>699</v>
      </c>
      <c r="G803" s="11" t="s">
        <v>634</v>
      </c>
      <c r="H803" s="14">
        <v>45936.568078703705</v>
      </c>
      <c r="I803" s="12">
        <f>-Mvt_Inter_entrepot[[#This Row],[QTE]]</f>
        <v>-5</v>
      </c>
      <c r="J803" s="11" t="s">
        <v>934</v>
      </c>
      <c r="K803" s="11" t="str">
        <f>_xlfn.TEXTBEFORE(Mvt_Inter_entrepot[[#This Row],[Num Suivis]],"-",,,1)</f>
        <v>CA250033</v>
      </c>
      <c r="L803" s="11" t="e">
        <f>_xlfn.XLOOKUP(Mvt_Inter_entrepot[[#This Row],[Num OF]],#REF!,#REF!,"Non Trouvé")</f>
        <v>#REF!</v>
      </c>
      <c r="M803" s="11" t="e">
        <f>_xlfn.XLOOKUP(Mvt_Inter_entrepot[[#This Row],[Num OF]],#REF!,#REF!,"Non Trouvé")</f>
        <v>#REF!</v>
      </c>
      <c r="N803" s="11" t="e">
        <f>_xlfn.XLOOKUP(Mvt_Inter_entrepot[[#This Row],[Num OF]],#REF!,#REF!,"Non Trouvé")</f>
        <v>#REF!</v>
      </c>
      <c r="O803" s="11" t="e">
        <f>_xlfn.XLOOKUP(Mvt_Inter_entrepot[[#This Row],[Num OF]],#REF!,#REF!,"Non Trouvé")</f>
        <v>#REF!</v>
      </c>
      <c r="P803" s="11" t="e">
        <f>_xlfn.XLOOKUP(Mvt_Inter_entrepot[[#This Row],[Num OF]],#REF!,#REF!,"Non Trouvé")</f>
        <v>#REF!</v>
      </c>
      <c r="Q803" s="11" t="str">
        <f>IF(
   COUNTIFS($A$2:A803,A803,
             $B$2:B803,B803,
             $C$2:C803,C803,
             $D$2:D803,D803,
             $E$2:E803,E803,
             $H$2:H803,H803
             )&gt;1,
   "Doublon",
   "Correcte"
)</f>
        <v>Correcte</v>
      </c>
    </row>
    <row r="804" spans="1:17" x14ac:dyDescent="0.25">
      <c r="A804" s="11" t="s">
        <v>3590</v>
      </c>
      <c r="B804" s="11" t="s">
        <v>1153</v>
      </c>
      <c r="C804" s="11" t="s">
        <v>665</v>
      </c>
      <c r="D804" s="11" t="s">
        <v>1154</v>
      </c>
      <c r="E804" s="11">
        <v>5</v>
      </c>
      <c r="F804" s="11" t="s">
        <v>699</v>
      </c>
      <c r="G804" s="11" t="s">
        <v>634</v>
      </c>
      <c r="H804" s="14">
        <v>45936.568726851852</v>
      </c>
      <c r="I804" s="12">
        <f>-Mvt_Inter_entrepot[[#This Row],[QTE]]</f>
        <v>-5</v>
      </c>
      <c r="J804" s="11" t="s">
        <v>938</v>
      </c>
      <c r="K804" s="11" t="str">
        <f>_xlfn.TEXTBEFORE(Mvt_Inter_entrepot[[#This Row],[Num Suivis]],"-",,,1)</f>
        <v>CA250023</v>
      </c>
      <c r="L804" s="11" t="e">
        <f>_xlfn.XLOOKUP(Mvt_Inter_entrepot[[#This Row],[Num OF]],#REF!,#REF!,"Non Trouvé")</f>
        <v>#REF!</v>
      </c>
      <c r="M804" s="11" t="e">
        <f>_xlfn.XLOOKUP(Mvt_Inter_entrepot[[#This Row],[Num OF]],#REF!,#REF!,"Non Trouvé")</f>
        <v>#REF!</v>
      </c>
      <c r="N804" s="11" t="e">
        <f>_xlfn.XLOOKUP(Mvt_Inter_entrepot[[#This Row],[Num OF]],#REF!,#REF!,"Non Trouvé")</f>
        <v>#REF!</v>
      </c>
      <c r="O804" s="11" t="e">
        <f>_xlfn.XLOOKUP(Mvt_Inter_entrepot[[#This Row],[Num OF]],#REF!,#REF!,"Non Trouvé")</f>
        <v>#REF!</v>
      </c>
      <c r="P804" s="11" t="e">
        <f>_xlfn.XLOOKUP(Mvt_Inter_entrepot[[#This Row],[Num OF]],#REF!,#REF!,"Non Trouvé")</f>
        <v>#REF!</v>
      </c>
      <c r="Q804" s="11" t="str">
        <f>IF(
   COUNTIFS($A$2:A804,A804,
             $B$2:B804,B804,
             $C$2:C804,C804,
             $D$2:D804,D804,
             $E$2:E804,E804,
             $H$2:H804,H804
             )&gt;1,
   "Doublon",
   "Correcte"
)</f>
        <v>Correcte</v>
      </c>
    </row>
    <row r="805" spans="1:17" x14ac:dyDescent="0.25">
      <c r="A805" s="11" t="s">
        <v>3591</v>
      </c>
      <c r="B805" s="11" t="s">
        <v>1153</v>
      </c>
      <c r="C805" s="11" t="s">
        <v>665</v>
      </c>
      <c r="D805" s="11" t="s">
        <v>1154</v>
      </c>
      <c r="E805" s="11">
        <v>5</v>
      </c>
      <c r="F805" s="11" t="s">
        <v>699</v>
      </c>
      <c r="G805" s="11" t="s">
        <v>634</v>
      </c>
      <c r="H805" s="14">
        <v>45936.569108796299</v>
      </c>
      <c r="I805" s="12">
        <f>-Mvt_Inter_entrepot[[#This Row],[QTE]]</f>
        <v>-5</v>
      </c>
      <c r="J805" s="11" t="s">
        <v>933</v>
      </c>
      <c r="K805" s="11" t="str">
        <f>_xlfn.TEXTBEFORE(Mvt_Inter_entrepot[[#This Row],[Num Suivis]],"-",,,1)</f>
        <v>CA250033</v>
      </c>
      <c r="L805" s="11" t="e">
        <f>_xlfn.XLOOKUP(Mvt_Inter_entrepot[[#This Row],[Num OF]],#REF!,#REF!,"Non Trouvé")</f>
        <v>#REF!</v>
      </c>
      <c r="M805" s="11" t="e">
        <f>_xlfn.XLOOKUP(Mvt_Inter_entrepot[[#This Row],[Num OF]],#REF!,#REF!,"Non Trouvé")</f>
        <v>#REF!</v>
      </c>
      <c r="N805" s="11" t="e">
        <f>_xlfn.XLOOKUP(Mvt_Inter_entrepot[[#This Row],[Num OF]],#REF!,#REF!,"Non Trouvé")</f>
        <v>#REF!</v>
      </c>
      <c r="O805" s="11" t="e">
        <f>_xlfn.XLOOKUP(Mvt_Inter_entrepot[[#This Row],[Num OF]],#REF!,#REF!,"Non Trouvé")</f>
        <v>#REF!</v>
      </c>
      <c r="P805" s="11" t="e">
        <f>_xlfn.XLOOKUP(Mvt_Inter_entrepot[[#This Row],[Num OF]],#REF!,#REF!,"Non Trouvé")</f>
        <v>#REF!</v>
      </c>
      <c r="Q805" s="11" t="str">
        <f>IF(
   COUNTIFS($A$2:A805,A805,
             $B$2:B805,B805,
             $C$2:C805,C805,
             $D$2:D805,D805,
             $E$2:E805,E805,
             $H$2:H805,H805
             )&gt;1,
   "Doublon",
   "Correcte"
)</f>
        <v>Correcte</v>
      </c>
    </row>
    <row r="806" spans="1:17" x14ac:dyDescent="0.25">
      <c r="A806" s="11" t="s">
        <v>3592</v>
      </c>
      <c r="B806" s="11" t="s">
        <v>1153</v>
      </c>
      <c r="C806" s="11" t="s">
        <v>665</v>
      </c>
      <c r="D806" s="11" t="s">
        <v>1154</v>
      </c>
      <c r="E806" s="11">
        <v>5</v>
      </c>
      <c r="F806" s="11" t="s">
        <v>699</v>
      </c>
      <c r="G806" s="11" t="s">
        <v>634</v>
      </c>
      <c r="H806" s="14">
        <v>45936.569340277776</v>
      </c>
      <c r="I806" s="12">
        <f>-Mvt_Inter_entrepot[[#This Row],[QTE]]</f>
        <v>-5</v>
      </c>
      <c r="J806" s="11" t="s">
        <v>935</v>
      </c>
      <c r="K806" s="11" t="str">
        <f>_xlfn.TEXTBEFORE(Mvt_Inter_entrepot[[#This Row],[Num Suivis]],"-",,,1)</f>
        <v>CA250033</v>
      </c>
      <c r="L806" s="11" t="e">
        <f>_xlfn.XLOOKUP(Mvt_Inter_entrepot[[#This Row],[Num OF]],#REF!,#REF!,"Non Trouvé")</f>
        <v>#REF!</v>
      </c>
      <c r="M806" s="11" t="e">
        <f>_xlfn.XLOOKUP(Mvt_Inter_entrepot[[#This Row],[Num OF]],#REF!,#REF!,"Non Trouvé")</f>
        <v>#REF!</v>
      </c>
      <c r="N806" s="11" t="e">
        <f>_xlfn.XLOOKUP(Mvt_Inter_entrepot[[#This Row],[Num OF]],#REF!,#REF!,"Non Trouvé")</f>
        <v>#REF!</v>
      </c>
      <c r="O806" s="11" t="e">
        <f>_xlfn.XLOOKUP(Mvt_Inter_entrepot[[#This Row],[Num OF]],#REF!,#REF!,"Non Trouvé")</f>
        <v>#REF!</v>
      </c>
      <c r="P806" s="11" t="e">
        <f>_xlfn.XLOOKUP(Mvt_Inter_entrepot[[#This Row],[Num OF]],#REF!,#REF!,"Non Trouvé")</f>
        <v>#REF!</v>
      </c>
      <c r="Q806" s="11" t="str">
        <f>IF(
   COUNTIFS($A$2:A806,A806,
             $B$2:B806,B806,
             $C$2:C806,C806,
             $D$2:D806,D806,
             $E$2:E806,E806,
             $H$2:H806,H806
             )&gt;1,
   "Doublon",
   "Correcte"
)</f>
        <v>Correcte</v>
      </c>
    </row>
    <row r="807" spans="1:17" x14ac:dyDescent="0.25">
      <c r="A807" s="11" t="s">
        <v>3301</v>
      </c>
      <c r="B807" s="11" t="s">
        <v>1153</v>
      </c>
      <c r="C807" s="11" t="s">
        <v>665</v>
      </c>
      <c r="D807" s="11" t="s">
        <v>1154</v>
      </c>
      <c r="E807" s="11">
        <v>5</v>
      </c>
      <c r="F807" s="11" t="s">
        <v>699</v>
      </c>
      <c r="G807" s="11" t="s">
        <v>634</v>
      </c>
      <c r="H807" s="14">
        <v>45936.569699074076</v>
      </c>
      <c r="I807" s="12">
        <f>-Mvt_Inter_entrepot[[#This Row],[QTE]]</f>
        <v>-5</v>
      </c>
      <c r="J807" s="11" t="s">
        <v>43</v>
      </c>
      <c r="K807" s="11" t="str">
        <f>_xlfn.TEXTBEFORE(Mvt_Inter_entrepot[[#This Row],[Num Suivis]],"-",,,1)</f>
        <v>CA250021</v>
      </c>
      <c r="L807" s="11" t="e">
        <f>_xlfn.XLOOKUP(Mvt_Inter_entrepot[[#This Row],[Num OF]],#REF!,#REF!,"Non Trouvé")</f>
        <v>#REF!</v>
      </c>
      <c r="M807" s="11" t="e">
        <f>_xlfn.XLOOKUP(Mvt_Inter_entrepot[[#This Row],[Num OF]],#REF!,#REF!,"Non Trouvé")</f>
        <v>#REF!</v>
      </c>
      <c r="N807" s="11" t="e">
        <f>_xlfn.XLOOKUP(Mvt_Inter_entrepot[[#This Row],[Num OF]],#REF!,#REF!,"Non Trouvé")</f>
        <v>#REF!</v>
      </c>
      <c r="O807" s="11" t="e">
        <f>_xlfn.XLOOKUP(Mvt_Inter_entrepot[[#This Row],[Num OF]],#REF!,#REF!,"Non Trouvé")</f>
        <v>#REF!</v>
      </c>
      <c r="P807" s="11" t="e">
        <f>_xlfn.XLOOKUP(Mvt_Inter_entrepot[[#This Row],[Num OF]],#REF!,#REF!,"Non Trouvé")</f>
        <v>#REF!</v>
      </c>
      <c r="Q807" s="11" t="str">
        <f>IF(
   COUNTIFS($A$2:A807,A807,
             $B$2:B807,B807,
             $C$2:C807,C807,
             $D$2:D807,D807,
             $E$2:E807,E807,
             $H$2:H807,H807
             )&gt;1,
   "Doublon",
   "Correcte"
)</f>
        <v>Correcte</v>
      </c>
    </row>
    <row r="808" spans="1:17" x14ac:dyDescent="0.25">
      <c r="A808" s="11" t="s">
        <v>3593</v>
      </c>
      <c r="B808" s="11" t="s">
        <v>1153</v>
      </c>
      <c r="C808" s="11" t="s">
        <v>665</v>
      </c>
      <c r="D808" s="11" t="s">
        <v>1154</v>
      </c>
      <c r="E808" s="11">
        <v>5</v>
      </c>
      <c r="F808" s="11" t="s">
        <v>699</v>
      </c>
      <c r="G808" s="11" t="s">
        <v>634</v>
      </c>
      <c r="H808" s="14">
        <v>45936.579097222224</v>
      </c>
      <c r="I808" s="12">
        <f>-Mvt_Inter_entrepot[[#This Row],[QTE]]</f>
        <v>-5</v>
      </c>
      <c r="J808" s="11" t="s">
        <v>963</v>
      </c>
      <c r="K808" s="11" t="str">
        <f>_xlfn.TEXTBEFORE(Mvt_Inter_entrepot[[#This Row],[Num Suivis]],"-",,,1)</f>
        <v>CA250078</v>
      </c>
      <c r="L808" s="11" t="e">
        <f>_xlfn.XLOOKUP(Mvt_Inter_entrepot[[#This Row],[Num OF]],#REF!,#REF!,"Non Trouvé")</f>
        <v>#REF!</v>
      </c>
      <c r="M808" s="11" t="e">
        <f>_xlfn.XLOOKUP(Mvt_Inter_entrepot[[#This Row],[Num OF]],#REF!,#REF!,"Non Trouvé")</f>
        <v>#REF!</v>
      </c>
      <c r="N808" s="11" t="e">
        <f>_xlfn.XLOOKUP(Mvt_Inter_entrepot[[#This Row],[Num OF]],#REF!,#REF!,"Non Trouvé")</f>
        <v>#REF!</v>
      </c>
      <c r="O808" s="11" t="e">
        <f>_xlfn.XLOOKUP(Mvt_Inter_entrepot[[#This Row],[Num OF]],#REF!,#REF!,"Non Trouvé")</f>
        <v>#REF!</v>
      </c>
      <c r="P808" s="11" t="e">
        <f>_xlfn.XLOOKUP(Mvt_Inter_entrepot[[#This Row],[Num OF]],#REF!,#REF!,"Non Trouvé")</f>
        <v>#REF!</v>
      </c>
      <c r="Q808" s="11" t="str">
        <f>IF(
   COUNTIFS($A$2:A808,A808,
             $B$2:B808,B808,
             $C$2:C808,C808,
             $D$2:D808,D808,
             $E$2:E808,E808,
             $H$2:H808,H808
             )&gt;1,
   "Doublon",
   "Correcte"
)</f>
        <v>Correcte</v>
      </c>
    </row>
    <row r="809" spans="1:17" x14ac:dyDescent="0.25">
      <c r="A809" s="11" t="s">
        <v>3594</v>
      </c>
      <c r="B809" s="11" t="s">
        <v>1153</v>
      </c>
      <c r="C809" s="11" t="s">
        <v>665</v>
      </c>
      <c r="D809" s="11" t="s">
        <v>1154</v>
      </c>
      <c r="E809" s="11">
        <v>5</v>
      </c>
      <c r="F809" s="11" t="s">
        <v>699</v>
      </c>
      <c r="G809" s="11" t="s">
        <v>634</v>
      </c>
      <c r="H809" s="14">
        <v>45936.579328703701</v>
      </c>
      <c r="I809" s="12">
        <f>-Mvt_Inter_entrepot[[#This Row],[QTE]]</f>
        <v>-5</v>
      </c>
      <c r="J809" s="11" t="s">
        <v>992</v>
      </c>
      <c r="K809" s="11" t="str">
        <f>_xlfn.TEXTBEFORE(Mvt_Inter_entrepot[[#This Row],[Num Suivis]],"-",,,1)</f>
        <v>CA250036</v>
      </c>
      <c r="L809" s="11" t="e">
        <f>_xlfn.XLOOKUP(Mvt_Inter_entrepot[[#This Row],[Num OF]],#REF!,#REF!,"Non Trouvé")</f>
        <v>#REF!</v>
      </c>
      <c r="M809" s="11" t="e">
        <f>_xlfn.XLOOKUP(Mvt_Inter_entrepot[[#This Row],[Num OF]],#REF!,#REF!,"Non Trouvé")</f>
        <v>#REF!</v>
      </c>
      <c r="N809" s="11" t="e">
        <f>_xlfn.XLOOKUP(Mvt_Inter_entrepot[[#This Row],[Num OF]],#REF!,#REF!,"Non Trouvé")</f>
        <v>#REF!</v>
      </c>
      <c r="O809" s="11" t="e">
        <f>_xlfn.XLOOKUP(Mvt_Inter_entrepot[[#This Row],[Num OF]],#REF!,#REF!,"Non Trouvé")</f>
        <v>#REF!</v>
      </c>
      <c r="P809" s="11" t="e">
        <f>_xlfn.XLOOKUP(Mvt_Inter_entrepot[[#This Row],[Num OF]],#REF!,#REF!,"Non Trouvé")</f>
        <v>#REF!</v>
      </c>
      <c r="Q809" s="11" t="str">
        <f>IF(
   COUNTIFS($A$2:A809,A809,
             $B$2:B809,B809,
             $C$2:C809,C809,
             $D$2:D809,D809,
             $E$2:E809,E809,
             $H$2:H809,H809
             )&gt;1,
   "Doublon",
   "Correcte"
)</f>
        <v>Correcte</v>
      </c>
    </row>
    <row r="810" spans="1:17" x14ac:dyDescent="0.25">
      <c r="A810" s="11" t="s">
        <v>3595</v>
      </c>
      <c r="B810" s="11" t="s">
        <v>1153</v>
      </c>
      <c r="C810" s="11" t="s">
        <v>665</v>
      </c>
      <c r="D810" s="11" t="s">
        <v>1154</v>
      </c>
      <c r="E810" s="11">
        <v>5</v>
      </c>
      <c r="F810" s="11" t="s">
        <v>699</v>
      </c>
      <c r="G810" s="11" t="s">
        <v>634</v>
      </c>
      <c r="H810" s="14">
        <v>45936.579594907409</v>
      </c>
      <c r="I810" s="12">
        <f>-Mvt_Inter_entrepot[[#This Row],[QTE]]</f>
        <v>-5</v>
      </c>
      <c r="J810" s="11" t="s">
        <v>993</v>
      </c>
      <c r="K810" s="11" t="str">
        <f>_xlfn.TEXTBEFORE(Mvt_Inter_entrepot[[#This Row],[Num Suivis]],"-",,,1)</f>
        <v>CA250036</v>
      </c>
      <c r="L810" s="11" t="e">
        <f>_xlfn.XLOOKUP(Mvt_Inter_entrepot[[#This Row],[Num OF]],#REF!,#REF!,"Non Trouvé")</f>
        <v>#REF!</v>
      </c>
      <c r="M810" s="11" t="e">
        <f>_xlfn.XLOOKUP(Mvt_Inter_entrepot[[#This Row],[Num OF]],#REF!,#REF!,"Non Trouvé")</f>
        <v>#REF!</v>
      </c>
      <c r="N810" s="11" t="e">
        <f>_xlfn.XLOOKUP(Mvt_Inter_entrepot[[#This Row],[Num OF]],#REF!,#REF!,"Non Trouvé")</f>
        <v>#REF!</v>
      </c>
      <c r="O810" s="11" t="e">
        <f>_xlfn.XLOOKUP(Mvt_Inter_entrepot[[#This Row],[Num OF]],#REF!,#REF!,"Non Trouvé")</f>
        <v>#REF!</v>
      </c>
      <c r="P810" s="11" t="e">
        <f>_xlfn.XLOOKUP(Mvt_Inter_entrepot[[#This Row],[Num OF]],#REF!,#REF!,"Non Trouvé")</f>
        <v>#REF!</v>
      </c>
      <c r="Q810" s="11" t="str">
        <f>IF(
   COUNTIFS($A$2:A810,A810,
             $B$2:B810,B810,
             $C$2:C810,C810,
             $D$2:D810,D810,
             $E$2:E810,E810,
             $H$2:H810,H810
             )&gt;1,
   "Doublon",
   "Correcte"
)</f>
        <v>Correcte</v>
      </c>
    </row>
    <row r="811" spans="1:17" x14ac:dyDescent="0.25">
      <c r="A811" s="11" t="s">
        <v>3596</v>
      </c>
      <c r="B811" s="11" t="s">
        <v>1153</v>
      </c>
      <c r="C811" s="11" t="s">
        <v>665</v>
      </c>
      <c r="D811" s="11" t="s">
        <v>1154</v>
      </c>
      <c r="E811" s="11">
        <v>1</v>
      </c>
      <c r="F811" s="11" t="s">
        <v>699</v>
      </c>
      <c r="G811" s="11" t="s">
        <v>634</v>
      </c>
      <c r="H811" s="14">
        <v>45936.579814814817</v>
      </c>
      <c r="I811" s="12">
        <f>-Mvt_Inter_entrepot[[#This Row],[QTE]]</f>
        <v>-1</v>
      </c>
      <c r="J811" s="11" t="s">
        <v>978</v>
      </c>
      <c r="K811" s="11" t="str">
        <f>_xlfn.TEXTBEFORE(Mvt_Inter_entrepot[[#This Row],[Num Suivis]],"-",,,1)</f>
        <v>CA250039</v>
      </c>
      <c r="L811" s="11" t="e">
        <f>_xlfn.XLOOKUP(Mvt_Inter_entrepot[[#This Row],[Num OF]],#REF!,#REF!,"Non Trouvé")</f>
        <v>#REF!</v>
      </c>
      <c r="M811" s="11" t="e">
        <f>_xlfn.XLOOKUP(Mvt_Inter_entrepot[[#This Row],[Num OF]],#REF!,#REF!,"Non Trouvé")</f>
        <v>#REF!</v>
      </c>
      <c r="N811" s="11" t="e">
        <f>_xlfn.XLOOKUP(Mvt_Inter_entrepot[[#This Row],[Num OF]],#REF!,#REF!,"Non Trouvé")</f>
        <v>#REF!</v>
      </c>
      <c r="O811" s="11" t="e">
        <f>_xlfn.XLOOKUP(Mvt_Inter_entrepot[[#This Row],[Num OF]],#REF!,#REF!,"Non Trouvé")</f>
        <v>#REF!</v>
      </c>
      <c r="P811" s="11" t="e">
        <f>_xlfn.XLOOKUP(Mvt_Inter_entrepot[[#This Row],[Num OF]],#REF!,#REF!,"Non Trouvé")</f>
        <v>#REF!</v>
      </c>
      <c r="Q811" s="11" t="str">
        <f>IF(
   COUNTIFS($A$2:A811,A811,
             $B$2:B811,B811,
             $C$2:C811,C811,
             $D$2:D811,D811,
             $E$2:E811,E811,
             $H$2:H811,H811
             )&gt;1,
   "Doublon",
   "Correcte"
)</f>
        <v>Correcte</v>
      </c>
    </row>
    <row r="812" spans="1:17" x14ac:dyDescent="0.25">
      <c r="A812" s="11" t="s">
        <v>3597</v>
      </c>
      <c r="B812" s="11" t="s">
        <v>1153</v>
      </c>
      <c r="C812" s="11" t="s">
        <v>665</v>
      </c>
      <c r="D812" s="11" t="s">
        <v>1154</v>
      </c>
      <c r="E812" s="11">
        <v>5</v>
      </c>
      <c r="F812" s="11" t="s">
        <v>699</v>
      </c>
      <c r="G812" s="11" t="s">
        <v>634</v>
      </c>
      <c r="H812" s="14">
        <v>45936.580046296294</v>
      </c>
      <c r="I812" s="12">
        <f>-Mvt_Inter_entrepot[[#This Row],[QTE]]</f>
        <v>-5</v>
      </c>
      <c r="J812" s="11" t="s">
        <v>973</v>
      </c>
      <c r="K812" s="11" t="str">
        <f>_xlfn.TEXTBEFORE(Mvt_Inter_entrepot[[#This Row],[Num Suivis]],"-",,,1)</f>
        <v>CA250022</v>
      </c>
      <c r="L812" s="11" t="e">
        <f>_xlfn.XLOOKUP(Mvt_Inter_entrepot[[#This Row],[Num OF]],#REF!,#REF!,"Non Trouvé")</f>
        <v>#REF!</v>
      </c>
      <c r="M812" s="11" t="e">
        <f>_xlfn.XLOOKUP(Mvt_Inter_entrepot[[#This Row],[Num OF]],#REF!,#REF!,"Non Trouvé")</f>
        <v>#REF!</v>
      </c>
      <c r="N812" s="11" t="e">
        <f>_xlfn.XLOOKUP(Mvt_Inter_entrepot[[#This Row],[Num OF]],#REF!,#REF!,"Non Trouvé")</f>
        <v>#REF!</v>
      </c>
      <c r="O812" s="11" t="e">
        <f>_xlfn.XLOOKUP(Mvt_Inter_entrepot[[#This Row],[Num OF]],#REF!,#REF!,"Non Trouvé")</f>
        <v>#REF!</v>
      </c>
      <c r="P812" s="11" t="e">
        <f>_xlfn.XLOOKUP(Mvt_Inter_entrepot[[#This Row],[Num OF]],#REF!,#REF!,"Non Trouvé")</f>
        <v>#REF!</v>
      </c>
      <c r="Q812" s="11" t="str">
        <f>IF(
   COUNTIFS($A$2:A812,A812,
             $B$2:B812,B812,
             $C$2:C812,C812,
             $D$2:D812,D812,
             $E$2:E812,E812,
             $H$2:H812,H812
             )&gt;1,
   "Doublon",
   "Correcte"
)</f>
        <v>Correcte</v>
      </c>
    </row>
    <row r="813" spans="1:17" x14ac:dyDescent="0.25">
      <c r="A813" s="11" t="s">
        <v>3302</v>
      </c>
      <c r="B813" s="11" t="s">
        <v>1153</v>
      </c>
      <c r="C813" s="11" t="s">
        <v>665</v>
      </c>
      <c r="D813" s="11" t="s">
        <v>1154</v>
      </c>
      <c r="E813" s="11">
        <v>5</v>
      </c>
      <c r="F813" s="11" t="s">
        <v>699</v>
      </c>
      <c r="G813" s="11" t="s">
        <v>634</v>
      </c>
      <c r="H813" s="14">
        <v>45936.580393518518</v>
      </c>
      <c r="I813" s="12">
        <f>-Mvt_Inter_entrepot[[#This Row],[QTE]]</f>
        <v>-5</v>
      </c>
      <c r="J813" s="11" t="s">
        <v>47</v>
      </c>
      <c r="K813" s="11" t="str">
        <f>_xlfn.TEXTBEFORE(Mvt_Inter_entrepot[[#This Row],[Num Suivis]],"-",,,1)</f>
        <v>CA250025</v>
      </c>
      <c r="L813" s="11" t="e">
        <f>_xlfn.XLOOKUP(Mvt_Inter_entrepot[[#This Row],[Num OF]],#REF!,#REF!,"Non Trouvé")</f>
        <v>#REF!</v>
      </c>
      <c r="M813" s="11" t="e">
        <f>_xlfn.XLOOKUP(Mvt_Inter_entrepot[[#This Row],[Num OF]],#REF!,#REF!,"Non Trouvé")</f>
        <v>#REF!</v>
      </c>
      <c r="N813" s="11" t="e">
        <f>_xlfn.XLOOKUP(Mvt_Inter_entrepot[[#This Row],[Num OF]],#REF!,#REF!,"Non Trouvé")</f>
        <v>#REF!</v>
      </c>
      <c r="O813" s="11" t="e">
        <f>_xlfn.XLOOKUP(Mvt_Inter_entrepot[[#This Row],[Num OF]],#REF!,#REF!,"Non Trouvé")</f>
        <v>#REF!</v>
      </c>
      <c r="P813" s="11" t="e">
        <f>_xlfn.XLOOKUP(Mvt_Inter_entrepot[[#This Row],[Num OF]],#REF!,#REF!,"Non Trouvé")</f>
        <v>#REF!</v>
      </c>
      <c r="Q813" s="11" t="str">
        <f>IF(
   COUNTIFS($A$2:A813,A813,
             $B$2:B813,B813,
             $C$2:C813,C813,
             $D$2:D813,D813,
             $E$2:E813,E813,
             $H$2:H813,H813
             )&gt;1,
   "Doublon",
   "Correcte"
)</f>
        <v>Correcte</v>
      </c>
    </row>
    <row r="814" spans="1:17" x14ac:dyDescent="0.25">
      <c r="A814" s="11" t="s">
        <v>3598</v>
      </c>
      <c r="B814" s="11" t="s">
        <v>1153</v>
      </c>
      <c r="C814" s="11" t="s">
        <v>665</v>
      </c>
      <c r="D814" s="11" t="s">
        <v>1154</v>
      </c>
      <c r="E814" s="11">
        <v>1</v>
      </c>
      <c r="F814" s="11" t="s">
        <v>699</v>
      </c>
      <c r="G814" s="11" t="s">
        <v>634</v>
      </c>
      <c r="H814" s="14">
        <v>45936.580590277779</v>
      </c>
      <c r="I814" s="12">
        <f>-Mvt_Inter_entrepot[[#This Row],[QTE]]</f>
        <v>-1</v>
      </c>
      <c r="J814" s="11" t="s">
        <v>984</v>
      </c>
      <c r="K814" s="11" t="str">
        <f>_xlfn.TEXTBEFORE(Mvt_Inter_entrepot[[#This Row],[Num Suivis]],"-",,,1)</f>
        <v>CA250032</v>
      </c>
      <c r="L814" s="11" t="e">
        <f>_xlfn.XLOOKUP(Mvt_Inter_entrepot[[#This Row],[Num OF]],#REF!,#REF!,"Non Trouvé")</f>
        <v>#REF!</v>
      </c>
      <c r="M814" s="11" t="e">
        <f>_xlfn.XLOOKUP(Mvt_Inter_entrepot[[#This Row],[Num OF]],#REF!,#REF!,"Non Trouvé")</f>
        <v>#REF!</v>
      </c>
      <c r="N814" s="11" t="e">
        <f>_xlfn.XLOOKUP(Mvt_Inter_entrepot[[#This Row],[Num OF]],#REF!,#REF!,"Non Trouvé")</f>
        <v>#REF!</v>
      </c>
      <c r="O814" s="11" t="e">
        <f>_xlfn.XLOOKUP(Mvt_Inter_entrepot[[#This Row],[Num OF]],#REF!,#REF!,"Non Trouvé")</f>
        <v>#REF!</v>
      </c>
      <c r="P814" s="11" t="e">
        <f>_xlfn.XLOOKUP(Mvt_Inter_entrepot[[#This Row],[Num OF]],#REF!,#REF!,"Non Trouvé")</f>
        <v>#REF!</v>
      </c>
      <c r="Q814" s="11" t="str">
        <f>IF(
   COUNTIFS($A$2:A814,A814,
             $B$2:B814,B814,
             $C$2:C814,C814,
             $D$2:D814,D814,
             $E$2:E814,E814,
             $H$2:H814,H814
             )&gt;1,
   "Doublon",
   "Correcte"
)</f>
        <v>Correcte</v>
      </c>
    </row>
    <row r="815" spans="1:17" x14ac:dyDescent="0.25">
      <c r="A815" s="11" t="s">
        <v>3304</v>
      </c>
      <c r="B815" s="11" t="s">
        <v>1153</v>
      </c>
      <c r="C815" s="11" t="s">
        <v>665</v>
      </c>
      <c r="D815" s="11" t="s">
        <v>1154</v>
      </c>
      <c r="E815" s="11">
        <v>5</v>
      </c>
      <c r="F815" s="11" t="s">
        <v>699</v>
      </c>
      <c r="G815" s="11" t="s">
        <v>634</v>
      </c>
      <c r="H815" s="14">
        <v>45936.580868055556</v>
      </c>
      <c r="I815" s="12">
        <f>-Mvt_Inter_entrepot[[#This Row],[QTE]]</f>
        <v>-5</v>
      </c>
      <c r="J815" s="11" t="s">
        <v>49</v>
      </c>
      <c r="K815" s="11" t="str">
        <f>_xlfn.TEXTBEFORE(Mvt_Inter_entrepot[[#This Row],[Num Suivis]],"-",,,1)</f>
        <v>CA250029</v>
      </c>
      <c r="L815" s="11" t="e">
        <f>_xlfn.XLOOKUP(Mvt_Inter_entrepot[[#This Row],[Num OF]],#REF!,#REF!,"Non Trouvé")</f>
        <v>#REF!</v>
      </c>
      <c r="M815" s="11" t="e">
        <f>_xlfn.XLOOKUP(Mvt_Inter_entrepot[[#This Row],[Num OF]],#REF!,#REF!,"Non Trouvé")</f>
        <v>#REF!</v>
      </c>
      <c r="N815" s="11" t="e">
        <f>_xlfn.XLOOKUP(Mvt_Inter_entrepot[[#This Row],[Num OF]],#REF!,#REF!,"Non Trouvé")</f>
        <v>#REF!</v>
      </c>
      <c r="O815" s="11" t="e">
        <f>_xlfn.XLOOKUP(Mvt_Inter_entrepot[[#This Row],[Num OF]],#REF!,#REF!,"Non Trouvé")</f>
        <v>#REF!</v>
      </c>
      <c r="P815" s="11" t="e">
        <f>_xlfn.XLOOKUP(Mvt_Inter_entrepot[[#This Row],[Num OF]],#REF!,#REF!,"Non Trouvé")</f>
        <v>#REF!</v>
      </c>
      <c r="Q815" s="11" t="str">
        <f>IF(
   COUNTIFS($A$2:A815,A815,
             $B$2:B815,B815,
             $C$2:C815,C815,
             $D$2:D815,D815,
             $E$2:E815,E815,
             $H$2:H815,H815
             )&gt;1,
   "Doublon",
   "Correcte"
)</f>
        <v>Correcte</v>
      </c>
    </row>
    <row r="816" spans="1:17" x14ac:dyDescent="0.25">
      <c r="A816" s="11" t="s">
        <v>3599</v>
      </c>
      <c r="B816" s="11" t="s">
        <v>1153</v>
      </c>
      <c r="C816" s="11" t="s">
        <v>665</v>
      </c>
      <c r="D816" s="11" t="s">
        <v>1154</v>
      </c>
      <c r="E816" s="11">
        <v>5</v>
      </c>
      <c r="F816" s="11" t="s">
        <v>699</v>
      </c>
      <c r="G816" s="11" t="s">
        <v>634</v>
      </c>
      <c r="H816" s="14">
        <v>45936.581099537034</v>
      </c>
      <c r="I816" s="12">
        <f>-Mvt_Inter_entrepot[[#This Row],[QTE]]</f>
        <v>-5</v>
      </c>
      <c r="J816" s="11" t="s">
        <v>968</v>
      </c>
      <c r="K816" s="11" t="str">
        <f>_xlfn.TEXTBEFORE(Mvt_Inter_entrepot[[#This Row],[Num Suivis]],"-",,,1)</f>
        <v>CA250074</v>
      </c>
      <c r="L816" s="11" t="e">
        <f>_xlfn.XLOOKUP(Mvt_Inter_entrepot[[#This Row],[Num OF]],#REF!,#REF!,"Non Trouvé")</f>
        <v>#REF!</v>
      </c>
      <c r="M816" s="11" t="e">
        <f>_xlfn.XLOOKUP(Mvt_Inter_entrepot[[#This Row],[Num OF]],#REF!,#REF!,"Non Trouvé")</f>
        <v>#REF!</v>
      </c>
      <c r="N816" s="11" t="e">
        <f>_xlfn.XLOOKUP(Mvt_Inter_entrepot[[#This Row],[Num OF]],#REF!,#REF!,"Non Trouvé")</f>
        <v>#REF!</v>
      </c>
      <c r="O816" s="11" t="e">
        <f>_xlfn.XLOOKUP(Mvt_Inter_entrepot[[#This Row],[Num OF]],#REF!,#REF!,"Non Trouvé")</f>
        <v>#REF!</v>
      </c>
      <c r="P816" s="11" t="e">
        <f>_xlfn.XLOOKUP(Mvt_Inter_entrepot[[#This Row],[Num OF]],#REF!,#REF!,"Non Trouvé")</f>
        <v>#REF!</v>
      </c>
      <c r="Q816" s="11" t="str">
        <f>IF(
   COUNTIFS($A$2:A816,A816,
             $B$2:B816,B816,
             $C$2:C816,C816,
             $D$2:D816,D816,
             $E$2:E816,E816,
             $H$2:H816,H816
             )&gt;1,
   "Doublon",
   "Correcte"
)</f>
        <v>Correcte</v>
      </c>
    </row>
    <row r="817" spans="1:17" x14ac:dyDescent="0.25">
      <c r="A817" s="11" t="s">
        <v>3600</v>
      </c>
      <c r="B817" s="11" t="s">
        <v>1153</v>
      </c>
      <c r="C817" s="11" t="s">
        <v>665</v>
      </c>
      <c r="D817" s="11" t="s">
        <v>1154</v>
      </c>
      <c r="E817" s="11">
        <v>5</v>
      </c>
      <c r="F817" s="11" t="s">
        <v>699</v>
      </c>
      <c r="G817" s="11" t="s">
        <v>634</v>
      </c>
      <c r="H817" s="14">
        <v>45936.581319444442</v>
      </c>
      <c r="I817" s="12">
        <f>-Mvt_Inter_entrepot[[#This Row],[QTE]]</f>
        <v>-5</v>
      </c>
      <c r="J817" s="11" t="s">
        <v>980</v>
      </c>
      <c r="K817" s="11" t="str">
        <f>_xlfn.TEXTBEFORE(Mvt_Inter_entrepot[[#This Row],[Num Suivis]],"-",,,1)</f>
        <v>CA250039</v>
      </c>
      <c r="L817" s="11" t="e">
        <f>_xlfn.XLOOKUP(Mvt_Inter_entrepot[[#This Row],[Num OF]],#REF!,#REF!,"Non Trouvé")</f>
        <v>#REF!</v>
      </c>
      <c r="M817" s="11" t="e">
        <f>_xlfn.XLOOKUP(Mvt_Inter_entrepot[[#This Row],[Num OF]],#REF!,#REF!,"Non Trouvé")</f>
        <v>#REF!</v>
      </c>
      <c r="N817" s="11" t="e">
        <f>_xlfn.XLOOKUP(Mvt_Inter_entrepot[[#This Row],[Num OF]],#REF!,#REF!,"Non Trouvé")</f>
        <v>#REF!</v>
      </c>
      <c r="O817" s="11" t="e">
        <f>_xlfn.XLOOKUP(Mvt_Inter_entrepot[[#This Row],[Num OF]],#REF!,#REF!,"Non Trouvé")</f>
        <v>#REF!</v>
      </c>
      <c r="P817" s="11" t="e">
        <f>_xlfn.XLOOKUP(Mvt_Inter_entrepot[[#This Row],[Num OF]],#REF!,#REF!,"Non Trouvé")</f>
        <v>#REF!</v>
      </c>
      <c r="Q817" s="11" t="str">
        <f>IF(
   COUNTIFS($A$2:A817,A817,
             $B$2:B817,B817,
             $C$2:C817,C817,
             $D$2:D817,D817,
             $E$2:E817,E817,
             $H$2:H817,H817
             )&gt;1,
   "Doublon",
   "Correcte"
)</f>
        <v>Correcte</v>
      </c>
    </row>
    <row r="818" spans="1:17" x14ac:dyDescent="0.25">
      <c r="A818" s="11" t="s">
        <v>3601</v>
      </c>
      <c r="B818" s="11" t="s">
        <v>1153</v>
      </c>
      <c r="C818" s="11" t="s">
        <v>665</v>
      </c>
      <c r="D818" s="11" t="s">
        <v>1154</v>
      </c>
      <c r="E818" s="11">
        <v>5</v>
      </c>
      <c r="F818" s="11" t="s">
        <v>699</v>
      </c>
      <c r="G818" s="11" t="s">
        <v>634</v>
      </c>
      <c r="H818" s="14">
        <v>45936.581574074073</v>
      </c>
      <c r="I818" s="12">
        <f>-Mvt_Inter_entrepot[[#This Row],[QTE]]</f>
        <v>-5</v>
      </c>
      <c r="J818" s="11" t="s">
        <v>979</v>
      </c>
      <c r="K818" s="11" t="str">
        <f>_xlfn.TEXTBEFORE(Mvt_Inter_entrepot[[#This Row],[Num Suivis]],"-",,,1)</f>
        <v>CA250039</v>
      </c>
      <c r="L818" s="11" t="e">
        <f>_xlfn.XLOOKUP(Mvt_Inter_entrepot[[#This Row],[Num OF]],#REF!,#REF!,"Non Trouvé")</f>
        <v>#REF!</v>
      </c>
      <c r="M818" s="11" t="e">
        <f>_xlfn.XLOOKUP(Mvt_Inter_entrepot[[#This Row],[Num OF]],#REF!,#REF!,"Non Trouvé")</f>
        <v>#REF!</v>
      </c>
      <c r="N818" s="11" t="e">
        <f>_xlfn.XLOOKUP(Mvt_Inter_entrepot[[#This Row],[Num OF]],#REF!,#REF!,"Non Trouvé")</f>
        <v>#REF!</v>
      </c>
      <c r="O818" s="11" t="e">
        <f>_xlfn.XLOOKUP(Mvt_Inter_entrepot[[#This Row],[Num OF]],#REF!,#REF!,"Non Trouvé")</f>
        <v>#REF!</v>
      </c>
      <c r="P818" s="11" t="e">
        <f>_xlfn.XLOOKUP(Mvt_Inter_entrepot[[#This Row],[Num OF]],#REF!,#REF!,"Non Trouvé")</f>
        <v>#REF!</v>
      </c>
      <c r="Q818" s="11" t="str">
        <f>IF(
   COUNTIFS($A$2:A818,A818,
             $B$2:B818,B818,
             $C$2:C818,C818,
             $D$2:D818,D818,
             $E$2:E818,E818,
             $H$2:H818,H818
             )&gt;1,
   "Doublon",
   "Correcte"
)</f>
        <v>Correcte</v>
      </c>
    </row>
    <row r="819" spans="1:17" x14ac:dyDescent="0.25">
      <c r="A819" s="11" t="s">
        <v>3302</v>
      </c>
      <c r="B819" s="11" t="s">
        <v>1153</v>
      </c>
      <c r="C819" s="11" t="s">
        <v>665</v>
      </c>
      <c r="D819" s="11" t="s">
        <v>1154</v>
      </c>
      <c r="E819" s="11">
        <v>5</v>
      </c>
      <c r="F819" s="11" t="s">
        <v>699</v>
      </c>
      <c r="G819" s="11" t="s">
        <v>634</v>
      </c>
      <c r="H819" s="14">
        <v>45936.581932870373</v>
      </c>
      <c r="I819" s="12">
        <f>-Mvt_Inter_entrepot[[#This Row],[QTE]]</f>
        <v>-5</v>
      </c>
      <c r="J819" s="11" t="s">
        <v>47</v>
      </c>
      <c r="K819" s="11" t="str">
        <f>_xlfn.TEXTBEFORE(Mvt_Inter_entrepot[[#This Row],[Num Suivis]],"-",,,1)</f>
        <v>CA250025</v>
      </c>
      <c r="L819" s="11" t="e">
        <f>_xlfn.XLOOKUP(Mvt_Inter_entrepot[[#This Row],[Num OF]],#REF!,#REF!,"Non Trouvé")</f>
        <v>#REF!</v>
      </c>
      <c r="M819" s="11" t="e">
        <f>_xlfn.XLOOKUP(Mvt_Inter_entrepot[[#This Row],[Num OF]],#REF!,#REF!,"Non Trouvé")</f>
        <v>#REF!</v>
      </c>
      <c r="N819" s="11" t="e">
        <f>_xlfn.XLOOKUP(Mvt_Inter_entrepot[[#This Row],[Num OF]],#REF!,#REF!,"Non Trouvé")</f>
        <v>#REF!</v>
      </c>
      <c r="O819" s="11" t="e">
        <f>_xlfn.XLOOKUP(Mvt_Inter_entrepot[[#This Row],[Num OF]],#REF!,#REF!,"Non Trouvé")</f>
        <v>#REF!</v>
      </c>
      <c r="P819" s="11" t="e">
        <f>_xlfn.XLOOKUP(Mvt_Inter_entrepot[[#This Row],[Num OF]],#REF!,#REF!,"Non Trouvé")</f>
        <v>#REF!</v>
      </c>
      <c r="Q819" s="11" t="str">
        <f>IF(
   COUNTIFS($A$2:A819,A819,
             $B$2:B819,B819,
             $C$2:C819,C819,
             $D$2:D819,D819,
             $E$2:E819,E819,
             $H$2:H819,H819
             )&gt;1,
   "Doublon",
   "Correcte"
)</f>
        <v>Correcte</v>
      </c>
    </row>
    <row r="820" spans="1:17" x14ac:dyDescent="0.25">
      <c r="A820" s="11" t="s">
        <v>3602</v>
      </c>
      <c r="B820" s="11" t="s">
        <v>1153</v>
      </c>
      <c r="C820" s="11" t="s">
        <v>665</v>
      </c>
      <c r="D820" s="11" t="s">
        <v>1154</v>
      </c>
      <c r="E820" s="11">
        <v>5</v>
      </c>
      <c r="F820" s="11" t="s">
        <v>699</v>
      </c>
      <c r="G820" s="11" t="s">
        <v>634</v>
      </c>
      <c r="H820" s="14">
        <v>45936.58216435185</v>
      </c>
      <c r="I820" s="12">
        <f>-Mvt_Inter_entrepot[[#This Row],[QTE]]</f>
        <v>-5</v>
      </c>
      <c r="J820" s="11" t="s">
        <v>966</v>
      </c>
      <c r="K820" s="11" t="str">
        <f>_xlfn.TEXTBEFORE(Mvt_Inter_entrepot[[#This Row],[Num Suivis]],"-",,,1)</f>
        <v>CA250073</v>
      </c>
      <c r="L820" s="11" t="e">
        <f>_xlfn.XLOOKUP(Mvt_Inter_entrepot[[#This Row],[Num OF]],#REF!,#REF!,"Non Trouvé")</f>
        <v>#REF!</v>
      </c>
      <c r="M820" s="11" t="e">
        <f>_xlfn.XLOOKUP(Mvt_Inter_entrepot[[#This Row],[Num OF]],#REF!,#REF!,"Non Trouvé")</f>
        <v>#REF!</v>
      </c>
      <c r="N820" s="11" t="e">
        <f>_xlfn.XLOOKUP(Mvt_Inter_entrepot[[#This Row],[Num OF]],#REF!,#REF!,"Non Trouvé")</f>
        <v>#REF!</v>
      </c>
      <c r="O820" s="11" t="e">
        <f>_xlfn.XLOOKUP(Mvt_Inter_entrepot[[#This Row],[Num OF]],#REF!,#REF!,"Non Trouvé")</f>
        <v>#REF!</v>
      </c>
      <c r="P820" s="11" t="e">
        <f>_xlfn.XLOOKUP(Mvt_Inter_entrepot[[#This Row],[Num OF]],#REF!,#REF!,"Non Trouvé")</f>
        <v>#REF!</v>
      </c>
      <c r="Q820" s="11" t="str">
        <f>IF(
   COUNTIFS($A$2:A820,A820,
             $B$2:B820,B820,
             $C$2:C820,C820,
             $D$2:D820,D820,
             $E$2:E820,E820,
             $H$2:H820,H820
             )&gt;1,
   "Doublon",
   "Correcte"
)</f>
        <v>Correcte</v>
      </c>
    </row>
    <row r="821" spans="1:17" x14ac:dyDescent="0.25">
      <c r="A821" s="11" t="s">
        <v>3603</v>
      </c>
      <c r="B821" s="11" t="s">
        <v>1153</v>
      </c>
      <c r="C821" s="11" t="s">
        <v>665</v>
      </c>
      <c r="D821" s="11" t="s">
        <v>1154</v>
      </c>
      <c r="E821" s="11">
        <v>5</v>
      </c>
      <c r="F821" s="11" t="s">
        <v>699</v>
      </c>
      <c r="G821" s="11" t="s">
        <v>634</v>
      </c>
      <c r="H821" s="14">
        <v>45936.582430555558</v>
      </c>
      <c r="I821" s="12">
        <f>-Mvt_Inter_entrepot[[#This Row],[QTE]]</f>
        <v>-5</v>
      </c>
      <c r="J821" s="11" t="s">
        <v>996</v>
      </c>
      <c r="K821" s="11" t="str">
        <f>_xlfn.TEXTBEFORE(Mvt_Inter_entrepot[[#This Row],[Num Suivis]],"-",,,1)</f>
        <v>CA250036</v>
      </c>
      <c r="L821" s="11" t="e">
        <f>_xlfn.XLOOKUP(Mvt_Inter_entrepot[[#This Row],[Num OF]],#REF!,#REF!,"Non Trouvé")</f>
        <v>#REF!</v>
      </c>
      <c r="M821" s="11" t="e">
        <f>_xlfn.XLOOKUP(Mvt_Inter_entrepot[[#This Row],[Num OF]],#REF!,#REF!,"Non Trouvé")</f>
        <v>#REF!</v>
      </c>
      <c r="N821" s="11" t="e">
        <f>_xlfn.XLOOKUP(Mvt_Inter_entrepot[[#This Row],[Num OF]],#REF!,#REF!,"Non Trouvé")</f>
        <v>#REF!</v>
      </c>
      <c r="O821" s="11" t="e">
        <f>_xlfn.XLOOKUP(Mvt_Inter_entrepot[[#This Row],[Num OF]],#REF!,#REF!,"Non Trouvé")</f>
        <v>#REF!</v>
      </c>
      <c r="P821" s="11" t="e">
        <f>_xlfn.XLOOKUP(Mvt_Inter_entrepot[[#This Row],[Num OF]],#REF!,#REF!,"Non Trouvé")</f>
        <v>#REF!</v>
      </c>
      <c r="Q821" s="11" t="str">
        <f>IF(
   COUNTIFS($A$2:A821,A821,
             $B$2:B821,B821,
             $C$2:C821,C821,
             $D$2:D821,D821,
             $E$2:E821,E821,
             $H$2:H821,H821
             )&gt;1,
   "Doublon",
   "Correcte"
)</f>
        <v>Correcte</v>
      </c>
    </row>
    <row r="822" spans="1:17" x14ac:dyDescent="0.25">
      <c r="A822" s="11" t="s">
        <v>3604</v>
      </c>
      <c r="B822" s="11" t="s">
        <v>1153</v>
      </c>
      <c r="C822" s="11" t="s">
        <v>665</v>
      </c>
      <c r="D822" s="11" t="s">
        <v>1154</v>
      </c>
      <c r="E822" s="11">
        <v>5</v>
      </c>
      <c r="F822" s="11" t="s">
        <v>699</v>
      </c>
      <c r="G822" s="11" t="s">
        <v>634</v>
      </c>
      <c r="H822" s="14">
        <v>45936.582719907405</v>
      </c>
      <c r="I822" s="12">
        <f>-Mvt_Inter_entrepot[[#This Row],[QTE]]</f>
        <v>-5</v>
      </c>
      <c r="J822" s="11" t="s">
        <v>994</v>
      </c>
      <c r="K822" s="11" t="str">
        <f>_xlfn.TEXTBEFORE(Mvt_Inter_entrepot[[#This Row],[Num Suivis]],"-",,,1)</f>
        <v>CA250036</v>
      </c>
      <c r="L822" s="11" t="e">
        <f>_xlfn.XLOOKUP(Mvt_Inter_entrepot[[#This Row],[Num OF]],#REF!,#REF!,"Non Trouvé")</f>
        <v>#REF!</v>
      </c>
      <c r="M822" s="11" t="e">
        <f>_xlfn.XLOOKUP(Mvt_Inter_entrepot[[#This Row],[Num OF]],#REF!,#REF!,"Non Trouvé")</f>
        <v>#REF!</v>
      </c>
      <c r="N822" s="11" t="e">
        <f>_xlfn.XLOOKUP(Mvt_Inter_entrepot[[#This Row],[Num OF]],#REF!,#REF!,"Non Trouvé")</f>
        <v>#REF!</v>
      </c>
      <c r="O822" s="11" t="e">
        <f>_xlfn.XLOOKUP(Mvt_Inter_entrepot[[#This Row],[Num OF]],#REF!,#REF!,"Non Trouvé")</f>
        <v>#REF!</v>
      </c>
      <c r="P822" s="11" t="e">
        <f>_xlfn.XLOOKUP(Mvt_Inter_entrepot[[#This Row],[Num OF]],#REF!,#REF!,"Non Trouvé")</f>
        <v>#REF!</v>
      </c>
      <c r="Q822" s="11" t="str">
        <f>IF(
   COUNTIFS($A$2:A822,A822,
             $B$2:B822,B822,
             $C$2:C822,C822,
             $D$2:D822,D822,
             $E$2:E822,E822,
             $H$2:H822,H822
             )&gt;1,
   "Doublon",
   "Correcte"
)</f>
        <v>Correcte</v>
      </c>
    </row>
    <row r="823" spans="1:17" x14ac:dyDescent="0.25">
      <c r="A823" s="11" t="s">
        <v>3605</v>
      </c>
      <c r="B823" s="11" t="s">
        <v>1153</v>
      </c>
      <c r="C823" s="11" t="s">
        <v>665</v>
      </c>
      <c r="D823" s="11" t="s">
        <v>1154</v>
      </c>
      <c r="E823" s="11">
        <v>5</v>
      </c>
      <c r="F823" s="11" t="s">
        <v>699</v>
      </c>
      <c r="G823" s="11" t="s">
        <v>634</v>
      </c>
      <c r="H823" s="14">
        <v>45936.582974537036</v>
      </c>
      <c r="I823" s="12">
        <f>-Mvt_Inter_entrepot[[#This Row],[QTE]]</f>
        <v>-5</v>
      </c>
      <c r="J823" s="11" t="s">
        <v>995</v>
      </c>
      <c r="K823" s="11" t="str">
        <f>_xlfn.TEXTBEFORE(Mvt_Inter_entrepot[[#This Row],[Num Suivis]],"-",,,1)</f>
        <v>CA250036</v>
      </c>
      <c r="L823" s="11" t="e">
        <f>_xlfn.XLOOKUP(Mvt_Inter_entrepot[[#This Row],[Num OF]],#REF!,#REF!,"Non Trouvé")</f>
        <v>#REF!</v>
      </c>
      <c r="M823" s="11" t="e">
        <f>_xlfn.XLOOKUP(Mvt_Inter_entrepot[[#This Row],[Num OF]],#REF!,#REF!,"Non Trouvé")</f>
        <v>#REF!</v>
      </c>
      <c r="N823" s="11" t="e">
        <f>_xlfn.XLOOKUP(Mvt_Inter_entrepot[[#This Row],[Num OF]],#REF!,#REF!,"Non Trouvé")</f>
        <v>#REF!</v>
      </c>
      <c r="O823" s="11" t="e">
        <f>_xlfn.XLOOKUP(Mvt_Inter_entrepot[[#This Row],[Num OF]],#REF!,#REF!,"Non Trouvé")</f>
        <v>#REF!</v>
      </c>
      <c r="P823" s="11" t="e">
        <f>_xlfn.XLOOKUP(Mvt_Inter_entrepot[[#This Row],[Num OF]],#REF!,#REF!,"Non Trouvé")</f>
        <v>#REF!</v>
      </c>
      <c r="Q823" s="11" t="str">
        <f>IF(
   COUNTIFS($A$2:A823,A823,
             $B$2:B823,B823,
             $C$2:C823,C823,
             $D$2:D823,D823,
             $E$2:E823,E823,
             $H$2:H823,H823
             )&gt;1,
   "Doublon",
   "Correcte"
)</f>
        <v>Correcte</v>
      </c>
    </row>
    <row r="824" spans="1:17" x14ac:dyDescent="0.25">
      <c r="A824" s="11" t="s">
        <v>3606</v>
      </c>
      <c r="B824" s="11" t="s">
        <v>1153</v>
      </c>
      <c r="C824" s="11" t="s">
        <v>665</v>
      </c>
      <c r="D824" s="11" t="s">
        <v>1154</v>
      </c>
      <c r="E824" s="11">
        <v>5</v>
      </c>
      <c r="F824" s="11" t="s">
        <v>699</v>
      </c>
      <c r="G824" s="11" t="s">
        <v>634</v>
      </c>
      <c r="H824" s="14">
        <v>45936.583321759259</v>
      </c>
      <c r="I824" s="12">
        <f>-Mvt_Inter_entrepot[[#This Row],[QTE]]</f>
        <v>-5</v>
      </c>
      <c r="J824" s="11" t="s">
        <v>975</v>
      </c>
      <c r="K824" s="11" t="str">
        <f>_xlfn.TEXTBEFORE(Mvt_Inter_entrepot[[#This Row],[Num Suivis]],"-",,,1)</f>
        <v>CA250022</v>
      </c>
      <c r="L824" s="11" t="e">
        <f>_xlfn.XLOOKUP(Mvt_Inter_entrepot[[#This Row],[Num OF]],#REF!,#REF!,"Non Trouvé")</f>
        <v>#REF!</v>
      </c>
      <c r="M824" s="11" t="e">
        <f>_xlfn.XLOOKUP(Mvt_Inter_entrepot[[#This Row],[Num OF]],#REF!,#REF!,"Non Trouvé")</f>
        <v>#REF!</v>
      </c>
      <c r="N824" s="11" t="e">
        <f>_xlfn.XLOOKUP(Mvt_Inter_entrepot[[#This Row],[Num OF]],#REF!,#REF!,"Non Trouvé")</f>
        <v>#REF!</v>
      </c>
      <c r="O824" s="11" t="e">
        <f>_xlfn.XLOOKUP(Mvt_Inter_entrepot[[#This Row],[Num OF]],#REF!,#REF!,"Non Trouvé")</f>
        <v>#REF!</v>
      </c>
      <c r="P824" s="11" t="e">
        <f>_xlfn.XLOOKUP(Mvt_Inter_entrepot[[#This Row],[Num OF]],#REF!,#REF!,"Non Trouvé")</f>
        <v>#REF!</v>
      </c>
      <c r="Q824" s="11" t="str">
        <f>IF(
   COUNTIFS($A$2:A824,A824,
             $B$2:B824,B824,
             $C$2:C824,C824,
             $D$2:D824,D824,
             $E$2:E824,E824,
             $H$2:H824,H824
             )&gt;1,
   "Doublon",
   "Correcte"
)</f>
        <v>Correcte</v>
      </c>
    </row>
    <row r="825" spans="1:17" x14ac:dyDescent="0.25">
      <c r="A825" s="11" t="s">
        <v>3607</v>
      </c>
      <c r="B825" s="11" t="s">
        <v>1153</v>
      </c>
      <c r="C825" s="11" t="s">
        <v>665</v>
      </c>
      <c r="D825" s="11" t="s">
        <v>1154</v>
      </c>
      <c r="E825" s="11">
        <v>5</v>
      </c>
      <c r="F825" s="11" t="s">
        <v>699</v>
      </c>
      <c r="G825" s="11" t="s">
        <v>634</v>
      </c>
      <c r="H825" s="14">
        <v>45936.583553240744</v>
      </c>
      <c r="I825" s="12">
        <f>-Mvt_Inter_entrepot[[#This Row],[QTE]]</f>
        <v>-5</v>
      </c>
      <c r="J825" s="11" t="s">
        <v>1002</v>
      </c>
      <c r="K825" s="11" t="str">
        <f>_xlfn.TEXTBEFORE(Mvt_Inter_entrepot[[#This Row],[Num Suivis]],"-",,,1)</f>
        <v>CA250049</v>
      </c>
      <c r="L825" s="11" t="e">
        <f>_xlfn.XLOOKUP(Mvt_Inter_entrepot[[#This Row],[Num OF]],#REF!,#REF!,"Non Trouvé")</f>
        <v>#REF!</v>
      </c>
      <c r="M825" s="11" t="e">
        <f>_xlfn.XLOOKUP(Mvt_Inter_entrepot[[#This Row],[Num OF]],#REF!,#REF!,"Non Trouvé")</f>
        <v>#REF!</v>
      </c>
      <c r="N825" s="11" t="e">
        <f>_xlfn.XLOOKUP(Mvt_Inter_entrepot[[#This Row],[Num OF]],#REF!,#REF!,"Non Trouvé")</f>
        <v>#REF!</v>
      </c>
      <c r="O825" s="11" t="e">
        <f>_xlfn.XLOOKUP(Mvt_Inter_entrepot[[#This Row],[Num OF]],#REF!,#REF!,"Non Trouvé")</f>
        <v>#REF!</v>
      </c>
      <c r="P825" s="11" t="e">
        <f>_xlfn.XLOOKUP(Mvt_Inter_entrepot[[#This Row],[Num OF]],#REF!,#REF!,"Non Trouvé")</f>
        <v>#REF!</v>
      </c>
      <c r="Q825" s="11" t="str">
        <f>IF(
   COUNTIFS($A$2:A825,A825,
             $B$2:B825,B825,
             $C$2:C825,C825,
             $D$2:D825,D825,
             $E$2:E825,E825,
             $H$2:H825,H825
             )&gt;1,
   "Doublon",
   "Correcte"
)</f>
        <v>Correcte</v>
      </c>
    </row>
    <row r="826" spans="1:17" x14ac:dyDescent="0.25">
      <c r="A826" s="11" t="s">
        <v>3608</v>
      </c>
      <c r="B826" s="11" t="s">
        <v>1153</v>
      </c>
      <c r="C826" s="11" t="s">
        <v>665</v>
      </c>
      <c r="D826" s="11" t="s">
        <v>1154</v>
      </c>
      <c r="E826" s="11">
        <v>5</v>
      </c>
      <c r="F826" s="11" t="s">
        <v>699</v>
      </c>
      <c r="G826" s="11" t="s">
        <v>634</v>
      </c>
      <c r="H826" s="14">
        <v>45936.583831018521</v>
      </c>
      <c r="I826" s="12">
        <f>-Mvt_Inter_entrepot[[#This Row],[QTE]]</f>
        <v>-5</v>
      </c>
      <c r="J826" s="11" t="s">
        <v>997</v>
      </c>
      <c r="K826" s="11" t="str">
        <f>_xlfn.TEXTBEFORE(Mvt_Inter_entrepot[[#This Row],[Num Suivis]],"-",,,1)</f>
        <v>CA250058</v>
      </c>
      <c r="L826" s="11" t="e">
        <f>_xlfn.XLOOKUP(Mvt_Inter_entrepot[[#This Row],[Num OF]],#REF!,#REF!,"Non Trouvé")</f>
        <v>#REF!</v>
      </c>
      <c r="M826" s="11" t="e">
        <f>_xlfn.XLOOKUP(Mvt_Inter_entrepot[[#This Row],[Num OF]],#REF!,#REF!,"Non Trouvé")</f>
        <v>#REF!</v>
      </c>
      <c r="N826" s="11" t="e">
        <f>_xlfn.XLOOKUP(Mvt_Inter_entrepot[[#This Row],[Num OF]],#REF!,#REF!,"Non Trouvé")</f>
        <v>#REF!</v>
      </c>
      <c r="O826" s="11" t="e">
        <f>_xlfn.XLOOKUP(Mvt_Inter_entrepot[[#This Row],[Num OF]],#REF!,#REF!,"Non Trouvé")</f>
        <v>#REF!</v>
      </c>
      <c r="P826" s="11" t="e">
        <f>_xlfn.XLOOKUP(Mvt_Inter_entrepot[[#This Row],[Num OF]],#REF!,#REF!,"Non Trouvé")</f>
        <v>#REF!</v>
      </c>
      <c r="Q826" s="11" t="str">
        <f>IF(
   COUNTIFS($A$2:A826,A826,
             $B$2:B826,B826,
             $C$2:C826,C826,
             $D$2:D826,D826,
             $E$2:E826,E826,
             $H$2:H826,H826
             )&gt;1,
   "Doublon",
   "Correcte"
)</f>
        <v>Correcte</v>
      </c>
    </row>
    <row r="827" spans="1:17" x14ac:dyDescent="0.25">
      <c r="A827" s="11" t="s">
        <v>3609</v>
      </c>
      <c r="B827" s="11" t="s">
        <v>1153</v>
      </c>
      <c r="C827" s="11" t="s">
        <v>665</v>
      </c>
      <c r="D827" s="11" t="s">
        <v>1154</v>
      </c>
      <c r="E827" s="11">
        <v>5</v>
      </c>
      <c r="F827" s="11" t="s">
        <v>699</v>
      </c>
      <c r="G827" s="11" t="s">
        <v>634</v>
      </c>
      <c r="H827" s="14">
        <v>45936.584039351852</v>
      </c>
      <c r="I827" s="12">
        <f>-Mvt_Inter_entrepot[[#This Row],[QTE]]</f>
        <v>-5</v>
      </c>
      <c r="J827" s="11" t="s">
        <v>961</v>
      </c>
      <c r="K827" s="11" t="str">
        <f>_xlfn.TEXTBEFORE(Mvt_Inter_entrepot[[#This Row],[Num Suivis]],"-",,,1)</f>
        <v>CA250048</v>
      </c>
      <c r="L827" s="11" t="e">
        <f>_xlfn.XLOOKUP(Mvt_Inter_entrepot[[#This Row],[Num OF]],#REF!,#REF!,"Non Trouvé")</f>
        <v>#REF!</v>
      </c>
      <c r="M827" s="11" t="e">
        <f>_xlfn.XLOOKUP(Mvt_Inter_entrepot[[#This Row],[Num OF]],#REF!,#REF!,"Non Trouvé")</f>
        <v>#REF!</v>
      </c>
      <c r="N827" s="11" t="e">
        <f>_xlfn.XLOOKUP(Mvt_Inter_entrepot[[#This Row],[Num OF]],#REF!,#REF!,"Non Trouvé")</f>
        <v>#REF!</v>
      </c>
      <c r="O827" s="11" t="e">
        <f>_xlfn.XLOOKUP(Mvt_Inter_entrepot[[#This Row],[Num OF]],#REF!,#REF!,"Non Trouvé")</f>
        <v>#REF!</v>
      </c>
      <c r="P827" s="11" t="e">
        <f>_xlfn.XLOOKUP(Mvt_Inter_entrepot[[#This Row],[Num OF]],#REF!,#REF!,"Non Trouvé")</f>
        <v>#REF!</v>
      </c>
      <c r="Q827" s="11" t="str">
        <f>IF(
   COUNTIFS($A$2:A827,A827,
             $B$2:B827,B827,
             $C$2:C827,C827,
             $D$2:D827,D827,
             $E$2:E827,E827,
             $H$2:H827,H827
             )&gt;1,
   "Doublon",
   "Correcte"
)</f>
        <v>Correcte</v>
      </c>
    </row>
    <row r="828" spans="1:17" x14ac:dyDescent="0.25">
      <c r="A828" s="11" t="s">
        <v>3304</v>
      </c>
      <c r="B828" s="11" t="s">
        <v>1153</v>
      </c>
      <c r="C828" s="11" t="s">
        <v>665</v>
      </c>
      <c r="D828" s="11" t="s">
        <v>1154</v>
      </c>
      <c r="E828" s="11">
        <v>1</v>
      </c>
      <c r="F828" s="11" t="s">
        <v>699</v>
      </c>
      <c r="G828" s="11" t="s">
        <v>634</v>
      </c>
      <c r="H828" s="14">
        <v>45936.584490740737</v>
      </c>
      <c r="I828" s="12">
        <f>-Mvt_Inter_entrepot[[#This Row],[QTE]]</f>
        <v>-1</v>
      </c>
      <c r="J828" s="11" t="s">
        <v>49</v>
      </c>
      <c r="K828" s="11" t="str">
        <f>_xlfn.TEXTBEFORE(Mvt_Inter_entrepot[[#This Row],[Num Suivis]],"-",,,1)</f>
        <v>CA250029</v>
      </c>
      <c r="L828" s="11" t="e">
        <f>_xlfn.XLOOKUP(Mvt_Inter_entrepot[[#This Row],[Num OF]],#REF!,#REF!,"Non Trouvé")</f>
        <v>#REF!</v>
      </c>
      <c r="M828" s="11" t="e">
        <f>_xlfn.XLOOKUP(Mvt_Inter_entrepot[[#This Row],[Num OF]],#REF!,#REF!,"Non Trouvé")</f>
        <v>#REF!</v>
      </c>
      <c r="N828" s="11" t="e">
        <f>_xlfn.XLOOKUP(Mvt_Inter_entrepot[[#This Row],[Num OF]],#REF!,#REF!,"Non Trouvé")</f>
        <v>#REF!</v>
      </c>
      <c r="O828" s="11" t="e">
        <f>_xlfn.XLOOKUP(Mvt_Inter_entrepot[[#This Row],[Num OF]],#REF!,#REF!,"Non Trouvé")</f>
        <v>#REF!</v>
      </c>
      <c r="P828" s="11" t="e">
        <f>_xlfn.XLOOKUP(Mvt_Inter_entrepot[[#This Row],[Num OF]],#REF!,#REF!,"Non Trouvé")</f>
        <v>#REF!</v>
      </c>
      <c r="Q828" s="11" t="str">
        <f>IF(
   COUNTIFS($A$2:A828,A828,
             $B$2:B828,B828,
             $C$2:C828,C828,
             $D$2:D828,D828,
             $E$2:E828,E828,
             $H$2:H828,H828
             )&gt;1,
   "Doublon",
   "Correcte"
)</f>
        <v>Correcte</v>
      </c>
    </row>
    <row r="829" spans="1:17" x14ac:dyDescent="0.25">
      <c r="A829" s="11" t="s">
        <v>3610</v>
      </c>
      <c r="B829" s="11" t="s">
        <v>1153</v>
      </c>
      <c r="C829" s="11" t="s">
        <v>665</v>
      </c>
      <c r="D829" s="11" t="s">
        <v>1154</v>
      </c>
      <c r="E829" s="11">
        <v>5</v>
      </c>
      <c r="F829" s="11" t="s">
        <v>699</v>
      </c>
      <c r="G829" s="11" t="s">
        <v>634</v>
      </c>
      <c r="H829" s="14">
        <v>45936.584710648145</v>
      </c>
      <c r="I829" s="12">
        <f>-Mvt_Inter_entrepot[[#This Row],[QTE]]</f>
        <v>-5</v>
      </c>
      <c r="J829" s="11" t="s">
        <v>970</v>
      </c>
      <c r="K829" s="11" t="str">
        <f>_xlfn.TEXTBEFORE(Mvt_Inter_entrepot[[#This Row],[Num Suivis]],"-",,,1)</f>
        <v>CA250022</v>
      </c>
      <c r="L829" s="11" t="e">
        <f>_xlfn.XLOOKUP(Mvt_Inter_entrepot[[#This Row],[Num OF]],#REF!,#REF!,"Non Trouvé")</f>
        <v>#REF!</v>
      </c>
      <c r="M829" s="11" t="e">
        <f>_xlfn.XLOOKUP(Mvt_Inter_entrepot[[#This Row],[Num OF]],#REF!,#REF!,"Non Trouvé")</f>
        <v>#REF!</v>
      </c>
      <c r="N829" s="11" t="e">
        <f>_xlfn.XLOOKUP(Mvt_Inter_entrepot[[#This Row],[Num OF]],#REF!,#REF!,"Non Trouvé")</f>
        <v>#REF!</v>
      </c>
      <c r="O829" s="11" t="e">
        <f>_xlfn.XLOOKUP(Mvt_Inter_entrepot[[#This Row],[Num OF]],#REF!,#REF!,"Non Trouvé")</f>
        <v>#REF!</v>
      </c>
      <c r="P829" s="11" t="e">
        <f>_xlfn.XLOOKUP(Mvt_Inter_entrepot[[#This Row],[Num OF]],#REF!,#REF!,"Non Trouvé")</f>
        <v>#REF!</v>
      </c>
      <c r="Q829" s="11" t="str">
        <f>IF(
   COUNTIFS($A$2:A829,A829,
             $B$2:B829,B829,
             $C$2:C829,C829,
             $D$2:D829,D829,
             $E$2:E829,E829,
             $H$2:H829,H829
             )&gt;1,
   "Doublon",
   "Correcte"
)</f>
        <v>Correcte</v>
      </c>
    </row>
    <row r="830" spans="1:17" x14ac:dyDescent="0.25">
      <c r="A830" s="11" t="s">
        <v>3611</v>
      </c>
      <c r="B830" s="11" t="s">
        <v>1153</v>
      </c>
      <c r="C830" s="11" t="s">
        <v>665</v>
      </c>
      <c r="D830" s="11" t="s">
        <v>1154</v>
      </c>
      <c r="E830" s="11">
        <v>5</v>
      </c>
      <c r="F830" s="11" t="s">
        <v>699</v>
      </c>
      <c r="G830" s="11" t="s">
        <v>634</v>
      </c>
      <c r="H830" s="14">
        <v>45936.58489583333</v>
      </c>
      <c r="I830" s="12">
        <f>-Mvt_Inter_entrepot[[#This Row],[QTE]]</f>
        <v>-5</v>
      </c>
      <c r="J830" s="11" t="s">
        <v>967</v>
      </c>
      <c r="K830" s="11" t="str">
        <f>_xlfn.TEXTBEFORE(Mvt_Inter_entrepot[[#This Row],[Num Suivis]],"-",,,1)</f>
        <v>CA250074</v>
      </c>
      <c r="L830" s="11" t="e">
        <f>_xlfn.XLOOKUP(Mvt_Inter_entrepot[[#This Row],[Num OF]],#REF!,#REF!,"Non Trouvé")</f>
        <v>#REF!</v>
      </c>
      <c r="M830" s="11" t="e">
        <f>_xlfn.XLOOKUP(Mvt_Inter_entrepot[[#This Row],[Num OF]],#REF!,#REF!,"Non Trouvé")</f>
        <v>#REF!</v>
      </c>
      <c r="N830" s="11" t="e">
        <f>_xlfn.XLOOKUP(Mvt_Inter_entrepot[[#This Row],[Num OF]],#REF!,#REF!,"Non Trouvé")</f>
        <v>#REF!</v>
      </c>
      <c r="O830" s="11" t="e">
        <f>_xlfn.XLOOKUP(Mvt_Inter_entrepot[[#This Row],[Num OF]],#REF!,#REF!,"Non Trouvé")</f>
        <v>#REF!</v>
      </c>
      <c r="P830" s="11" t="e">
        <f>_xlfn.XLOOKUP(Mvt_Inter_entrepot[[#This Row],[Num OF]],#REF!,#REF!,"Non Trouvé")</f>
        <v>#REF!</v>
      </c>
      <c r="Q830" s="11" t="str">
        <f>IF(
   COUNTIFS($A$2:A830,A830,
             $B$2:B830,B830,
             $C$2:C830,C830,
             $D$2:D830,D830,
             $E$2:E830,E830,
             $H$2:H830,H830
             )&gt;1,
   "Doublon",
   "Correcte"
)</f>
        <v>Correcte</v>
      </c>
    </row>
    <row r="831" spans="1:17" x14ac:dyDescent="0.25">
      <c r="A831" s="11" t="s">
        <v>3612</v>
      </c>
      <c r="B831" s="11" t="s">
        <v>1153</v>
      </c>
      <c r="C831" s="11" t="s">
        <v>665</v>
      </c>
      <c r="D831" s="11" t="s">
        <v>1154</v>
      </c>
      <c r="E831" s="11">
        <v>5</v>
      </c>
      <c r="F831" s="11" t="s">
        <v>699</v>
      </c>
      <c r="G831" s="11" t="s">
        <v>634</v>
      </c>
      <c r="H831" s="14">
        <v>45936.585219907407</v>
      </c>
      <c r="I831" s="12">
        <f>-Mvt_Inter_entrepot[[#This Row],[QTE]]</f>
        <v>-5</v>
      </c>
      <c r="J831" s="11" t="s">
        <v>962</v>
      </c>
      <c r="K831" s="11" t="str">
        <f>_xlfn.TEXTBEFORE(Mvt_Inter_entrepot[[#This Row],[Num Suivis]],"-",,,1)</f>
        <v>CA250048</v>
      </c>
      <c r="L831" s="11" t="e">
        <f>_xlfn.XLOOKUP(Mvt_Inter_entrepot[[#This Row],[Num OF]],#REF!,#REF!,"Non Trouvé")</f>
        <v>#REF!</v>
      </c>
      <c r="M831" s="11" t="e">
        <f>_xlfn.XLOOKUP(Mvt_Inter_entrepot[[#This Row],[Num OF]],#REF!,#REF!,"Non Trouvé")</f>
        <v>#REF!</v>
      </c>
      <c r="N831" s="11" t="e">
        <f>_xlfn.XLOOKUP(Mvt_Inter_entrepot[[#This Row],[Num OF]],#REF!,#REF!,"Non Trouvé")</f>
        <v>#REF!</v>
      </c>
      <c r="O831" s="11" t="e">
        <f>_xlfn.XLOOKUP(Mvt_Inter_entrepot[[#This Row],[Num OF]],#REF!,#REF!,"Non Trouvé")</f>
        <v>#REF!</v>
      </c>
      <c r="P831" s="11" t="e">
        <f>_xlfn.XLOOKUP(Mvt_Inter_entrepot[[#This Row],[Num OF]],#REF!,#REF!,"Non Trouvé")</f>
        <v>#REF!</v>
      </c>
      <c r="Q831" s="11" t="str">
        <f>IF(
   COUNTIFS($A$2:A831,A831,
             $B$2:B831,B831,
             $C$2:C831,C831,
             $D$2:D831,D831,
             $E$2:E831,E831,
             $H$2:H831,H831
             )&gt;1,
   "Doublon",
   "Correcte"
)</f>
        <v>Correcte</v>
      </c>
    </row>
    <row r="832" spans="1:17" x14ac:dyDescent="0.25">
      <c r="A832" s="11" t="s">
        <v>3613</v>
      </c>
      <c r="B832" s="11" t="s">
        <v>1153</v>
      </c>
      <c r="C832" s="11" t="s">
        <v>665</v>
      </c>
      <c r="D832" s="11" t="s">
        <v>1154</v>
      </c>
      <c r="E832" s="11">
        <v>5</v>
      </c>
      <c r="F832" s="11" t="s">
        <v>699</v>
      </c>
      <c r="G832" s="11" t="s">
        <v>634</v>
      </c>
      <c r="H832" s="14">
        <v>45936.585775462961</v>
      </c>
      <c r="I832" s="12">
        <f>-Mvt_Inter_entrepot[[#This Row],[QTE]]</f>
        <v>-5</v>
      </c>
      <c r="J832" s="11" t="s">
        <v>965</v>
      </c>
      <c r="K832" s="11" t="str">
        <f>_xlfn.TEXTBEFORE(Mvt_Inter_entrepot[[#This Row],[Num Suivis]],"-",,,1)</f>
        <v>CA250073</v>
      </c>
      <c r="L832" s="11" t="e">
        <f>_xlfn.XLOOKUP(Mvt_Inter_entrepot[[#This Row],[Num OF]],#REF!,#REF!,"Non Trouvé")</f>
        <v>#REF!</v>
      </c>
      <c r="M832" s="11" t="e">
        <f>_xlfn.XLOOKUP(Mvt_Inter_entrepot[[#This Row],[Num OF]],#REF!,#REF!,"Non Trouvé")</f>
        <v>#REF!</v>
      </c>
      <c r="N832" s="11" t="e">
        <f>_xlfn.XLOOKUP(Mvt_Inter_entrepot[[#This Row],[Num OF]],#REF!,#REF!,"Non Trouvé")</f>
        <v>#REF!</v>
      </c>
      <c r="O832" s="11" t="e">
        <f>_xlfn.XLOOKUP(Mvt_Inter_entrepot[[#This Row],[Num OF]],#REF!,#REF!,"Non Trouvé")</f>
        <v>#REF!</v>
      </c>
      <c r="P832" s="11" t="e">
        <f>_xlfn.XLOOKUP(Mvt_Inter_entrepot[[#This Row],[Num OF]],#REF!,#REF!,"Non Trouvé")</f>
        <v>#REF!</v>
      </c>
      <c r="Q832" s="11" t="str">
        <f>IF(
   COUNTIFS($A$2:A832,A832,
             $B$2:B832,B832,
             $C$2:C832,C832,
             $D$2:D832,D832,
             $E$2:E832,E832,
             $H$2:H832,H832
             )&gt;1,
   "Doublon",
   "Correcte"
)</f>
        <v>Correcte</v>
      </c>
    </row>
    <row r="833" spans="1:17" x14ac:dyDescent="0.25">
      <c r="A833" s="11" t="s">
        <v>3614</v>
      </c>
      <c r="B833" s="11" t="s">
        <v>1153</v>
      </c>
      <c r="C833" s="11" t="s">
        <v>665</v>
      </c>
      <c r="D833" s="11" t="s">
        <v>1154</v>
      </c>
      <c r="E833" s="11">
        <v>5</v>
      </c>
      <c r="F833" s="11" t="s">
        <v>699</v>
      </c>
      <c r="G833" s="11" t="s">
        <v>634</v>
      </c>
      <c r="H833" s="14">
        <v>45936.585995370369</v>
      </c>
      <c r="I833" s="12">
        <f>-Mvt_Inter_entrepot[[#This Row],[QTE]]</f>
        <v>-5</v>
      </c>
      <c r="J833" s="11" t="s">
        <v>886</v>
      </c>
      <c r="K833" s="11" t="str">
        <f>_xlfn.TEXTBEFORE(Mvt_Inter_entrepot[[#This Row],[Num Suivis]],"-",,,1)</f>
        <v>CA250079</v>
      </c>
      <c r="L833" s="11" t="e">
        <f>_xlfn.XLOOKUP(Mvt_Inter_entrepot[[#This Row],[Num OF]],#REF!,#REF!,"Non Trouvé")</f>
        <v>#REF!</v>
      </c>
      <c r="M833" s="11" t="e">
        <f>_xlfn.XLOOKUP(Mvt_Inter_entrepot[[#This Row],[Num OF]],#REF!,#REF!,"Non Trouvé")</f>
        <v>#REF!</v>
      </c>
      <c r="N833" s="11" t="e">
        <f>_xlfn.XLOOKUP(Mvt_Inter_entrepot[[#This Row],[Num OF]],#REF!,#REF!,"Non Trouvé")</f>
        <v>#REF!</v>
      </c>
      <c r="O833" s="11" t="e">
        <f>_xlfn.XLOOKUP(Mvt_Inter_entrepot[[#This Row],[Num OF]],#REF!,#REF!,"Non Trouvé")</f>
        <v>#REF!</v>
      </c>
      <c r="P833" s="11" t="e">
        <f>_xlfn.XLOOKUP(Mvt_Inter_entrepot[[#This Row],[Num OF]],#REF!,#REF!,"Non Trouvé")</f>
        <v>#REF!</v>
      </c>
      <c r="Q833" s="11" t="str">
        <f>IF(
   COUNTIFS($A$2:A833,A833,
             $B$2:B833,B833,
             $C$2:C833,C833,
             $D$2:D833,D833,
             $E$2:E833,E833,
             $H$2:H833,H833
             )&gt;1,
   "Doublon",
   "Correcte"
)</f>
        <v>Correcte</v>
      </c>
    </row>
    <row r="834" spans="1:17" x14ac:dyDescent="0.25">
      <c r="A834" s="11" t="s">
        <v>3615</v>
      </c>
      <c r="B834" s="11" t="s">
        <v>1153</v>
      </c>
      <c r="C834" s="11" t="s">
        <v>665</v>
      </c>
      <c r="D834" s="11" t="s">
        <v>1154</v>
      </c>
      <c r="E834" s="11">
        <v>5</v>
      </c>
      <c r="F834" s="11" t="s">
        <v>699</v>
      </c>
      <c r="G834" s="11" t="s">
        <v>634</v>
      </c>
      <c r="H834" s="14">
        <v>45936.588726851849</v>
      </c>
      <c r="I834" s="12">
        <f>-Mvt_Inter_entrepot[[#This Row],[QTE]]</f>
        <v>-5</v>
      </c>
      <c r="J834" s="11" t="s">
        <v>976</v>
      </c>
      <c r="K834" s="11" t="str">
        <f>_xlfn.TEXTBEFORE(Mvt_Inter_entrepot[[#This Row],[Num Suivis]],"-",,,1)</f>
        <v>CA250022</v>
      </c>
      <c r="L834" s="11" t="e">
        <f>_xlfn.XLOOKUP(Mvt_Inter_entrepot[[#This Row],[Num OF]],#REF!,#REF!,"Non Trouvé")</f>
        <v>#REF!</v>
      </c>
      <c r="M834" s="11" t="e">
        <f>_xlfn.XLOOKUP(Mvt_Inter_entrepot[[#This Row],[Num OF]],#REF!,#REF!,"Non Trouvé")</f>
        <v>#REF!</v>
      </c>
      <c r="N834" s="11" t="e">
        <f>_xlfn.XLOOKUP(Mvt_Inter_entrepot[[#This Row],[Num OF]],#REF!,#REF!,"Non Trouvé")</f>
        <v>#REF!</v>
      </c>
      <c r="O834" s="11" t="e">
        <f>_xlfn.XLOOKUP(Mvt_Inter_entrepot[[#This Row],[Num OF]],#REF!,#REF!,"Non Trouvé")</f>
        <v>#REF!</v>
      </c>
      <c r="P834" s="11" t="e">
        <f>_xlfn.XLOOKUP(Mvt_Inter_entrepot[[#This Row],[Num OF]],#REF!,#REF!,"Non Trouvé")</f>
        <v>#REF!</v>
      </c>
      <c r="Q834" s="11" t="str">
        <f>IF(
   COUNTIFS($A$2:A834,A834,
             $B$2:B834,B834,
             $C$2:C834,C834,
             $D$2:D834,D834,
             $E$2:E834,E834,
             $H$2:H834,H834
             )&gt;1,
   "Doublon",
   "Correcte"
)</f>
        <v>Correcte</v>
      </c>
    </row>
    <row r="835" spans="1:17" x14ac:dyDescent="0.25">
      <c r="A835" s="11" t="s">
        <v>3616</v>
      </c>
      <c r="B835" s="11" t="s">
        <v>1153</v>
      </c>
      <c r="C835" s="11" t="s">
        <v>665</v>
      </c>
      <c r="D835" s="11" t="s">
        <v>1154</v>
      </c>
      <c r="E835" s="11">
        <v>1</v>
      </c>
      <c r="F835" s="11" t="s">
        <v>699</v>
      </c>
      <c r="G835" s="11" t="s">
        <v>634</v>
      </c>
      <c r="H835" s="14">
        <v>45936.589016203703</v>
      </c>
      <c r="I835" s="12">
        <f>-Mvt_Inter_entrepot[[#This Row],[QTE]]</f>
        <v>-1</v>
      </c>
      <c r="J835" s="11" t="s">
        <v>977</v>
      </c>
      <c r="K835" s="11" t="str">
        <f>_xlfn.TEXTBEFORE(Mvt_Inter_entrepot[[#This Row],[Num Suivis]],"-",,,1)</f>
        <v>CA250022</v>
      </c>
      <c r="L835" s="11" t="e">
        <f>_xlfn.XLOOKUP(Mvt_Inter_entrepot[[#This Row],[Num OF]],#REF!,#REF!,"Non Trouvé")</f>
        <v>#REF!</v>
      </c>
      <c r="M835" s="11" t="e">
        <f>_xlfn.XLOOKUP(Mvt_Inter_entrepot[[#This Row],[Num OF]],#REF!,#REF!,"Non Trouvé")</f>
        <v>#REF!</v>
      </c>
      <c r="N835" s="11" t="e">
        <f>_xlfn.XLOOKUP(Mvt_Inter_entrepot[[#This Row],[Num OF]],#REF!,#REF!,"Non Trouvé")</f>
        <v>#REF!</v>
      </c>
      <c r="O835" s="11" t="e">
        <f>_xlfn.XLOOKUP(Mvt_Inter_entrepot[[#This Row],[Num OF]],#REF!,#REF!,"Non Trouvé")</f>
        <v>#REF!</v>
      </c>
      <c r="P835" s="11" t="e">
        <f>_xlfn.XLOOKUP(Mvt_Inter_entrepot[[#This Row],[Num OF]],#REF!,#REF!,"Non Trouvé")</f>
        <v>#REF!</v>
      </c>
      <c r="Q835" s="11" t="str">
        <f>IF(
   COUNTIFS($A$2:A835,A835,
             $B$2:B835,B835,
             $C$2:C835,C835,
             $D$2:D835,D835,
             $E$2:E835,E835,
             $H$2:H835,H835
             )&gt;1,
   "Doublon",
   "Correcte"
)</f>
        <v>Correcte</v>
      </c>
    </row>
    <row r="836" spans="1:17" x14ac:dyDescent="0.25">
      <c r="A836" s="11" t="s">
        <v>3304</v>
      </c>
      <c r="B836" s="11" t="s">
        <v>1153</v>
      </c>
      <c r="C836" s="11" t="s">
        <v>665</v>
      </c>
      <c r="D836" s="11" t="s">
        <v>1154</v>
      </c>
      <c r="E836" s="11">
        <v>5</v>
      </c>
      <c r="F836" s="11" t="s">
        <v>699</v>
      </c>
      <c r="G836" s="11" t="s">
        <v>634</v>
      </c>
      <c r="H836" s="14">
        <v>45936.589317129627</v>
      </c>
      <c r="I836" s="12">
        <f>-Mvt_Inter_entrepot[[#This Row],[QTE]]</f>
        <v>-5</v>
      </c>
      <c r="J836" s="11" t="s">
        <v>49</v>
      </c>
      <c r="K836" s="11" t="str">
        <f>_xlfn.TEXTBEFORE(Mvt_Inter_entrepot[[#This Row],[Num Suivis]],"-",,,1)</f>
        <v>CA250029</v>
      </c>
      <c r="L836" s="11" t="e">
        <f>_xlfn.XLOOKUP(Mvt_Inter_entrepot[[#This Row],[Num OF]],#REF!,#REF!,"Non Trouvé")</f>
        <v>#REF!</v>
      </c>
      <c r="M836" s="11" t="e">
        <f>_xlfn.XLOOKUP(Mvt_Inter_entrepot[[#This Row],[Num OF]],#REF!,#REF!,"Non Trouvé")</f>
        <v>#REF!</v>
      </c>
      <c r="N836" s="11" t="e">
        <f>_xlfn.XLOOKUP(Mvt_Inter_entrepot[[#This Row],[Num OF]],#REF!,#REF!,"Non Trouvé")</f>
        <v>#REF!</v>
      </c>
      <c r="O836" s="11" t="e">
        <f>_xlfn.XLOOKUP(Mvt_Inter_entrepot[[#This Row],[Num OF]],#REF!,#REF!,"Non Trouvé")</f>
        <v>#REF!</v>
      </c>
      <c r="P836" s="11" t="e">
        <f>_xlfn.XLOOKUP(Mvt_Inter_entrepot[[#This Row],[Num OF]],#REF!,#REF!,"Non Trouvé")</f>
        <v>#REF!</v>
      </c>
      <c r="Q836" s="11" t="str">
        <f>IF(
   COUNTIFS($A$2:A836,A836,
             $B$2:B836,B836,
             $C$2:C836,C836,
             $D$2:D836,D836,
             $E$2:E836,E836,
             $H$2:H836,H836
             )&gt;1,
   "Doublon",
   "Correcte"
)</f>
        <v>Correcte</v>
      </c>
    </row>
    <row r="837" spans="1:17" x14ac:dyDescent="0.25">
      <c r="A837" s="11" t="s">
        <v>3617</v>
      </c>
      <c r="B837" s="11" t="s">
        <v>1153</v>
      </c>
      <c r="C837" s="11" t="s">
        <v>665</v>
      </c>
      <c r="D837" s="11" t="s">
        <v>1154</v>
      </c>
      <c r="E837" s="11">
        <v>5</v>
      </c>
      <c r="F837" s="11" t="s">
        <v>699</v>
      </c>
      <c r="G837" s="11" t="s">
        <v>634</v>
      </c>
      <c r="H837" s="14">
        <v>45936.589560185188</v>
      </c>
      <c r="I837" s="12">
        <f>-Mvt_Inter_entrepot[[#This Row],[QTE]]</f>
        <v>-5</v>
      </c>
      <c r="J837" s="11" t="s">
        <v>1018</v>
      </c>
      <c r="K837" s="11" t="str">
        <f>_xlfn.TEXTBEFORE(Mvt_Inter_entrepot[[#This Row],[Num Suivis]],"-",,,1)</f>
        <v>CA250024</v>
      </c>
      <c r="L837" s="11" t="e">
        <f>_xlfn.XLOOKUP(Mvt_Inter_entrepot[[#This Row],[Num OF]],#REF!,#REF!,"Non Trouvé")</f>
        <v>#REF!</v>
      </c>
      <c r="M837" s="11" t="e">
        <f>_xlfn.XLOOKUP(Mvt_Inter_entrepot[[#This Row],[Num OF]],#REF!,#REF!,"Non Trouvé")</f>
        <v>#REF!</v>
      </c>
      <c r="N837" s="11" t="e">
        <f>_xlfn.XLOOKUP(Mvt_Inter_entrepot[[#This Row],[Num OF]],#REF!,#REF!,"Non Trouvé")</f>
        <v>#REF!</v>
      </c>
      <c r="O837" s="11" t="e">
        <f>_xlfn.XLOOKUP(Mvt_Inter_entrepot[[#This Row],[Num OF]],#REF!,#REF!,"Non Trouvé")</f>
        <v>#REF!</v>
      </c>
      <c r="P837" s="11" t="e">
        <f>_xlfn.XLOOKUP(Mvt_Inter_entrepot[[#This Row],[Num OF]],#REF!,#REF!,"Non Trouvé")</f>
        <v>#REF!</v>
      </c>
      <c r="Q837" s="11" t="str">
        <f>IF(
   COUNTIFS($A$2:A837,A837,
             $B$2:B837,B837,
             $C$2:C837,C837,
             $D$2:D837,D837,
             $E$2:E837,E837,
             $H$2:H837,H837
             )&gt;1,
   "Doublon",
   "Correcte"
)</f>
        <v>Correcte</v>
      </c>
    </row>
    <row r="838" spans="1:17" x14ac:dyDescent="0.25">
      <c r="A838" s="11" t="s">
        <v>3618</v>
      </c>
      <c r="B838" s="11" t="s">
        <v>1153</v>
      </c>
      <c r="C838" s="11" t="s">
        <v>665</v>
      </c>
      <c r="D838" s="11" t="s">
        <v>1154</v>
      </c>
      <c r="E838" s="11">
        <v>5</v>
      </c>
      <c r="F838" s="11" t="s">
        <v>699</v>
      </c>
      <c r="G838" s="11" t="s">
        <v>634</v>
      </c>
      <c r="H838" s="14">
        <v>45936.589791666665</v>
      </c>
      <c r="I838" s="12">
        <f>-Mvt_Inter_entrepot[[#This Row],[QTE]]</f>
        <v>-5</v>
      </c>
      <c r="J838" s="11" t="s">
        <v>1012</v>
      </c>
      <c r="K838" s="11" t="str">
        <f>_xlfn.TEXTBEFORE(Mvt_Inter_entrepot[[#This Row],[Num Suivis]],"-",,,1)</f>
        <v>CA250024</v>
      </c>
      <c r="L838" s="11" t="e">
        <f>_xlfn.XLOOKUP(Mvt_Inter_entrepot[[#This Row],[Num OF]],#REF!,#REF!,"Non Trouvé")</f>
        <v>#REF!</v>
      </c>
      <c r="M838" s="11" t="e">
        <f>_xlfn.XLOOKUP(Mvt_Inter_entrepot[[#This Row],[Num OF]],#REF!,#REF!,"Non Trouvé")</f>
        <v>#REF!</v>
      </c>
      <c r="N838" s="11" t="e">
        <f>_xlfn.XLOOKUP(Mvt_Inter_entrepot[[#This Row],[Num OF]],#REF!,#REF!,"Non Trouvé")</f>
        <v>#REF!</v>
      </c>
      <c r="O838" s="11" t="e">
        <f>_xlfn.XLOOKUP(Mvt_Inter_entrepot[[#This Row],[Num OF]],#REF!,#REF!,"Non Trouvé")</f>
        <v>#REF!</v>
      </c>
      <c r="P838" s="11" t="e">
        <f>_xlfn.XLOOKUP(Mvt_Inter_entrepot[[#This Row],[Num OF]],#REF!,#REF!,"Non Trouvé")</f>
        <v>#REF!</v>
      </c>
      <c r="Q838" s="11" t="str">
        <f>IF(
   COUNTIFS($A$2:A838,A838,
             $B$2:B838,B838,
             $C$2:C838,C838,
             $D$2:D838,D838,
             $E$2:E838,E838,
             $H$2:H838,H838
             )&gt;1,
   "Doublon",
   "Correcte"
)</f>
        <v>Correcte</v>
      </c>
    </row>
    <row r="839" spans="1:17" x14ac:dyDescent="0.25">
      <c r="A839" s="11" t="s">
        <v>3619</v>
      </c>
      <c r="B839" s="11" t="s">
        <v>1153</v>
      </c>
      <c r="C839" s="11" t="s">
        <v>665</v>
      </c>
      <c r="D839" s="11" t="s">
        <v>1154</v>
      </c>
      <c r="E839" s="11">
        <v>1</v>
      </c>
      <c r="F839" s="11" t="s">
        <v>699</v>
      </c>
      <c r="G839" s="11" t="s">
        <v>634</v>
      </c>
      <c r="H839" s="14">
        <v>45936.590069444443</v>
      </c>
      <c r="I839" s="12">
        <f>-Mvt_Inter_entrepot[[#This Row],[QTE]]</f>
        <v>-1</v>
      </c>
      <c r="J839" s="11" t="s">
        <v>930</v>
      </c>
      <c r="K839" s="11" t="str">
        <f>_xlfn.TEXTBEFORE(Mvt_Inter_entrepot[[#This Row],[Num Suivis]],"-",,,1)</f>
        <v>CA250043</v>
      </c>
      <c r="L839" s="11" t="e">
        <f>_xlfn.XLOOKUP(Mvt_Inter_entrepot[[#This Row],[Num OF]],#REF!,#REF!,"Non Trouvé")</f>
        <v>#REF!</v>
      </c>
      <c r="M839" s="11" t="e">
        <f>_xlfn.XLOOKUP(Mvt_Inter_entrepot[[#This Row],[Num OF]],#REF!,#REF!,"Non Trouvé")</f>
        <v>#REF!</v>
      </c>
      <c r="N839" s="11" t="e">
        <f>_xlfn.XLOOKUP(Mvt_Inter_entrepot[[#This Row],[Num OF]],#REF!,#REF!,"Non Trouvé")</f>
        <v>#REF!</v>
      </c>
      <c r="O839" s="11" t="e">
        <f>_xlfn.XLOOKUP(Mvt_Inter_entrepot[[#This Row],[Num OF]],#REF!,#REF!,"Non Trouvé")</f>
        <v>#REF!</v>
      </c>
      <c r="P839" s="11" t="e">
        <f>_xlfn.XLOOKUP(Mvt_Inter_entrepot[[#This Row],[Num OF]],#REF!,#REF!,"Non Trouvé")</f>
        <v>#REF!</v>
      </c>
      <c r="Q839" s="11" t="str">
        <f>IF(
   COUNTIFS($A$2:A839,A839,
             $B$2:B839,B839,
             $C$2:C839,C839,
             $D$2:D839,D839,
             $E$2:E839,E839,
             $H$2:H839,H839
             )&gt;1,
   "Doublon",
   "Correcte"
)</f>
        <v>Correcte</v>
      </c>
    </row>
    <row r="840" spans="1:17" x14ac:dyDescent="0.25">
      <c r="A840" s="11" t="s">
        <v>3620</v>
      </c>
      <c r="B840" s="11" t="s">
        <v>1153</v>
      </c>
      <c r="C840" s="11" t="s">
        <v>665</v>
      </c>
      <c r="D840" s="11" t="s">
        <v>1154</v>
      </c>
      <c r="E840" s="11">
        <v>5</v>
      </c>
      <c r="F840" s="11" t="s">
        <v>699</v>
      </c>
      <c r="G840" s="11" t="s">
        <v>634</v>
      </c>
      <c r="H840" s="14">
        <v>45936.590312499997</v>
      </c>
      <c r="I840" s="12">
        <f>-Mvt_Inter_entrepot[[#This Row],[QTE]]</f>
        <v>-5</v>
      </c>
      <c r="J840" s="11" t="s">
        <v>947</v>
      </c>
      <c r="K840" s="11" t="str">
        <f>_xlfn.TEXTBEFORE(Mvt_Inter_entrepot[[#This Row],[Num Suivis]],"-",,,1)</f>
        <v>CA250045</v>
      </c>
      <c r="L840" s="11" t="e">
        <f>_xlfn.XLOOKUP(Mvt_Inter_entrepot[[#This Row],[Num OF]],#REF!,#REF!,"Non Trouvé")</f>
        <v>#REF!</v>
      </c>
      <c r="M840" s="11" t="e">
        <f>_xlfn.XLOOKUP(Mvt_Inter_entrepot[[#This Row],[Num OF]],#REF!,#REF!,"Non Trouvé")</f>
        <v>#REF!</v>
      </c>
      <c r="N840" s="11" t="e">
        <f>_xlfn.XLOOKUP(Mvt_Inter_entrepot[[#This Row],[Num OF]],#REF!,#REF!,"Non Trouvé")</f>
        <v>#REF!</v>
      </c>
      <c r="O840" s="11" t="e">
        <f>_xlfn.XLOOKUP(Mvt_Inter_entrepot[[#This Row],[Num OF]],#REF!,#REF!,"Non Trouvé")</f>
        <v>#REF!</v>
      </c>
      <c r="P840" s="11" t="e">
        <f>_xlfn.XLOOKUP(Mvt_Inter_entrepot[[#This Row],[Num OF]],#REF!,#REF!,"Non Trouvé")</f>
        <v>#REF!</v>
      </c>
      <c r="Q840" s="11" t="str">
        <f>IF(
   COUNTIFS($A$2:A840,A840,
             $B$2:B840,B840,
             $C$2:C840,C840,
             $D$2:D840,D840,
             $E$2:E840,E840,
             $H$2:H840,H840
             )&gt;1,
   "Doublon",
   "Correcte"
)</f>
        <v>Correcte</v>
      </c>
    </row>
    <row r="841" spans="1:17" x14ac:dyDescent="0.25">
      <c r="A841" s="11" t="s">
        <v>3621</v>
      </c>
      <c r="B841" s="11" t="s">
        <v>1153</v>
      </c>
      <c r="C841" s="11" t="s">
        <v>665</v>
      </c>
      <c r="D841" s="11" t="s">
        <v>1154</v>
      </c>
      <c r="E841" s="11">
        <v>5</v>
      </c>
      <c r="F841" s="11" t="s">
        <v>699</v>
      </c>
      <c r="G841" s="11" t="s">
        <v>634</v>
      </c>
      <c r="H841" s="14">
        <v>45936.590601851851</v>
      </c>
      <c r="I841" s="12">
        <f>-Mvt_Inter_entrepot[[#This Row],[QTE]]</f>
        <v>-5</v>
      </c>
      <c r="J841" s="11" t="s">
        <v>1016</v>
      </c>
      <c r="K841" s="11" t="str">
        <f>_xlfn.TEXTBEFORE(Mvt_Inter_entrepot[[#This Row],[Num Suivis]],"-",,,1)</f>
        <v>CA250024</v>
      </c>
      <c r="L841" s="11" t="e">
        <f>_xlfn.XLOOKUP(Mvt_Inter_entrepot[[#This Row],[Num OF]],#REF!,#REF!,"Non Trouvé")</f>
        <v>#REF!</v>
      </c>
      <c r="M841" s="11" t="e">
        <f>_xlfn.XLOOKUP(Mvt_Inter_entrepot[[#This Row],[Num OF]],#REF!,#REF!,"Non Trouvé")</f>
        <v>#REF!</v>
      </c>
      <c r="N841" s="11" t="e">
        <f>_xlfn.XLOOKUP(Mvt_Inter_entrepot[[#This Row],[Num OF]],#REF!,#REF!,"Non Trouvé")</f>
        <v>#REF!</v>
      </c>
      <c r="O841" s="11" t="e">
        <f>_xlfn.XLOOKUP(Mvt_Inter_entrepot[[#This Row],[Num OF]],#REF!,#REF!,"Non Trouvé")</f>
        <v>#REF!</v>
      </c>
      <c r="P841" s="11" t="e">
        <f>_xlfn.XLOOKUP(Mvt_Inter_entrepot[[#This Row],[Num OF]],#REF!,#REF!,"Non Trouvé")</f>
        <v>#REF!</v>
      </c>
      <c r="Q841" s="11" t="str">
        <f>IF(
   COUNTIFS($A$2:A841,A841,
             $B$2:B841,B841,
             $C$2:C841,C841,
             $D$2:D841,D841,
             $E$2:E841,E841,
             $H$2:H841,H841
             )&gt;1,
   "Doublon",
   "Correcte"
)</f>
        <v>Correcte</v>
      </c>
    </row>
    <row r="842" spans="1:17" x14ac:dyDescent="0.25">
      <c r="A842" s="11" t="s">
        <v>3622</v>
      </c>
      <c r="B842" s="11" t="s">
        <v>1153</v>
      </c>
      <c r="C842" s="11" t="s">
        <v>665</v>
      </c>
      <c r="D842" s="11" t="s">
        <v>1154</v>
      </c>
      <c r="E842" s="11">
        <v>1</v>
      </c>
      <c r="F842" s="11" t="s">
        <v>699</v>
      </c>
      <c r="G842" s="11" t="s">
        <v>634</v>
      </c>
      <c r="H842" s="14">
        <v>45936.59101851852</v>
      </c>
      <c r="I842" s="12">
        <f>-Mvt_Inter_entrepot[[#This Row],[QTE]]</f>
        <v>-1</v>
      </c>
      <c r="J842" s="11" t="s">
        <v>936</v>
      </c>
      <c r="K842" s="11" t="str">
        <f>_xlfn.TEXTBEFORE(Mvt_Inter_entrepot[[#This Row],[Num Suivis]],"-",,,1)</f>
        <v>CA250033</v>
      </c>
      <c r="L842" s="11" t="e">
        <f>_xlfn.XLOOKUP(Mvt_Inter_entrepot[[#This Row],[Num OF]],#REF!,#REF!,"Non Trouvé")</f>
        <v>#REF!</v>
      </c>
      <c r="M842" s="11" t="e">
        <f>_xlfn.XLOOKUP(Mvt_Inter_entrepot[[#This Row],[Num OF]],#REF!,#REF!,"Non Trouvé")</f>
        <v>#REF!</v>
      </c>
      <c r="N842" s="11" t="e">
        <f>_xlfn.XLOOKUP(Mvt_Inter_entrepot[[#This Row],[Num OF]],#REF!,#REF!,"Non Trouvé")</f>
        <v>#REF!</v>
      </c>
      <c r="O842" s="11" t="e">
        <f>_xlfn.XLOOKUP(Mvt_Inter_entrepot[[#This Row],[Num OF]],#REF!,#REF!,"Non Trouvé")</f>
        <v>#REF!</v>
      </c>
      <c r="P842" s="11" t="e">
        <f>_xlfn.XLOOKUP(Mvt_Inter_entrepot[[#This Row],[Num OF]],#REF!,#REF!,"Non Trouvé")</f>
        <v>#REF!</v>
      </c>
      <c r="Q842" s="11" t="str">
        <f>IF(
   COUNTIFS($A$2:A842,A842,
             $B$2:B842,B842,
             $C$2:C842,C842,
             $D$2:D842,D842,
             $E$2:E842,E842,
             $H$2:H842,H842
             )&gt;1,
   "Doublon",
   "Correcte"
)</f>
        <v>Correcte</v>
      </c>
    </row>
    <row r="843" spans="1:17" x14ac:dyDescent="0.25">
      <c r="A843" s="11" t="s">
        <v>3623</v>
      </c>
      <c r="B843" s="11" t="s">
        <v>1153</v>
      </c>
      <c r="C843" s="11" t="s">
        <v>665</v>
      </c>
      <c r="D843" s="11" t="s">
        <v>1154</v>
      </c>
      <c r="E843" s="11">
        <v>1</v>
      </c>
      <c r="F843" s="11" t="s">
        <v>699</v>
      </c>
      <c r="G843" s="11" t="s">
        <v>634</v>
      </c>
      <c r="H843" s="14">
        <v>45936.591331018521</v>
      </c>
      <c r="I843" s="12">
        <f>-Mvt_Inter_entrepot[[#This Row],[QTE]]</f>
        <v>-1</v>
      </c>
      <c r="J843" s="11" t="s">
        <v>969</v>
      </c>
      <c r="K843" s="11" t="str">
        <f>_xlfn.TEXTBEFORE(Mvt_Inter_entrepot[[#This Row],[Num Suivis]],"-",,,1)</f>
        <v>CA250064</v>
      </c>
      <c r="L843" s="11" t="e">
        <f>_xlfn.XLOOKUP(Mvt_Inter_entrepot[[#This Row],[Num OF]],#REF!,#REF!,"Non Trouvé")</f>
        <v>#REF!</v>
      </c>
      <c r="M843" s="11" t="e">
        <f>_xlfn.XLOOKUP(Mvt_Inter_entrepot[[#This Row],[Num OF]],#REF!,#REF!,"Non Trouvé")</f>
        <v>#REF!</v>
      </c>
      <c r="N843" s="11" t="e">
        <f>_xlfn.XLOOKUP(Mvt_Inter_entrepot[[#This Row],[Num OF]],#REF!,#REF!,"Non Trouvé")</f>
        <v>#REF!</v>
      </c>
      <c r="O843" s="11" t="e">
        <f>_xlfn.XLOOKUP(Mvt_Inter_entrepot[[#This Row],[Num OF]],#REF!,#REF!,"Non Trouvé")</f>
        <v>#REF!</v>
      </c>
      <c r="P843" s="11" t="e">
        <f>_xlfn.XLOOKUP(Mvt_Inter_entrepot[[#This Row],[Num OF]],#REF!,#REF!,"Non Trouvé")</f>
        <v>#REF!</v>
      </c>
      <c r="Q843" s="11" t="str">
        <f>IF(
   COUNTIFS($A$2:A843,A843,
             $B$2:B843,B843,
             $C$2:C843,C843,
             $D$2:D843,D843,
             $E$2:E843,E843,
             $H$2:H843,H843
             )&gt;1,
   "Doublon",
   "Correcte"
)</f>
        <v>Correcte</v>
      </c>
    </row>
    <row r="844" spans="1:17" x14ac:dyDescent="0.25">
      <c r="A844" s="11" t="s">
        <v>3624</v>
      </c>
      <c r="B844" s="11" t="s">
        <v>1153</v>
      </c>
      <c r="C844" s="11" t="s">
        <v>665</v>
      </c>
      <c r="D844" s="11" t="s">
        <v>1154</v>
      </c>
      <c r="E844" s="11">
        <v>5</v>
      </c>
      <c r="F844" s="11" t="s">
        <v>699</v>
      </c>
      <c r="G844" s="11" t="s">
        <v>634</v>
      </c>
      <c r="H844" s="14">
        <v>45936.591643518521</v>
      </c>
      <c r="I844" s="12">
        <f>-Mvt_Inter_entrepot[[#This Row],[QTE]]</f>
        <v>-5</v>
      </c>
      <c r="J844" s="11" t="s">
        <v>1006</v>
      </c>
      <c r="K844" s="11" t="str">
        <f>_xlfn.TEXTBEFORE(Mvt_Inter_entrepot[[#This Row],[Num Suivis]],"-",,,1)</f>
        <v>CA250054</v>
      </c>
      <c r="L844" s="11" t="e">
        <f>_xlfn.XLOOKUP(Mvt_Inter_entrepot[[#This Row],[Num OF]],#REF!,#REF!,"Non Trouvé")</f>
        <v>#REF!</v>
      </c>
      <c r="M844" s="11" t="e">
        <f>_xlfn.XLOOKUP(Mvt_Inter_entrepot[[#This Row],[Num OF]],#REF!,#REF!,"Non Trouvé")</f>
        <v>#REF!</v>
      </c>
      <c r="N844" s="11" t="e">
        <f>_xlfn.XLOOKUP(Mvt_Inter_entrepot[[#This Row],[Num OF]],#REF!,#REF!,"Non Trouvé")</f>
        <v>#REF!</v>
      </c>
      <c r="O844" s="11" t="e">
        <f>_xlfn.XLOOKUP(Mvt_Inter_entrepot[[#This Row],[Num OF]],#REF!,#REF!,"Non Trouvé")</f>
        <v>#REF!</v>
      </c>
      <c r="P844" s="11" t="e">
        <f>_xlfn.XLOOKUP(Mvt_Inter_entrepot[[#This Row],[Num OF]],#REF!,#REF!,"Non Trouvé")</f>
        <v>#REF!</v>
      </c>
      <c r="Q844" s="11" t="str">
        <f>IF(
   COUNTIFS($A$2:A844,A844,
             $B$2:B844,B844,
             $C$2:C844,C844,
             $D$2:D844,D844,
             $E$2:E844,E844,
             $H$2:H844,H844
             )&gt;1,
   "Doublon",
   "Correcte"
)</f>
        <v>Correcte</v>
      </c>
    </row>
    <row r="845" spans="1:17" x14ac:dyDescent="0.25">
      <c r="A845" s="11" t="s">
        <v>3625</v>
      </c>
      <c r="B845" s="11" t="s">
        <v>1153</v>
      </c>
      <c r="C845" s="11" t="s">
        <v>665</v>
      </c>
      <c r="D845" s="11" t="s">
        <v>1154</v>
      </c>
      <c r="E845" s="11">
        <v>4</v>
      </c>
      <c r="F845" s="11" t="s">
        <v>699</v>
      </c>
      <c r="G845" s="11" t="s">
        <v>634</v>
      </c>
      <c r="H845" s="14">
        <v>45936.591932870368</v>
      </c>
      <c r="I845" s="12">
        <f>-Mvt_Inter_entrepot[[#This Row],[QTE]]</f>
        <v>-4</v>
      </c>
      <c r="J845" s="11" t="s">
        <v>921</v>
      </c>
      <c r="K845" s="11" t="str">
        <f>_xlfn.TEXTBEFORE(Mvt_Inter_entrepot[[#This Row],[Num Suivis]],"-",,,1)</f>
        <v>CA250044</v>
      </c>
      <c r="L845" s="11" t="e">
        <f>_xlfn.XLOOKUP(Mvt_Inter_entrepot[[#This Row],[Num OF]],#REF!,#REF!,"Non Trouvé")</f>
        <v>#REF!</v>
      </c>
      <c r="M845" s="11" t="e">
        <f>_xlfn.XLOOKUP(Mvt_Inter_entrepot[[#This Row],[Num OF]],#REF!,#REF!,"Non Trouvé")</f>
        <v>#REF!</v>
      </c>
      <c r="N845" s="11" t="e">
        <f>_xlfn.XLOOKUP(Mvt_Inter_entrepot[[#This Row],[Num OF]],#REF!,#REF!,"Non Trouvé")</f>
        <v>#REF!</v>
      </c>
      <c r="O845" s="11" t="e">
        <f>_xlfn.XLOOKUP(Mvt_Inter_entrepot[[#This Row],[Num OF]],#REF!,#REF!,"Non Trouvé")</f>
        <v>#REF!</v>
      </c>
      <c r="P845" s="11" t="e">
        <f>_xlfn.XLOOKUP(Mvt_Inter_entrepot[[#This Row],[Num OF]],#REF!,#REF!,"Non Trouvé")</f>
        <v>#REF!</v>
      </c>
      <c r="Q845" s="11" t="str">
        <f>IF(
   COUNTIFS($A$2:A845,A845,
             $B$2:B845,B845,
             $C$2:C845,C845,
             $D$2:D845,D845,
             $E$2:E845,E845,
             $H$2:H845,H845
             )&gt;1,
   "Doublon",
   "Correcte"
)</f>
        <v>Correcte</v>
      </c>
    </row>
    <row r="846" spans="1:17" x14ac:dyDescent="0.25">
      <c r="A846" s="11" t="s">
        <v>3626</v>
      </c>
      <c r="B846" s="11" t="s">
        <v>1153</v>
      </c>
      <c r="C846" s="11" t="s">
        <v>665</v>
      </c>
      <c r="D846" s="11" t="s">
        <v>1154</v>
      </c>
      <c r="E846" s="11">
        <v>5</v>
      </c>
      <c r="F846" s="11" t="s">
        <v>699</v>
      </c>
      <c r="G846" s="11" t="s">
        <v>634</v>
      </c>
      <c r="H846" s="14">
        <v>45936.592199074075</v>
      </c>
      <c r="I846" s="12">
        <f>-Mvt_Inter_entrepot[[#This Row],[QTE]]</f>
        <v>-5</v>
      </c>
      <c r="J846" s="11" t="s">
        <v>1015</v>
      </c>
      <c r="K846" s="11" t="str">
        <f>_xlfn.TEXTBEFORE(Mvt_Inter_entrepot[[#This Row],[Num Suivis]],"-",,,1)</f>
        <v>CA250024</v>
      </c>
      <c r="L846" s="11" t="e">
        <f>_xlfn.XLOOKUP(Mvt_Inter_entrepot[[#This Row],[Num OF]],#REF!,#REF!,"Non Trouvé")</f>
        <v>#REF!</v>
      </c>
      <c r="M846" s="11" t="e">
        <f>_xlfn.XLOOKUP(Mvt_Inter_entrepot[[#This Row],[Num OF]],#REF!,#REF!,"Non Trouvé")</f>
        <v>#REF!</v>
      </c>
      <c r="N846" s="11" t="e">
        <f>_xlfn.XLOOKUP(Mvt_Inter_entrepot[[#This Row],[Num OF]],#REF!,#REF!,"Non Trouvé")</f>
        <v>#REF!</v>
      </c>
      <c r="O846" s="11" t="e">
        <f>_xlfn.XLOOKUP(Mvt_Inter_entrepot[[#This Row],[Num OF]],#REF!,#REF!,"Non Trouvé")</f>
        <v>#REF!</v>
      </c>
      <c r="P846" s="11" t="e">
        <f>_xlfn.XLOOKUP(Mvt_Inter_entrepot[[#This Row],[Num OF]],#REF!,#REF!,"Non Trouvé")</f>
        <v>#REF!</v>
      </c>
      <c r="Q846" s="11" t="str">
        <f>IF(
   COUNTIFS($A$2:A846,A846,
             $B$2:B846,B846,
             $C$2:C846,C846,
             $D$2:D846,D846,
             $E$2:E846,E846,
             $H$2:H846,H846
             )&gt;1,
   "Doublon",
   "Correcte"
)</f>
        <v>Correcte</v>
      </c>
    </row>
    <row r="847" spans="1:17" x14ac:dyDescent="0.25">
      <c r="A847" s="11" t="s">
        <v>3627</v>
      </c>
      <c r="B847" s="11" t="s">
        <v>1153</v>
      </c>
      <c r="C847" s="11" t="s">
        <v>665</v>
      </c>
      <c r="D847" s="11" t="s">
        <v>1154</v>
      </c>
      <c r="E847" s="11">
        <v>5</v>
      </c>
      <c r="F847" s="11" t="s">
        <v>699</v>
      </c>
      <c r="G847" s="11" t="s">
        <v>634</v>
      </c>
      <c r="H847" s="14">
        <v>45936.592430555553</v>
      </c>
      <c r="I847" s="12">
        <f>-Mvt_Inter_entrepot[[#This Row],[QTE]]</f>
        <v>-5</v>
      </c>
      <c r="J847" s="11" t="s">
        <v>1005</v>
      </c>
      <c r="K847" s="11" t="str">
        <f>_xlfn.TEXTBEFORE(Mvt_Inter_entrepot[[#This Row],[Num Suivis]],"-",,,1)</f>
        <v>CA250054</v>
      </c>
      <c r="L847" s="11" t="e">
        <f>_xlfn.XLOOKUP(Mvt_Inter_entrepot[[#This Row],[Num OF]],#REF!,#REF!,"Non Trouvé")</f>
        <v>#REF!</v>
      </c>
      <c r="M847" s="11" t="e">
        <f>_xlfn.XLOOKUP(Mvt_Inter_entrepot[[#This Row],[Num OF]],#REF!,#REF!,"Non Trouvé")</f>
        <v>#REF!</v>
      </c>
      <c r="N847" s="11" t="e">
        <f>_xlfn.XLOOKUP(Mvt_Inter_entrepot[[#This Row],[Num OF]],#REF!,#REF!,"Non Trouvé")</f>
        <v>#REF!</v>
      </c>
      <c r="O847" s="11" t="e">
        <f>_xlfn.XLOOKUP(Mvt_Inter_entrepot[[#This Row],[Num OF]],#REF!,#REF!,"Non Trouvé")</f>
        <v>#REF!</v>
      </c>
      <c r="P847" s="11" t="e">
        <f>_xlfn.XLOOKUP(Mvt_Inter_entrepot[[#This Row],[Num OF]],#REF!,#REF!,"Non Trouvé")</f>
        <v>#REF!</v>
      </c>
      <c r="Q847" s="11" t="str">
        <f>IF(
   COUNTIFS($A$2:A847,A847,
             $B$2:B847,B847,
             $C$2:C847,C847,
             $D$2:D847,D847,
             $E$2:E847,E847,
             $H$2:H847,H847
             )&gt;1,
   "Doublon",
   "Correcte"
)</f>
        <v>Correcte</v>
      </c>
    </row>
    <row r="848" spans="1:17" x14ac:dyDescent="0.25">
      <c r="A848" s="11" t="s">
        <v>3628</v>
      </c>
      <c r="B848" s="11" t="s">
        <v>1153</v>
      </c>
      <c r="C848" s="11" t="s">
        <v>665</v>
      </c>
      <c r="D848" s="11" t="s">
        <v>1154</v>
      </c>
      <c r="E848" s="11">
        <v>1</v>
      </c>
      <c r="F848" s="11" t="s">
        <v>699</v>
      </c>
      <c r="G848" s="11" t="s">
        <v>634</v>
      </c>
      <c r="H848" s="14">
        <v>45936.59269675926</v>
      </c>
      <c r="I848" s="12">
        <f>-Mvt_Inter_entrepot[[#This Row],[QTE]]</f>
        <v>-1</v>
      </c>
      <c r="J848" s="11" t="s">
        <v>971</v>
      </c>
      <c r="K848" s="11" t="str">
        <f>_xlfn.TEXTBEFORE(Mvt_Inter_entrepot[[#This Row],[Num Suivis]],"-",,,1)</f>
        <v>CA250041</v>
      </c>
      <c r="L848" s="11" t="e">
        <f>_xlfn.XLOOKUP(Mvt_Inter_entrepot[[#This Row],[Num OF]],#REF!,#REF!,"Non Trouvé")</f>
        <v>#REF!</v>
      </c>
      <c r="M848" s="11" t="e">
        <f>_xlfn.XLOOKUP(Mvt_Inter_entrepot[[#This Row],[Num OF]],#REF!,#REF!,"Non Trouvé")</f>
        <v>#REF!</v>
      </c>
      <c r="N848" s="11" t="e">
        <f>_xlfn.XLOOKUP(Mvt_Inter_entrepot[[#This Row],[Num OF]],#REF!,#REF!,"Non Trouvé")</f>
        <v>#REF!</v>
      </c>
      <c r="O848" s="11" t="e">
        <f>_xlfn.XLOOKUP(Mvt_Inter_entrepot[[#This Row],[Num OF]],#REF!,#REF!,"Non Trouvé")</f>
        <v>#REF!</v>
      </c>
      <c r="P848" s="11" t="e">
        <f>_xlfn.XLOOKUP(Mvt_Inter_entrepot[[#This Row],[Num OF]],#REF!,#REF!,"Non Trouvé")</f>
        <v>#REF!</v>
      </c>
      <c r="Q848" s="11" t="str">
        <f>IF(
   COUNTIFS($A$2:A848,A848,
             $B$2:B848,B848,
             $C$2:C848,C848,
             $D$2:D848,D848,
             $E$2:E848,E848,
             $H$2:H848,H848
             )&gt;1,
   "Doublon",
   "Correcte"
)</f>
        <v>Correcte</v>
      </c>
    </row>
    <row r="849" spans="1:17" x14ac:dyDescent="0.25">
      <c r="A849" s="11" t="s">
        <v>3629</v>
      </c>
      <c r="B849" s="11" t="s">
        <v>1153</v>
      </c>
      <c r="C849" s="11" t="s">
        <v>665</v>
      </c>
      <c r="D849" s="11" t="s">
        <v>1154</v>
      </c>
      <c r="E849" s="11">
        <v>1</v>
      </c>
      <c r="F849" s="11" t="s">
        <v>699</v>
      </c>
      <c r="G849" s="11" t="s">
        <v>634</v>
      </c>
      <c r="H849" s="14">
        <v>45936.592986111114</v>
      </c>
      <c r="I849" s="12">
        <f>-Mvt_Inter_entrepot[[#This Row],[QTE]]</f>
        <v>-1</v>
      </c>
      <c r="J849" s="11" t="s">
        <v>1013</v>
      </c>
      <c r="K849" s="11" t="str">
        <f>_xlfn.TEXTBEFORE(Mvt_Inter_entrepot[[#This Row],[Num Suivis]],"-",,,1)</f>
        <v>CA250030</v>
      </c>
      <c r="L849" s="11" t="e">
        <f>_xlfn.XLOOKUP(Mvt_Inter_entrepot[[#This Row],[Num OF]],#REF!,#REF!,"Non Trouvé")</f>
        <v>#REF!</v>
      </c>
      <c r="M849" s="11" t="e">
        <f>_xlfn.XLOOKUP(Mvt_Inter_entrepot[[#This Row],[Num OF]],#REF!,#REF!,"Non Trouvé")</f>
        <v>#REF!</v>
      </c>
      <c r="N849" s="11" t="e">
        <f>_xlfn.XLOOKUP(Mvt_Inter_entrepot[[#This Row],[Num OF]],#REF!,#REF!,"Non Trouvé")</f>
        <v>#REF!</v>
      </c>
      <c r="O849" s="11" t="e">
        <f>_xlfn.XLOOKUP(Mvt_Inter_entrepot[[#This Row],[Num OF]],#REF!,#REF!,"Non Trouvé")</f>
        <v>#REF!</v>
      </c>
      <c r="P849" s="11" t="e">
        <f>_xlfn.XLOOKUP(Mvt_Inter_entrepot[[#This Row],[Num OF]],#REF!,#REF!,"Non Trouvé")</f>
        <v>#REF!</v>
      </c>
      <c r="Q849" s="11" t="str">
        <f>IF(
   COUNTIFS($A$2:A849,A849,
             $B$2:B849,B849,
             $C$2:C849,C849,
             $D$2:D849,D849,
             $E$2:E849,E849,
             $H$2:H849,H849
             )&gt;1,
   "Doublon",
   "Correcte"
)</f>
        <v>Correcte</v>
      </c>
    </row>
    <row r="850" spans="1:17" x14ac:dyDescent="0.25">
      <c r="A850" s="11" t="s">
        <v>3302</v>
      </c>
      <c r="B850" s="11" t="s">
        <v>1153</v>
      </c>
      <c r="C850" s="11" t="s">
        <v>665</v>
      </c>
      <c r="D850" s="11" t="s">
        <v>1154</v>
      </c>
      <c r="E850" s="11">
        <v>5</v>
      </c>
      <c r="F850" s="11" t="s">
        <v>699</v>
      </c>
      <c r="G850" s="11" t="s">
        <v>634</v>
      </c>
      <c r="H850" s="14">
        <v>45936.593333333331</v>
      </c>
      <c r="I850" s="12">
        <f>-Mvt_Inter_entrepot[[#This Row],[QTE]]</f>
        <v>-5</v>
      </c>
      <c r="J850" s="11" t="s">
        <v>47</v>
      </c>
      <c r="K850" s="11" t="str">
        <f>_xlfn.TEXTBEFORE(Mvt_Inter_entrepot[[#This Row],[Num Suivis]],"-",,,1)</f>
        <v>CA250025</v>
      </c>
      <c r="L850" s="11" t="e">
        <f>_xlfn.XLOOKUP(Mvt_Inter_entrepot[[#This Row],[Num OF]],#REF!,#REF!,"Non Trouvé")</f>
        <v>#REF!</v>
      </c>
      <c r="M850" s="11" t="e">
        <f>_xlfn.XLOOKUP(Mvt_Inter_entrepot[[#This Row],[Num OF]],#REF!,#REF!,"Non Trouvé")</f>
        <v>#REF!</v>
      </c>
      <c r="N850" s="11" t="e">
        <f>_xlfn.XLOOKUP(Mvt_Inter_entrepot[[#This Row],[Num OF]],#REF!,#REF!,"Non Trouvé")</f>
        <v>#REF!</v>
      </c>
      <c r="O850" s="11" t="e">
        <f>_xlfn.XLOOKUP(Mvt_Inter_entrepot[[#This Row],[Num OF]],#REF!,#REF!,"Non Trouvé")</f>
        <v>#REF!</v>
      </c>
      <c r="P850" s="11" t="e">
        <f>_xlfn.XLOOKUP(Mvt_Inter_entrepot[[#This Row],[Num OF]],#REF!,#REF!,"Non Trouvé")</f>
        <v>#REF!</v>
      </c>
      <c r="Q850" s="11" t="str">
        <f>IF(
   COUNTIFS($A$2:A850,A850,
             $B$2:B850,B850,
             $C$2:C850,C850,
             $D$2:D850,D850,
             $E$2:E850,E850,
             $H$2:H850,H850
             )&gt;1,
   "Doublon",
   "Correcte"
)</f>
        <v>Correcte</v>
      </c>
    </row>
    <row r="851" spans="1:17" x14ac:dyDescent="0.25">
      <c r="A851" s="11" t="s">
        <v>3630</v>
      </c>
      <c r="B851" s="11" t="s">
        <v>1153</v>
      </c>
      <c r="C851" s="11" t="s">
        <v>665</v>
      </c>
      <c r="D851" s="11" t="s">
        <v>1154</v>
      </c>
      <c r="E851" s="11">
        <v>5</v>
      </c>
      <c r="F851" s="11" t="s">
        <v>699</v>
      </c>
      <c r="G851" s="11" t="s">
        <v>634</v>
      </c>
      <c r="H851" s="14">
        <v>45936.593587962961</v>
      </c>
      <c r="I851" s="12">
        <f>-Mvt_Inter_entrepot[[#This Row],[QTE]]</f>
        <v>-5</v>
      </c>
      <c r="J851" s="11" t="s">
        <v>951</v>
      </c>
      <c r="K851" s="11" t="str">
        <f>_xlfn.TEXTBEFORE(Mvt_Inter_entrepot[[#This Row],[Num Suivis]],"-",,,1)</f>
        <v>CA250046</v>
      </c>
      <c r="L851" s="11" t="e">
        <f>_xlfn.XLOOKUP(Mvt_Inter_entrepot[[#This Row],[Num OF]],#REF!,#REF!,"Non Trouvé")</f>
        <v>#REF!</v>
      </c>
      <c r="M851" s="11" t="e">
        <f>_xlfn.XLOOKUP(Mvt_Inter_entrepot[[#This Row],[Num OF]],#REF!,#REF!,"Non Trouvé")</f>
        <v>#REF!</v>
      </c>
      <c r="N851" s="11" t="e">
        <f>_xlfn.XLOOKUP(Mvt_Inter_entrepot[[#This Row],[Num OF]],#REF!,#REF!,"Non Trouvé")</f>
        <v>#REF!</v>
      </c>
      <c r="O851" s="11" t="e">
        <f>_xlfn.XLOOKUP(Mvt_Inter_entrepot[[#This Row],[Num OF]],#REF!,#REF!,"Non Trouvé")</f>
        <v>#REF!</v>
      </c>
      <c r="P851" s="11" t="e">
        <f>_xlfn.XLOOKUP(Mvt_Inter_entrepot[[#This Row],[Num OF]],#REF!,#REF!,"Non Trouvé")</f>
        <v>#REF!</v>
      </c>
      <c r="Q851" s="11" t="str">
        <f>IF(
   COUNTIFS($A$2:A851,A851,
             $B$2:B851,B851,
             $C$2:C851,C851,
             $D$2:D851,D851,
             $E$2:E851,E851,
             $H$2:H851,H851
             )&gt;1,
   "Doublon",
   "Correcte"
)</f>
        <v>Correcte</v>
      </c>
    </row>
    <row r="852" spans="1:17" x14ac:dyDescent="0.25">
      <c r="A852" s="11" t="s">
        <v>3631</v>
      </c>
      <c r="B852" s="11" t="s">
        <v>1153</v>
      </c>
      <c r="C852" s="11" t="s">
        <v>665</v>
      </c>
      <c r="D852" s="11" t="s">
        <v>1154</v>
      </c>
      <c r="E852" s="11">
        <v>5</v>
      </c>
      <c r="F852" s="11" t="s">
        <v>699</v>
      </c>
      <c r="G852" s="11" t="s">
        <v>634</v>
      </c>
      <c r="H852" s="14">
        <v>45936.593842592592</v>
      </c>
      <c r="I852" s="12">
        <f>-Mvt_Inter_entrepot[[#This Row],[QTE]]</f>
        <v>-5</v>
      </c>
      <c r="J852" s="11" t="s">
        <v>1004</v>
      </c>
      <c r="K852" s="11" t="str">
        <f>_xlfn.TEXTBEFORE(Mvt_Inter_entrepot[[#This Row],[Num Suivis]],"-",,,1)</f>
        <v>CA250054</v>
      </c>
      <c r="L852" s="11" t="e">
        <f>_xlfn.XLOOKUP(Mvt_Inter_entrepot[[#This Row],[Num OF]],#REF!,#REF!,"Non Trouvé")</f>
        <v>#REF!</v>
      </c>
      <c r="M852" s="11" t="e">
        <f>_xlfn.XLOOKUP(Mvt_Inter_entrepot[[#This Row],[Num OF]],#REF!,#REF!,"Non Trouvé")</f>
        <v>#REF!</v>
      </c>
      <c r="N852" s="11" t="e">
        <f>_xlfn.XLOOKUP(Mvt_Inter_entrepot[[#This Row],[Num OF]],#REF!,#REF!,"Non Trouvé")</f>
        <v>#REF!</v>
      </c>
      <c r="O852" s="11" t="e">
        <f>_xlfn.XLOOKUP(Mvt_Inter_entrepot[[#This Row],[Num OF]],#REF!,#REF!,"Non Trouvé")</f>
        <v>#REF!</v>
      </c>
      <c r="P852" s="11" t="e">
        <f>_xlfn.XLOOKUP(Mvt_Inter_entrepot[[#This Row],[Num OF]],#REF!,#REF!,"Non Trouvé")</f>
        <v>#REF!</v>
      </c>
      <c r="Q852" s="11" t="str">
        <f>IF(
   COUNTIFS($A$2:A852,A852,
             $B$2:B852,B852,
             $C$2:C852,C852,
             $D$2:D852,D852,
             $E$2:E852,E852,
             $H$2:H852,H852
             )&gt;1,
   "Doublon",
   "Correcte"
)</f>
        <v>Correcte</v>
      </c>
    </row>
    <row r="853" spans="1:17" x14ac:dyDescent="0.25">
      <c r="A853" s="11" t="s">
        <v>3632</v>
      </c>
      <c r="B853" s="11" t="s">
        <v>1153</v>
      </c>
      <c r="C853" s="11" t="s">
        <v>665</v>
      </c>
      <c r="D853" s="11" t="s">
        <v>1154</v>
      </c>
      <c r="E853" s="11">
        <v>5</v>
      </c>
      <c r="F853" s="11" t="s">
        <v>699</v>
      </c>
      <c r="G853" s="11" t="s">
        <v>634</v>
      </c>
      <c r="H853" s="14">
        <v>45936.594074074077</v>
      </c>
      <c r="I853" s="12">
        <f>-Mvt_Inter_entrepot[[#This Row],[QTE]]</f>
        <v>-5</v>
      </c>
      <c r="J853" s="11" t="s">
        <v>1003</v>
      </c>
      <c r="K853" s="11" t="str">
        <f>_xlfn.TEXTBEFORE(Mvt_Inter_entrepot[[#This Row],[Num Suivis]],"-",,,1)</f>
        <v>CA250030</v>
      </c>
      <c r="L853" s="11" t="e">
        <f>_xlfn.XLOOKUP(Mvt_Inter_entrepot[[#This Row],[Num OF]],#REF!,#REF!,"Non Trouvé")</f>
        <v>#REF!</v>
      </c>
      <c r="M853" s="11" t="e">
        <f>_xlfn.XLOOKUP(Mvt_Inter_entrepot[[#This Row],[Num OF]],#REF!,#REF!,"Non Trouvé")</f>
        <v>#REF!</v>
      </c>
      <c r="N853" s="11" t="e">
        <f>_xlfn.XLOOKUP(Mvt_Inter_entrepot[[#This Row],[Num OF]],#REF!,#REF!,"Non Trouvé")</f>
        <v>#REF!</v>
      </c>
      <c r="O853" s="11" t="e">
        <f>_xlfn.XLOOKUP(Mvt_Inter_entrepot[[#This Row],[Num OF]],#REF!,#REF!,"Non Trouvé")</f>
        <v>#REF!</v>
      </c>
      <c r="P853" s="11" t="e">
        <f>_xlfn.XLOOKUP(Mvt_Inter_entrepot[[#This Row],[Num OF]],#REF!,#REF!,"Non Trouvé")</f>
        <v>#REF!</v>
      </c>
      <c r="Q853" s="11" t="str">
        <f>IF(
   COUNTIFS($A$2:A853,A853,
             $B$2:B853,B853,
             $C$2:C853,C853,
             $D$2:D853,D853,
             $E$2:E853,E853,
             $H$2:H853,H853
             )&gt;1,
   "Doublon",
   "Correcte"
)</f>
        <v>Correcte</v>
      </c>
    </row>
    <row r="854" spans="1:17" x14ac:dyDescent="0.25">
      <c r="A854" s="11" t="s">
        <v>3633</v>
      </c>
      <c r="B854" s="11" t="s">
        <v>1153</v>
      </c>
      <c r="C854" s="11" t="s">
        <v>665</v>
      </c>
      <c r="D854" s="11" t="s">
        <v>1154</v>
      </c>
      <c r="E854" s="11">
        <v>5</v>
      </c>
      <c r="F854" s="11" t="s">
        <v>699</v>
      </c>
      <c r="G854" s="11" t="s">
        <v>634</v>
      </c>
      <c r="H854" s="14">
        <v>45936.594270833331</v>
      </c>
      <c r="I854" s="12">
        <f>-Mvt_Inter_entrepot[[#This Row],[QTE]]</f>
        <v>-5</v>
      </c>
      <c r="J854" s="11" t="s">
        <v>1008</v>
      </c>
      <c r="K854" s="11" t="str">
        <f>_xlfn.TEXTBEFORE(Mvt_Inter_entrepot[[#This Row],[Num Suivis]],"-",,,1)</f>
        <v>CA250030</v>
      </c>
      <c r="L854" s="11" t="e">
        <f>_xlfn.XLOOKUP(Mvt_Inter_entrepot[[#This Row],[Num OF]],#REF!,#REF!,"Non Trouvé")</f>
        <v>#REF!</v>
      </c>
      <c r="M854" s="11" t="e">
        <f>_xlfn.XLOOKUP(Mvt_Inter_entrepot[[#This Row],[Num OF]],#REF!,#REF!,"Non Trouvé")</f>
        <v>#REF!</v>
      </c>
      <c r="N854" s="11" t="e">
        <f>_xlfn.XLOOKUP(Mvt_Inter_entrepot[[#This Row],[Num OF]],#REF!,#REF!,"Non Trouvé")</f>
        <v>#REF!</v>
      </c>
      <c r="O854" s="11" t="e">
        <f>_xlfn.XLOOKUP(Mvt_Inter_entrepot[[#This Row],[Num OF]],#REF!,#REF!,"Non Trouvé")</f>
        <v>#REF!</v>
      </c>
      <c r="P854" s="11" t="e">
        <f>_xlfn.XLOOKUP(Mvt_Inter_entrepot[[#This Row],[Num OF]],#REF!,#REF!,"Non Trouvé")</f>
        <v>#REF!</v>
      </c>
      <c r="Q854" s="11" t="str">
        <f>IF(
   COUNTIFS($A$2:A854,A854,
             $B$2:B854,B854,
             $C$2:C854,C854,
             $D$2:D854,D854,
             $E$2:E854,E854,
             $H$2:H854,H854
             )&gt;1,
   "Doublon",
   "Correcte"
)</f>
        <v>Correcte</v>
      </c>
    </row>
    <row r="855" spans="1:17" x14ac:dyDescent="0.25">
      <c r="A855" s="11" t="s">
        <v>3634</v>
      </c>
      <c r="B855" s="11" t="s">
        <v>1153</v>
      </c>
      <c r="C855" s="11" t="s">
        <v>665</v>
      </c>
      <c r="D855" s="11" t="s">
        <v>1154</v>
      </c>
      <c r="E855" s="11">
        <v>5</v>
      </c>
      <c r="F855" s="11" t="s">
        <v>699</v>
      </c>
      <c r="G855" s="11" t="s">
        <v>634</v>
      </c>
      <c r="H855" s="14">
        <v>45936.594502314816</v>
      </c>
      <c r="I855" s="12">
        <f>-Mvt_Inter_entrepot[[#This Row],[QTE]]</f>
        <v>-5</v>
      </c>
      <c r="J855" s="11" t="s">
        <v>1017</v>
      </c>
      <c r="K855" s="11" t="str">
        <f>_xlfn.TEXTBEFORE(Mvt_Inter_entrepot[[#This Row],[Num Suivis]],"-",,,1)</f>
        <v>CA250030</v>
      </c>
      <c r="L855" s="11" t="e">
        <f>_xlfn.XLOOKUP(Mvt_Inter_entrepot[[#This Row],[Num OF]],#REF!,#REF!,"Non Trouvé")</f>
        <v>#REF!</v>
      </c>
      <c r="M855" s="11" t="e">
        <f>_xlfn.XLOOKUP(Mvt_Inter_entrepot[[#This Row],[Num OF]],#REF!,#REF!,"Non Trouvé")</f>
        <v>#REF!</v>
      </c>
      <c r="N855" s="11" t="e">
        <f>_xlfn.XLOOKUP(Mvt_Inter_entrepot[[#This Row],[Num OF]],#REF!,#REF!,"Non Trouvé")</f>
        <v>#REF!</v>
      </c>
      <c r="O855" s="11" t="e">
        <f>_xlfn.XLOOKUP(Mvt_Inter_entrepot[[#This Row],[Num OF]],#REF!,#REF!,"Non Trouvé")</f>
        <v>#REF!</v>
      </c>
      <c r="P855" s="11" t="e">
        <f>_xlfn.XLOOKUP(Mvt_Inter_entrepot[[#This Row],[Num OF]],#REF!,#REF!,"Non Trouvé")</f>
        <v>#REF!</v>
      </c>
      <c r="Q855" s="11" t="str">
        <f>IF(
   COUNTIFS($A$2:A855,A855,
             $B$2:B855,B855,
             $C$2:C855,C855,
             $D$2:D855,D855,
             $E$2:E855,E855,
             $H$2:H855,H855
             )&gt;1,
   "Doublon",
   "Correcte"
)</f>
        <v>Correcte</v>
      </c>
    </row>
    <row r="856" spans="1:17" x14ac:dyDescent="0.25">
      <c r="A856" s="11" t="s">
        <v>3635</v>
      </c>
      <c r="B856" s="11" t="s">
        <v>1153</v>
      </c>
      <c r="C856" s="11" t="s">
        <v>665</v>
      </c>
      <c r="D856" s="11" t="s">
        <v>1154</v>
      </c>
      <c r="E856" s="11">
        <v>5</v>
      </c>
      <c r="F856" s="11" t="s">
        <v>699</v>
      </c>
      <c r="G856" s="11" t="s">
        <v>634</v>
      </c>
      <c r="H856" s="14">
        <v>45936.594733796293</v>
      </c>
      <c r="I856" s="12">
        <f>-Mvt_Inter_entrepot[[#This Row],[QTE]]</f>
        <v>-5</v>
      </c>
      <c r="J856" s="11" t="s">
        <v>982</v>
      </c>
      <c r="K856" s="11" t="str">
        <f>_xlfn.TEXTBEFORE(Mvt_Inter_entrepot[[#This Row],[Num Suivis]],"-",,,1)</f>
        <v>CA250039</v>
      </c>
      <c r="L856" s="11" t="e">
        <f>_xlfn.XLOOKUP(Mvt_Inter_entrepot[[#This Row],[Num OF]],#REF!,#REF!,"Non Trouvé")</f>
        <v>#REF!</v>
      </c>
      <c r="M856" s="11" t="e">
        <f>_xlfn.XLOOKUP(Mvt_Inter_entrepot[[#This Row],[Num OF]],#REF!,#REF!,"Non Trouvé")</f>
        <v>#REF!</v>
      </c>
      <c r="N856" s="11" t="e">
        <f>_xlfn.XLOOKUP(Mvt_Inter_entrepot[[#This Row],[Num OF]],#REF!,#REF!,"Non Trouvé")</f>
        <v>#REF!</v>
      </c>
      <c r="O856" s="11" t="e">
        <f>_xlfn.XLOOKUP(Mvt_Inter_entrepot[[#This Row],[Num OF]],#REF!,#REF!,"Non Trouvé")</f>
        <v>#REF!</v>
      </c>
      <c r="P856" s="11" t="e">
        <f>_xlfn.XLOOKUP(Mvt_Inter_entrepot[[#This Row],[Num OF]],#REF!,#REF!,"Non Trouvé")</f>
        <v>#REF!</v>
      </c>
      <c r="Q856" s="11" t="str">
        <f>IF(
   COUNTIFS($A$2:A856,A856,
             $B$2:B856,B856,
             $C$2:C856,C856,
             $D$2:D856,D856,
             $E$2:E856,E856,
             $H$2:H856,H856
             )&gt;1,
   "Doublon",
   "Correcte"
)</f>
        <v>Correcte</v>
      </c>
    </row>
    <row r="857" spans="1:17" x14ac:dyDescent="0.25">
      <c r="A857" s="11" t="s">
        <v>3636</v>
      </c>
      <c r="B857" s="11" t="s">
        <v>1153</v>
      </c>
      <c r="C857" s="11" t="s">
        <v>665</v>
      </c>
      <c r="D857" s="11" t="s">
        <v>1154</v>
      </c>
      <c r="E857" s="11">
        <v>5</v>
      </c>
      <c r="F857" s="11" t="s">
        <v>699</v>
      </c>
      <c r="G857" s="11" t="s">
        <v>634</v>
      </c>
      <c r="H857" s="14">
        <v>45936.595000000001</v>
      </c>
      <c r="I857" s="12">
        <f>-Mvt_Inter_entrepot[[#This Row],[QTE]]</f>
        <v>-5</v>
      </c>
      <c r="J857" s="11" t="s">
        <v>1009</v>
      </c>
      <c r="K857" s="11" t="str">
        <f>_xlfn.TEXTBEFORE(Mvt_Inter_entrepot[[#This Row],[Num Suivis]],"-",,,1)</f>
        <v>CA250030</v>
      </c>
      <c r="L857" s="11" t="e">
        <f>_xlfn.XLOOKUP(Mvt_Inter_entrepot[[#This Row],[Num OF]],#REF!,#REF!,"Non Trouvé")</f>
        <v>#REF!</v>
      </c>
      <c r="M857" s="11" t="e">
        <f>_xlfn.XLOOKUP(Mvt_Inter_entrepot[[#This Row],[Num OF]],#REF!,#REF!,"Non Trouvé")</f>
        <v>#REF!</v>
      </c>
      <c r="N857" s="11" t="e">
        <f>_xlfn.XLOOKUP(Mvt_Inter_entrepot[[#This Row],[Num OF]],#REF!,#REF!,"Non Trouvé")</f>
        <v>#REF!</v>
      </c>
      <c r="O857" s="11" t="e">
        <f>_xlfn.XLOOKUP(Mvt_Inter_entrepot[[#This Row],[Num OF]],#REF!,#REF!,"Non Trouvé")</f>
        <v>#REF!</v>
      </c>
      <c r="P857" s="11" t="e">
        <f>_xlfn.XLOOKUP(Mvt_Inter_entrepot[[#This Row],[Num OF]],#REF!,#REF!,"Non Trouvé")</f>
        <v>#REF!</v>
      </c>
      <c r="Q857" s="11" t="str">
        <f>IF(
   COUNTIFS($A$2:A857,A857,
             $B$2:B857,B857,
             $C$2:C857,C857,
             $D$2:D857,D857,
             $E$2:E857,E857,
             $H$2:H857,H857
             )&gt;1,
   "Doublon",
   "Correcte"
)</f>
        <v>Correcte</v>
      </c>
    </row>
    <row r="858" spans="1:17" x14ac:dyDescent="0.25">
      <c r="A858" s="11" t="s">
        <v>3637</v>
      </c>
      <c r="B858" s="11" t="s">
        <v>1153</v>
      </c>
      <c r="C858" s="11" t="s">
        <v>665</v>
      </c>
      <c r="D858" s="11" t="s">
        <v>1154</v>
      </c>
      <c r="E858" s="11">
        <v>5</v>
      </c>
      <c r="F858" s="11" t="s">
        <v>699</v>
      </c>
      <c r="G858" s="11" t="s">
        <v>634</v>
      </c>
      <c r="H858" s="14">
        <v>45936.598217592589</v>
      </c>
      <c r="I858" s="12">
        <f>-Mvt_Inter_entrepot[[#This Row],[QTE]]</f>
        <v>-5</v>
      </c>
      <c r="J858" s="11" t="s">
        <v>1000</v>
      </c>
      <c r="K858" s="11" t="str">
        <f>_xlfn.TEXTBEFORE(Mvt_Inter_entrepot[[#This Row],[Num Suivis]],"-",,,1)</f>
        <v>CA250049</v>
      </c>
      <c r="L858" s="11" t="e">
        <f>_xlfn.XLOOKUP(Mvt_Inter_entrepot[[#This Row],[Num OF]],#REF!,#REF!,"Non Trouvé")</f>
        <v>#REF!</v>
      </c>
      <c r="M858" s="11" t="e">
        <f>_xlfn.XLOOKUP(Mvt_Inter_entrepot[[#This Row],[Num OF]],#REF!,#REF!,"Non Trouvé")</f>
        <v>#REF!</v>
      </c>
      <c r="N858" s="11" t="e">
        <f>_xlfn.XLOOKUP(Mvt_Inter_entrepot[[#This Row],[Num OF]],#REF!,#REF!,"Non Trouvé")</f>
        <v>#REF!</v>
      </c>
      <c r="O858" s="11" t="e">
        <f>_xlfn.XLOOKUP(Mvt_Inter_entrepot[[#This Row],[Num OF]],#REF!,#REF!,"Non Trouvé")</f>
        <v>#REF!</v>
      </c>
      <c r="P858" s="11" t="e">
        <f>_xlfn.XLOOKUP(Mvt_Inter_entrepot[[#This Row],[Num OF]],#REF!,#REF!,"Non Trouvé")</f>
        <v>#REF!</v>
      </c>
      <c r="Q858" s="11" t="str">
        <f>IF(
   COUNTIFS($A$2:A858,A858,
             $B$2:B858,B858,
             $C$2:C858,C858,
             $D$2:D858,D858,
             $E$2:E858,E858,
             $H$2:H858,H858
             )&gt;1,
   "Doublon",
   "Correcte"
)</f>
        <v>Correcte</v>
      </c>
    </row>
    <row r="859" spans="1:17" x14ac:dyDescent="0.25">
      <c r="A859" s="11" t="s">
        <v>3638</v>
      </c>
      <c r="B859" s="11" t="s">
        <v>1153</v>
      </c>
      <c r="C859" s="11" t="s">
        <v>665</v>
      </c>
      <c r="D859" s="11" t="s">
        <v>1154</v>
      </c>
      <c r="E859" s="11">
        <v>5</v>
      </c>
      <c r="F859" s="11" t="s">
        <v>699</v>
      </c>
      <c r="G859" s="11" t="s">
        <v>634</v>
      </c>
      <c r="H859" s="14">
        <v>45936.598414351851</v>
      </c>
      <c r="I859" s="12">
        <f>-Mvt_Inter_entrepot[[#This Row],[QTE]]</f>
        <v>-5</v>
      </c>
      <c r="J859" s="11" t="s">
        <v>1001</v>
      </c>
      <c r="K859" s="11" t="str">
        <f>_xlfn.TEXTBEFORE(Mvt_Inter_entrepot[[#This Row],[Num Suivis]],"-",,,1)</f>
        <v>CA250049</v>
      </c>
      <c r="L859" s="11" t="e">
        <f>_xlfn.XLOOKUP(Mvt_Inter_entrepot[[#This Row],[Num OF]],#REF!,#REF!,"Non Trouvé")</f>
        <v>#REF!</v>
      </c>
      <c r="M859" s="11" t="e">
        <f>_xlfn.XLOOKUP(Mvt_Inter_entrepot[[#This Row],[Num OF]],#REF!,#REF!,"Non Trouvé")</f>
        <v>#REF!</v>
      </c>
      <c r="N859" s="11" t="e">
        <f>_xlfn.XLOOKUP(Mvt_Inter_entrepot[[#This Row],[Num OF]],#REF!,#REF!,"Non Trouvé")</f>
        <v>#REF!</v>
      </c>
      <c r="O859" s="11" t="e">
        <f>_xlfn.XLOOKUP(Mvt_Inter_entrepot[[#This Row],[Num OF]],#REF!,#REF!,"Non Trouvé")</f>
        <v>#REF!</v>
      </c>
      <c r="P859" s="11" t="e">
        <f>_xlfn.XLOOKUP(Mvt_Inter_entrepot[[#This Row],[Num OF]],#REF!,#REF!,"Non Trouvé")</f>
        <v>#REF!</v>
      </c>
      <c r="Q859" s="11" t="str">
        <f>IF(
   COUNTIFS($A$2:A859,A859,
             $B$2:B859,B859,
             $C$2:C859,C859,
             $D$2:D859,D859,
             $E$2:E859,E859,
             $H$2:H859,H859
             )&gt;1,
   "Doublon",
   "Correcte"
)</f>
        <v>Correcte</v>
      </c>
    </row>
    <row r="860" spans="1:17" x14ac:dyDescent="0.25">
      <c r="A860" s="11" t="s">
        <v>3639</v>
      </c>
      <c r="B860" s="11" t="s">
        <v>1153</v>
      </c>
      <c r="C860" s="11" t="s">
        <v>665</v>
      </c>
      <c r="D860" s="11" t="s">
        <v>1154</v>
      </c>
      <c r="E860" s="11">
        <v>5</v>
      </c>
      <c r="F860" s="11" t="s">
        <v>699</v>
      </c>
      <c r="G860" s="11" t="s">
        <v>634</v>
      </c>
      <c r="H860" s="14">
        <v>45936.598657407405</v>
      </c>
      <c r="I860" s="12">
        <f>-Mvt_Inter_entrepot[[#This Row],[QTE]]</f>
        <v>-5</v>
      </c>
      <c r="J860" s="11" t="s">
        <v>742</v>
      </c>
      <c r="K860" s="11" t="str">
        <f>_xlfn.TEXTBEFORE(Mvt_Inter_entrepot[[#This Row],[Num Suivis]],"-",,,1)</f>
        <v>CA250391</v>
      </c>
      <c r="L860" s="11" t="e">
        <f>_xlfn.XLOOKUP(Mvt_Inter_entrepot[[#This Row],[Num OF]],#REF!,#REF!,"Non Trouvé")</f>
        <v>#REF!</v>
      </c>
      <c r="M860" s="11" t="e">
        <f>_xlfn.XLOOKUP(Mvt_Inter_entrepot[[#This Row],[Num OF]],#REF!,#REF!,"Non Trouvé")</f>
        <v>#REF!</v>
      </c>
      <c r="N860" s="11" t="e">
        <f>_xlfn.XLOOKUP(Mvt_Inter_entrepot[[#This Row],[Num OF]],#REF!,#REF!,"Non Trouvé")</f>
        <v>#REF!</v>
      </c>
      <c r="O860" s="11" t="e">
        <f>_xlfn.XLOOKUP(Mvt_Inter_entrepot[[#This Row],[Num OF]],#REF!,#REF!,"Non Trouvé")</f>
        <v>#REF!</v>
      </c>
      <c r="P860" s="11" t="e">
        <f>_xlfn.XLOOKUP(Mvt_Inter_entrepot[[#This Row],[Num OF]],#REF!,#REF!,"Non Trouvé")</f>
        <v>#REF!</v>
      </c>
      <c r="Q860" s="11" t="str">
        <f>IF(
   COUNTIFS($A$2:A860,A860,
             $B$2:B860,B860,
             $C$2:C860,C860,
             $D$2:D860,D860,
             $E$2:E860,E860,
             $H$2:H860,H860
             )&gt;1,
   "Doublon",
   "Correcte"
)</f>
        <v>Correcte</v>
      </c>
    </row>
    <row r="861" spans="1:17" x14ac:dyDescent="0.25">
      <c r="A861" s="11" t="s">
        <v>3640</v>
      </c>
      <c r="B861" s="11" t="s">
        <v>1153</v>
      </c>
      <c r="C861" s="11" t="s">
        <v>665</v>
      </c>
      <c r="D861" s="11" t="s">
        <v>1154</v>
      </c>
      <c r="E861" s="11">
        <v>1</v>
      </c>
      <c r="F861" s="11" t="s">
        <v>699</v>
      </c>
      <c r="G861" s="11" t="s">
        <v>634</v>
      </c>
      <c r="H861" s="14">
        <v>45936.59888888889</v>
      </c>
      <c r="I861" s="12">
        <f>-Mvt_Inter_entrepot[[#This Row],[QTE]]</f>
        <v>-1</v>
      </c>
      <c r="J861" s="11" t="s">
        <v>746</v>
      </c>
      <c r="K861" s="11" t="str">
        <f>_xlfn.TEXTBEFORE(Mvt_Inter_entrepot[[#This Row],[Num Suivis]],"-",,,1)</f>
        <v>CA250391</v>
      </c>
      <c r="L861" s="11" t="e">
        <f>_xlfn.XLOOKUP(Mvt_Inter_entrepot[[#This Row],[Num OF]],#REF!,#REF!,"Non Trouvé")</f>
        <v>#REF!</v>
      </c>
      <c r="M861" s="11" t="e">
        <f>_xlfn.XLOOKUP(Mvt_Inter_entrepot[[#This Row],[Num OF]],#REF!,#REF!,"Non Trouvé")</f>
        <v>#REF!</v>
      </c>
      <c r="N861" s="11" t="e">
        <f>_xlfn.XLOOKUP(Mvt_Inter_entrepot[[#This Row],[Num OF]],#REF!,#REF!,"Non Trouvé")</f>
        <v>#REF!</v>
      </c>
      <c r="O861" s="11" t="e">
        <f>_xlfn.XLOOKUP(Mvt_Inter_entrepot[[#This Row],[Num OF]],#REF!,#REF!,"Non Trouvé")</f>
        <v>#REF!</v>
      </c>
      <c r="P861" s="11" t="e">
        <f>_xlfn.XLOOKUP(Mvt_Inter_entrepot[[#This Row],[Num OF]],#REF!,#REF!,"Non Trouvé")</f>
        <v>#REF!</v>
      </c>
      <c r="Q861" s="11" t="str">
        <f>IF(
   COUNTIFS($A$2:A861,A861,
             $B$2:B861,B861,
             $C$2:C861,C861,
             $D$2:D861,D861,
             $E$2:E861,E861,
             $H$2:H861,H861
             )&gt;1,
   "Doublon",
   "Correcte"
)</f>
        <v>Correcte</v>
      </c>
    </row>
    <row r="862" spans="1:17" x14ac:dyDescent="0.25">
      <c r="A862" s="11" t="s">
        <v>3641</v>
      </c>
      <c r="B862" s="11" t="s">
        <v>1153</v>
      </c>
      <c r="C862" s="11" t="s">
        <v>665</v>
      </c>
      <c r="D862" s="11" t="s">
        <v>1154</v>
      </c>
      <c r="E862" s="11">
        <v>5</v>
      </c>
      <c r="F862" s="11" t="s">
        <v>699</v>
      </c>
      <c r="G862" s="11" t="s">
        <v>634</v>
      </c>
      <c r="H862" s="14">
        <v>45936.599062499998</v>
      </c>
      <c r="I862" s="12">
        <f>-Mvt_Inter_entrepot[[#This Row],[QTE]]</f>
        <v>-5</v>
      </c>
      <c r="J862" s="11" t="s">
        <v>1179</v>
      </c>
      <c r="K862" s="11" t="str">
        <f>_xlfn.TEXTBEFORE(Mvt_Inter_entrepot[[#This Row],[Num Suivis]],"-",,,1)</f>
        <v>CA250365</v>
      </c>
      <c r="L862" s="11" t="e">
        <f>_xlfn.XLOOKUP(Mvt_Inter_entrepot[[#This Row],[Num OF]],#REF!,#REF!,"Non Trouvé")</f>
        <v>#REF!</v>
      </c>
      <c r="M862" s="11" t="e">
        <f>_xlfn.XLOOKUP(Mvt_Inter_entrepot[[#This Row],[Num OF]],#REF!,#REF!,"Non Trouvé")</f>
        <v>#REF!</v>
      </c>
      <c r="N862" s="11" t="e">
        <f>_xlfn.XLOOKUP(Mvt_Inter_entrepot[[#This Row],[Num OF]],#REF!,#REF!,"Non Trouvé")</f>
        <v>#REF!</v>
      </c>
      <c r="O862" s="11" t="e">
        <f>_xlfn.XLOOKUP(Mvt_Inter_entrepot[[#This Row],[Num OF]],#REF!,#REF!,"Non Trouvé")</f>
        <v>#REF!</v>
      </c>
      <c r="P862" s="11" t="e">
        <f>_xlfn.XLOOKUP(Mvt_Inter_entrepot[[#This Row],[Num OF]],#REF!,#REF!,"Non Trouvé")</f>
        <v>#REF!</v>
      </c>
      <c r="Q862" s="11" t="str">
        <f>IF(
   COUNTIFS($A$2:A862,A862,
             $B$2:B862,B862,
             $C$2:C862,C862,
             $D$2:D862,D862,
             $E$2:E862,E862,
             $H$2:H862,H862
             )&gt;1,
   "Doublon",
   "Correcte"
)</f>
        <v>Correcte</v>
      </c>
    </row>
    <row r="863" spans="1:17" x14ac:dyDescent="0.25">
      <c r="A863" s="11" t="s">
        <v>3642</v>
      </c>
      <c r="B863" s="11" t="s">
        <v>1153</v>
      </c>
      <c r="C863" s="11" t="s">
        <v>665</v>
      </c>
      <c r="D863" s="11" t="s">
        <v>1154</v>
      </c>
      <c r="E863" s="11">
        <v>5</v>
      </c>
      <c r="F863" s="11" t="s">
        <v>699</v>
      </c>
      <c r="G863" s="11" t="s">
        <v>634</v>
      </c>
      <c r="H863" s="14">
        <v>45936.599479166667</v>
      </c>
      <c r="I863" s="12">
        <f>-Mvt_Inter_entrepot[[#This Row],[QTE]]</f>
        <v>-5</v>
      </c>
      <c r="J863" s="11" t="s">
        <v>745</v>
      </c>
      <c r="K863" s="11" t="str">
        <f>_xlfn.TEXTBEFORE(Mvt_Inter_entrepot[[#This Row],[Num Suivis]],"-",,,1)</f>
        <v>CA250391</v>
      </c>
      <c r="L863" s="11" t="e">
        <f>_xlfn.XLOOKUP(Mvt_Inter_entrepot[[#This Row],[Num OF]],#REF!,#REF!,"Non Trouvé")</f>
        <v>#REF!</v>
      </c>
      <c r="M863" s="11" t="e">
        <f>_xlfn.XLOOKUP(Mvt_Inter_entrepot[[#This Row],[Num OF]],#REF!,#REF!,"Non Trouvé")</f>
        <v>#REF!</v>
      </c>
      <c r="N863" s="11" t="e">
        <f>_xlfn.XLOOKUP(Mvt_Inter_entrepot[[#This Row],[Num OF]],#REF!,#REF!,"Non Trouvé")</f>
        <v>#REF!</v>
      </c>
      <c r="O863" s="11" t="e">
        <f>_xlfn.XLOOKUP(Mvt_Inter_entrepot[[#This Row],[Num OF]],#REF!,#REF!,"Non Trouvé")</f>
        <v>#REF!</v>
      </c>
      <c r="P863" s="11" t="e">
        <f>_xlfn.XLOOKUP(Mvt_Inter_entrepot[[#This Row],[Num OF]],#REF!,#REF!,"Non Trouvé")</f>
        <v>#REF!</v>
      </c>
      <c r="Q863" s="11" t="str">
        <f>IF(
   COUNTIFS($A$2:A863,A863,
             $B$2:B863,B863,
             $C$2:C863,C863,
             $D$2:D863,D863,
             $E$2:E863,E863,
             $H$2:H863,H863
             )&gt;1,
   "Doublon",
   "Correcte"
)</f>
        <v>Correcte</v>
      </c>
    </row>
    <row r="864" spans="1:17" x14ac:dyDescent="0.25">
      <c r="A864" s="11" t="s">
        <v>3643</v>
      </c>
      <c r="B864" s="11" t="s">
        <v>1153</v>
      </c>
      <c r="C864" s="11" t="s">
        <v>665</v>
      </c>
      <c r="D864" s="11" t="s">
        <v>1154</v>
      </c>
      <c r="E864" s="11">
        <v>5</v>
      </c>
      <c r="F864" s="11" t="s">
        <v>699</v>
      </c>
      <c r="G864" s="11" t="s">
        <v>634</v>
      </c>
      <c r="H864" s="14">
        <v>45936.59983796296</v>
      </c>
      <c r="I864" s="12">
        <f>-Mvt_Inter_entrepot[[#This Row],[QTE]]</f>
        <v>-5</v>
      </c>
      <c r="J864" s="11" t="s">
        <v>714</v>
      </c>
      <c r="K864" s="11" t="str">
        <f>_xlfn.TEXTBEFORE(Mvt_Inter_entrepot[[#This Row],[Num Suivis]],"-",,,1)</f>
        <v>CA250474</v>
      </c>
      <c r="L864" s="11" t="e">
        <f>_xlfn.XLOOKUP(Mvt_Inter_entrepot[[#This Row],[Num OF]],#REF!,#REF!,"Non Trouvé")</f>
        <v>#REF!</v>
      </c>
      <c r="M864" s="11" t="e">
        <f>_xlfn.XLOOKUP(Mvt_Inter_entrepot[[#This Row],[Num OF]],#REF!,#REF!,"Non Trouvé")</f>
        <v>#REF!</v>
      </c>
      <c r="N864" s="11" t="e">
        <f>_xlfn.XLOOKUP(Mvt_Inter_entrepot[[#This Row],[Num OF]],#REF!,#REF!,"Non Trouvé")</f>
        <v>#REF!</v>
      </c>
      <c r="O864" s="11" t="e">
        <f>_xlfn.XLOOKUP(Mvt_Inter_entrepot[[#This Row],[Num OF]],#REF!,#REF!,"Non Trouvé")</f>
        <v>#REF!</v>
      </c>
      <c r="P864" s="11" t="e">
        <f>_xlfn.XLOOKUP(Mvt_Inter_entrepot[[#This Row],[Num OF]],#REF!,#REF!,"Non Trouvé")</f>
        <v>#REF!</v>
      </c>
      <c r="Q864" s="11" t="str">
        <f>IF(
   COUNTIFS($A$2:A864,A864,
             $B$2:B864,B864,
             $C$2:C864,C864,
             $D$2:D864,D864,
             $E$2:E864,E864,
             $H$2:H864,H864
             )&gt;1,
   "Doublon",
   "Correcte"
)</f>
        <v>Correcte</v>
      </c>
    </row>
    <row r="865" spans="1:17" x14ac:dyDescent="0.25">
      <c r="A865" s="11" t="s">
        <v>3644</v>
      </c>
      <c r="B865" s="11" t="s">
        <v>1153</v>
      </c>
      <c r="C865" s="11" t="s">
        <v>665</v>
      </c>
      <c r="D865" s="11" t="s">
        <v>1154</v>
      </c>
      <c r="E865" s="11">
        <v>5</v>
      </c>
      <c r="F865" s="11" t="s">
        <v>699</v>
      </c>
      <c r="G865" s="11" t="s">
        <v>634</v>
      </c>
      <c r="H865" s="14">
        <v>45936.600069444445</v>
      </c>
      <c r="I865" s="12">
        <f>-Mvt_Inter_entrepot[[#This Row],[QTE]]</f>
        <v>-5</v>
      </c>
      <c r="J865" s="11" t="s">
        <v>753</v>
      </c>
      <c r="K865" s="11" t="str">
        <f>_xlfn.TEXTBEFORE(Mvt_Inter_entrepot[[#This Row],[Num Suivis]],"-",,,1)</f>
        <v>CA250473</v>
      </c>
      <c r="L865" s="11" t="e">
        <f>_xlfn.XLOOKUP(Mvt_Inter_entrepot[[#This Row],[Num OF]],#REF!,#REF!,"Non Trouvé")</f>
        <v>#REF!</v>
      </c>
      <c r="M865" s="11" t="e">
        <f>_xlfn.XLOOKUP(Mvt_Inter_entrepot[[#This Row],[Num OF]],#REF!,#REF!,"Non Trouvé")</f>
        <v>#REF!</v>
      </c>
      <c r="N865" s="11" t="e">
        <f>_xlfn.XLOOKUP(Mvt_Inter_entrepot[[#This Row],[Num OF]],#REF!,#REF!,"Non Trouvé")</f>
        <v>#REF!</v>
      </c>
      <c r="O865" s="11" t="e">
        <f>_xlfn.XLOOKUP(Mvt_Inter_entrepot[[#This Row],[Num OF]],#REF!,#REF!,"Non Trouvé")</f>
        <v>#REF!</v>
      </c>
      <c r="P865" s="11" t="e">
        <f>_xlfn.XLOOKUP(Mvt_Inter_entrepot[[#This Row],[Num OF]],#REF!,#REF!,"Non Trouvé")</f>
        <v>#REF!</v>
      </c>
      <c r="Q865" s="11" t="str">
        <f>IF(
   COUNTIFS($A$2:A865,A865,
             $B$2:B865,B865,
             $C$2:C865,C865,
             $D$2:D865,D865,
             $E$2:E865,E865,
             $H$2:H865,H865
             )&gt;1,
   "Doublon",
   "Correcte"
)</f>
        <v>Correcte</v>
      </c>
    </row>
    <row r="866" spans="1:17" x14ac:dyDescent="0.25">
      <c r="A866" s="11" t="s">
        <v>3645</v>
      </c>
      <c r="B866" s="11" t="s">
        <v>1153</v>
      </c>
      <c r="C866" s="11" t="s">
        <v>665</v>
      </c>
      <c r="D866" s="11" t="s">
        <v>1154</v>
      </c>
      <c r="E866" s="11">
        <v>5</v>
      </c>
      <c r="F866" s="11" t="s">
        <v>699</v>
      </c>
      <c r="G866" s="11" t="s">
        <v>634</v>
      </c>
      <c r="H866" s="14">
        <v>45936.600277777776</v>
      </c>
      <c r="I866" s="12">
        <f>-Mvt_Inter_entrepot[[#This Row],[QTE]]</f>
        <v>-5</v>
      </c>
      <c r="J866" s="11" t="s">
        <v>748</v>
      </c>
      <c r="K866" s="11" t="str">
        <f>_xlfn.TEXTBEFORE(Mvt_Inter_entrepot[[#This Row],[Num Suivis]],"-",,,1)</f>
        <v>CA250473</v>
      </c>
      <c r="L866" s="11" t="e">
        <f>_xlfn.XLOOKUP(Mvt_Inter_entrepot[[#This Row],[Num OF]],#REF!,#REF!,"Non Trouvé")</f>
        <v>#REF!</v>
      </c>
      <c r="M866" s="11" t="e">
        <f>_xlfn.XLOOKUP(Mvt_Inter_entrepot[[#This Row],[Num OF]],#REF!,#REF!,"Non Trouvé")</f>
        <v>#REF!</v>
      </c>
      <c r="N866" s="11" t="e">
        <f>_xlfn.XLOOKUP(Mvt_Inter_entrepot[[#This Row],[Num OF]],#REF!,#REF!,"Non Trouvé")</f>
        <v>#REF!</v>
      </c>
      <c r="O866" s="11" t="e">
        <f>_xlfn.XLOOKUP(Mvt_Inter_entrepot[[#This Row],[Num OF]],#REF!,#REF!,"Non Trouvé")</f>
        <v>#REF!</v>
      </c>
      <c r="P866" s="11" t="e">
        <f>_xlfn.XLOOKUP(Mvt_Inter_entrepot[[#This Row],[Num OF]],#REF!,#REF!,"Non Trouvé")</f>
        <v>#REF!</v>
      </c>
      <c r="Q866" s="11" t="str">
        <f>IF(
   COUNTIFS($A$2:A866,A866,
             $B$2:B866,B866,
             $C$2:C866,C866,
             $D$2:D866,D866,
             $E$2:E866,E866,
             $H$2:H866,H866
             )&gt;1,
   "Doublon",
   "Correcte"
)</f>
        <v>Correcte</v>
      </c>
    </row>
    <row r="867" spans="1:17" x14ac:dyDescent="0.25">
      <c r="A867" s="11" t="s">
        <v>3646</v>
      </c>
      <c r="B867" s="11" t="s">
        <v>1153</v>
      </c>
      <c r="C867" s="11" t="s">
        <v>665</v>
      </c>
      <c r="D867" s="11" t="s">
        <v>1154</v>
      </c>
      <c r="E867" s="11">
        <v>5</v>
      </c>
      <c r="F867" s="11" t="s">
        <v>699</v>
      </c>
      <c r="G867" s="11" t="s">
        <v>634</v>
      </c>
      <c r="H867" s="14">
        <v>45936.60083333333</v>
      </c>
      <c r="I867" s="12">
        <f>-Mvt_Inter_entrepot[[#This Row],[QTE]]</f>
        <v>-5</v>
      </c>
      <c r="J867" s="11" t="s">
        <v>751</v>
      </c>
      <c r="K867" s="11" t="str">
        <f>_xlfn.TEXTBEFORE(Mvt_Inter_entrepot[[#This Row],[Num Suivis]],"-",,,1)</f>
        <v>CA250473</v>
      </c>
      <c r="L867" s="11" t="e">
        <f>_xlfn.XLOOKUP(Mvt_Inter_entrepot[[#This Row],[Num OF]],#REF!,#REF!,"Non Trouvé")</f>
        <v>#REF!</v>
      </c>
      <c r="M867" s="11" t="e">
        <f>_xlfn.XLOOKUP(Mvt_Inter_entrepot[[#This Row],[Num OF]],#REF!,#REF!,"Non Trouvé")</f>
        <v>#REF!</v>
      </c>
      <c r="N867" s="11" t="e">
        <f>_xlfn.XLOOKUP(Mvt_Inter_entrepot[[#This Row],[Num OF]],#REF!,#REF!,"Non Trouvé")</f>
        <v>#REF!</v>
      </c>
      <c r="O867" s="11" t="e">
        <f>_xlfn.XLOOKUP(Mvt_Inter_entrepot[[#This Row],[Num OF]],#REF!,#REF!,"Non Trouvé")</f>
        <v>#REF!</v>
      </c>
      <c r="P867" s="11" t="e">
        <f>_xlfn.XLOOKUP(Mvt_Inter_entrepot[[#This Row],[Num OF]],#REF!,#REF!,"Non Trouvé")</f>
        <v>#REF!</v>
      </c>
      <c r="Q867" s="11" t="str">
        <f>IF(
   COUNTIFS($A$2:A867,A867,
             $B$2:B867,B867,
             $C$2:C867,C867,
             $D$2:D867,D867,
             $E$2:E867,E867,
             $H$2:H867,H867
             )&gt;1,
   "Doublon",
   "Correcte"
)</f>
        <v>Correcte</v>
      </c>
    </row>
    <row r="868" spans="1:17" x14ac:dyDescent="0.25">
      <c r="A868" s="11" t="s">
        <v>3647</v>
      </c>
      <c r="B868" s="11" t="s">
        <v>1153</v>
      </c>
      <c r="C868" s="11" t="s">
        <v>665</v>
      </c>
      <c r="D868" s="11" t="s">
        <v>1154</v>
      </c>
      <c r="E868" s="11">
        <v>5</v>
      </c>
      <c r="F868" s="11" t="s">
        <v>699</v>
      </c>
      <c r="G868" s="11" t="s">
        <v>634</v>
      </c>
      <c r="H868" s="14">
        <v>45936.601215277777</v>
      </c>
      <c r="I868" s="12">
        <f>-Mvt_Inter_entrepot[[#This Row],[QTE]]</f>
        <v>-5</v>
      </c>
      <c r="J868" s="11" t="s">
        <v>752</v>
      </c>
      <c r="K868" s="11" t="str">
        <f>_xlfn.TEXTBEFORE(Mvt_Inter_entrepot[[#This Row],[Num Suivis]],"-",,,1)</f>
        <v>CA250473</v>
      </c>
      <c r="L868" s="11" t="e">
        <f>_xlfn.XLOOKUP(Mvt_Inter_entrepot[[#This Row],[Num OF]],#REF!,#REF!,"Non Trouvé")</f>
        <v>#REF!</v>
      </c>
      <c r="M868" s="11" t="e">
        <f>_xlfn.XLOOKUP(Mvt_Inter_entrepot[[#This Row],[Num OF]],#REF!,#REF!,"Non Trouvé")</f>
        <v>#REF!</v>
      </c>
      <c r="N868" s="11" t="e">
        <f>_xlfn.XLOOKUP(Mvt_Inter_entrepot[[#This Row],[Num OF]],#REF!,#REF!,"Non Trouvé")</f>
        <v>#REF!</v>
      </c>
      <c r="O868" s="11" t="e">
        <f>_xlfn.XLOOKUP(Mvt_Inter_entrepot[[#This Row],[Num OF]],#REF!,#REF!,"Non Trouvé")</f>
        <v>#REF!</v>
      </c>
      <c r="P868" s="11" t="e">
        <f>_xlfn.XLOOKUP(Mvt_Inter_entrepot[[#This Row],[Num OF]],#REF!,#REF!,"Non Trouvé")</f>
        <v>#REF!</v>
      </c>
      <c r="Q868" s="11" t="str">
        <f>IF(
   COUNTIFS($A$2:A868,A868,
             $B$2:B868,B868,
             $C$2:C868,C868,
             $D$2:D868,D868,
             $E$2:E868,E868,
             $H$2:H868,H868
             )&gt;1,
   "Doublon",
   "Correcte"
)</f>
        <v>Correcte</v>
      </c>
    </row>
    <row r="869" spans="1:17" x14ac:dyDescent="0.25">
      <c r="A869" s="11" t="s">
        <v>3648</v>
      </c>
      <c r="B869" s="11" t="s">
        <v>1153</v>
      </c>
      <c r="C869" s="11" t="s">
        <v>665</v>
      </c>
      <c r="D869" s="11" t="s">
        <v>1154</v>
      </c>
      <c r="E869" s="11">
        <v>5</v>
      </c>
      <c r="F869" s="11" t="s">
        <v>699</v>
      </c>
      <c r="G869" s="11" t="s">
        <v>634</v>
      </c>
      <c r="H869" s="14">
        <v>45936.601469907408</v>
      </c>
      <c r="I869" s="12">
        <f>-Mvt_Inter_entrepot[[#This Row],[QTE]]</f>
        <v>-5</v>
      </c>
      <c r="J869" s="11" t="s">
        <v>747</v>
      </c>
      <c r="K869" s="11" t="str">
        <f>_xlfn.TEXTBEFORE(Mvt_Inter_entrepot[[#This Row],[Num Suivis]],"-",,,1)</f>
        <v>CA250473</v>
      </c>
      <c r="L869" s="11" t="e">
        <f>_xlfn.XLOOKUP(Mvt_Inter_entrepot[[#This Row],[Num OF]],#REF!,#REF!,"Non Trouvé")</f>
        <v>#REF!</v>
      </c>
      <c r="M869" s="11" t="e">
        <f>_xlfn.XLOOKUP(Mvt_Inter_entrepot[[#This Row],[Num OF]],#REF!,#REF!,"Non Trouvé")</f>
        <v>#REF!</v>
      </c>
      <c r="N869" s="11" t="e">
        <f>_xlfn.XLOOKUP(Mvt_Inter_entrepot[[#This Row],[Num OF]],#REF!,#REF!,"Non Trouvé")</f>
        <v>#REF!</v>
      </c>
      <c r="O869" s="11" t="e">
        <f>_xlfn.XLOOKUP(Mvt_Inter_entrepot[[#This Row],[Num OF]],#REF!,#REF!,"Non Trouvé")</f>
        <v>#REF!</v>
      </c>
      <c r="P869" s="11" t="e">
        <f>_xlfn.XLOOKUP(Mvt_Inter_entrepot[[#This Row],[Num OF]],#REF!,#REF!,"Non Trouvé")</f>
        <v>#REF!</v>
      </c>
      <c r="Q869" s="11" t="str">
        <f>IF(
   COUNTIFS($A$2:A869,A869,
             $B$2:B869,B869,
             $C$2:C869,C869,
             $D$2:D869,D869,
             $E$2:E869,E869,
             $H$2:H869,H869
             )&gt;1,
   "Doublon",
   "Correcte"
)</f>
        <v>Correcte</v>
      </c>
    </row>
    <row r="870" spans="1:17" x14ac:dyDescent="0.25">
      <c r="A870" s="11" t="s">
        <v>3649</v>
      </c>
      <c r="B870" s="11" t="s">
        <v>1153</v>
      </c>
      <c r="C870" s="11" t="s">
        <v>665</v>
      </c>
      <c r="D870" s="11" t="s">
        <v>1154</v>
      </c>
      <c r="E870" s="11">
        <v>5</v>
      </c>
      <c r="F870" s="11" t="s">
        <v>699</v>
      </c>
      <c r="G870" s="11" t="s">
        <v>634</v>
      </c>
      <c r="H870" s="14">
        <v>45936.601701388892</v>
      </c>
      <c r="I870" s="12">
        <f>-Mvt_Inter_entrepot[[#This Row],[QTE]]</f>
        <v>-5</v>
      </c>
      <c r="J870" s="11" t="s">
        <v>750</v>
      </c>
      <c r="K870" s="11" t="str">
        <f>_xlfn.TEXTBEFORE(Mvt_Inter_entrepot[[#This Row],[Num Suivis]],"-",,,1)</f>
        <v>CA250473</v>
      </c>
      <c r="L870" s="11" t="e">
        <f>_xlfn.XLOOKUP(Mvt_Inter_entrepot[[#This Row],[Num OF]],#REF!,#REF!,"Non Trouvé")</f>
        <v>#REF!</v>
      </c>
      <c r="M870" s="11" t="e">
        <f>_xlfn.XLOOKUP(Mvt_Inter_entrepot[[#This Row],[Num OF]],#REF!,#REF!,"Non Trouvé")</f>
        <v>#REF!</v>
      </c>
      <c r="N870" s="11" t="e">
        <f>_xlfn.XLOOKUP(Mvt_Inter_entrepot[[#This Row],[Num OF]],#REF!,#REF!,"Non Trouvé")</f>
        <v>#REF!</v>
      </c>
      <c r="O870" s="11" t="e">
        <f>_xlfn.XLOOKUP(Mvt_Inter_entrepot[[#This Row],[Num OF]],#REF!,#REF!,"Non Trouvé")</f>
        <v>#REF!</v>
      </c>
      <c r="P870" s="11" t="e">
        <f>_xlfn.XLOOKUP(Mvt_Inter_entrepot[[#This Row],[Num OF]],#REF!,#REF!,"Non Trouvé")</f>
        <v>#REF!</v>
      </c>
      <c r="Q870" s="11" t="str">
        <f>IF(
   COUNTIFS($A$2:A870,A870,
             $B$2:B870,B870,
             $C$2:C870,C870,
             $D$2:D870,D870,
             $E$2:E870,E870,
             $H$2:H870,H870
             )&gt;1,
   "Doublon",
   "Correcte"
)</f>
        <v>Correcte</v>
      </c>
    </row>
    <row r="871" spans="1:17" x14ac:dyDescent="0.25">
      <c r="A871" s="11" t="s">
        <v>3650</v>
      </c>
      <c r="B871" s="11" t="s">
        <v>1153</v>
      </c>
      <c r="C871" s="11" t="s">
        <v>665</v>
      </c>
      <c r="D871" s="11" t="s">
        <v>1154</v>
      </c>
      <c r="E871" s="11">
        <v>5</v>
      </c>
      <c r="F871" s="11" t="s">
        <v>699</v>
      </c>
      <c r="G871" s="11" t="s">
        <v>634</v>
      </c>
      <c r="H871" s="14">
        <v>45936.601944444446</v>
      </c>
      <c r="I871" s="12">
        <f>-Mvt_Inter_entrepot[[#This Row],[QTE]]</f>
        <v>-5</v>
      </c>
      <c r="J871" s="11" t="s">
        <v>749</v>
      </c>
      <c r="K871" s="11" t="str">
        <f>_xlfn.TEXTBEFORE(Mvt_Inter_entrepot[[#This Row],[Num Suivis]],"-",,,1)</f>
        <v>CA250473</v>
      </c>
      <c r="L871" s="11" t="e">
        <f>_xlfn.XLOOKUP(Mvt_Inter_entrepot[[#This Row],[Num OF]],#REF!,#REF!,"Non Trouvé")</f>
        <v>#REF!</v>
      </c>
      <c r="M871" s="11" t="e">
        <f>_xlfn.XLOOKUP(Mvt_Inter_entrepot[[#This Row],[Num OF]],#REF!,#REF!,"Non Trouvé")</f>
        <v>#REF!</v>
      </c>
      <c r="N871" s="11" t="e">
        <f>_xlfn.XLOOKUP(Mvt_Inter_entrepot[[#This Row],[Num OF]],#REF!,#REF!,"Non Trouvé")</f>
        <v>#REF!</v>
      </c>
      <c r="O871" s="11" t="e">
        <f>_xlfn.XLOOKUP(Mvt_Inter_entrepot[[#This Row],[Num OF]],#REF!,#REF!,"Non Trouvé")</f>
        <v>#REF!</v>
      </c>
      <c r="P871" s="11" t="e">
        <f>_xlfn.XLOOKUP(Mvt_Inter_entrepot[[#This Row],[Num OF]],#REF!,#REF!,"Non Trouvé")</f>
        <v>#REF!</v>
      </c>
      <c r="Q871" s="11" t="str">
        <f>IF(
   COUNTIFS($A$2:A871,A871,
             $B$2:B871,B871,
             $C$2:C871,C871,
             $D$2:D871,D871,
             $E$2:E871,E871,
             $H$2:H871,H871
             )&gt;1,
   "Doublon",
   "Correcte"
)</f>
        <v>Correcte</v>
      </c>
    </row>
    <row r="872" spans="1:17" x14ac:dyDescent="0.25">
      <c r="A872" s="11" t="s">
        <v>3651</v>
      </c>
      <c r="B872" s="11" t="s">
        <v>1153</v>
      </c>
      <c r="C872" s="11" t="s">
        <v>665</v>
      </c>
      <c r="D872" s="11" t="s">
        <v>1154</v>
      </c>
      <c r="E872" s="11">
        <v>5</v>
      </c>
      <c r="F872" s="11" t="s">
        <v>699</v>
      </c>
      <c r="G872" s="11" t="s">
        <v>634</v>
      </c>
      <c r="H872" s="14">
        <v>45936.602384259262</v>
      </c>
      <c r="I872" s="12">
        <f>-Mvt_Inter_entrepot[[#This Row],[QTE]]</f>
        <v>-5</v>
      </c>
      <c r="J872" s="11" t="s">
        <v>720</v>
      </c>
      <c r="K872" s="11" t="str">
        <f>_xlfn.TEXTBEFORE(Mvt_Inter_entrepot[[#This Row],[Num Suivis]],"-",,,1)</f>
        <v>CA250474</v>
      </c>
      <c r="L872" s="11" t="e">
        <f>_xlfn.XLOOKUP(Mvt_Inter_entrepot[[#This Row],[Num OF]],#REF!,#REF!,"Non Trouvé")</f>
        <v>#REF!</v>
      </c>
      <c r="M872" s="11" t="e">
        <f>_xlfn.XLOOKUP(Mvt_Inter_entrepot[[#This Row],[Num OF]],#REF!,#REF!,"Non Trouvé")</f>
        <v>#REF!</v>
      </c>
      <c r="N872" s="11" t="e">
        <f>_xlfn.XLOOKUP(Mvt_Inter_entrepot[[#This Row],[Num OF]],#REF!,#REF!,"Non Trouvé")</f>
        <v>#REF!</v>
      </c>
      <c r="O872" s="11" t="e">
        <f>_xlfn.XLOOKUP(Mvt_Inter_entrepot[[#This Row],[Num OF]],#REF!,#REF!,"Non Trouvé")</f>
        <v>#REF!</v>
      </c>
      <c r="P872" s="11" t="e">
        <f>_xlfn.XLOOKUP(Mvt_Inter_entrepot[[#This Row],[Num OF]],#REF!,#REF!,"Non Trouvé")</f>
        <v>#REF!</v>
      </c>
      <c r="Q872" s="11" t="str">
        <f>IF(
   COUNTIFS($A$2:A872,A872,
             $B$2:B872,B872,
             $C$2:C872,C872,
             $D$2:D872,D872,
             $E$2:E872,E872,
             $H$2:H872,H872
             )&gt;1,
   "Doublon",
   "Correcte"
)</f>
        <v>Correcte</v>
      </c>
    </row>
    <row r="873" spans="1:17" x14ac:dyDescent="0.25">
      <c r="A873" s="11" t="s">
        <v>3652</v>
      </c>
      <c r="B873" s="11" t="s">
        <v>1153</v>
      </c>
      <c r="C873" s="11" t="s">
        <v>665</v>
      </c>
      <c r="D873" s="11" t="s">
        <v>1154</v>
      </c>
      <c r="E873" s="11">
        <v>5</v>
      </c>
      <c r="F873" s="11" t="s">
        <v>699</v>
      </c>
      <c r="G873" s="11" t="s">
        <v>634</v>
      </c>
      <c r="H873" s="14">
        <v>45936.602546296293</v>
      </c>
      <c r="I873" s="12">
        <f>-Mvt_Inter_entrepot[[#This Row],[QTE]]</f>
        <v>-5</v>
      </c>
      <c r="J873" s="11" t="s">
        <v>717</v>
      </c>
      <c r="K873" s="11" t="str">
        <f>_xlfn.TEXTBEFORE(Mvt_Inter_entrepot[[#This Row],[Num Suivis]],"-",,,1)</f>
        <v>CA250474</v>
      </c>
      <c r="L873" s="11" t="e">
        <f>_xlfn.XLOOKUP(Mvt_Inter_entrepot[[#This Row],[Num OF]],#REF!,#REF!,"Non Trouvé")</f>
        <v>#REF!</v>
      </c>
      <c r="M873" s="11" t="e">
        <f>_xlfn.XLOOKUP(Mvt_Inter_entrepot[[#This Row],[Num OF]],#REF!,#REF!,"Non Trouvé")</f>
        <v>#REF!</v>
      </c>
      <c r="N873" s="11" t="e">
        <f>_xlfn.XLOOKUP(Mvt_Inter_entrepot[[#This Row],[Num OF]],#REF!,#REF!,"Non Trouvé")</f>
        <v>#REF!</v>
      </c>
      <c r="O873" s="11" t="e">
        <f>_xlfn.XLOOKUP(Mvt_Inter_entrepot[[#This Row],[Num OF]],#REF!,#REF!,"Non Trouvé")</f>
        <v>#REF!</v>
      </c>
      <c r="P873" s="11" t="e">
        <f>_xlfn.XLOOKUP(Mvt_Inter_entrepot[[#This Row],[Num OF]],#REF!,#REF!,"Non Trouvé")</f>
        <v>#REF!</v>
      </c>
      <c r="Q873" s="11" t="str">
        <f>IF(
   COUNTIFS($A$2:A873,A873,
             $B$2:B873,B873,
             $C$2:C873,C873,
             $D$2:D873,D873,
             $E$2:E873,E873,
             $H$2:H873,H873
             )&gt;1,
   "Doublon",
   "Correcte"
)</f>
        <v>Correcte</v>
      </c>
    </row>
    <row r="874" spans="1:17" x14ac:dyDescent="0.25">
      <c r="A874" s="11" t="s">
        <v>3653</v>
      </c>
      <c r="B874" s="11" t="s">
        <v>1153</v>
      </c>
      <c r="C874" s="11" t="s">
        <v>665</v>
      </c>
      <c r="D874" s="11" t="s">
        <v>1154</v>
      </c>
      <c r="E874" s="11">
        <v>5</v>
      </c>
      <c r="F874" s="11" t="s">
        <v>699</v>
      </c>
      <c r="G874" s="11" t="s">
        <v>634</v>
      </c>
      <c r="H874" s="14">
        <v>45936.602916666663</v>
      </c>
      <c r="I874" s="12">
        <f>-Mvt_Inter_entrepot[[#This Row],[QTE]]</f>
        <v>-5</v>
      </c>
      <c r="J874" s="11" t="s">
        <v>716</v>
      </c>
      <c r="K874" s="11" t="str">
        <f>_xlfn.TEXTBEFORE(Mvt_Inter_entrepot[[#This Row],[Num Suivis]],"-",,,1)</f>
        <v>CA250474</v>
      </c>
      <c r="L874" s="11" t="e">
        <f>_xlfn.XLOOKUP(Mvt_Inter_entrepot[[#This Row],[Num OF]],#REF!,#REF!,"Non Trouvé")</f>
        <v>#REF!</v>
      </c>
      <c r="M874" s="11" t="e">
        <f>_xlfn.XLOOKUP(Mvt_Inter_entrepot[[#This Row],[Num OF]],#REF!,#REF!,"Non Trouvé")</f>
        <v>#REF!</v>
      </c>
      <c r="N874" s="11" t="e">
        <f>_xlfn.XLOOKUP(Mvt_Inter_entrepot[[#This Row],[Num OF]],#REF!,#REF!,"Non Trouvé")</f>
        <v>#REF!</v>
      </c>
      <c r="O874" s="11" t="e">
        <f>_xlfn.XLOOKUP(Mvt_Inter_entrepot[[#This Row],[Num OF]],#REF!,#REF!,"Non Trouvé")</f>
        <v>#REF!</v>
      </c>
      <c r="P874" s="11" t="e">
        <f>_xlfn.XLOOKUP(Mvt_Inter_entrepot[[#This Row],[Num OF]],#REF!,#REF!,"Non Trouvé")</f>
        <v>#REF!</v>
      </c>
      <c r="Q874" s="11" t="str">
        <f>IF(
   COUNTIFS($A$2:A874,A874,
             $B$2:B874,B874,
             $C$2:C874,C874,
             $D$2:D874,D874,
             $E$2:E874,E874,
             $H$2:H874,H874
             )&gt;1,
   "Doublon",
   "Correcte"
)</f>
        <v>Correcte</v>
      </c>
    </row>
    <row r="875" spans="1:17" x14ac:dyDescent="0.25">
      <c r="A875" s="11" t="s">
        <v>3654</v>
      </c>
      <c r="B875" s="11" t="s">
        <v>1153</v>
      </c>
      <c r="C875" s="11" t="s">
        <v>665</v>
      </c>
      <c r="D875" s="11" t="s">
        <v>1154</v>
      </c>
      <c r="E875" s="11">
        <v>5</v>
      </c>
      <c r="F875" s="11" t="s">
        <v>699</v>
      </c>
      <c r="G875" s="11" t="s">
        <v>634</v>
      </c>
      <c r="H875" s="14">
        <v>45936.603159722225</v>
      </c>
      <c r="I875" s="12">
        <f>-Mvt_Inter_entrepot[[#This Row],[QTE]]</f>
        <v>-5</v>
      </c>
      <c r="J875" s="11" t="s">
        <v>715</v>
      </c>
      <c r="K875" s="11" t="str">
        <f>_xlfn.TEXTBEFORE(Mvt_Inter_entrepot[[#This Row],[Num Suivis]],"-",,,1)</f>
        <v>CA250474</v>
      </c>
      <c r="L875" s="11" t="e">
        <f>_xlfn.XLOOKUP(Mvt_Inter_entrepot[[#This Row],[Num OF]],#REF!,#REF!,"Non Trouvé")</f>
        <v>#REF!</v>
      </c>
      <c r="M875" s="11" t="e">
        <f>_xlfn.XLOOKUP(Mvt_Inter_entrepot[[#This Row],[Num OF]],#REF!,#REF!,"Non Trouvé")</f>
        <v>#REF!</v>
      </c>
      <c r="N875" s="11" t="e">
        <f>_xlfn.XLOOKUP(Mvt_Inter_entrepot[[#This Row],[Num OF]],#REF!,#REF!,"Non Trouvé")</f>
        <v>#REF!</v>
      </c>
      <c r="O875" s="11" t="e">
        <f>_xlfn.XLOOKUP(Mvt_Inter_entrepot[[#This Row],[Num OF]],#REF!,#REF!,"Non Trouvé")</f>
        <v>#REF!</v>
      </c>
      <c r="P875" s="11" t="e">
        <f>_xlfn.XLOOKUP(Mvt_Inter_entrepot[[#This Row],[Num OF]],#REF!,#REF!,"Non Trouvé")</f>
        <v>#REF!</v>
      </c>
      <c r="Q875" s="11" t="str">
        <f>IF(
   COUNTIFS($A$2:A875,A875,
             $B$2:B875,B875,
             $C$2:C875,C875,
             $D$2:D875,D875,
             $E$2:E875,E875,
             $H$2:H875,H875
             )&gt;1,
   "Doublon",
   "Correcte"
)</f>
        <v>Correcte</v>
      </c>
    </row>
    <row r="876" spans="1:17" x14ac:dyDescent="0.25">
      <c r="A876" s="11" t="s">
        <v>3655</v>
      </c>
      <c r="B876" s="11" t="s">
        <v>1153</v>
      </c>
      <c r="C876" s="11" t="s">
        <v>665</v>
      </c>
      <c r="D876" s="11" t="s">
        <v>1154</v>
      </c>
      <c r="E876" s="11">
        <v>5</v>
      </c>
      <c r="F876" s="11" t="s">
        <v>699</v>
      </c>
      <c r="G876" s="11" t="s">
        <v>634</v>
      </c>
      <c r="H876" s="14">
        <v>45936.603368055556</v>
      </c>
      <c r="I876" s="12">
        <f>-Mvt_Inter_entrepot[[#This Row],[QTE]]</f>
        <v>-5</v>
      </c>
      <c r="J876" s="11" t="s">
        <v>721</v>
      </c>
      <c r="K876" s="11" t="str">
        <f>_xlfn.TEXTBEFORE(Mvt_Inter_entrepot[[#This Row],[Num Suivis]],"-",,,1)</f>
        <v>CA250474</v>
      </c>
      <c r="L876" s="11" t="e">
        <f>_xlfn.XLOOKUP(Mvt_Inter_entrepot[[#This Row],[Num OF]],#REF!,#REF!,"Non Trouvé")</f>
        <v>#REF!</v>
      </c>
      <c r="M876" s="11" t="e">
        <f>_xlfn.XLOOKUP(Mvt_Inter_entrepot[[#This Row],[Num OF]],#REF!,#REF!,"Non Trouvé")</f>
        <v>#REF!</v>
      </c>
      <c r="N876" s="11" t="e">
        <f>_xlfn.XLOOKUP(Mvt_Inter_entrepot[[#This Row],[Num OF]],#REF!,#REF!,"Non Trouvé")</f>
        <v>#REF!</v>
      </c>
      <c r="O876" s="11" t="e">
        <f>_xlfn.XLOOKUP(Mvt_Inter_entrepot[[#This Row],[Num OF]],#REF!,#REF!,"Non Trouvé")</f>
        <v>#REF!</v>
      </c>
      <c r="P876" s="11" t="e">
        <f>_xlfn.XLOOKUP(Mvt_Inter_entrepot[[#This Row],[Num OF]],#REF!,#REF!,"Non Trouvé")</f>
        <v>#REF!</v>
      </c>
      <c r="Q876" s="11" t="str">
        <f>IF(
   COUNTIFS($A$2:A876,A876,
             $B$2:B876,B876,
             $C$2:C876,C876,
             $D$2:D876,D876,
             $E$2:E876,E876,
             $H$2:H876,H876
             )&gt;1,
   "Doublon",
   "Correcte"
)</f>
        <v>Correcte</v>
      </c>
    </row>
    <row r="877" spans="1:17" x14ac:dyDescent="0.25">
      <c r="A877" s="11" t="s">
        <v>3656</v>
      </c>
      <c r="B877" s="11" t="s">
        <v>1153</v>
      </c>
      <c r="C877" s="11" t="s">
        <v>665</v>
      </c>
      <c r="D877" s="11" t="s">
        <v>1154</v>
      </c>
      <c r="E877" s="11">
        <v>5</v>
      </c>
      <c r="F877" s="11" t="s">
        <v>699</v>
      </c>
      <c r="G877" s="11" t="s">
        <v>634</v>
      </c>
      <c r="H877" s="14">
        <v>45936.603634259256</v>
      </c>
      <c r="I877" s="12">
        <f>-Mvt_Inter_entrepot[[#This Row],[QTE]]</f>
        <v>-5</v>
      </c>
      <c r="J877" s="11" t="s">
        <v>735</v>
      </c>
      <c r="K877" s="11" t="str">
        <f>_xlfn.TEXTBEFORE(Mvt_Inter_entrepot[[#This Row],[Num Suivis]],"-",,,1)</f>
        <v>CA250469</v>
      </c>
      <c r="L877" s="11" t="e">
        <f>_xlfn.XLOOKUP(Mvt_Inter_entrepot[[#This Row],[Num OF]],#REF!,#REF!,"Non Trouvé")</f>
        <v>#REF!</v>
      </c>
      <c r="M877" s="11" t="e">
        <f>_xlfn.XLOOKUP(Mvt_Inter_entrepot[[#This Row],[Num OF]],#REF!,#REF!,"Non Trouvé")</f>
        <v>#REF!</v>
      </c>
      <c r="N877" s="11" t="e">
        <f>_xlfn.XLOOKUP(Mvt_Inter_entrepot[[#This Row],[Num OF]],#REF!,#REF!,"Non Trouvé")</f>
        <v>#REF!</v>
      </c>
      <c r="O877" s="11" t="e">
        <f>_xlfn.XLOOKUP(Mvt_Inter_entrepot[[#This Row],[Num OF]],#REF!,#REF!,"Non Trouvé")</f>
        <v>#REF!</v>
      </c>
      <c r="P877" s="11" t="e">
        <f>_xlfn.XLOOKUP(Mvt_Inter_entrepot[[#This Row],[Num OF]],#REF!,#REF!,"Non Trouvé")</f>
        <v>#REF!</v>
      </c>
      <c r="Q877" s="11" t="str">
        <f>IF(
   COUNTIFS($A$2:A877,A877,
             $B$2:B877,B877,
             $C$2:C877,C877,
             $D$2:D877,D877,
             $E$2:E877,E877,
             $H$2:H877,H877
             )&gt;1,
   "Doublon",
   "Correcte"
)</f>
        <v>Correcte</v>
      </c>
    </row>
    <row r="878" spans="1:17" x14ac:dyDescent="0.25">
      <c r="A878" s="11" t="s">
        <v>3657</v>
      </c>
      <c r="B878" s="11" t="s">
        <v>1153</v>
      </c>
      <c r="C878" s="11" t="s">
        <v>665</v>
      </c>
      <c r="D878" s="11" t="s">
        <v>1154</v>
      </c>
      <c r="E878" s="11">
        <v>5</v>
      </c>
      <c r="F878" s="11" t="s">
        <v>699</v>
      </c>
      <c r="G878" s="11" t="s">
        <v>634</v>
      </c>
      <c r="H878" s="14">
        <v>45936.604039351849</v>
      </c>
      <c r="I878" s="12">
        <f>-Mvt_Inter_entrepot[[#This Row],[QTE]]</f>
        <v>-5</v>
      </c>
      <c r="J878" s="11" t="s">
        <v>719</v>
      </c>
      <c r="K878" s="11" t="str">
        <f>_xlfn.TEXTBEFORE(Mvt_Inter_entrepot[[#This Row],[Num Suivis]],"-",,,1)</f>
        <v>CA250474</v>
      </c>
      <c r="L878" s="11" t="e">
        <f>_xlfn.XLOOKUP(Mvt_Inter_entrepot[[#This Row],[Num OF]],#REF!,#REF!,"Non Trouvé")</f>
        <v>#REF!</v>
      </c>
      <c r="M878" s="11" t="e">
        <f>_xlfn.XLOOKUP(Mvt_Inter_entrepot[[#This Row],[Num OF]],#REF!,#REF!,"Non Trouvé")</f>
        <v>#REF!</v>
      </c>
      <c r="N878" s="11" t="e">
        <f>_xlfn.XLOOKUP(Mvt_Inter_entrepot[[#This Row],[Num OF]],#REF!,#REF!,"Non Trouvé")</f>
        <v>#REF!</v>
      </c>
      <c r="O878" s="11" t="e">
        <f>_xlfn.XLOOKUP(Mvt_Inter_entrepot[[#This Row],[Num OF]],#REF!,#REF!,"Non Trouvé")</f>
        <v>#REF!</v>
      </c>
      <c r="P878" s="11" t="e">
        <f>_xlfn.XLOOKUP(Mvt_Inter_entrepot[[#This Row],[Num OF]],#REF!,#REF!,"Non Trouvé")</f>
        <v>#REF!</v>
      </c>
      <c r="Q878" s="11" t="str">
        <f>IF(
   COUNTIFS($A$2:A878,A878,
             $B$2:B878,B878,
             $C$2:C878,C878,
             $D$2:D878,D878,
             $E$2:E878,E878,
             $H$2:H878,H878
             )&gt;1,
   "Doublon",
   "Correcte"
)</f>
        <v>Correcte</v>
      </c>
    </row>
    <row r="879" spans="1:17" x14ac:dyDescent="0.25">
      <c r="A879" s="11" t="s">
        <v>3658</v>
      </c>
      <c r="B879" s="11" t="s">
        <v>1153</v>
      </c>
      <c r="C879" s="11" t="s">
        <v>665</v>
      </c>
      <c r="D879" s="11" t="s">
        <v>1154</v>
      </c>
      <c r="E879" s="11">
        <v>2</v>
      </c>
      <c r="F879" s="11" t="s">
        <v>699</v>
      </c>
      <c r="G879" s="11" t="s">
        <v>634</v>
      </c>
      <c r="H879" s="14">
        <v>45936.604375000003</v>
      </c>
      <c r="I879" s="12">
        <f>-Mvt_Inter_entrepot[[#This Row],[QTE]]</f>
        <v>-2</v>
      </c>
      <c r="J879" s="11" t="s">
        <v>577</v>
      </c>
      <c r="K879" s="11" t="str">
        <f>_xlfn.TEXTBEFORE(Mvt_Inter_entrepot[[#This Row],[Num Suivis]],"-",,,1)</f>
        <v>OF249977</v>
      </c>
      <c r="L879" s="11" t="e">
        <f>_xlfn.XLOOKUP(Mvt_Inter_entrepot[[#This Row],[Num OF]],#REF!,#REF!,"Non Trouvé")</f>
        <v>#REF!</v>
      </c>
      <c r="M879" s="11" t="e">
        <f>_xlfn.XLOOKUP(Mvt_Inter_entrepot[[#This Row],[Num OF]],#REF!,#REF!,"Non Trouvé")</f>
        <v>#REF!</v>
      </c>
      <c r="N879" s="11" t="e">
        <f>_xlfn.XLOOKUP(Mvt_Inter_entrepot[[#This Row],[Num OF]],#REF!,#REF!,"Non Trouvé")</f>
        <v>#REF!</v>
      </c>
      <c r="O879" s="11" t="e">
        <f>_xlfn.XLOOKUP(Mvt_Inter_entrepot[[#This Row],[Num OF]],#REF!,#REF!,"Non Trouvé")</f>
        <v>#REF!</v>
      </c>
      <c r="P879" s="11" t="e">
        <f>_xlfn.XLOOKUP(Mvt_Inter_entrepot[[#This Row],[Num OF]],#REF!,#REF!,"Non Trouvé")</f>
        <v>#REF!</v>
      </c>
      <c r="Q879" s="11" t="str">
        <f>IF(
   COUNTIFS($A$2:A879,A879,
             $B$2:B879,B879,
             $C$2:C879,C879,
             $D$2:D879,D879,
             $E$2:E879,E879,
             $H$2:H879,H879
             )&gt;1,
   "Doublon",
   "Correcte"
)</f>
        <v>Correcte</v>
      </c>
    </row>
    <row r="880" spans="1:17" x14ac:dyDescent="0.25">
      <c r="A880" s="11" t="s">
        <v>3659</v>
      </c>
      <c r="B880" s="11" t="s">
        <v>1153</v>
      </c>
      <c r="C880" s="11" t="s">
        <v>665</v>
      </c>
      <c r="D880" s="11" t="s">
        <v>1154</v>
      </c>
      <c r="E880" s="11">
        <v>2</v>
      </c>
      <c r="F880" s="11" t="s">
        <v>699</v>
      </c>
      <c r="G880" s="11" t="s">
        <v>634</v>
      </c>
      <c r="H880" s="14">
        <v>45936.604537037034</v>
      </c>
      <c r="I880" s="12">
        <f>-Mvt_Inter_entrepot[[#This Row],[QTE]]</f>
        <v>-2</v>
      </c>
      <c r="J880" s="11" t="s">
        <v>739</v>
      </c>
      <c r="K880" s="11" t="str">
        <f>_xlfn.TEXTBEFORE(Mvt_Inter_entrepot[[#This Row],[Num Suivis]],"-",,,1)</f>
        <v>CA250469</v>
      </c>
      <c r="L880" s="11" t="e">
        <f>_xlfn.XLOOKUP(Mvt_Inter_entrepot[[#This Row],[Num OF]],#REF!,#REF!,"Non Trouvé")</f>
        <v>#REF!</v>
      </c>
      <c r="M880" s="11" t="e">
        <f>_xlfn.XLOOKUP(Mvt_Inter_entrepot[[#This Row],[Num OF]],#REF!,#REF!,"Non Trouvé")</f>
        <v>#REF!</v>
      </c>
      <c r="N880" s="11" t="e">
        <f>_xlfn.XLOOKUP(Mvt_Inter_entrepot[[#This Row],[Num OF]],#REF!,#REF!,"Non Trouvé")</f>
        <v>#REF!</v>
      </c>
      <c r="O880" s="11" t="e">
        <f>_xlfn.XLOOKUP(Mvt_Inter_entrepot[[#This Row],[Num OF]],#REF!,#REF!,"Non Trouvé")</f>
        <v>#REF!</v>
      </c>
      <c r="P880" s="11" t="e">
        <f>_xlfn.XLOOKUP(Mvt_Inter_entrepot[[#This Row],[Num OF]],#REF!,#REF!,"Non Trouvé")</f>
        <v>#REF!</v>
      </c>
      <c r="Q880" s="11" t="str">
        <f>IF(
   COUNTIFS($A$2:A880,A880,
             $B$2:B880,B880,
             $C$2:C880,C880,
             $D$2:D880,D880,
             $E$2:E880,E880,
             $H$2:H880,H880
             )&gt;1,
   "Doublon",
   "Correcte"
)</f>
        <v>Correcte</v>
      </c>
    </row>
    <row r="881" spans="1:17" x14ac:dyDescent="0.25">
      <c r="A881" s="11" t="s">
        <v>3660</v>
      </c>
      <c r="B881" s="11" t="s">
        <v>1153</v>
      </c>
      <c r="C881" s="11" t="s">
        <v>665</v>
      </c>
      <c r="D881" s="11" t="s">
        <v>1154</v>
      </c>
      <c r="E881" s="11">
        <v>5</v>
      </c>
      <c r="F881" s="11" t="s">
        <v>699</v>
      </c>
      <c r="G881" s="11" t="s">
        <v>634</v>
      </c>
      <c r="H881" s="14">
        <v>45936.604791666665</v>
      </c>
      <c r="I881" s="12">
        <f>-Mvt_Inter_entrepot[[#This Row],[QTE]]</f>
        <v>-5</v>
      </c>
      <c r="J881" s="11" t="s">
        <v>718</v>
      </c>
      <c r="K881" s="11" t="str">
        <f>_xlfn.TEXTBEFORE(Mvt_Inter_entrepot[[#This Row],[Num Suivis]],"-",,,1)</f>
        <v>CA250474</v>
      </c>
      <c r="L881" s="11" t="e">
        <f>_xlfn.XLOOKUP(Mvt_Inter_entrepot[[#This Row],[Num OF]],#REF!,#REF!,"Non Trouvé")</f>
        <v>#REF!</v>
      </c>
      <c r="M881" s="11" t="e">
        <f>_xlfn.XLOOKUP(Mvt_Inter_entrepot[[#This Row],[Num OF]],#REF!,#REF!,"Non Trouvé")</f>
        <v>#REF!</v>
      </c>
      <c r="N881" s="11" t="e">
        <f>_xlfn.XLOOKUP(Mvt_Inter_entrepot[[#This Row],[Num OF]],#REF!,#REF!,"Non Trouvé")</f>
        <v>#REF!</v>
      </c>
      <c r="O881" s="11" t="e">
        <f>_xlfn.XLOOKUP(Mvt_Inter_entrepot[[#This Row],[Num OF]],#REF!,#REF!,"Non Trouvé")</f>
        <v>#REF!</v>
      </c>
      <c r="P881" s="11" t="e">
        <f>_xlfn.XLOOKUP(Mvt_Inter_entrepot[[#This Row],[Num OF]],#REF!,#REF!,"Non Trouvé")</f>
        <v>#REF!</v>
      </c>
      <c r="Q881" s="11" t="str">
        <f>IF(
   COUNTIFS($A$2:A881,A881,
             $B$2:B881,B881,
             $C$2:C881,C881,
             $D$2:D881,D881,
             $E$2:E881,E881,
             $H$2:H881,H881
             )&gt;1,
   "Doublon",
   "Correcte"
)</f>
        <v>Correcte</v>
      </c>
    </row>
    <row r="882" spans="1:17" x14ac:dyDescent="0.25">
      <c r="A882" s="11" t="s">
        <v>3661</v>
      </c>
      <c r="B882" s="11" t="s">
        <v>1153</v>
      </c>
      <c r="C882" s="11" t="s">
        <v>665</v>
      </c>
      <c r="D882" s="11" t="s">
        <v>1154</v>
      </c>
      <c r="E882" s="11">
        <v>5</v>
      </c>
      <c r="F882" s="11" t="s">
        <v>699</v>
      </c>
      <c r="G882" s="11" t="s">
        <v>634</v>
      </c>
      <c r="H882" s="14">
        <v>45936.605023148149</v>
      </c>
      <c r="I882" s="12">
        <f>-Mvt_Inter_entrepot[[#This Row],[QTE]]</f>
        <v>-5</v>
      </c>
      <c r="J882" s="11" t="s">
        <v>734</v>
      </c>
      <c r="K882" s="11" t="str">
        <f>_xlfn.TEXTBEFORE(Mvt_Inter_entrepot[[#This Row],[Num Suivis]],"-",,,1)</f>
        <v>CA250469</v>
      </c>
      <c r="L882" s="11" t="e">
        <f>_xlfn.XLOOKUP(Mvt_Inter_entrepot[[#This Row],[Num OF]],#REF!,#REF!,"Non Trouvé")</f>
        <v>#REF!</v>
      </c>
      <c r="M882" s="11" t="e">
        <f>_xlfn.XLOOKUP(Mvt_Inter_entrepot[[#This Row],[Num OF]],#REF!,#REF!,"Non Trouvé")</f>
        <v>#REF!</v>
      </c>
      <c r="N882" s="11" t="e">
        <f>_xlfn.XLOOKUP(Mvt_Inter_entrepot[[#This Row],[Num OF]],#REF!,#REF!,"Non Trouvé")</f>
        <v>#REF!</v>
      </c>
      <c r="O882" s="11" t="e">
        <f>_xlfn.XLOOKUP(Mvt_Inter_entrepot[[#This Row],[Num OF]],#REF!,#REF!,"Non Trouvé")</f>
        <v>#REF!</v>
      </c>
      <c r="P882" s="11" t="e">
        <f>_xlfn.XLOOKUP(Mvt_Inter_entrepot[[#This Row],[Num OF]],#REF!,#REF!,"Non Trouvé")</f>
        <v>#REF!</v>
      </c>
      <c r="Q882" s="11" t="str">
        <f>IF(
   COUNTIFS($A$2:A882,A882,
             $B$2:B882,B882,
             $C$2:C882,C882,
             $D$2:D882,D882,
             $E$2:E882,E882,
             $H$2:H882,H882
             )&gt;1,
   "Doublon",
   "Correcte"
)</f>
        <v>Correcte</v>
      </c>
    </row>
    <row r="883" spans="1:17" x14ac:dyDescent="0.25">
      <c r="A883" s="11" t="s">
        <v>3662</v>
      </c>
      <c r="B883" s="11" t="s">
        <v>1153</v>
      </c>
      <c r="C883" s="11" t="s">
        <v>665</v>
      </c>
      <c r="D883" s="11" t="s">
        <v>1154</v>
      </c>
      <c r="E883" s="11">
        <v>5</v>
      </c>
      <c r="F883" s="11" t="s">
        <v>699</v>
      </c>
      <c r="G883" s="11" t="s">
        <v>634</v>
      </c>
      <c r="H883" s="14">
        <v>45936.605312500003</v>
      </c>
      <c r="I883" s="12">
        <f>-Mvt_Inter_entrepot[[#This Row],[QTE]]</f>
        <v>-5</v>
      </c>
      <c r="J883" s="11" t="s">
        <v>730</v>
      </c>
      <c r="K883" s="11" t="str">
        <f>_xlfn.TEXTBEFORE(Mvt_Inter_entrepot[[#This Row],[Num Suivis]],"-",,,1)</f>
        <v>CA250469</v>
      </c>
      <c r="L883" s="11" t="e">
        <f>_xlfn.XLOOKUP(Mvt_Inter_entrepot[[#This Row],[Num OF]],#REF!,#REF!,"Non Trouvé")</f>
        <v>#REF!</v>
      </c>
      <c r="M883" s="11" t="e">
        <f>_xlfn.XLOOKUP(Mvt_Inter_entrepot[[#This Row],[Num OF]],#REF!,#REF!,"Non Trouvé")</f>
        <v>#REF!</v>
      </c>
      <c r="N883" s="11" t="e">
        <f>_xlfn.XLOOKUP(Mvt_Inter_entrepot[[#This Row],[Num OF]],#REF!,#REF!,"Non Trouvé")</f>
        <v>#REF!</v>
      </c>
      <c r="O883" s="11" t="e">
        <f>_xlfn.XLOOKUP(Mvt_Inter_entrepot[[#This Row],[Num OF]],#REF!,#REF!,"Non Trouvé")</f>
        <v>#REF!</v>
      </c>
      <c r="P883" s="11" t="e">
        <f>_xlfn.XLOOKUP(Mvt_Inter_entrepot[[#This Row],[Num OF]],#REF!,#REF!,"Non Trouvé")</f>
        <v>#REF!</v>
      </c>
      <c r="Q883" s="11" t="str">
        <f>IF(
   COUNTIFS($A$2:A883,A883,
             $B$2:B883,B883,
             $C$2:C883,C883,
             $D$2:D883,D883,
             $E$2:E883,E883,
             $H$2:H883,H883
             )&gt;1,
   "Doublon",
   "Correcte"
)</f>
        <v>Correcte</v>
      </c>
    </row>
    <row r="884" spans="1:17" x14ac:dyDescent="0.25">
      <c r="A884" s="11" t="s">
        <v>3663</v>
      </c>
      <c r="B884" s="11" t="s">
        <v>1153</v>
      </c>
      <c r="C884" s="11" t="s">
        <v>665</v>
      </c>
      <c r="D884" s="11" t="s">
        <v>1154</v>
      </c>
      <c r="E884" s="11">
        <v>5</v>
      </c>
      <c r="F884" s="11" t="s">
        <v>699</v>
      </c>
      <c r="G884" s="11" t="s">
        <v>634</v>
      </c>
      <c r="H884" s="14">
        <v>45936.605682870373</v>
      </c>
      <c r="I884" s="12">
        <f>-Mvt_Inter_entrepot[[#This Row],[QTE]]</f>
        <v>-5</v>
      </c>
      <c r="J884" s="11" t="s">
        <v>736</v>
      </c>
      <c r="K884" s="11" t="str">
        <f>_xlfn.TEXTBEFORE(Mvt_Inter_entrepot[[#This Row],[Num Suivis]],"-",,,1)</f>
        <v>CA250469</v>
      </c>
      <c r="L884" s="11" t="e">
        <f>_xlfn.XLOOKUP(Mvt_Inter_entrepot[[#This Row],[Num OF]],#REF!,#REF!,"Non Trouvé")</f>
        <v>#REF!</v>
      </c>
      <c r="M884" s="11" t="e">
        <f>_xlfn.XLOOKUP(Mvt_Inter_entrepot[[#This Row],[Num OF]],#REF!,#REF!,"Non Trouvé")</f>
        <v>#REF!</v>
      </c>
      <c r="N884" s="11" t="e">
        <f>_xlfn.XLOOKUP(Mvt_Inter_entrepot[[#This Row],[Num OF]],#REF!,#REF!,"Non Trouvé")</f>
        <v>#REF!</v>
      </c>
      <c r="O884" s="11" t="e">
        <f>_xlfn.XLOOKUP(Mvt_Inter_entrepot[[#This Row],[Num OF]],#REF!,#REF!,"Non Trouvé")</f>
        <v>#REF!</v>
      </c>
      <c r="P884" s="11" t="e">
        <f>_xlfn.XLOOKUP(Mvt_Inter_entrepot[[#This Row],[Num OF]],#REF!,#REF!,"Non Trouvé")</f>
        <v>#REF!</v>
      </c>
      <c r="Q884" s="11" t="str">
        <f>IF(
   COUNTIFS($A$2:A884,A884,
             $B$2:B884,B884,
             $C$2:C884,C884,
             $D$2:D884,D884,
             $E$2:E884,E884,
             $H$2:H884,H884
             )&gt;1,
   "Doublon",
   "Correcte"
)</f>
        <v>Correcte</v>
      </c>
    </row>
    <row r="885" spans="1:17" x14ac:dyDescent="0.25">
      <c r="A885" s="11" t="s">
        <v>3664</v>
      </c>
      <c r="B885" s="11" t="s">
        <v>1153</v>
      </c>
      <c r="C885" s="11" t="s">
        <v>665</v>
      </c>
      <c r="D885" s="11" t="s">
        <v>1154</v>
      </c>
      <c r="E885" s="11">
        <v>5</v>
      </c>
      <c r="F885" s="11" t="s">
        <v>699</v>
      </c>
      <c r="G885" s="11" t="s">
        <v>634</v>
      </c>
      <c r="H885" s="14">
        <v>45936.605914351851</v>
      </c>
      <c r="I885" s="12">
        <f>-Mvt_Inter_entrepot[[#This Row],[QTE]]</f>
        <v>-5</v>
      </c>
      <c r="J885" s="11" t="s">
        <v>728</v>
      </c>
      <c r="K885" s="11" t="str">
        <f>_xlfn.TEXTBEFORE(Mvt_Inter_entrepot[[#This Row],[Num Suivis]],"-",,,1)</f>
        <v>CA250469</v>
      </c>
      <c r="L885" s="11" t="e">
        <f>_xlfn.XLOOKUP(Mvt_Inter_entrepot[[#This Row],[Num OF]],#REF!,#REF!,"Non Trouvé")</f>
        <v>#REF!</v>
      </c>
      <c r="M885" s="11" t="e">
        <f>_xlfn.XLOOKUP(Mvt_Inter_entrepot[[#This Row],[Num OF]],#REF!,#REF!,"Non Trouvé")</f>
        <v>#REF!</v>
      </c>
      <c r="N885" s="11" t="e">
        <f>_xlfn.XLOOKUP(Mvt_Inter_entrepot[[#This Row],[Num OF]],#REF!,#REF!,"Non Trouvé")</f>
        <v>#REF!</v>
      </c>
      <c r="O885" s="11" t="e">
        <f>_xlfn.XLOOKUP(Mvt_Inter_entrepot[[#This Row],[Num OF]],#REF!,#REF!,"Non Trouvé")</f>
        <v>#REF!</v>
      </c>
      <c r="P885" s="11" t="e">
        <f>_xlfn.XLOOKUP(Mvt_Inter_entrepot[[#This Row],[Num OF]],#REF!,#REF!,"Non Trouvé")</f>
        <v>#REF!</v>
      </c>
      <c r="Q885" s="11" t="str">
        <f>IF(
   COUNTIFS($A$2:A885,A885,
             $B$2:B885,B885,
             $C$2:C885,C885,
             $D$2:D885,D885,
             $E$2:E885,E885,
             $H$2:H885,H885
             )&gt;1,
   "Doublon",
   "Correcte"
)</f>
        <v>Correcte</v>
      </c>
    </row>
    <row r="886" spans="1:17" x14ac:dyDescent="0.25">
      <c r="A886" s="11" t="s">
        <v>3665</v>
      </c>
      <c r="B886" s="11" t="s">
        <v>1153</v>
      </c>
      <c r="C886" s="11" t="s">
        <v>665</v>
      </c>
      <c r="D886" s="11" t="s">
        <v>1154</v>
      </c>
      <c r="E886" s="11">
        <v>5</v>
      </c>
      <c r="F886" s="11" t="s">
        <v>699</v>
      </c>
      <c r="G886" s="11" t="s">
        <v>634</v>
      </c>
      <c r="H886" s="14">
        <v>45936.606157407405</v>
      </c>
      <c r="I886" s="12">
        <f>-Mvt_Inter_entrepot[[#This Row],[QTE]]</f>
        <v>-5</v>
      </c>
      <c r="J886" s="11" t="s">
        <v>732</v>
      </c>
      <c r="K886" s="11" t="str">
        <f>_xlfn.TEXTBEFORE(Mvt_Inter_entrepot[[#This Row],[Num Suivis]],"-",,,1)</f>
        <v>CA250469</v>
      </c>
      <c r="L886" s="11" t="e">
        <f>_xlfn.XLOOKUP(Mvt_Inter_entrepot[[#This Row],[Num OF]],#REF!,#REF!,"Non Trouvé")</f>
        <v>#REF!</v>
      </c>
      <c r="M886" s="11" t="e">
        <f>_xlfn.XLOOKUP(Mvt_Inter_entrepot[[#This Row],[Num OF]],#REF!,#REF!,"Non Trouvé")</f>
        <v>#REF!</v>
      </c>
      <c r="N886" s="11" t="e">
        <f>_xlfn.XLOOKUP(Mvt_Inter_entrepot[[#This Row],[Num OF]],#REF!,#REF!,"Non Trouvé")</f>
        <v>#REF!</v>
      </c>
      <c r="O886" s="11" t="e">
        <f>_xlfn.XLOOKUP(Mvt_Inter_entrepot[[#This Row],[Num OF]],#REF!,#REF!,"Non Trouvé")</f>
        <v>#REF!</v>
      </c>
      <c r="P886" s="11" t="e">
        <f>_xlfn.XLOOKUP(Mvt_Inter_entrepot[[#This Row],[Num OF]],#REF!,#REF!,"Non Trouvé")</f>
        <v>#REF!</v>
      </c>
      <c r="Q886" s="11" t="str">
        <f>IF(
   COUNTIFS($A$2:A886,A886,
             $B$2:B886,B886,
             $C$2:C886,C886,
             $D$2:D886,D886,
             $E$2:E886,E886,
             $H$2:H886,H886
             )&gt;1,
   "Doublon",
   "Correcte"
)</f>
        <v>Correcte</v>
      </c>
    </row>
    <row r="887" spans="1:17" x14ac:dyDescent="0.25">
      <c r="A887" s="11" t="s">
        <v>3666</v>
      </c>
      <c r="B887" s="11" t="s">
        <v>1153</v>
      </c>
      <c r="C887" s="11" t="s">
        <v>665</v>
      </c>
      <c r="D887" s="11" t="s">
        <v>1154</v>
      </c>
      <c r="E887" s="11">
        <v>5</v>
      </c>
      <c r="F887" s="11" t="s">
        <v>699</v>
      </c>
      <c r="G887" s="11" t="s">
        <v>634</v>
      </c>
      <c r="H887" s="14">
        <v>45936.606400462966</v>
      </c>
      <c r="I887" s="12">
        <f>-Mvt_Inter_entrepot[[#This Row],[QTE]]</f>
        <v>-5</v>
      </c>
      <c r="J887" s="11" t="s">
        <v>729</v>
      </c>
      <c r="K887" s="11" t="str">
        <f>_xlfn.TEXTBEFORE(Mvt_Inter_entrepot[[#This Row],[Num Suivis]],"-",,,1)</f>
        <v>CA250469</v>
      </c>
      <c r="L887" s="11" t="e">
        <f>_xlfn.XLOOKUP(Mvt_Inter_entrepot[[#This Row],[Num OF]],#REF!,#REF!,"Non Trouvé")</f>
        <v>#REF!</v>
      </c>
      <c r="M887" s="11" t="e">
        <f>_xlfn.XLOOKUP(Mvt_Inter_entrepot[[#This Row],[Num OF]],#REF!,#REF!,"Non Trouvé")</f>
        <v>#REF!</v>
      </c>
      <c r="N887" s="11" t="e">
        <f>_xlfn.XLOOKUP(Mvt_Inter_entrepot[[#This Row],[Num OF]],#REF!,#REF!,"Non Trouvé")</f>
        <v>#REF!</v>
      </c>
      <c r="O887" s="11" t="e">
        <f>_xlfn.XLOOKUP(Mvt_Inter_entrepot[[#This Row],[Num OF]],#REF!,#REF!,"Non Trouvé")</f>
        <v>#REF!</v>
      </c>
      <c r="P887" s="11" t="e">
        <f>_xlfn.XLOOKUP(Mvt_Inter_entrepot[[#This Row],[Num OF]],#REF!,#REF!,"Non Trouvé")</f>
        <v>#REF!</v>
      </c>
      <c r="Q887" s="11" t="str">
        <f>IF(
   COUNTIFS($A$2:A887,A887,
             $B$2:B887,B887,
             $C$2:C887,C887,
             $D$2:D887,D887,
             $E$2:E887,E887,
             $H$2:H887,H887
             )&gt;1,
   "Doublon",
   "Correcte"
)</f>
        <v>Correcte</v>
      </c>
    </row>
    <row r="888" spans="1:17" x14ac:dyDescent="0.25">
      <c r="A888" s="11" t="s">
        <v>3667</v>
      </c>
      <c r="B888" s="11" t="s">
        <v>1153</v>
      </c>
      <c r="C888" s="11" t="s">
        <v>665</v>
      </c>
      <c r="D888" s="11" t="s">
        <v>1154</v>
      </c>
      <c r="E888" s="11">
        <v>5</v>
      </c>
      <c r="F888" s="11" t="s">
        <v>699</v>
      </c>
      <c r="G888" s="11" t="s">
        <v>634</v>
      </c>
      <c r="H888" s="14">
        <v>45936.606759259259</v>
      </c>
      <c r="I888" s="12">
        <f>-Mvt_Inter_entrepot[[#This Row],[QTE]]</f>
        <v>-5</v>
      </c>
      <c r="J888" s="11" t="s">
        <v>737</v>
      </c>
      <c r="K888" s="11" t="str">
        <f>_xlfn.TEXTBEFORE(Mvt_Inter_entrepot[[#This Row],[Num Suivis]],"-",,,1)</f>
        <v>CA250469</v>
      </c>
      <c r="L888" s="11" t="e">
        <f>_xlfn.XLOOKUP(Mvt_Inter_entrepot[[#This Row],[Num OF]],#REF!,#REF!,"Non Trouvé")</f>
        <v>#REF!</v>
      </c>
      <c r="M888" s="11" t="e">
        <f>_xlfn.XLOOKUP(Mvt_Inter_entrepot[[#This Row],[Num OF]],#REF!,#REF!,"Non Trouvé")</f>
        <v>#REF!</v>
      </c>
      <c r="N888" s="11" t="e">
        <f>_xlfn.XLOOKUP(Mvt_Inter_entrepot[[#This Row],[Num OF]],#REF!,#REF!,"Non Trouvé")</f>
        <v>#REF!</v>
      </c>
      <c r="O888" s="11" t="e">
        <f>_xlfn.XLOOKUP(Mvt_Inter_entrepot[[#This Row],[Num OF]],#REF!,#REF!,"Non Trouvé")</f>
        <v>#REF!</v>
      </c>
      <c r="P888" s="11" t="e">
        <f>_xlfn.XLOOKUP(Mvt_Inter_entrepot[[#This Row],[Num OF]],#REF!,#REF!,"Non Trouvé")</f>
        <v>#REF!</v>
      </c>
      <c r="Q888" s="11" t="str">
        <f>IF(
   COUNTIFS($A$2:A888,A888,
             $B$2:B888,B888,
             $C$2:C888,C888,
             $D$2:D888,D888,
             $E$2:E888,E888,
             $H$2:H888,H888
             )&gt;1,
   "Doublon",
   "Correcte"
)</f>
        <v>Correcte</v>
      </c>
    </row>
    <row r="889" spans="1:17" x14ac:dyDescent="0.25">
      <c r="A889" s="11" t="s">
        <v>3668</v>
      </c>
      <c r="B889" s="11" t="s">
        <v>1153</v>
      </c>
      <c r="C889" s="11" t="s">
        <v>665</v>
      </c>
      <c r="D889" s="11" t="s">
        <v>1154</v>
      </c>
      <c r="E889" s="11">
        <v>5</v>
      </c>
      <c r="F889" s="11" t="s">
        <v>699</v>
      </c>
      <c r="G889" s="11" t="s">
        <v>634</v>
      </c>
      <c r="H889" s="14">
        <v>45936.607002314813</v>
      </c>
      <c r="I889" s="12">
        <f>-Mvt_Inter_entrepot[[#This Row],[QTE]]</f>
        <v>-5</v>
      </c>
      <c r="J889" s="11" t="s">
        <v>727</v>
      </c>
      <c r="K889" s="11" t="str">
        <f>_xlfn.TEXTBEFORE(Mvt_Inter_entrepot[[#This Row],[Num Suivis]],"-",,,1)</f>
        <v>CA250469</v>
      </c>
      <c r="L889" s="11" t="e">
        <f>_xlfn.XLOOKUP(Mvt_Inter_entrepot[[#This Row],[Num OF]],#REF!,#REF!,"Non Trouvé")</f>
        <v>#REF!</v>
      </c>
      <c r="M889" s="11" t="e">
        <f>_xlfn.XLOOKUP(Mvt_Inter_entrepot[[#This Row],[Num OF]],#REF!,#REF!,"Non Trouvé")</f>
        <v>#REF!</v>
      </c>
      <c r="N889" s="11" t="e">
        <f>_xlfn.XLOOKUP(Mvt_Inter_entrepot[[#This Row],[Num OF]],#REF!,#REF!,"Non Trouvé")</f>
        <v>#REF!</v>
      </c>
      <c r="O889" s="11" t="e">
        <f>_xlfn.XLOOKUP(Mvt_Inter_entrepot[[#This Row],[Num OF]],#REF!,#REF!,"Non Trouvé")</f>
        <v>#REF!</v>
      </c>
      <c r="P889" s="11" t="e">
        <f>_xlfn.XLOOKUP(Mvt_Inter_entrepot[[#This Row],[Num OF]],#REF!,#REF!,"Non Trouvé")</f>
        <v>#REF!</v>
      </c>
      <c r="Q889" s="11" t="str">
        <f>IF(
   COUNTIFS($A$2:A889,A889,
             $B$2:B889,B889,
             $C$2:C889,C889,
             $D$2:D889,D889,
             $E$2:E889,E889,
             $H$2:H889,H889
             )&gt;1,
   "Doublon",
   "Correcte"
)</f>
        <v>Correcte</v>
      </c>
    </row>
    <row r="890" spans="1:17" x14ac:dyDescent="0.25">
      <c r="A890" s="11" t="s">
        <v>3669</v>
      </c>
      <c r="B890" s="11" t="s">
        <v>1153</v>
      </c>
      <c r="C890" s="11" t="s">
        <v>665</v>
      </c>
      <c r="D890" s="11" t="s">
        <v>1154</v>
      </c>
      <c r="E890" s="11">
        <v>5</v>
      </c>
      <c r="F890" s="11" t="s">
        <v>699</v>
      </c>
      <c r="G890" s="11" t="s">
        <v>634</v>
      </c>
      <c r="H890" s="14">
        <v>45936.607222222221</v>
      </c>
      <c r="I890" s="12">
        <f>-Mvt_Inter_entrepot[[#This Row],[QTE]]</f>
        <v>-5</v>
      </c>
      <c r="J890" s="11" t="s">
        <v>731</v>
      </c>
      <c r="K890" s="11" t="str">
        <f>_xlfn.TEXTBEFORE(Mvt_Inter_entrepot[[#This Row],[Num Suivis]],"-",,,1)</f>
        <v>CA250469</v>
      </c>
      <c r="L890" s="11" t="e">
        <f>_xlfn.XLOOKUP(Mvt_Inter_entrepot[[#This Row],[Num OF]],#REF!,#REF!,"Non Trouvé")</f>
        <v>#REF!</v>
      </c>
      <c r="M890" s="11" t="e">
        <f>_xlfn.XLOOKUP(Mvt_Inter_entrepot[[#This Row],[Num OF]],#REF!,#REF!,"Non Trouvé")</f>
        <v>#REF!</v>
      </c>
      <c r="N890" s="11" t="e">
        <f>_xlfn.XLOOKUP(Mvt_Inter_entrepot[[#This Row],[Num OF]],#REF!,#REF!,"Non Trouvé")</f>
        <v>#REF!</v>
      </c>
      <c r="O890" s="11" t="e">
        <f>_xlfn.XLOOKUP(Mvt_Inter_entrepot[[#This Row],[Num OF]],#REF!,#REF!,"Non Trouvé")</f>
        <v>#REF!</v>
      </c>
      <c r="P890" s="11" t="e">
        <f>_xlfn.XLOOKUP(Mvt_Inter_entrepot[[#This Row],[Num OF]],#REF!,#REF!,"Non Trouvé")</f>
        <v>#REF!</v>
      </c>
      <c r="Q890" s="11" t="str">
        <f>IF(
   COUNTIFS($A$2:A890,A890,
             $B$2:B890,B890,
             $C$2:C890,C890,
             $D$2:D890,D890,
             $E$2:E890,E890,
             $H$2:H890,H890
             )&gt;1,
   "Doublon",
   "Correcte"
)</f>
        <v>Correcte</v>
      </c>
    </row>
    <row r="891" spans="1:17" x14ac:dyDescent="0.25">
      <c r="A891" s="11" t="s">
        <v>3670</v>
      </c>
      <c r="B891" s="11" t="s">
        <v>1153</v>
      </c>
      <c r="C891" s="11" t="s">
        <v>665</v>
      </c>
      <c r="D891" s="11" t="s">
        <v>1154</v>
      </c>
      <c r="E891" s="11">
        <v>5</v>
      </c>
      <c r="F891" s="11" t="s">
        <v>699</v>
      </c>
      <c r="G891" s="11" t="s">
        <v>634</v>
      </c>
      <c r="H891" s="14">
        <v>45936.607673611114</v>
      </c>
      <c r="I891" s="12">
        <f>-Mvt_Inter_entrepot[[#This Row],[QTE]]</f>
        <v>-5</v>
      </c>
      <c r="J891" s="11" t="s">
        <v>738</v>
      </c>
      <c r="K891" s="11" t="str">
        <f>_xlfn.TEXTBEFORE(Mvt_Inter_entrepot[[#This Row],[Num Suivis]],"-",,,1)</f>
        <v>CA250469</v>
      </c>
      <c r="L891" s="11" t="e">
        <f>_xlfn.XLOOKUP(Mvt_Inter_entrepot[[#This Row],[Num OF]],#REF!,#REF!,"Non Trouvé")</f>
        <v>#REF!</v>
      </c>
      <c r="M891" s="11" t="e">
        <f>_xlfn.XLOOKUP(Mvt_Inter_entrepot[[#This Row],[Num OF]],#REF!,#REF!,"Non Trouvé")</f>
        <v>#REF!</v>
      </c>
      <c r="N891" s="11" t="e">
        <f>_xlfn.XLOOKUP(Mvt_Inter_entrepot[[#This Row],[Num OF]],#REF!,#REF!,"Non Trouvé")</f>
        <v>#REF!</v>
      </c>
      <c r="O891" s="11" t="e">
        <f>_xlfn.XLOOKUP(Mvt_Inter_entrepot[[#This Row],[Num OF]],#REF!,#REF!,"Non Trouvé")</f>
        <v>#REF!</v>
      </c>
      <c r="P891" s="11" t="e">
        <f>_xlfn.XLOOKUP(Mvt_Inter_entrepot[[#This Row],[Num OF]],#REF!,#REF!,"Non Trouvé")</f>
        <v>#REF!</v>
      </c>
      <c r="Q891" s="11" t="str">
        <f>IF(
   COUNTIFS($A$2:A891,A891,
             $B$2:B891,B891,
             $C$2:C891,C891,
             $D$2:D891,D891,
             $E$2:E891,E891,
             $H$2:H891,H891
             )&gt;1,
   "Doublon",
   "Correcte"
)</f>
        <v>Correcte</v>
      </c>
    </row>
    <row r="892" spans="1:17" x14ac:dyDescent="0.25">
      <c r="A892" s="11" t="s">
        <v>3671</v>
      </c>
      <c r="B892" s="11" t="s">
        <v>1153</v>
      </c>
      <c r="C892" s="11" t="s">
        <v>665</v>
      </c>
      <c r="D892" s="11" t="s">
        <v>1154</v>
      </c>
      <c r="E892" s="11">
        <v>5</v>
      </c>
      <c r="F892" s="11" t="s">
        <v>699</v>
      </c>
      <c r="G892" s="11" t="s">
        <v>634</v>
      </c>
      <c r="H892" s="14">
        <v>45936.607905092591</v>
      </c>
      <c r="I892" s="12">
        <f>-Mvt_Inter_entrepot[[#This Row],[QTE]]</f>
        <v>-5</v>
      </c>
      <c r="J892" s="11" t="s">
        <v>733</v>
      </c>
      <c r="K892" s="11" t="str">
        <f>_xlfn.TEXTBEFORE(Mvt_Inter_entrepot[[#This Row],[Num Suivis]],"-",,,1)</f>
        <v>CA250469</v>
      </c>
      <c r="L892" s="11" t="e">
        <f>_xlfn.XLOOKUP(Mvt_Inter_entrepot[[#This Row],[Num OF]],#REF!,#REF!,"Non Trouvé")</f>
        <v>#REF!</v>
      </c>
      <c r="M892" s="11" t="e">
        <f>_xlfn.XLOOKUP(Mvt_Inter_entrepot[[#This Row],[Num OF]],#REF!,#REF!,"Non Trouvé")</f>
        <v>#REF!</v>
      </c>
      <c r="N892" s="11" t="e">
        <f>_xlfn.XLOOKUP(Mvt_Inter_entrepot[[#This Row],[Num OF]],#REF!,#REF!,"Non Trouvé")</f>
        <v>#REF!</v>
      </c>
      <c r="O892" s="11" t="e">
        <f>_xlfn.XLOOKUP(Mvt_Inter_entrepot[[#This Row],[Num OF]],#REF!,#REF!,"Non Trouvé")</f>
        <v>#REF!</v>
      </c>
      <c r="P892" s="11" t="e">
        <f>_xlfn.XLOOKUP(Mvt_Inter_entrepot[[#This Row],[Num OF]],#REF!,#REF!,"Non Trouvé")</f>
        <v>#REF!</v>
      </c>
      <c r="Q892" s="11" t="str">
        <f>IF(
   COUNTIFS($A$2:A892,A892,
             $B$2:B892,B892,
             $C$2:C892,C892,
             $D$2:D892,D892,
             $E$2:E892,E892,
             $H$2:H892,H892
             )&gt;1,
   "Doublon",
   "Correcte"
)</f>
        <v>Correcte</v>
      </c>
    </row>
    <row r="893" spans="1:17" x14ac:dyDescent="0.25">
      <c r="A893" s="11" t="s">
        <v>3672</v>
      </c>
      <c r="B893" s="11" t="s">
        <v>1153</v>
      </c>
      <c r="C893" s="11" t="s">
        <v>665</v>
      </c>
      <c r="D893" s="11" t="s">
        <v>1154</v>
      </c>
      <c r="E893" s="11">
        <v>5</v>
      </c>
      <c r="F893" s="11" t="s">
        <v>699</v>
      </c>
      <c r="G893" s="11" t="s">
        <v>634</v>
      </c>
      <c r="H893" s="14">
        <v>45936.608229166668</v>
      </c>
      <c r="I893" s="12">
        <f>-Mvt_Inter_entrepot[[#This Row],[QTE]]</f>
        <v>-5</v>
      </c>
      <c r="J893" s="11" t="s">
        <v>1180</v>
      </c>
      <c r="K893" s="11" t="str">
        <f>_xlfn.TEXTBEFORE(Mvt_Inter_entrepot[[#This Row],[Num Suivis]],"-",,,1)</f>
        <v>CA250358</v>
      </c>
      <c r="L893" s="11" t="e">
        <f>_xlfn.XLOOKUP(Mvt_Inter_entrepot[[#This Row],[Num OF]],#REF!,#REF!,"Non Trouvé")</f>
        <v>#REF!</v>
      </c>
      <c r="M893" s="11" t="e">
        <f>_xlfn.XLOOKUP(Mvt_Inter_entrepot[[#This Row],[Num OF]],#REF!,#REF!,"Non Trouvé")</f>
        <v>#REF!</v>
      </c>
      <c r="N893" s="11" t="e">
        <f>_xlfn.XLOOKUP(Mvt_Inter_entrepot[[#This Row],[Num OF]],#REF!,#REF!,"Non Trouvé")</f>
        <v>#REF!</v>
      </c>
      <c r="O893" s="11" t="e">
        <f>_xlfn.XLOOKUP(Mvt_Inter_entrepot[[#This Row],[Num OF]],#REF!,#REF!,"Non Trouvé")</f>
        <v>#REF!</v>
      </c>
      <c r="P893" s="11" t="e">
        <f>_xlfn.XLOOKUP(Mvt_Inter_entrepot[[#This Row],[Num OF]],#REF!,#REF!,"Non Trouvé")</f>
        <v>#REF!</v>
      </c>
      <c r="Q893" s="11" t="str">
        <f>IF(
   COUNTIFS($A$2:A893,A893,
             $B$2:B893,B893,
             $C$2:C893,C893,
             $D$2:D893,D893,
             $E$2:E893,E893,
             $H$2:H893,H893
             )&gt;1,
   "Doublon",
   "Correcte"
)</f>
        <v>Correcte</v>
      </c>
    </row>
    <row r="894" spans="1:17" x14ac:dyDescent="0.25">
      <c r="A894" s="11" t="s">
        <v>3673</v>
      </c>
      <c r="B894" s="11" t="s">
        <v>1153</v>
      </c>
      <c r="C894" s="11" t="s">
        <v>665</v>
      </c>
      <c r="D894" s="11" t="s">
        <v>1154</v>
      </c>
      <c r="E894" s="11">
        <v>5</v>
      </c>
      <c r="F894" s="11" t="s">
        <v>699</v>
      </c>
      <c r="G894" s="11" t="s">
        <v>634</v>
      </c>
      <c r="H894" s="14">
        <v>45936.608449074076</v>
      </c>
      <c r="I894" s="12">
        <f>-Mvt_Inter_entrepot[[#This Row],[QTE]]</f>
        <v>-5</v>
      </c>
      <c r="J894" s="11" t="s">
        <v>1181</v>
      </c>
      <c r="K894" s="11" t="str">
        <f>_xlfn.TEXTBEFORE(Mvt_Inter_entrepot[[#This Row],[Num Suivis]],"-",,,1)</f>
        <v>CA250358</v>
      </c>
      <c r="L894" s="11" t="e">
        <f>_xlfn.XLOOKUP(Mvt_Inter_entrepot[[#This Row],[Num OF]],#REF!,#REF!,"Non Trouvé")</f>
        <v>#REF!</v>
      </c>
      <c r="M894" s="11" t="e">
        <f>_xlfn.XLOOKUP(Mvt_Inter_entrepot[[#This Row],[Num OF]],#REF!,#REF!,"Non Trouvé")</f>
        <v>#REF!</v>
      </c>
      <c r="N894" s="11" t="e">
        <f>_xlfn.XLOOKUP(Mvt_Inter_entrepot[[#This Row],[Num OF]],#REF!,#REF!,"Non Trouvé")</f>
        <v>#REF!</v>
      </c>
      <c r="O894" s="11" t="e">
        <f>_xlfn.XLOOKUP(Mvt_Inter_entrepot[[#This Row],[Num OF]],#REF!,#REF!,"Non Trouvé")</f>
        <v>#REF!</v>
      </c>
      <c r="P894" s="11" t="e">
        <f>_xlfn.XLOOKUP(Mvt_Inter_entrepot[[#This Row],[Num OF]],#REF!,#REF!,"Non Trouvé")</f>
        <v>#REF!</v>
      </c>
      <c r="Q894" s="11" t="str">
        <f>IF(
   COUNTIFS($A$2:A894,A894,
             $B$2:B894,B894,
             $C$2:C894,C894,
             $D$2:D894,D894,
             $E$2:E894,E894,
             $H$2:H894,H894
             )&gt;1,
   "Doublon",
   "Correcte"
)</f>
        <v>Correcte</v>
      </c>
    </row>
    <row r="895" spans="1:17" x14ac:dyDescent="0.25">
      <c r="A895" s="11" t="s">
        <v>3674</v>
      </c>
      <c r="B895" s="11" t="s">
        <v>1153</v>
      </c>
      <c r="C895" s="11" t="s">
        <v>665</v>
      </c>
      <c r="D895" s="11" t="s">
        <v>1154</v>
      </c>
      <c r="E895" s="11">
        <v>5</v>
      </c>
      <c r="F895" s="11" t="s">
        <v>699</v>
      </c>
      <c r="G895" s="11" t="s">
        <v>634</v>
      </c>
      <c r="H895" s="14">
        <v>45936.608726851853</v>
      </c>
      <c r="I895" s="12">
        <f>-Mvt_Inter_entrepot[[#This Row],[QTE]]</f>
        <v>-5</v>
      </c>
      <c r="J895" s="11" t="s">
        <v>1182</v>
      </c>
      <c r="K895" s="11" t="str">
        <f>_xlfn.TEXTBEFORE(Mvt_Inter_entrepot[[#This Row],[Num Suivis]],"-",,,1)</f>
        <v>CA250358</v>
      </c>
      <c r="L895" s="11" t="e">
        <f>_xlfn.XLOOKUP(Mvt_Inter_entrepot[[#This Row],[Num OF]],#REF!,#REF!,"Non Trouvé")</f>
        <v>#REF!</v>
      </c>
      <c r="M895" s="11" t="e">
        <f>_xlfn.XLOOKUP(Mvt_Inter_entrepot[[#This Row],[Num OF]],#REF!,#REF!,"Non Trouvé")</f>
        <v>#REF!</v>
      </c>
      <c r="N895" s="11" t="e">
        <f>_xlfn.XLOOKUP(Mvt_Inter_entrepot[[#This Row],[Num OF]],#REF!,#REF!,"Non Trouvé")</f>
        <v>#REF!</v>
      </c>
      <c r="O895" s="11" t="e">
        <f>_xlfn.XLOOKUP(Mvt_Inter_entrepot[[#This Row],[Num OF]],#REF!,#REF!,"Non Trouvé")</f>
        <v>#REF!</v>
      </c>
      <c r="P895" s="11" t="e">
        <f>_xlfn.XLOOKUP(Mvt_Inter_entrepot[[#This Row],[Num OF]],#REF!,#REF!,"Non Trouvé")</f>
        <v>#REF!</v>
      </c>
      <c r="Q895" s="11" t="str">
        <f>IF(
   COUNTIFS($A$2:A895,A895,
             $B$2:B895,B895,
             $C$2:C895,C895,
             $D$2:D895,D895,
             $E$2:E895,E895,
             $H$2:H895,H895
             )&gt;1,
   "Doublon",
   "Correcte"
)</f>
        <v>Correcte</v>
      </c>
    </row>
    <row r="896" spans="1:17" x14ac:dyDescent="0.25">
      <c r="A896" s="11" t="s">
        <v>3675</v>
      </c>
      <c r="B896" s="11" t="s">
        <v>1153</v>
      </c>
      <c r="C896" s="11" t="s">
        <v>665</v>
      </c>
      <c r="D896" s="11" t="s">
        <v>1154</v>
      </c>
      <c r="E896" s="11">
        <v>5</v>
      </c>
      <c r="F896" s="11" t="s">
        <v>699</v>
      </c>
      <c r="G896" s="11" t="s">
        <v>634</v>
      </c>
      <c r="H896" s="14">
        <v>45936.608969907407</v>
      </c>
      <c r="I896" s="12">
        <f>-Mvt_Inter_entrepot[[#This Row],[QTE]]</f>
        <v>-5</v>
      </c>
      <c r="J896" s="11" t="s">
        <v>1183</v>
      </c>
      <c r="K896" s="11" t="str">
        <f>_xlfn.TEXTBEFORE(Mvt_Inter_entrepot[[#This Row],[Num Suivis]],"-",,,1)</f>
        <v>CA250358</v>
      </c>
      <c r="L896" s="11" t="e">
        <f>_xlfn.XLOOKUP(Mvt_Inter_entrepot[[#This Row],[Num OF]],#REF!,#REF!,"Non Trouvé")</f>
        <v>#REF!</v>
      </c>
      <c r="M896" s="11" t="e">
        <f>_xlfn.XLOOKUP(Mvt_Inter_entrepot[[#This Row],[Num OF]],#REF!,#REF!,"Non Trouvé")</f>
        <v>#REF!</v>
      </c>
      <c r="N896" s="11" t="e">
        <f>_xlfn.XLOOKUP(Mvt_Inter_entrepot[[#This Row],[Num OF]],#REF!,#REF!,"Non Trouvé")</f>
        <v>#REF!</v>
      </c>
      <c r="O896" s="11" t="e">
        <f>_xlfn.XLOOKUP(Mvt_Inter_entrepot[[#This Row],[Num OF]],#REF!,#REF!,"Non Trouvé")</f>
        <v>#REF!</v>
      </c>
      <c r="P896" s="11" t="e">
        <f>_xlfn.XLOOKUP(Mvt_Inter_entrepot[[#This Row],[Num OF]],#REF!,#REF!,"Non Trouvé")</f>
        <v>#REF!</v>
      </c>
      <c r="Q896" s="11" t="str">
        <f>IF(
   COUNTIFS($A$2:A896,A896,
             $B$2:B896,B896,
             $C$2:C896,C896,
             $D$2:D896,D896,
             $E$2:E896,E896,
             $H$2:H896,H896
             )&gt;1,
   "Doublon",
   "Correcte"
)</f>
        <v>Correcte</v>
      </c>
    </row>
    <row r="897" spans="1:17" x14ac:dyDescent="0.25">
      <c r="A897" s="11" t="s">
        <v>3676</v>
      </c>
      <c r="B897" s="11" t="s">
        <v>1153</v>
      </c>
      <c r="C897" s="11" t="s">
        <v>665</v>
      </c>
      <c r="D897" s="11" t="s">
        <v>1154</v>
      </c>
      <c r="E897" s="11">
        <v>5</v>
      </c>
      <c r="F897" s="11" t="s">
        <v>699</v>
      </c>
      <c r="G897" s="11" t="s">
        <v>634</v>
      </c>
      <c r="H897" s="14">
        <v>45936.609201388892</v>
      </c>
      <c r="I897" s="12">
        <f>-Mvt_Inter_entrepot[[#This Row],[QTE]]</f>
        <v>-5</v>
      </c>
      <c r="J897" s="11" t="s">
        <v>1184</v>
      </c>
      <c r="K897" s="11" t="str">
        <f>_xlfn.TEXTBEFORE(Mvt_Inter_entrepot[[#This Row],[Num Suivis]],"-",,,1)</f>
        <v>CA250364</v>
      </c>
      <c r="L897" s="11" t="e">
        <f>_xlfn.XLOOKUP(Mvt_Inter_entrepot[[#This Row],[Num OF]],#REF!,#REF!,"Non Trouvé")</f>
        <v>#REF!</v>
      </c>
      <c r="M897" s="11" t="e">
        <f>_xlfn.XLOOKUP(Mvt_Inter_entrepot[[#This Row],[Num OF]],#REF!,#REF!,"Non Trouvé")</f>
        <v>#REF!</v>
      </c>
      <c r="N897" s="11" t="e">
        <f>_xlfn.XLOOKUP(Mvt_Inter_entrepot[[#This Row],[Num OF]],#REF!,#REF!,"Non Trouvé")</f>
        <v>#REF!</v>
      </c>
      <c r="O897" s="11" t="e">
        <f>_xlfn.XLOOKUP(Mvt_Inter_entrepot[[#This Row],[Num OF]],#REF!,#REF!,"Non Trouvé")</f>
        <v>#REF!</v>
      </c>
      <c r="P897" s="11" t="e">
        <f>_xlfn.XLOOKUP(Mvt_Inter_entrepot[[#This Row],[Num OF]],#REF!,#REF!,"Non Trouvé")</f>
        <v>#REF!</v>
      </c>
      <c r="Q897" s="11" t="str">
        <f>IF(
   COUNTIFS($A$2:A897,A897,
             $B$2:B897,B897,
             $C$2:C897,C897,
             $D$2:D897,D897,
             $E$2:E897,E897,
             $H$2:H897,H897
             )&gt;1,
   "Doublon",
   "Correcte"
)</f>
        <v>Correcte</v>
      </c>
    </row>
    <row r="898" spans="1:17" x14ac:dyDescent="0.25">
      <c r="A898" s="11" t="s">
        <v>3677</v>
      </c>
      <c r="B898" s="11" t="s">
        <v>1153</v>
      </c>
      <c r="C898" s="11" t="s">
        <v>665</v>
      </c>
      <c r="D898" s="11" t="s">
        <v>1154</v>
      </c>
      <c r="E898" s="11">
        <v>5</v>
      </c>
      <c r="F898" s="11" t="s">
        <v>699</v>
      </c>
      <c r="G898" s="11" t="s">
        <v>634</v>
      </c>
      <c r="H898" s="14">
        <v>45936.6094212963</v>
      </c>
      <c r="I898" s="12">
        <f>-Mvt_Inter_entrepot[[#This Row],[QTE]]</f>
        <v>-5</v>
      </c>
      <c r="J898" s="11" t="s">
        <v>1185</v>
      </c>
      <c r="K898" s="11" t="str">
        <f>_xlfn.TEXTBEFORE(Mvt_Inter_entrepot[[#This Row],[Num Suivis]],"-",,,1)</f>
        <v>CA250358</v>
      </c>
      <c r="L898" s="11" t="e">
        <f>_xlfn.XLOOKUP(Mvt_Inter_entrepot[[#This Row],[Num OF]],#REF!,#REF!,"Non Trouvé")</f>
        <v>#REF!</v>
      </c>
      <c r="M898" s="11" t="e">
        <f>_xlfn.XLOOKUP(Mvt_Inter_entrepot[[#This Row],[Num OF]],#REF!,#REF!,"Non Trouvé")</f>
        <v>#REF!</v>
      </c>
      <c r="N898" s="11" t="e">
        <f>_xlfn.XLOOKUP(Mvt_Inter_entrepot[[#This Row],[Num OF]],#REF!,#REF!,"Non Trouvé")</f>
        <v>#REF!</v>
      </c>
      <c r="O898" s="11" t="e">
        <f>_xlfn.XLOOKUP(Mvt_Inter_entrepot[[#This Row],[Num OF]],#REF!,#REF!,"Non Trouvé")</f>
        <v>#REF!</v>
      </c>
      <c r="P898" s="11" t="e">
        <f>_xlfn.XLOOKUP(Mvt_Inter_entrepot[[#This Row],[Num OF]],#REF!,#REF!,"Non Trouvé")</f>
        <v>#REF!</v>
      </c>
      <c r="Q898" s="11" t="str">
        <f>IF(
   COUNTIFS($A$2:A898,A898,
             $B$2:B898,B898,
             $C$2:C898,C898,
             $D$2:D898,D898,
             $E$2:E898,E898,
             $H$2:H898,H898
             )&gt;1,
   "Doublon",
   "Correcte"
)</f>
        <v>Correcte</v>
      </c>
    </row>
    <row r="899" spans="1:17" x14ac:dyDescent="0.25">
      <c r="A899" s="11" t="s">
        <v>3678</v>
      </c>
      <c r="B899" s="11" t="s">
        <v>1153</v>
      </c>
      <c r="C899" s="11" t="s">
        <v>665</v>
      </c>
      <c r="D899" s="11" t="s">
        <v>1154</v>
      </c>
      <c r="E899" s="11">
        <v>5</v>
      </c>
      <c r="F899" s="11" t="s">
        <v>699</v>
      </c>
      <c r="G899" s="11" t="s">
        <v>634</v>
      </c>
      <c r="H899" s="14">
        <v>45936.6096412037</v>
      </c>
      <c r="I899" s="12">
        <f>-Mvt_Inter_entrepot[[#This Row],[QTE]]</f>
        <v>-5</v>
      </c>
      <c r="J899" s="11" t="s">
        <v>1186</v>
      </c>
      <c r="K899" s="11" t="str">
        <f>_xlfn.TEXTBEFORE(Mvt_Inter_entrepot[[#This Row],[Num Suivis]],"-",,,1)</f>
        <v>CA250363</v>
      </c>
      <c r="L899" s="11" t="e">
        <f>_xlfn.XLOOKUP(Mvt_Inter_entrepot[[#This Row],[Num OF]],#REF!,#REF!,"Non Trouvé")</f>
        <v>#REF!</v>
      </c>
      <c r="M899" s="11" t="e">
        <f>_xlfn.XLOOKUP(Mvt_Inter_entrepot[[#This Row],[Num OF]],#REF!,#REF!,"Non Trouvé")</f>
        <v>#REF!</v>
      </c>
      <c r="N899" s="11" t="e">
        <f>_xlfn.XLOOKUP(Mvt_Inter_entrepot[[#This Row],[Num OF]],#REF!,#REF!,"Non Trouvé")</f>
        <v>#REF!</v>
      </c>
      <c r="O899" s="11" t="e">
        <f>_xlfn.XLOOKUP(Mvt_Inter_entrepot[[#This Row],[Num OF]],#REF!,#REF!,"Non Trouvé")</f>
        <v>#REF!</v>
      </c>
      <c r="P899" s="11" t="e">
        <f>_xlfn.XLOOKUP(Mvt_Inter_entrepot[[#This Row],[Num OF]],#REF!,#REF!,"Non Trouvé")</f>
        <v>#REF!</v>
      </c>
      <c r="Q899" s="11" t="str">
        <f>IF(
   COUNTIFS($A$2:A899,A899,
             $B$2:B899,B899,
             $C$2:C899,C899,
             $D$2:D899,D899,
             $E$2:E899,E899,
             $H$2:H899,H899
             )&gt;1,
   "Doublon",
   "Correcte"
)</f>
        <v>Correcte</v>
      </c>
    </row>
    <row r="900" spans="1:17" x14ac:dyDescent="0.25">
      <c r="A900" s="11" t="s">
        <v>3679</v>
      </c>
      <c r="B900" s="11" t="s">
        <v>1153</v>
      </c>
      <c r="C900" s="11" t="s">
        <v>665</v>
      </c>
      <c r="D900" s="11" t="s">
        <v>1154</v>
      </c>
      <c r="E900" s="11">
        <v>5</v>
      </c>
      <c r="F900" s="11" t="s">
        <v>699</v>
      </c>
      <c r="G900" s="11" t="s">
        <v>634</v>
      </c>
      <c r="H900" s="14">
        <v>45936.609861111108</v>
      </c>
      <c r="I900" s="12">
        <f>-Mvt_Inter_entrepot[[#This Row],[QTE]]</f>
        <v>-5</v>
      </c>
      <c r="J900" s="11" t="s">
        <v>1187</v>
      </c>
      <c r="K900" s="11" t="str">
        <f>_xlfn.TEXTBEFORE(Mvt_Inter_entrepot[[#This Row],[Num Suivis]],"-",,,1)</f>
        <v>CA250365</v>
      </c>
      <c r="L900" s="11" t="e">
        <f>_xlfn.XLOOKUP(Mvt_Inter_entrepot[[#This Row],[Num OF]],#REF!,#REF!,"Non Trouvé")</f>
        <v>#REF!</v>
      </c>
      <c r="M900" s="11" t="e">
        <f>_xlfn.XLOOKUP(Mvt_Inter_entrepot[[#This Row],[Num OF]],#REF!,#REF!,"Non Trouvé")</f>
        <v>#REF!</v>
      </c>
      <c r="N900" s="11" t="e">
        <f>_xlfn.XLOOKUP(Mvt_Inter_entrepot[[#This Row],[Num OF]],#REF!,#REF!,"Non Trouvé")</f>
        <v>#REF!</v>
      </c>
      <c r="O900" s="11" t="e">
        <f>_xlfn.XLOOKUP(Mvt_Inter_entrepot[[#This Row],[Num OF]],#REF!,#REF!,"Non Trouvé")</f>
        <v>#REF!</v>
      </c>
      <c r="P900" s="11" t="e">
        <f>_xlfn.XLOOKUP(Mvt_Inter_entrepot[[#This Row],[Num OF]],#REF!,#REF!,"Non Trouvé")</f>
        <v>#REF!</v>
      </c>
      <c r="Q900" s="11" t="str">
        <f>IF(
   COUNTIFS($A$2:A900,A900,
             $B$2:B900,B900,
             $C$2:C900,C900,
             $D$2:D900,D900,
             $E$2:E900,E900,
             $H$2:H900,H900
             )&gt;1,
   "Doublon",
   "Correcte"
)</f>
        <v>Correcte</v>
      </c>
    </row>
    <row r="901" spans="1:17" x14ac:dyDescent="0.25">
      <c r="A901" s="11" t="s">
        <v>3680</v>
      </c>
      <c r="B901" s="11" t="s">
        <v>1153</v>
      </c>
      <c r="C901" s="11" t="s">
        <v>665</v>
      </c>
      <c r="D901" s="11" t="s">
        <v>1154</v>
      </c>
      <c r="E901" s="11">
        <v>5</v>
      </c>
      <c r="F901" s="11" t="s">
        <v>699</v>
      </c>
      <c r="G901" s="11" t="s">
        <v>634</v>
      </c>
      <c r="H901" s="14">
        <v>45936.610162037039</v>
      </c>
      <c r="I901" s="12">
        <f>-Mvt_Inter_entrepot[[#This Row],[QTE]]</f>
        <v>-5</v>
      </c>
      <c r="J901" s="11" t="s">
        <v>1188</v>
      </c>
      <c r="K901" s="11" t="str">
        <f>_xlfn.TEXTBEFORE(Mvt_Inter_entrepot[[#This Row],[Num Suivis]],"-",,,1)</f>
        <v>CA250365</v>
      </c>
      <c r="L901" s="11" t="e">
        <f>_xlfn.XLOOKUP(Mvt_Inter_entrepot[[#This Row],[Num OF]],#REF!,#REF!,"Non Trouvé")</f>
        <v>#REF!</v>
      </c>
      <c r="M901" s="11" t="e">
        <f>_xlfn.XLOOKUP(Mvt_Inter_entrepot[[#This Row],[Num OF]],#REF!,#REF!,"Non Trouvé")</f>
        <v>#REF!</v>
      </c>
      <c r="N901" s="11" t="e">
        <f>_xlfn.XLOOKUP(Mvt_Inter_entrepot[[#This Row],[Num OF]],#REF!,#REF!,"Non Trouvé")</f>
        <v>#REF!</v>
      </c>
      <c r="O901" s="11" t="e">
        <f>_xlfn.XLOOKUP(Mvt_Inter_entrepot[[#This Row],[Num OF]],#REF!,#REF!,"Non Trouvé")</f>
        <v>#REF!</v>
      </c>
      <c r="P901" s="11" t="e">
        <f>_xlfn.XLOOKUP(Mvt_Inter_entrepot[[#This Row],[Num OF]],#REF!,#REF!,"Non Trouvé")</f>
        <v>#REF!</v>
      </c>
      <c r="Q901" s="11" t="str">
        <f>IF(
   COUNTIFS($A$2:A901,A901,
             $B$2:B901,B901,
             $C$2:C901,C901,
             $D$2:D901,D901,
             $E$2:E901,E901,
             $H$2:H901,H901
             )&gt;1,
   "Doublon",
   "Correcte"
)</f>
        <v>Correcte</v>
      </c>
    </row>
    <row r="902" spans="1:17" x14ac:dyDescent="0.25">
      <c r="A902" s="11" t="s">
        <v>3681</v>
      </c>
      <c r="B902" s="11" t="s">
        <v>1153</v>
      </c>
      <c r="C902" s="11" t="s">
        <v>665</v>
      </c>
      <c r="D902" s="11" t="s">
        <v>1154</v>
      </c>
      <c r="E902" s="11">
        <v>5</v>
      </c>
      <c r="F902" s="11" t="s">
        <v>699</v>
      </c>
      <c r="G902" s="11" t="s">
        <v>634</v>
      </c>
      <c r="H902" s="14">
        <v>45936.610451388886</v>
      </c>
      <c r="I902" s="12">
        <f>-Mvt_Inter_entrepot[[#This Row],[QTE]]</f>
        <v>-5</v>
      </c>
      <c r="J902" s="11" t="s">
        <v>1189</v>
      </c>
      <c r="K902" s="11" t="str">
        <f>_xlfn.TEXTBEFORE(Mvt_Inter_entrepot[[#This Row],[Num Suivis]],"-",,,1)</f>
        <v>CA250365</v>
      </c>
      <c r="L902" s="11" t="e">
        <f>_xlfn.XLOOKUP(Mvt_Inter_entrepot[[#This Row],[Num OF]],#REF!,#REF!,"Non Trouvé")</f>
        <v>#REF!</v>
      </c>
      <c r="M902" s="11" t="e">
        <f>_xlfn.XLOOKUP(Mvt_Inter_entrepot[[#This Row],[Num OF]],#REF!,#REF!,"Non Trouvé")</f>
        <v>#REF!</v>
      </c>
      <c r="N902" s="11" t="e">
        <f>_xlfn.XLOOKUP(Mvt_Inter_entrepot[[#This Row],[Num OF]],#REF!,#REF!,"Non Trouvé")</f>
        <v>#REF!</v>
      </c>
      <c r="O902" s="11" t="e">
        <f>_xlfn.XLOOKUP(Mvt_Inter_entrepot[[#This Row],[Num OF]],#REF!,#REF!,"Non Trouvé")</f>
        <v>#REF!</v>
      </c>
      <c r="P902" s="11" t="e">
        <f>_xlfn.XLOOKUP(Mvt_Inter_entrepot[[#This Row],[Num OF]],#REF!,#REF!,"Non Trouvé")</f>
        <v>#REF!</v>
      </c>
      <c r="Q902" s="11" t="str">
        <f>IF(
   COUNTIFS($A$2:A902,A902,
             $B$2:B902,B902,
             $C$2:C902,C902,
             $D$2:D902,D902,
             $E$2:E902,E902,
             $H$2:H902,H902
             )&gt;1,
   "Doublon",
   "Correcte"
)</f>
        <v>Correcte</v>
      </c>
    </row>
    <row r="903" spans="1:17" x14ac:dyDescent="0.25">
      <c r="A903" s="11" t="s">
        <v>3682</v>
      </c>
      <c r="B903" s="11" t="s">
        <v>1153</v>
      </c>
      <c r="C903" s="11" t="s">
        <v>665</v>
      </c>
      <c r="D903" s="11" t="s">
        <v>1154</v>
      </c>
      <c r="E903" s="11">
        <v>5</v>
      </c>
      <c r="F903" s="11" t="s">
        <v>699</v>
      </c>
      <c r="G903" s="11" t="s">
        <v>634</v>
      </c>
      <c r="H903" s="14">
        <v>45936.610694444447</v>
      </c>
      <c r="I903" s="12">
        <f>-Mvt_Inter_entrepot[[#This Row],[QTE]]</f>
        <v>-5</v>
      </c>
      <c r="J903" s="11" t="s">
        <v>1190</v>
      </c>
      <c r="K903" s="11" t="str">
        <f>_xlfn.TEXTBEFORE(Mvt_Inter_entrepot[[#This Row],[Num Suivis]],"-",,,1)</f>
        <v>CA250362</v>
      </c>
      <c r="L903" s="11" t="e">
        <f>_xlfn.XLOOKUP(Mvt_Inter_entrepot[[#This Row],[Num OF]],#REF!,#REF!,"Non Trouvé")</f>
        <v>#REF!</v>
      </c>
      <c r="M903" s="11" t="e">
        <f>_xlfn.XLOOKUP(Mvt_Inter_entrepot[[#This Row],[Num OF]],#REF!,#REF!,"Non Trouvé")</f>
        <v>#REF!</v>
      </c>
      <c r="N903" s="11" t="e">
        <f>_xlfn.XLOOKUP(Mvt_Inter_entrepot[[#This Row],[Num OF]],#REF!,#REF!,"Non Trouvé")</f>
        <v>#REF!</v>
      </c>
      <c r="O903" s="11" t="e">
        <f>_xlfn.XLOOKUP(Mvt_Inter_entrepot[[#This Row],[Num OF]],#REF!,#REF!,"Non Trouvé")</f>
        <v>#REF!</v>
      </c>
      <c r="P903" s="11" t="e">
        <f>_xlfn.XLOOKUP(Mvt_Inter_entrepot[[#This Row],[Num OF]],#REF!,#REF!,"Non Trouvé")</f>
        <v>#REF!</v>
      </c>
      <c r="Q903" s="11" t="str">
        <f>IF(
   COUNTIFS($A$2:A903,A903,
             $B$2:B903,B903,
             $C$2:C903,C903,
             $D$2:D903,D903,
             $E$2:E903,E903,
             $H$2:H903,H903
             )&gt;1,
   "Doublon",
   "Correcte"
)</f>
        <v>Correcte</v>
      </c>
    </row>
    <row r="904" spans="1:17" x14ac:dyDescent="0.25">
      <c r="A904" s="11" t="s">
        <v>3683</v>
      </c>
      <c r="B904" s="11" t="s">
        <v>1153</v>
      </c>
      <c r="C904" s="11" t="s">
        <v>665</v>
      </c>
      <c r="D904" s="11" t="s">
        <v>1154</v>
      </c>
      <c r="E904" s="11">
        <v>5</v>
      </c>
      <c r="F904" s="11" t="s">
        <v>699</v>
      </c>
      <c r="G904" s="11" t="s">
        <v>634</v>
      </c>
      <c r="H904" s="14">
        <v>45936.610949074071</v>
      </c>
      <c r="I904" s="12">
        <f>-Mvt_Inter_entrepot[[#This Row],[QTE]]</f>
        <v>-5</v>
      </c>
      <c r="J904" s="11" t="s">
        <v>1191</v>
      </c>
      <c r="K904" s="11" t="str">
        <f>_xlfn.TEXTBEFORE(Mvt_Inter_entrepot[[#This Row],[Num Suivis]],"-",,,1)</f>
        <v>CA250363</v>
      </c>
      <c r="L904" s="11" t="e">
        <f>_xlfn.XLOOKUP(Mvt_Inter_entrepot[[#This Row],[Num OF]],#REF!,#REF!,"Non Trouvé")</f>
        <v>#REF!</v>
      </c>
      <c r="M904" s="11" t="e">
        <f>_xlfn.XLOOKUP(Mvt_Inter_entrepot[[#This Row],[Num OF]],#REF!,#REF!,"Non Trouvé")</f>
        <v>#REF!</v>
      </c>
      <c r="N904" s="11" t="e">
        <f>_xlfn.XLOOKUP(Mvt_Inter_entrepot[[#This Row],[Num OF]],#REF!,#REF!,"Non Trouvé")</f>
        <v>#REF!</v>
      </c>
      <c r="O904" s="11" t="e">
        <f>_xlfn.XLOOKUP(Mvt_Inter_entrepot[[#This Row],[Num OF]],#REF!,#REF!,"Non Trouvé")</f>
        <v>#REF!</v>
      </c>
      <c r="P904" s="11" t="e">
        <f>_xlfn.XLOOKUP(Mvt_Inter_entrepot[[#This Row],[Num OF]],#REF!,#REF!,"Non Trouvé")</f>
        <v>#REF!</v>
      </c>
      <c r="Q904" s="11" t="str">
        <f>IF(
   COUNTIFS($A$2:A904,A904,
             $B$2:B904,B904,
             $C$2:C904,C904,
             $D$2:D904,D904,
             $E$2:E904,E904,
             $H$2:H904,H904
             )&gt;1,
   "Doublon",
   "Correcte"
)</f>
        <v>Correcte</v>
      </c>
    </row>
    <row r="905" spans="1:17" x14ac:dyDescent="0.25">
      <c r="A905" s="11" t="s">
        <v>3684</v>
      </c>
      <c r="B905" s="11" t="s">
        <v>1153</v>
      </c>
      <c r="C905" s="11" t="s">
        <v>665</v>
      </c>
      <c r="D905" s="11" t="s">
        <v>1154</v>
      </c>
      <c r="E905" s="11">
        <v>5</v>
      </c>
      <c r="F905" s="11" t="s">
        <v>699</v>
      </c>
      <c r="G905" s="11" t="s">
        <v>634</v>
      </c>
      <c r="H905" s="14">
        <v>45936.611215277779</v>
      </c>
      <c r="I905" s="12">
        <f>-Mvt_Inter_entrepot[[#This Row],[QTE]]</f>
        <v>-5</v>
      </c>
      <c r="J905" s="11" t="s">
        <v>96</v>
      </c>
      <c r="K905" s="11" t="str">
        <f>_xlfn.TEXTBEFORE(Mvt_Inter_entrepot[[#This Row],[Num Suivis]],"-",,,1)</f>
        <v>CA250363</v>
      </c>
      <c r="L905" s="11" t="e">
        <f>_xlfn.XLOOKUP(Mvt_Inter_entrepot[[#This Row],[Num OF]],#REF!,#REF!,"Non Trouvé")</f>
        <v>#REF!</v>
      </c>
      <c r="M905" s="11" t="e">
        <f>_xlfn.XLOOKUP(Mvt_Inter_entrepot[[#This Row],[Num OF]],#REF!,#REF!,"Non Trouvé")</f>
        <v>#REF!</v>
      </c>
      <c r="N905" s="11" t="e">
        <f>_xlfn.XLOOKUP(Mvt_Inter_entrepot[[#This Row],[Num OF]],#REF!,#REF!,"Non Trouvé")</f>
        <v>#REF!</v>
      </c>
      <c r="O905" s="11" t="e">
        <f>_xlfn.XLOOKUP(Mvt_Inter_entrepot[[#This Row],[Num OF]],#REF!,#REF!,"Non Trouvé")</f>
        <v>#REF!</v>
      </c>
      <c r="P905" s="11" t="e">
        <f>_xlfn.XLOOKUP(Mvt_Inter_entrepot[[#This Row],[Num OF]],#REF!,#REF!,"Non Trouvé")</f>
        <v>#REF!</v>
      </c>
      <c r="Q905" s="11" t="str">
        <f>IF(
   COUNTIFS($A$2:A905,A905,
             $B$2:B905,B905,
             $C$2:C905,C905,
             $D$2:D905,D905,
             $E$2:E905,E905,
             $H$2:H905,H905
             )&gt;1,
   "Doublon",
   "Correcte"
)</f>
        <v>Correcte</v>
      </c>
    </row>
    <row r="906" spans="1:17" x14ac:dyDescent="0.25">
      <c r="A906" s="11" t="s">
        <v>3685</v>
      </c>
      <c r="B906" s="11" t="s">
        <v>1153</v>
      </c>
      <c r="C906" s="11" t="s">
        <v>665</v>
      </c>
      <c r="D906" s="11" t="s">
        <v>1154</v>
      </c>
      <c r="E906" s="11">
        <v>5</v>
      </c>
      <c r="F906" s="11" t="s">
        <v>699</v>
      </c>
      <c r="G906" s="11" t="s">
        <v>634</v>
      </c>
      <c r="H906" s="14">
        <v>45936.611585648148</v>
      </c>
      <c r="I906" s="12">
        <f>-Mvt_Inter_entrepot[[#This Row],[QTE]]</f>
        <v>-5</v>
      </c>
      <c r="J906" s="11" t="s">
        <v>1192</v>
      </c>
      <c r="K906" s="11" t="str">
        <f>_xlfn.TEXTBEFORE(Mvt_Inter_entrepot[[#This Row],[Num Suivis]],"-",,,1)</f>
        <v>CA250363</v>
      </c>
      <c r="L906" s="11" t="e">
        <f>_xlfn.XLOOKUP(Mvt_Inter_entrepot[[#This Row],[Num OF]],#REF!,#REF!,"Non Trouvé")</f>
        <v>#REF!</v>
      </c>
      <c r="M906" s="11" t="e">
        <f>_xlfn.XLOOKUP(Mvt_Inter_entrepot[[#This Row],[Num OF]],#REF!,#REF!,"Non Trouvé")</f>
        <v>#REF!</v>
      </c>
      <c r="N906" s="11" t="e">
        <f>_xlfn.XLOOKUP(Mvt_Inter_entrepot[[#This Row],[Num OF]],#REF!,#REF!,"Non Trouvé")</f>
        <v>#REF!</v>
      </c>
      <c r="O906" s="11" t="e">
        <f>_xlfn.XLOOKUP(Mvt_Inter_entrepot[[#This Row],[Num OF]],#REF!,#REF!,"Non Trouvé")</f>
        <v>#REF!</v>
      </c>
      <c r="P906" s="11" t="e">
        <f>_xlfn.XLOOKUP(Mvt_Inter_entrepot[[#This Row],[Num OF]],#REF!,#REF!,"Non Trouvé")</f>
        <v>#REF!</v>
      </c>
      <c r="Q906" s="11" t="str">
        <f>IF(
   COUNTIFS($A$2:A906,A906,
             $B$2:B906,B906,
             $C$2:C906,C906,
             $D$2:D906,D906,
             $E$2:E906,E906,
             $H$2:H906,H906
             )&gt;1,
   "Doublon",
   "Correcte"
)</f>
        <v>Correcte</v>
      </c>
    </row>
    <row r="907" spans="1:17" x14ac:dyDescent="0.25">
      <c r="A907" s="11" t="s">
        <v>3686</v>
      </c>
      <c r="B907" s="11" t="s">
        <v>1153</v>
      </c>
      <c r="C907" s="11" t="s">
        <v>665</v>
      </c>
      <c r="D907" s="11" t="s">
        <v>1154</v>
      </c>
      <c r="E907" s="11">
        <v>5</v>
      </c>
      <c r="F907" s="11" t="s">
        <v>699</v>
      </c>
      <c r="G907" s="11" t="s">
        <v>634</v>
      </c>
      <c r="H907" s="14">
        <v>45936.611840277779</v>
      </c>
      <c r="I907" s="12">
        <f>-Mvt_Inter_entrepot[[#This Row],[QTE]]</f>
        <v>-5</v>
      </c>
      <c r="J907" s="11" t="s">
        <v>1193</v>
      </c>
      <c r="K907" s="11" t="str">
        <f>_xlfn.TEXTBEFORE(Mvt_Inter_entrepot[[#This Row],[Num Suivis]],"-",,,1)</f>
        <v>CA250358</v>
      </c>
      <c r="L907" s="11" t="e">
        <f>_xlfn.XLOOKUP(Mvt_Inter_entrepot[[#This Row],[Num OF]],#REF!,#REF!,"Non Trouvé")</f>
        <v>#REF!</v>
      </c>
      <c r="M907" s="11" t="e">
        <f>_xlfn.XLOOKUP(Mvt_Inter_entrepot[[#This Row],[Num OF]],#REF!,#REF!,"Non Trouvé")</f>
        <v>#REF!</v>
      </c>
      <c r="N907" s="11" t="e">
        <f>_xlfn.XLOOKUP(Mvt_Inter_entrepot[[#This Row],[Num OF]],#REF!,#REF!,"Non Trouvé")</f>
        <v>#REF!</v>
      </c>
      <c r="O907" s="11" t="e">
        <f>_xlfn.XLOOKUP(Mvt_Inter_entrepot[[#This Row],[Num OF]],#REF!,#REF!,"Non Trouvé")</f>
        <v>#REF!</v>
      </c>
      <c r="P907" s="11" t="e">
        <f>_xlfn.XLOOKUP(Mvt_Inter_entrepot[[#This Row],[Num OF]],#REF!,#REF!,"Non Trouvé")</f>
        <v>#REF!</v>
      </c>
      <c r="Q907" s="11" t="str">
        <f>IF(
   COUNTIFS($A$2:A907,A907,
             $B$2:B907,B907,
             $C$2:C907,C907,
             $D$2:D907,D907,
             $E$2:E907,E907,
             $H$2:H907,H907
             )&gt;1,
   "Doublon",
   "Correcte"
)</f>
        <v>Correcte</v>
      </c>
    </row>
    <row r="908" spans="1:17" x14ac:dyDescent="0.25">
      <c r="A908" s="11" t="s">
        <v>3687</v>
      </c>
      <c r="B908" s="11" t="s">
        <v>1153</v>
      </c>
      <c r="C908" s="11" t="s">
        <v>665</v>
      </c>
      <c r="D908" s="11" t="s">
        <v>1154</v>
      </c>
      <c r="E908" s="11">
        <v>5</v>
      </c>
      <c r="F908" s="11" t="s">
        <v>699</v>
      </c>
      <c r="G908" s="11" t="s">
        <v>634</v>
      </c>
      <c r="H908" s="14">
        <v>45936.61204861111</v>
      </c>
      <c r="I908" s="12">
        <f>-Mvt_Inter_entrepot[[#This Row],[QTE]]</f>
        <v>-5</v>
      </c>
      <c r="J908" s="11" t="s">
        <v>1194</v>
      </c>
      <c r="K908" s="11" t="str">
        <f>_xlfn.TEXTBEFORE(Mvt_Inter_entrepot[[#This Row],[Num Suivis]],"-",,,1)</f>
        <v>CA250363</v>
      </c>
      <c r="L908" s="11" t="e">
        <f>_xlfn.XLOOKUP(Mvt_Inter_entrepot[[#This Row],[Num OF]],#REF!,#REF!,"Non Trouvé")</f>
        <v>#REF!</v>
      </c>
      <c r="M908" s="11" t="e">
        <f>_xlfn.XLOOKUP(Mvt_Inter_entrepot[[#This Row],[Num OF]],#REF!,#REF!,"Non Trouvé")</f>
        <v>#REF!</v>
      </c>
      <c r="N908" s="11" t="e">
        <f>_xlfn.XLOOKUP(Mvt_Inter_entrepot[[#This Row],[Num OF]],#REF!,#REF!,"Non Trouvé")</f>
        <v>#REF!</v>
      </c>
      <c r="O908" s="11" t="e">
        <f>_xlfn.XLOOKUP(Mvt_Inter_entrepot[[#This Row],[Num OF]],#REF!,#REF!,"Non Trouvé")</f>
        <v>#REF!</v>
      </c>
      <c r="P908" s="11" t="e">
        <f>_xlfn.XLOOKUP(Mvt_Inter_entrepot[[#This Row],[Num OF]],#REF!,#REF!,"Non Trouvé")</f>
        <v>#REF!</v>
      </c>
      <c r="Q908" s="11" t="str">
        <f>IF(
   COUNTIFS($A$2:A908,A908,
             $B$2:B908,B908,
             $C$2:C908,C908,
             $D$2:D908,D908,
             $E$2:E908,E908,
             $H$2:H908,H908
             )&gt;1,
   "Doublon",
   "Correcte"
)</f>
        <v>Correcte</v>
      </c>
    </row>
    <row r="909" spans="1:17" x14ac:dyDescent="0.25">
      <c r="A909" s="11" t="s">
        <v>3688</v>
      </c>
      <c r="B909" s="11" t="s">
        <v>1153</v>
      </c>
      <c r="C909" s="11" t="s">
        <v>665</v>
      </c>
      <c r="D909" s="11" t="s">
        <v>1154</v>
      </c>
      <c r="E909" s="11">
        <v>5</v>
      </c>
      <c r="F909" s="11" t="s">
        <v>699</v>
      </c>
      <c r="G909" s="11" t="s">
        <v>634</v>
      </c>
      <c r="H909" s="14">
        <v>45936.612303240741</v>
      </c>
      <c r="I909" s="12">
        <f>-Mvt_Inter_entrepot[[#This Row],[QTE]]</f>
        <v>-5</v>
      </c>
      <c r="J909" s="11" t="s">
        <v>1195</v>
      </c>
      <c r="K909" s="11" t="str">
        <f>_xlfn.TEXTBEFORE(Mvt_Inter_entrepot[[#This Row],[Num Suivis]],"-",,,1)</f>
        <v>CA250363</v>
      </c>
      <c r="L909" s="11" t="e">
        <f>_xlfn.XLOOKUP(Mvt_Inter_entrepot[[#This Row],[Num OF]],#REF!,#REF!,"Non Trouvé")</f>
        <v>#REF!</v>
      </c>
      <c r="M909" s="11" t="e">
        <f>_xlfn.XLOOKUP(Mvt_Inter_entrepot[[#This Row],[Num OF]],#REF!,#REF!,"Non Trouvé")</f>
        <v>#REF!</v>
      </c>
      <c r="N909" s="11" t="e">
        <f>_xlfn.XLOOKUP(Mvt_Inter_entrepot[[#This Row],[Num OF]],#REF!,#REF!,"Non Trouvé")</f>
        <v>#REF!</v>
      </c>
      <c r="O909" s="11" t="e">
        <f>_xlfn.XLOOKUP(Mvt_Inter_entrepot[[#This Row],[Num OF]],#REF!,#REF!,"Non Trouvé")</f>
        <v>#REF!</v>
      </c>
      <c r="P909" s="11" t="e">
        <f>_xlfn.XLOOKUP(Mvt_Inter_entrepot[[#This Row],[Num OF]],#REF!,#REF!,"Non Trouvé")</f>
        <v>#REF!</v>
      </c>
      <c r="Q909" s="11" t="str">
        <f>IF(
   COUNTIFS($A$2:A909,A909,
             $B$2:B909,B909,
             $C$2:C909,C909,
             $D$2:D909,D909,
             $E$2:E909,E909,
             $H$2:H909,H909
             )&gt;1,
   "Doublon",
   "Correcte"
)</f>
        <v>Correcte</v>
      </c>
    </row>
    <row r="910" spans="1:17" x14ac:dyDescent="0.25">
      <c r="A910" s="11" t="s">
        <v>3689</v>
      </c>
      <c r="B910" s="11" t="s">
        <v>1153</v>
      </c>
      <c r="C910" s="11" t="s">
        <v>665</v>
      </c>
      <c r="D910" s="11" t="s">
        <v>1154</v>
      </c>
      <c r="E910" s="11">
        <v>5</v>
      </c>
      <c r="F910" s="11" t="s">
        <v>699</v>
      </c>
      <c r="G910" s="11" t="s">
        <v>634</v>
      </c>
      <c r="H910" s="14">
        <v>45936.612557870372</v>
      </c>
      <c r="I910" s="12">
        <f>-Mvt_Inter_entrepot[[#This Row],[QTE]]</f>
        <v>-5</v>
      </c>
      <c r="J910" s="11" t="s">
        <v>1196</v>
      </c>
      <c r="K910" s="11" t="str">
        <f>_xlfn.TEXTBEFORE(Mvt_Inter_entrepot[[#This Row],[Num Suivis]],"-",,,1)</f>
        <v>CA250365</v>
      </c>
      <c r="L910" s="11" t="e">
        <f>_xlfn.XLOOKUP(Mvt_Inter_entrepot[[#This Row],[Num OF]],#REF!,#REF!,"Non Trouvé")</f>
        <v>#REF!</v>
      </c>
      <c r="M910" s="11" t="e">
        <f>_xlfn.XLOOKUP(Mvt_Inter_entrepot[[#This Row],[Num OF]],#REF!,#REF!,"Non Trouvé")</f>
        <v>#REF!</v>
      </c>
      <c r="N910" s="11" t="e">
        <f>_xlfn.XLOOKUP(Mvt_Inter_entrepot[[#This Row],[Num OF]],#REF!,#REF!,"Non Trouvé")</f>
        <v>#REF!</v>
      </c>
      <c r="O910" s="11" t="e">
        <f>_xlfn.XLOOKUP(Mvt_Inter_entrepot[[#This Row],[Num OF]],#REF!,#REF!,"Non Trouvé")</f>
        <v>#REF!</v>
      </c>
      <c r="P910" s="11" t="e">
        <f>_xlfn.XLOOKUP(Mvt_Inter_entrepot[[#This Row],[Num OF]],#REF!,#REF!,"Non Trouvé")</f>
        <v>#REF!</v>
      </c>
      <c r="Q910" s="11" t="str">
        <f>IF(
   COUNTIFS($A$2:A910,A910,
             $B$2:B910,B910,
             $C$2:C910,C910,
             $D$2:D910,D910,
             $E$2:E910,E910,
             $H$2:H910,H910
             )&gt;1,
   "Doublon",
   "Correcte"
)</f>
        <v>Correcte</v>
      </c>
    </row>
    <row r="911" spans="1:17" x14ac:dyDescent="0.25">
      <c r="A911" s="11" t="s">
        <v>3690</v>
      </c>
      <c r="B911" s="11" t="s">
        <v>1153</v>
      </c>
      <c r="C911" s="11" t="s">
        <v>665</v>
      </c>
      <c r="D911" s="11" t="s">
        <v>1154</v>
      </c>
      <c r="E911" s="11">
        <v>5</v>
      </c>
      <c r="F911" s="11" t="s">
        <v>699</v>
      </c>
      <c r="G911" s="11" t="s">
        <v>634</v>
      </c>
      <c r="H911" s="14">
        <v>45936.612928240742</v>
      </c>
      <c r="I911" s="12">
        <f>-Mvt_Inter_entrepot[[#This Row],[QTE]]</f>
        <v>-5</v>
      </c>
      <c r="J911" s="11" t="s">
        <v>1197</v>
      </c>
      <c r="K911" s="11" t="str">
        <f>_xlfn.TEXTBEFORE(Mvt_Inter_entrepot[[#This Row],[Num Suivis]],"-",,,1)</f>
        <v>CA250365</v>
      </c>
      <c r="L911" s="11" t="e">
        <f>_xlfn.XLOOKUP(Mvt_Inter_entrepot[[#This Row],[Num OF]],#REF!,#REF!,"Non Trouvé")</f>
        <v>#REF!</v>
      </c>
      <c r="M911" s="11" t="e">
        <f>_xlfn.XLOOKUP(Mvt_Inter_entrepot[[#This Row],[Num OF]],#REF!,#REF!,"Non Trouvé")</f>
        <v>#REF!</v>
      </c>
      <c r="N911" s="11" t="e">
        <f>_xlfn.XLOOKUP(Mvt_Inter_entrepot[[#This Row],[Num OF]],#REF!,#REF!,"Non Trouvé")</f>
        <v>#REF!</v>
      </c>
      <c r="O911" s="11" t="e">
        <f>_xlfn.XLOOKUP(Mvt_Inter_entrepot[[#This Row],[Num OF]],#REF!,#REF!,"Non Trouvé")</f>
        <v>#REF!</v>
      </c>
      <c r="P911" s="11" t="e">
        <f>_xlfn.XLOOKUP(Mvt_Inter_entrepot[[#This Row],[Num OF]],#REF!,#REF!,"Non Trouvé")</f>
        <v>#REF!</v>
      </c>
      <c r="Q911" s="11" t="str">
        <f>IF(
   COUNTIFS($A$2:A911,A911,
             $B$2:B911,B911,
             $C$2:C911,C911,
             $D$2:D911,D911,
             $E$2:E911,E911,
             $H$2:H911,H911
             )&gt;1,
   "Doublon",
   "Correcte"
)</f>
        <v>Correcte</v>
      </c>
    </row>
    <row r="912" spans="1:17" x14ac:dyDescent="0.25">
      <c r="A912" s="11" t="s">
        <v>3691</v>
      </c>
      <c r="B912" s="11" t="s">
        <v>1153</v>
      </c>
      <c r="C912" s="11" t="s">
        <v>665</v>
      </c>
      <c r="D912" s="11" t="s">
        <v>1154</v>
      </c>
      <c r="E912" s="11">
        <v>5</v>
      </c>
      <c r="F912" s="11" t="s">
        <v>699</v>
      </c>
      <c r="G912" s="11" t="s">
        <v>634</v>
      </c>
      <c r="H912" s="14">
        <v>45936.613206018519</v>
      </c>
      <c r="I912" s="12">
        <f>-Mvt_Inter_entrepot[[#This Row],[QTE]]</f>
        <v>-5</v>
      </c>
      <c r="J912" s="11" t="s">
        <v>1198</v>
      </c>
      <c r="K912" s="11" t="str">
        <f>_xlfn.TEXTBEFORE(Mvt_Inter_entrepot[[#This Row],[Num Suivis]],"-",,,1)</f>
        <v>CA250362</v>
      </c>
      <c r="L912" s="11" t="e">
        <f>_xlfn.XLOOKUP(Mvt_Inter_entrepot[[#This Row],[Num OF]],#REF!,#REF!,"Non Trouvé")</f>
        <v>#REF!</v>
      </c>
      <c r="M912" s="11" t="e">
        <f>_xlfn.XLOOKUP(Mvt_Inter_entrepot[[#This Row],[Num OF]],#REF!,#REF!,"Non Trouvé")</f>
        <v>#REF!</v>
      </c>
      <c r="N912" s="11" t="e">
        <f>_xlfn.XLOOKUP(Mvt_Inter_entrepot[[#This Row],[Num OF]],#REF!,#REF!,"Non Trouvé")</f>
        <v>#REF!</v>
      </c>
      <c r="O912" s="11" t="e">
        <f>_xlfn.XLOOKUP(Mvt_Inter_entrepot[[#This Row],[Num OF]],#REF!,#REF!,"Non Trouvé")</f>
        <v>#REF!</v>
      </c>
      <c r="P912" s="11" t="e">
        <f>_xlfn.XLOOKUP(Mvt_Inter_entrepot[[#This Row],[Num OF]],#REF!,#REF!,"Non Trouvé")</f>
        <v>#REF!</v>
      </c>
      <c r="Q912" s="11" t="str">
        <f>IF(
   COUNTIFS($A$2:A912,A912,
             $B$2:B912,B912,
             $C$2:C912,C912,
             $D$2:D912,D912,
             $E$2:E912,E912,
             $H$2:H912,H912
             )&gt;1,
   "Doublon",
   "Correcte"
)</f>
        <v>Correcte</v>
      </c>
    </row>
    <row r="913" spans="1:17" x14ac:dyDescent="0.25">
      <c r="A913" s="11" t="s">
        <v>3692</v>
      </c>
      <c r="B913" s="11" t="s">
        <v>1153</v>
      </c>
      <c r="C913" s="11" t="s">
        <v>665</v>
      </c>
      <c r="D913" s="11" t="s">
        <v>1154</v>
      </c>
      <c r="E913" s="11">
        <v>5</v>
      </c>
      <c r="F913" s="11" t="s">
        <v>699</v>
      </c>
      <c r="G913" s="11" t="s">
        <v>634</v>
      </c>
      <c r="H913" s="14">
        <v>45936.61341435185</v>
      </c>
      <c r="I913" s="12">
        <f>-Mvt_Inter_entrepot[[#This Row],[QTE]]</f>
        <v>-5</v>
      </c>
      <c r="J913" s="11" t="s">
        <v>1199</v>
      </c>
      <c r="K913" s="11" t="str">
        <f>_xlfn.TEXTBEFORE(Mvt_Inter_entrepot[[#This Row],[Num Suivis]],"-",,,1)</f>
        <v>CA250362</v>
      </c>
      <c r="L913" s="11" t="e">
        <f>_xlfn.XLOOKUP(Mvt_Inter_entrepot[[#This Row],[Num OF]],#REF!,#REF!,"Non Trouvé")</f>
        <v>#REF!</v>
      </c>
      <c r="M913" s="11" t="e">
        <f>_xlfn.XLOOKUP(Mvt_Inter_entrepot[[#This Row],[Num OF]],#REF!,#REF!,"Non Trouvé")</f>
        <v>#REF!</v>
      </c>
      <c r="N913" s="11" t="e">
        <f>_xlfn.XLOOKUP(Mvt_Inter_entrepot[[#This Row],[Num OF]],#REF!,#REF!,"Non Trouvé")</f>
        <v>#REF!</v>
      </c>
      <c r="O913" s="11" t="e">
        <f>_xlfn.XLOOKUP(Mvt_Inter_entrepot[[#This Row],[Num OF]],#REF!,#REF!,"Non Trouvé")</f>
        <v>#REF!</v>
      </c>
      <c r="P913" s="11" t="e">
        <f>_xlfn.XLOOKUP(Mvt_Inter_entrepot[[#This Row],[Num OF]],#REF!,#REF!,"Non Trouvé")</f>
        <v>#REF!</v>
      </c>
      <c r="Q913" s="11" t="str">
        <f>IF(
   COUNTIFS($A$2:A913,A913,
             $B$2:B913,B913,
             $C$2:C913,C913,
             $D$2:D913,D913,
             $E$2:E913,E913,
             $H$2:H913,H913
             )&gt;1,
   "Doublon",
   "Correcte"
)</f>
        <v>Correcte</v>
      </c>
    </row>
    <row r="914" spans="1:17" x14ac:dyDescent="0.25">
      <c r="A914" s="11" t="s">
        <v>3693</v>
      </c>
      <c r="B914" s="11" t="s">
        <v>1153</v>
      </c>
      <c r="C914" s="11" t="s">
        <v>665</v>
      </c>
      <c r="D914" s="11" t="s">
        <v>1154</v>
      </c>
      <c r="E914" s="11">
        <v>5</v>
      </c>
      <c r="F914" s="11" t="s">
        <v>699</v>
      </c>
      <c r="G914" s="11" t="s">
        <v>634</v>
      </c>
      <c r="H914" s="14">
        <v>45936.613657407404</v>
      </c>
      <c r="I914" s="12">
        <f>-Mvt_Inter_entrepot[[#This Row],[QTE]]</f>
        <v>-5</v>
      </c>
      <c r="J914" s="11" t="s">
        <v>1200</v>
      </c>
      <c r="K914" s="11" t="str">
        <f>_xlfn.TEXTBEFORE(Mvt_Inter_entrepot[[#This Row],[Num Suivis]],"-",,,1)</f>
        <v>CA250391</v>
      </c>
      <c r="L914" s="11" t="e">
        <f>_xlfn.XLOOKUP(Mvt_Inter_entrepot[[#This Row],[Num OF]],#REF!,#REF!,"Non Trouvé")</f>
        <v>#REF!</v>
      </c>
      <c r="M914" s="11" t="e">
        <f>_xlfn.XLOOKUP(Mvt_Inter_entrepot[[#This Row],[Num OF]],#REF!,#REF!,"Non Trouvé")</f>
        <v>#REF!</v>
      </c>
      <c r="N914" s="11" t="e">
        <f>_xlfn.XLOOKUP(Mvt_Inter_entrepot[[#This Row],[Num OF]],#REF!,#REF!,"Non Trouvé")</f>
        <v>#REF!</v>
      </c>
      <c r="O914" s="11" t="e">
        <f>_xlfn.XLOOKUP(Mvt_Inter_entrepot[[#This Row],[Num OF]],#REF!,#REF!,"Non Trouvé")</f>
        <v>#REF!</v>
      </c>
      <c r="P914" s="11" t="e">
        <f>_xlfn.XLOOKUP(Mvt_Inter_entrepot[[#This Row],[Num OF]],#REF!,#REF!,"Non Trouvé")</f>
        <v>#REF!</v>
      </c>
      <c r="Q914" s="11" t="str">
        <f>IF(
   COUNTIFS($A$2:A914,A914,
             $B$2:B914,B914,
             $C$2:C914,C914,
             $D$2:D914,D914,
             $E$2:E914,E914,
             $H$2:H914,H914
             )&gt;1,
   "Doublon",
   "Correcte"
)</f>
        <v>Correcte</v>
      </c>
    </row>
    <row r="915" spans="1:17" x14ac:dyDescent="0.25">
      <c r="A915" s="11" t="s">
        <v>3694</v>
      </c>
      <c r="B915" s="11" t="s">
        <v>1153</v>
      </c>
      <c r="C915" s="11" t="s">
        <v>665</v>
      </c>
      <c r="D915" s="11" t="s">
        <v>1154</v>
      </c>
      <c r="E915" s="11">
        <v>5</v>
      </c>
      <c r="F915" s="11" t="s">
        <v>699</v>
      </c>
      <c r="G915" s="11" t="s">
        <v>634</v>
      </c>
      <c r="H915" s="14">
        <v>45936.613912037035</v>
      </c>
      <c r="I915" s="12">
        <f>-Mvt_Inter_entrepot[[#This Row],[QTE]]</f>
        <v>-5</v>
      </c>
      <c r="J915" s="11" t="s">
        <v>744</v>
      </c>
      <c r="K915" s="11" t="str">
        <f>_xlfn.TEXTBEFORE(Mvt_Inter_entrepot[[#This Row],[Num Suivis]],"-",,,1)</f>
        <v>CA250391</v>
      </c>
      <c r="L915" s="11" t="e">
        <f>_xlfn.XLOOKUP(Mvt_Inter_entrepot[[#This Row],[Num OF]],#REF!,#REF!,"Non Trouvé")</f>
        <v>#REF!</v>
      </c>
      <c r="M915" s="11" t="e">
        <f>_xlfn.XLOOKUP(Mvt_Inter_entrepot[[#This Row],[Num OF]],#REF!,#REF!,"Non Trouvé")</f>
        <v>#REF!</v>
      </c>
      <c r="N915" s="11" t="e">
        <f>_xlfn.XLOOKUP(Mvt_Inter_entrepot[[#This Row],[Num OF]],#REF!,#REF!,"Non Trouvé")</f>
        <v>#REF!</v>
      </c>
      <c r="O915" s="11" t="e">
        <f>_xlfn.XLOOKUP(Mvt_Inter_entrepot[[#This Row],[Num OF]],#REF!,#REF!,"Non Trouvé")</f>
        <v>#REF!</v>
      </c>
      <c r="P915" s="11" t="e">
        <f>_xlfn.XLOOKUP(Mvt_Inter_entrepot[[#This Row],[Num OF]],#REF!,#REF!,"Non Trouvé")</f>
        <v>#REF!</v>
      </c>
      <c r="Q915" s="11" t="str">
        <f>IF(
   COUNTIFS($A$2:A915,A915,
             $B$2:B915,B915,
             $C$2:C915,C915,
             $D$2:D915,D915,
             $E$2:E915,E915,
             $H$2:H915,H915
             )&gt;1,
   "Doublon",
   "Correcte"
)</f>
        <v>Correcte</v>
      </c>
    </row>
    <row r="916" spans="1:17" x14ac:dyDescent="0.25">
      <c r="A916" s="11" t="s">
        <v>3695</v>
      </c>
      <c r="B916" s="11" t="s">
        <v>1153</v>
      </c>
      <c r="C916" s="11" t="s">
        <v>665</v>
      </c>
      <c r="D916" s="11" t="s">
        <v>1154</v>
      </c>
      <c r="E916" s="11">
        <v>5</v>
      </c>
      <c r="F916" s="11" t="s">
        <v>699</v>
      </c>
      <c r="G916" s="11" t="s">
        <v>634</v>
      </c>
      <c r="H916" s="14">
        <v>45936.614131944443</v>
      </c>
      <c r="I916" s="12">
        <f>-Mvt_Inter_entrepot[[#This Row],[QTE]]</f>
        <v>-5</v>
      </c>
      <c r="J916" s="11" t="s">
        <v>1201</v>
      </c>
      <c r="K916" s="11" t="str">
        <f>_xlfn.TEXTBEFORE(Mvt_Inter_entrepot[[#This Row],[Num Suivis]],"-",,,1)</f>
        <v>CA250362</v>
      </c>
      <c r="L916" s="11" t="e">
        <f>_xlfn.XLOOKUP(Mvt_Inter_entrepot[[#This Row],[Num OF]],#REF!,#REF!,"Non Trouvé")</f>
        <v>#REF!</v>
      </c>
      <c r="M916" s="11" t="e">
        <f>_xlfn.XLOOKUP(Mvt_Inter_entrepot[[#This Row],[Num OF]],#REF!,#REF!,"Non Trouvé")</f>
        <v>#REF!</v>
      </c>
      <c r="N916" s="11" t="e">
        <f>_xlfn.XLOOKUP(Mvt_Inter_entrepot[[#This Row],[Num OF]],#REF!,#REF!,"Non Trouvé")</f>
        <v>#REF!</v>
      </c>
      <c r="O916" s="11" t="e">
        <f>_xlfn.XLOOKUP(Mvt_Inter_entrepot[[#This Row],[Num OF]],#REF!,#REF!,"Non Trouvé")</f>
        <v>#REF!</v>
      </c>
      <c r="P916" s="11" t="e">
        <f>_xlfn.XLOOKUP(Mvt_Inter_entrepot[[#This Row],[Num OF]],#REF!,#REF!,"Non Trouvé")</f>
        <v>#REF!</v>
      </c>
      <c r="Q916" s="11" t="str">
        <f>IF(
   COUNTIFS($A$2:A916,A916,
             $B$2:B916,B916,
             $C$2:C916,C916,
             $D$2:D916,D916,
             $E$2:E916,E916,
             $H$2:H916,H916
             )&gt;1,
   "Doublon",
   "Correcte"
)</f>
        <v>Correcte</v>
      </c>
    </row>
    <row r="917" spans="1:17" x14ac:dyDescent="0.25">
      <c r="A917" s="11" t="s">
        <v>3696</v>
      </c>
      <c r="B917" s="11" t="s">
        <v>1153</v>
      </c>
      <c r="C917" s="11" t="s">
        <v>665</v>
      </c>
      <c r="D917" s="11" t="s">
        <v>1154</v>
      </c>
      <c r="E917" s="11">
        <v>5</v>
      </c>
      <c r="F917" s="11" t="s">
        <v>699</v>
      </c>
      <c r="G917" s="11" t="s">
        <v>634</v>
      </c>
      <c r="H917" s="14">
        <v>45936.614386574074</v>
      </c>
      <c r="I917" s="12">
        <f>-Mvt_Inter_entrepot[[#This Row],[QTE]]</f>
        <v>-5</v>
      </c>
      <c r="J917" s="11" t="s">
        <v>1202</v>
      </c>
      <c r="K917" s="11" t="str">
        <f>_xlfn.TEXTBEFORE(Mvt_Inter_entrepot[[#This Row],[Num Suivis]],"-",,,1)</f>
        <v>CA250391</v>
      </c>
      <c r="L917" s="11" t="e">
        <f>_xlfn.XLOOKUP(Mvt_Inter_entrepot[[#This Row],[Num OF]],#REF!,#REF!,"Non Trouvé")</f>
        <v>#REF!</v>
      </c>
      <c r="M917" s="11" t="e">
        <f>_xlfn.XLOOKUP(Mvt_Inter_entrepot[[#This Row],[Num OF]],#REF!,#REF!,"Non Trouvé")</f>
        <v>#REF!</v>
      </c>
      <c r="N917" s="11" t="e">
        <f>_xlfn.XLOOKUP(Mvt_Inter_entrepot[[#This Row],[Num OF]],#REF!,#REF!,"Non Trouvé")</f>
        <v>#REF!</v>
      </c>
      <c r="O917" s="11" t="e">
        <f>_xlfn.XLOOKUP(Mvt_Inter_entrepot[[#This Row],[Num OF]],#REF!,#REF!,"Non Trouvé")</f>
        <v>#REF!</v>
      </c>
      <c r="P917" s="11" t="e">
        <f>_xlfn.XLOOKUP(Mvt_Inter_entrepot[[#This Row],[Num OF]],#REF!,#REF!,"Non Trouvé")</f>
        <v>#REF!</v>
      </c>
      <c r="Q917" s="11" t="str">
        <f>IF(
   COUNTIFS($A$2:A917,A917,
             $B$2:B917,B917,
             $C$2:C917,C917,
             $D$2:D917,D917,
             $E$2:E917,E917,
             $H$2:H917,H917
             )&gt;1,
   "Doublon",
   "Correcte"
)</f>
        <v>Correcte</v>
      </c>
    </row>
    <row r="918" spans="1:17" x14ac:dyDescent="0.25">
      <c r="A918" s="11" t="s">
        <v>3697</v>
      </c>
      <c r="B918" s="11" t="s">
        <v>1153</v>
      </c>
      <c r="C918" s="11" t="s">
        <v>665</v>
      </c>
      <c r="D918" s="11" t="s">
        <v>1154</v>
      </c>
      <c r="E918" s="11">
        <v>5</v>
      </c>
      <c r="F918" s="11" t="s">
        <v>699</v>
      </c>
      <c r="G918" s="11" t="s">
        <v>634</v>
      </c>
      <c r="H918" s="14">
        <v>45936.614664351851</v>
      </c>
      <c r="I918" s="12">
        <f>-Mvt_Inter_entrepot[[#This Row],[QTE]]</f>
        <v>-5</v>
      </c>
      <c r="J918" s="11" t="s">
        <v>1203</v>
      </c>
      <c r="K918" s="11" t="str">
        <f>_xlfn.TEXTBEFORE(Mvt_Inter_entrepot[[#This Row],[Num Suivis]],"-",,,1)</f>
        <v>CA250362</v>
      </c>
      <c r="L918" s="11" t="e">
        <f>_xlfn.XLOOKUP(Mvt_Inter_entrepot[[#This Row],[Num OF]],#REF!,#REF!,"Non Trouvé")</f>
        <v>#REF!</v>
      </c>
      <c r="M918" s="11" t="e">
        <f>_xlfn.XLOOKUP(Mvt_Inter_entrepot[[#This Row],[Num OF]],#REF!,#REF!,"Non Trouvé")</f>
        <v>#REF!</v>
      </c>
      <c r="N918" s="11" t="e">
        <f>_xlfn.XLOOKUP(Mvt_Inter_entrepot[[#This Row],[Num OF]],#REF!,#REF!,"Non Trouvé")</f>
        <v>#REF!</v>
      </c>
      <c r="O918" s="11" t="e">
        <f>_xlfn.XLOOKUP(Mvt_Inter_entrepot[[#This Row],[Num OF]],#REF!,#REF!,"Non Trouvé")</f>
        <v>#REF!</v>
      </c>
      <c r="P918" s="11" t="e">
        <f>_xlfn.XLOOKUP(Mvt_Inter_entrepot[[#This Row],[Num OF]],#REF!,#REF!,"Non Trouvé")</f>
        <v>#REF!</v>
      </c>
      <c r="Q918" s="11" t="str">
        <f>IF(
   COUNTIFS($A$2:A918,A918,
             $B$2:B918,B918,
             $C$2:C918,C918,
             $D$2:D918,D918,
             $E$2:E918,E918,
             $H$2:H918,H918
             )&gt;1,
   "Doublon",
   "Correcte"
)</f>
        <v>Correcte</v>
      </c>
    </row>
    <row r="919" spans="1:17" x14ac:dyDescent="0.25">
      <c r="A919" s="11" t="s">
        <v>3698</v>
      </c>
      <c r="B919" s="30" t="s">
        <v>1153</v>
      </c>
      <c r="C919" s="30" t="s">
        <v>665</v>
      </c>
      <c r="D919" s="30" t="s">
        <v>1154</v>
      </c>
      <c r="E919" s="30">
        <v>5</v>
      </c>
      <c r="F919" s="30" t="s">
        <v>699</v>
      </c>
      <c r="G919" s="30" t="s">
        <v>634</v>
      </c>
      <c r="H919" s="31">
        <v>45936.614999999998</v>
      </c>
      <c r="I919" s="32">
        <f>-Mvt_Inter_entrepot[[#This Row],[QTE]]</f>
        <v>-5</v>
      </c>
      <c r="J919" s="30" t="s">
        <v>740</v>
      </c>
      <c r="K919" s="30" t="str">
        <f>_xlfn.TEXTBEFORE(Mvt_Inter_entrepot[[#This Row],[Num Suivis]],"-",,,1)</f>
        <v>CA250391</v>
      </c>
      <c r="L919" s="30" t="e">
        <f>_xlfn.XLOOKUP(Mvt_Inter_entrepot[[#This Row],[Num OF]],#REF!,#REF!,"Non Trouvé")</f>
        <v>#REF!</v>
      </c>
      <c r="M919" s="30" t="e">
        <f>_xlfn.XLOOKUP(Mvt_Inter_entrepot[[#This Row],[Num OF]],#REF!,#REF!,"Non Trouvé")</f>
        <v>#REF!</v>
      </c>
      <c r="N919" s="30" t="e">
        <f>_xlfn.XLOOKUP(Mvt_Inter_entrepot[[#This Row],[Num OF]],#REF!,#REF!,"Non Trouvé")</f>
        <v>#REF!</v>
      </c>
      <c r="O919" s="30" t="e">
        <f>_xlfn.XLOOKUP(Mvt_Inter_entrepot[[#This Row],[Num OF]],#REF!,#REF!,"Non Trouvé")</f>
        <v>#REF!</v>
      </c>
      <c r="P919" s="30" t="e">
        <f>_xlfn.XLOOKUP(Mvt_Inter_entrepot[[#This Row],[Num OF]],#REF!,#REF!,"Non Trouvé")</f>
        <v>#REF!</v>
      </c>
      <c r="Q919" s="11" t="str">
        <f>IF(
   COUNTIFS($A$2:A919,A919,
             $B$2:B919,B919,
             $C$2:C919,C919,
             $D$2:D919,D919,
             $E$2:E919,E919,
             $H$2:H919,H919
             )&gt;1,
   "Doublon",
   "Correcte"
)</f>
        <v>Correcte</v>
      </c>
    </row>
    <row r="920" spans="1:17" x14ac:dyDescent="0.25">
      <c r="A920" s="11" t="s">
        <v>3699</v>
      </c>
      <c r="B920" s="30" t="s">
        <v>1153</v>
      </c>
      <c r="C920" s="30" t="s">
        <v>665</v>
      </c>
      <c r="D920" s="30" t="s">
        <v>1154</v>
      </c>
      <c r="E920" s="30">
        <v>5</v>
      </c>
      <c r="F920" s="30" t="s">
        <v>699</v>
      </c>
      <c r="G920" s="30" t="s">
        <v>634</v>
      </c>
      <c r="H920" s="31">
        <v>45936.615995370368</v>
      </c>
      <c r="I920" s="32">
        <f>-Mvt_Inter_entrepot[[#This Row],[QTE]]</f>
        <v>-5</v>
      </c>
      <c r="J920" s="30" t="s">
        <v>1204</v>
      </c>
      <c r="K920" s="30" t="str">
        <f>_xlfn.TEXTBEFORE(Mvt_Inter_entrepot[[#This Row],[Num Suivis]],"-",,,1)</f>
        <v>CA250362</v>
      </c>
      <c r="L920" s="30" t="e">
        <f>_xlfn.XLOOKUP(Mvt_Inter_entrepot[[#This Row],[Num OF]],#REF!,#REF!,"Non Trouvé")</f>
        <v>#REF!</v>
      </c>
      <c r="M920" s="30" t="e">
        <f>_xlfn.XLOOKUP(Mvt_Inter_entrepot[[#This Row],[Num OF]],#REF!,#REF!,"Non Trouvé")</f>
        <v>#REF!</v>
      </c>
      <c r="N920" s="30" t="e">
        <f>_xlfn.XLOOKUP(Mvt_Inter_entrepot[[#This Row],[Num OF]],#REF!,#REF!,"Non Trouvé")</f>
        <v>#REF!</v>
      </c>
      <c r="O920" s="30" t="e">
        <f>_xlfn.XLOOKUP(Mvt_Inter_entrepot[[#This Row],[Num OF]],#REF!,#REF!,"Non Trouvé")</f>
        <v>#REF!</v>
      </c>
      <c r="P920" s="30" t="e">
        <f>_xlfn.XLOOKUP(Mvt_Inter_entrepot[[#This Row],[Num OF]],#REF!,#REF!,"Non Trouvé")</f>
        <v>#REF!</v>
      </c>
      <c r="Q920" s="11" t="str">
        <f>IF(
   COUNTIFS($A$2:A920,A920,
             $B$2:B920,B920,
             $C$2:C920,C920,
             $D$2:D920,D920,
             $E$2:E920,E920,
             $H$2:H920,H920
             )&gt;1,
   "Doublon",
   "Correcte"
)</f>
        <v>Correcte</v>
      </c>
    </row>
    <row r="921" spans="1:17" x14ac:dyDescent="0.25">
      <c r="A921" s="11" t="s">
        <v>3700</v>
      </c>
      <c r="B921" s="30" t="s">
        <v>1153</v>
      </c>
      <c r="C921" s="30" t="s">
        <v>665</v>
      </c>
      <c r="D921" s="30" t="s">
        <v>1154</v>
      </c>
      <c r="E921" s="30">
        <v>5</v>
      </c>
      <c r="F921" s="30" t="s">
        <v>699</v>
      </c>
      <c r="G921" s="30" t="s">
        <v>634</v>
      </c>
      <c r="H921" s="31">
        <v>45936.616481481484</v>
      </c>
      <c r="I921" s="32">
        <f>-Mvt_Inter_entrepot[[#This Row],[QTE]]</f>
        <v>-5</v>
      </c>
      <c r="J921" s="30" t="s">
        <v>1205</v>
      </c>
      <c r="K921" s="30" t="str">
        <f>_xlfn.TEXTBEFORE(Mvt_Inter_entrepot[[#This Row],[Num Suivis]],"-",,,1)</f>
        <v>CA250392</v>
      </c>
      <c r="L921" s="30" t="e">
        <f>_xlfn.XLOOKUP(Mvt_Inter_entrepot[[#This Row],[Num OF]],#REF!,#REF!,"Non Trouvé")</f>
        <v>#REF!</v>
      </c>
      <c r="M921" s="30" t="e">
        <f>_xlfn.XLOOKUP(Mvt_Inter_entrepot[[#This Row],[Num OF]],#REF!,#REF!,"Non Trouvé")</f>
        <v>#REF!</v>
      </c>
      <c r="N921" s="30" t="e">
        <f>_xlfn.XLOOKUP(Mvt_Inter_entrepot[[#This Row],[Num OF]],#REF!,#REF!,"Non Trouvé")</f>
        <v>#REF!</v>
      </c>
      <c r="O921" s="30" t="e">
        <f>_xlfn.XLOOKUP(Mvt_Inter_entrepot[[#This Row],[Num OF]],#REF!,#REF!,"Non Trouvé")</f>
        <v>#REF!</v>
      </c>
      <c r="P921" s="30" t="e">
        <f>_xlfn.XLOOKUP(Mvt_Inter_entrepot[[#This Row],[Num OF]],#REF!,#REF!,"Non Trouvé")</f>
        <v>#REF!</v>
      </c>
      <c r="Q921" s="11" t="str">
        <f>IF(
   COUNTIFS($A$2:A921,A921,
             $B$2:B921,B921,
             $C$2:C921,C921,
             $D$2:D921,D921,
             $E$2:E921,E921,
             $H$2:H921,H921
             )&gt;1,
   "Doublon",
   "Correcte"
)</f>
        <v>Correcte</v>
      </c>
    </row>
    <row r="922" spans="1:17" x14ac:dyDescent="0.25">
      <c r="A922" s="11" t="s">
        <v>3701</v>
      </c>
      <c r="B922" s="30" t="s">
        <v>1153</v>
      </c>
      <c r="C922" s="30" t="s">
        <v>665</v>
      </c>
      <c r="D922" s="30" t="s">
        <v>1154</v>
      </c>
      <c r="E922" s="30">
        <v>5</v>
      </c>
      <c r="F922" s="30" t="s">
        <v>699</v>
      </c>
      <c r="G922" s="30" t="s">
        <v>634</v>
      </c>
      <c r="H922" s="31">
        <v>45936.616724537038</v>
      </c>
      <c r="I922" s="32">
        <f>-Mvt_Inter_entrepot[[#This Row],[QTE]]</f>
        <v>-5</v>
      </c>
      <c r="J922" s="30" t="s">
        <v>1206</v>
      </c>
      <c r="K922" s="30" t="str">
        <f>_xlfn.TEXTBEFORE(Mvt_Inter_entrepot[[#This Row],[Num Suivis]],"-",,,1)</f>
        <v>CA250392</v>
      </c>
      <c r="L922" s="30" t="e">
        <f>_xlfn.XLOOKUP(Mvt_Inter_entrepot[[#This Row],[Num OF]],#REF!,#REF!,"Non Trouvé")</f>
        <v>#REF!</v>
      </c>
      <c r="M922" s="30" t="e">
        <f>_xlfn.XLOOKUP(Mvt_Inter_entrepot[[#This Row],[Num OF]],#REF!,#REF!,"Non Trouvé")</f>
        <v>#REF!</v>
      </c>
      <c r="N922" s="30" t="e">
        <f>_xlfn.XLOOKUP(Mvt_Inter_entrepot[[#This Row],[Num OF]],#REF!,#REF!,"Non Trouvé")</f>
        <v>#REF!</v>
      </c>
      <c r="O922" s="30" t="e">
        <f>_xlfn.XLOOKUP(Mvt_Inter_entrepot[[#This Row],[Num OF]],#REF!,#REF!,"Non Trouvé")</f>
        <v>#REF!</v>
      </c>
      <c r="P922" s="30" t="e">
        <f>_xlfn.XLOOKUP(Mvt_Inter_entrepot[[#This Row],[Num OF]],#REF!,#REF!,"Non Trouvé")</f>
        <v>#REF!</v>
      </c>
      <c r="Q922" s="11" t="str">
        <f>IF(
   COUNTIFS($A$2:A922,A922,
             $B$2:B922,B922,
             $C$2:C922,C922,
             $D$2:D922,D922,
             $E$2:E922,E922,
             $H$2:H922,H922
             )&gt;1,
   "Doublon",
   "Correcte"
)</f>
        <v>Correcte</v>
      </c>
    </row>
    <row r="923" spans="1:17" x14ac:dyDescent="0.25">
      <c r="A923" s="11" t="s">
        <v>3702</v>
      </c>
      <c r="B923" s="30" t="s">
        <v>1153</v>
      </c>
      <c r="C923" s="30" t="s">
        <v>665</v>
      </c>
      <c r="D923" s="30" t="s">
        <v>1154</v>
      </c>
      <c r="E923" s="30">
        <v>5</v>
      </c>
      <c r="F923" s="30" t="s">
        <v>699</v>
      </c>
      <c r="G923" s="30" t="s">
        <v>634</v>
      </c>
      <c r="H923" s="31">
        <v>45936.616956018515</v>
      </c>
      <c r="I923" s="32">
        <f>-Mvt_Inter_entrepot[[#This Row],[QTE]]</f>
        <v>-5</v>
      </c>
      <c r="J923" s="30" t="s">
        <v>1207</v>
      </c>
      <c r="K923" s="30" t="str">
        <f>_xlfn.TEXTBEFORE(Mvt_Inter_entrepot[[#This Row],[Num Suivis]],"-",,,1)</f>
        <v>CA250392</v>
      </c>
      <c r="L923" s="30" t="e">
        <f>_xlfn.XLOOKUP(Mvt_Inter_entrepot[[#This Row],[Num OF]],#REF!,#REF!,"Non Trouvé")</f>
        <v>#REF!</v>
      </c>
      <c r="M923" s="30" t="e">
        <f>_xlfn.XLOOKUP(Mvt_Inter_entrepot[[#This Row],[Num OF]],#REF!,#REF!,"Non Trouvé")</f>
        <v>#REF!</v>
      </c>
      <c r="N923" s="30" t="e">
        <f>_xlfn.XLOOKUP(Mvt_Inter_entrepot[[#This Row],[Num OF]],#REF!,#REF!,"Non Trouvé")</f>
        <v>#REF!</v>
      </c>
      <c r="O923" s="30" t="e">
        <f>_xlfn.XLOOKUP(Mvt_Inter_entrepot[[#This Row],[Num OF]],#REF!,#REF!,"Non Trouvé")</f>
        <v>#REF!</v>
      </c>
      <c r="P923" s="30" t="e">
        <f>_xlfn.XLOOKUP(Mvt_Inter_entrepot[[#This Row],[Num OF]],#REF!,#REF!,"Non Trouvé")</f>
        <v>#REF!</v>
      </c>
      <c r="Q923" s="11" t="str">
        <f>IF(
   COUNTIFS($A$2:A923,A923,
             $B$2:B923,B923,
             $C$2:C923,C923,
             $D$2:D923,D923,
             $E$2:E923,E923,
             $H$2:H923,H923
             )&gt;1,
   "Doublon",
   "Correcte"
)</f>
        <v>Correcte</v>
      </c>
    </row>
    <row r="924" spans="1:17" x14ac:dyDescent="0.25">
      <c r="A924" s="11" t="s">
        <v>3703</v>
      </c>
      <c r="B924" s="30" t="s">
        <v>1153</v>
      </c>
      <c r="C924" s="30" t="s">
        <v>665</v>
      </c>
      <c r="D924" s="30" t="s">
        <v>1154</v>
      </c>
      <c r="E924" s="30">
        <v>5</v>
      </c>
      <c r="F924" s="30" t="s">
        <v>699</v>
      </c>
      <c r="G924" s="30" t="s">
        <v>634</v>
      </c>
      <c r="H924" s="31">
        <v>45936.617222222223</v>
      </c>
      <c r="I924" s="32">
        <f>-Mvt_Inter_entrepot[[#This Row],[QTE]]</f>
        <v>-5</v>
      </c>
      <c r="J924" s="30" t="s">
        <v>1208</v>
      </c>
      <c r="K924" s="30" t="str">
        <f>_xlfn.TEXTBEFORE(Mvt_Inter_entrepot[[#This Row],[Num Suivis]],"-",,,1)</f>
        <v>CA250392</v>
      </c>
      <c r="L924" s="30" t="e">
        <f>_xlfn.XLOOKUP(Mvt_Inter_entrepot[[#This Row],[Num OF]],#REF!,#REF!,"Non Trouvé")</f>
        <v>#REF!</v>
      </c>
      <c r="M924" s="30" t="e">
        <f>_xlfn.XLOOKUP(Mvt_Inter_entrepot[[#This Row],[Num OF]],#REF!,#REF!,"Non Trouvé")</f>
        <v>#REF!</v>
      </c>
      <c r="N924" s="30" t="e">
        <f>_xlfn.XLOOKUP(Mvt_Inter_entrepot[[#This Row],[Num OF]],#REF!,#REF!,"Non Trouvé")</f>
        <v>#REF!</v>
      </c>
      <c r="O924" s="30" t="e">
        <f>_xlfn.XLOOKUP(Mvt_Inter_entrepot[[#This Row],[Num OF]],#REF!,#REF!,"Non Trouvé")</f>
        <v>#REF!</v>
      </c>
      <c r="P924" s="30" t="e">
        <f>_xlfn.XLOOKUP(Mvt_Inter_entrepot[[#This Row],[Num OF]],#REF!,#REF!,"Non Trouvé")</f>
        <v>#REF!</v>
      </c>
      <c r="Q924" s="11" t="str">
        <f>IF(
   COUNTIFS($A$2:A924,A924,
             $B$2:B924,B924,
             $C$2:C924,C924,
             $D$2:D924,D924,
             $E$2:E924,E924,
             $H$2:H924,H924
             )&gt;1,
   "Doublon",
   "Correcte"
)</f>
        <v>Correcte</v>
      </c>
    </row>
    <row r="925" spans="1:17" x14ac:dyDescent="0.25">
      <c r="A925" s="11" t="s">
        <v>3704</v>
      </c>
      <c r="B925" s="30" t="s">
        <v>1153</v>
      </c>
      <c r="C925" s="30" t="s">
        <v>665</v>
      </c>
      <c r="D925" s="30" t="s">
        <v>1154</v>
      </c>
      <c r="E925" s="30">
        <v>5</v>
      </c>
      <c r="F925" s="30" t="s">
        <v>699</v>
      </c>
      <c r="G925" s="30" t="s">
        <v>634</v>
      </c>
      <c r="H925" s="31">
        <v>45936.617754629631</v>
      </c>
      <c r="I925" s="32">
        <f>-Mvt_Inter_entrepot[[#This Row],[QTE]]</f>
        <v>-5</v>
      </c>
      <c r="J925" s="30" t="s">
        <v>1209</v>
      </c>
      <c r="K925" s="30" t="str">
        <f>_xlfn.TEXTBEFORE(Mvt_Inter_entrepot[[#This Row],[Num Suivis]],"-",,,1)</f>
        <v>CA250392</v>
      </c>
      <c r="L925" s="30" t="e">
        <f>_xlfn.XLOOKUP(Mvt_Inter_entrepot[[#This Row],[Num OF]],#REF!,#REF!,"Non Trouvé")</f>
        <v>#REF!</v>
      </c>
      <c r="M925" s="30" t="e">
        <f>_xlfn.XLOOKUP(Mvt_Inter_entrepot[[#This Row],[Num OF]],#REF!,#REF!,"Non Trouvé")</f>
        <v>#REF!</v>
      </c>
      <c r="N925" s="30" t="e">
        <f>_xlfn.XLOOKUP(Mvt_Inter_entrepot[[#This Row],[Num OF]],#REF!,#REF!,"Non Trouvé")</f>
        <v>#REF!</v>
      </c>
      <c r="O925" s="30" t="e">
        <f>_xlfn.XLOOKUP(Mvt_Inter_entrepot[[#This Row],[Num OF]],#REF!,#REF!,"Non Trouvé")</f>
        <v>#REF!</v>
      </c>
      <c r="P925" s="30" t="e">
        <f>_xlfn.XLOOKUP(Mvt_Inter_entrepot[[#This Row],[Num OF]],#REF!,#REF!,"Non Trouvé")</f>
        <v>#REF!</v>
      </c>
      <c r="Q925" s="11" t="str">
        <f>IF(
   COUNTIFS($A$2:A925,A925,
             $B$2:B925,B925,
             $C$2:C925,C925,
             $D$2:D925,D925,
             $E$2:E925,E925,
             $H$2:H925,H925
             )&gt;1,
   "Doublon",
   "Correcte"
)</f>
        <v>Correcte</v>
      </c>
    </row>
    <row r="926" spans="1:17" x14ac:dyDescent="0.25">
      <c r="A926" s="11" t="s">
        <v>3705</v>
      </c>
      <c r="B926" s="30" t="s">
        <v>1153</v>
      </c>
      <c r="C926" s="30" t="s">
        <v>665</v>
      </c>
      <c r="D926" s="30" t="s">
        <v>1154</v>
      </c>
      <c r="E926" s="30">
        <v>1</v>
      </c>
      <c r="F926" s="30" t="s">
        <v>699</v>
      </c>
      <c r="G926" s="30" t="s">
        <v>634</v>
      </c>
      <c r="H926" s="31">
        <v>45936.617997685185</v>
      </c>
      <c r="I926" s="32">
        <f>-Mvt_Inter_entrepot[[#This Row],[QTE]]</f>
        <v>-1</v>
      </c>
      <c r="J926" s="30" t="s">
        <v>1210</v>
      </c>
      <c r="K926" s="30" t="str">
        <f>_xlfn.TEXTBEFORE(Mvt_Inter_entrepot[[#This Row],[Num Suivis]],"-",,,1)</f>
        <v>CA250392</v>
      </c>
      <c r="L926" s="30" t="e">
        <f>_xlfn.XLOOKUP(Mvt_Inter_entrepot[[#This Row],[Num OF]],#REF!,#REF!,"Non Trouvé")</f>
        <v>#REF!</v>
      </c>
      <c r="M926" s="30" t="e">
        <f>_xlfn.XLOOKUP(Mvt_Inter_entrepot[[#This Row],[Num OF]],#REF!,#REF!,"Non Trouvé")</f>
        <v>#REF!</v>
      </c>
      <c r="N926" s="30" t="e">
        <f>_xlfn.XLOOKUP(Mvt_Inter_entrepot[[#This Row],[Num OF]],#REF!,#REF!,"Non Trouvé")</f>
        <v>#REF!</v>
      </c>
      <c r="O926" s="30" t="e">
        <f>_xlfn.XLOOKUP(Mvt_Inter_entrepot[[#This Row],[Num OF]],#REF!,#REF!,"Non Trouvé")</f>
        <v>#REF!</v>
      </c>
      <c r="P926" s="30" t="e">
        <f>_xlfn.XLOOKUP(Mvt_Inter_entrepot[[#This Row],[Num OF]],#REF!,#REF!,"Non Trouvé")</f>
        <v>#REF!</v>
      </c>
      <c r="Q926" s="11" t="str">
        <f>IF(
   COUNTIFS($A$2:A926,A926,
             $B$2:B926,B926,
             $C$2:C926,C926,
             $D$2:D926,D926,
             $E$2:E926,E926,
             $H$2:H926,H926
             )&gt;1,
   "Doublon",
   "Correcte"
)</f>
        <v>Correcte</v>
      </c>
    </row>
    <row r="927" spans="1:17" x14ac:dyDescent="0.25">
      <c r="A927" s="11" t="s">
        <v>3706</v>
      </c>
      <c r="B927" s="30" t="s">
        <v>1153</v>
      </c>
      <c r="C927" s="30" t="s">
        <v>665</v>
      </c>
      <c r="D927" s="30" t="s">
        <v>1154</v>
      </c>
      <c r="E927" s="30">
        <v>5</v>
      </c>
      <c r="F927" s="30" t="s">
        <v>699</v>
      </c>
      <c r="G927" s="30" t="s">
        <v>634</v>
      </c>
      <c r="H927" s="31">
        <v>45936.618206018517</v>
      </c>
      <c r="I927" s="32">
        <f>-Mvt_Inter_entrepot[[#This Row],[QTE]]</f>
        <v>-5</v>
      </c>
      <c r="J927" s="30" t="s">
        <v>741</v>
      </c>
      <c r="K927" s="30" t="str">
        <f>_xlfn.TEXTBEFORE(Mvt_Inter_entrepot[[#This Row],[Num Suivis]],"-",,,1)</f>
        <v>CA250391</v>
      </c>
      <c r="L927" s="30" t="e">
        <f>_xlfn.XLOOKUP(Mvt_Inter_entrepot[[#This Row],[Num OF]],#REF!,#REF!,"Non Trouvé")</f>
        <v>#REF!</v>
      </c>
      <c r="M927" s="30" t="e">
        <f>_xlfn.XLOOKUP(Mvt_Inter_entrepot[[#This Row],[Num OF]],#REF!,#REF!,"Non Trouvé")</f>
        <v>#REF!</v>
      </c>
      <c r="N927" s="30" t="e">
        <f>_xlfn.XLOOKUP(Mvt_Inter_entrepot[[#This Row],[Num OF]],#REF!,#REF!,"Non Trouvé")</f>
        <v>#REF!</v>
      </c>
      <c r="O927" s="30" t="e">
        <f>_xlfn.XLOOKUP(Mvt_Inter_entrepot[[#This Row],[Num OF]],#REF!,#REF!,"Non Trouvé")</f>
        <v>#REF!</v>
      </c>
      <c r="P927" s="30" t="e">
        <f>_xlfn.XLOOKUP(Mvt_Inter_entrepot[[#This Row],[Num OF]],#REF!,#REF!,"Non Trouvé")</f>
        <v>#REF!</v>
      </c>
      <c r="Q927" s="11" t="str">
        <f>IF(
   COUNTIFS($A$2:A927,A927,
             $B$2:B927,B927,
             $C$2:C927,C927,
             $D$2:D927,D927,
             $E$2:E927,E927,
             $H$2:H927,H927
             )&gt;1,
   "Doublon",
   "Correcte"
)</f>
        <v>Correcte</v>
      </c>
    </row>
    <row r="928" spans="1:17" x14ac:dyDescent="0.25">
      <c r="A928" s="11" t="s">
        <v>3707</v>
      </c>
      <c r="B928" s="30" t="s">
        <v>1153</v>
      </c>
      <c r="C928" s="30" t="s">
        <v>665</v>
      </c>
      <c r="D928" s="30" t="s">
        <v>1154</v>
      </c>
      <c r="E928" s="30">
        <v>5</v>
      </c>
      <c r="F928" s="30" t="s">
        <v>699</v>
      </c>
      <c r="G928" s="30" t="s">
        <v>634</v>
      </c>
      <c r="H928" s="31">
        <v>45936.618530092594</v>
      </c>
      <c r="I928" s="32">
        <f>-Mvt_Inter_entrepot[[#This Row],[QTE]]</f>
        <v>-5</v>
      </c>
      <c r="J928" s="30" t="s">
        <v>1211</v>
      </c>
      <c r="K928" s="30" t="str">
        <f>_xlfn.TEXTBEFORE(Mvt_Inter_entrepot[[#This Row],[Num Suivis]],"-",,,1)</f>
        <v>CA250392</v>
      </c>
      <c r="L928" s="30" t="e">
        <f>_xlfn.XLOOKUP(Mvt_Inter_entrepot[[#This Row],[Num OF]],#REF!,#REF!,"Non Trouvé")</f>
        <v>#REF!</v>
      </c>
      <c r="M928" s="30" t="e">
        <f>_xlfn.XLOOKUP(Mvt_Inter_entrepot[[#This Row],[Num OF]],#REF!,#REF!,"Non Trouvé")</f>
        <v>#REF!</v>
      </c>
      <c r="N928" s="30" t="e">
        <f>_xlfn.XLOOKUP(Mvt_Inter_entrepot[[#This Row],[Num OF]],#REF!,#REF!,"Non Trouvé")</f>
        <v>#REF!</v>
      </c>
      <c r="O928" s="30" t="e">
        <f>_xlfn.XLOOKUP(Mvt_Inter_entrepot[[#This Row],[Num OF]],#REF!,#REF!,"Non Trouvé")</f>
        <v>#REF!</v>
      </c>
      <c r="P928" s="30" t="e">
        <f>_xlfn.XLOOKUP(Mvt_Inter_entrepot[[#This Row],[Num OF]],#REF!,#REF!,"Non Trouvé")</f>
        <v>#REF!</v>
      </c>
      <c r="Q928" s="11" t="str">
        <f>IF(
   COUNTIFS($A$2:A928,A928,
             $B$2:B928,B928,
             $C$2:C928,C928,
             $D$2:D928,D928,
             $E$2:E928,E928,
             $H$2:H928,H928
             )&gt;1,
   "Doublon",
   "Correcte"
)</f>
        <v>Correcte</v>
      </c>
    </row>
    <row r="929" spans="1:17" x14ac:dyDescent="0.25">
      <c r="A929" s="11" t="s">
        <v>3708</v>
      </c>
      <c r="B929" s="30" t="s">
        <v>1153</v>
      </c>
      <c r="C929" s="30" t="s">
        <v>665</v>
      </c>
      <c r="D929" s="30" t="s">
        <v>1154</v>
      </c>
      <c r="E929" s="30">
        <v>5</v>
      </c>
      <c r="F929" s="30" t="s">
        <v>699</v>
      </c>
      <c r="G929" s="30" t="s">
        <v>634</v>
      </c>
      <c r="H929" s="31">
        <v>45936.618692129632</v>
      </c>
      <c r="I929" s="32">
        <f>-Mvt_Inter_entrepot[[#This Row],[QTE]]</f>
        <v>-5</v>
      </c>
      <c r="J929" s="30" t="s">
        <v>743</v>
      </c>
      <c r="K929" s="30" t="str">
        <f>_xlfn.TEXTBEFORE(Mvt_Inter_entrepot[[#This Row],[Num Suivis]],"-",,,1)</f>
        <v>CA250391</v>
      </c>
      <c r="L929" s="30" t="e">
        <f>_xlfn.XLOOKUP(Mvt_Inter_entrepot[[#This Row],[Num OF]],#REF!,#REF!,"Non Trouvé")</f>
        <v>#REF!</v>
      </c>
      <c r="M929" s="30" t="e">
        <f>_xlfn.XLOOKUP(Mvt_Inter_entrepot[[#This Row],[Num OF]],#REF!,#REF!,"Non Trouvé")</f>
        <v>#REF!</v>
      </c>
      <c r="N929" s="30" t="e">
        <f>_xlfn.XLOOKUP(Mvt_Inter_entrepot[[#This Row],[Num OF]],#REF!,#REF!,"Non Trouvé")</f>
        <v>#REF!</v>
      </c>
      <c r="O929" s="30" t="e">
        <f>_xlfn.XLOOKUP(Mvt_Inter_entrepot[[#This Row],[Num OF]],#REF!,#REF!,"Non Trouvé")</f>
        <v>#REF!</v>
      </c>
      <c r="P929" s="30" t="e">
        <f>_xlfn.XLOOKUP(Mvt_Inter_entrepot[[#This Row],[Num OF]],#REF!,#REF!,"Non Trouvé")</f>
        <v>#REF!</v>
      </c>
      <c r="Q929" s="11" t="str">
        <f>IF(
   COUNTIFS($A$2:A929,A929,
             $B$2:B929,B929,
             $C$2:C929,C929,
             $D$2:D929,D929,
             $E$2:E929,E929,
             $H$2:H929,H929
             )&gt;1,
   "Doublon",
   "Correcte"
)</f>
        <v>Correcte</v>
      </c>
    </row>
    <row r="930" spans="1:17" x14ac:dyDescent="0.25">
      <c r="A930" s="11" t="s">
        <v>3709</v>
      </c>
      <c r="B930" s="30" t="s">
        <v>1153</v>
      </c>
      <c r="C930" s="30" t="s">
        <v>665</v>
      </c>
      <c r="D930" s="30" t="s">
        <v>1154</v>
      </c>
      <c r="E930" s="30">
        <v>5</v>
      </c>
      <c r="F930" s="30" t="s">
        <v>699</v>
      </c>
      <c r="G930" s="30" t="s">
        <v>634</v>
      </c>
      <c r="H930" s="31">
        <v>45936.618888888886</v>
      </c>
      <c r="I930" s="32">
        <f>-Mvt_Inter_entrepot[[#This Row],[QTE]]</f>
        <v>-5</v>
      </c>
      <c r="J930" s="30" t="s">
        <v>1212</v>
      </c>
      <c r="K930" s="30" t="str">
        <f>_xlfn.TEXTBEFORE(Mvt_Inter_entrepot[[#This Row],[Num Suivis]],"-",,,1)</f>
        <v>CA250392</v>
      </c>
      <c r="L930" s="30" t="e">
        <f>_xlfn.XLOOKUP(Mvt_Inter_entrepot[[#This Row],[Num OF]],#REF!,#REF!,"Non Trouvé")</f>
        <v>#REF!</v>
      </c>
      <c r="M930" s="30" t="e">
        <f>_xlfn.XLOOKUP(Mvt_Inter_entrepot[[#This Row],[Num OF]],#REF!,#REF!,"Non Trouvé")</f>
        <v>#REF!</v>
      </c>
      <c r="N930" s="30" t="e">
        <f>_xlfn.XLOOKUP(Mvt_Inter_entrepot[[#This Row],[Num OF]],#REF!,#REF!,"Non Trouvé")</f>
        <v>#REF!</v>
      </c>
      <c r="O930" s="30" t="e">
        <f>_xlfn.XLOOKUP(Mvt_Inter_entrepot[[#This Row],[Num OF]],#REF!,#REF!,"Non Trouvé")</f>
        <v>#REF!</v>
      </c>
      <c r="P930" s="30" t="e">
        <f>_xlfn.XLOOKUP(Mvt_Inter_entrepot[[#This Row],[Num OF]],#REF!,#REF!,"Non Trouvé")</f>
        <v>#REF!</v>
      </c>
      <c r="Q930" s="11" t="str">
        <f>IF(
   COUNTIFS($A$2:A930,A930,
             $B$2:B930,B930,
             $C$2:C930,C930,
             $D$2:D930,D930,
             $E$2:E930,E930,
             $H$2:H930,H930
             )&gt;1,
   "Doublon",
   "Correcte"
)</f>
        <v>Correcte</v>
      </c>
    </row>
    <row r="931" spans="1:17" x14ac:dyDescent="0.25">
      <c r="A931" s="11" t="s">
        <v>3710</v>
      </c>
      <c r="B931" s="30" t="s">
        <v>1153</v>
      </c>
      <c r="C931" s="30" t="s">
        <v>665</v>
      </c>
      <c r="D931" s="30" t="s">
        <v>1154</v>
      </c>
      <c r="E931" s="30">
        <v>5</v>
      </c>
      <c r="F931" s="30" t="s">
        <v>699</v>
      </c>
      <c r="G931" s="30" t="s">
        <v>634</v>
      </c>
      <c r="H931" s="31">
        <v>45936.619074074071</v>
      </c>
      <c r="I931" s="32">
        <f>-Mvt_Inter_entrepot[[#This Row],[QTE]]</f>
        <v>-5</v>
      </c>
      <c r="J931" s="30" t="s">
        <v>1213</v>
      </c>
      <c r="K931" s="30" t="str">
        <f>_xlfn.TEXTBEFORE(Mvt_Inter_entrepot[[#This Row],[Num Suivis]],"-",,,1)</f>
        <v>CA250392</v>
      </c>
      <c r="L931" s="30" t="e">
        <f>_xlfn.XLOOKUP(Mvt_Inter_entrepot[[#This Row],[Num OF]],#REF!,#REF!,"Non Trouvé")</f>
        <v>#REF!</v>
      </c>
      <c r="M931" s="30" t="e">
        <f>_xlfn.XLOOKUP(Mvt_Inter_entrepot[[#This Row],[Num OF]],#REF!,#REF!,"Non Trouvé")</f>
        <v>#REF!</v>
      </c>
      <c r="N931" s="30" t="e">
        <f>_xlfn.XLOOKUP(Mvt_Inter_entrepot[[#This Row],[Num OF]],#REF!,#REF!,"Non Trouvé")</f>
        <v>#REF!</v>
      </c>
      <c r="O931" s="30" t="e">
        <f>_xlfn.XLOOKUP(Mvt_Inter_entrepot[[#This Row],[Num OF]],#REF!,#REF!,"Non Trouvé")</f>
        <v>#REF!</v>
      </c>
      <c r="P931" s="30" t="e">
        <f>_xlfn.XLOOKUP(Mvt_Inter_entrepot[[#This Row],[Num OF]],#REF!,#REF!,"Non Trouvé")</f>
        <v>#REF!</v>
      </c>
      <c r="Q931" s="11" t="str">
        <f>IF(
   COUNTIFS($A$2:A931,A931,
             $B$2:B931,B931,
             $C$2:C931,C931,
             $D$2:D931,D931,
             $E$2:E931,E931,
             $H$2:H931,H931
             )&gt;1,
   "Doublon",
   "Correcte"
)</f>
        <v>Correcte</v>
      </c>
    </row>
    <row r="932" spans="1:17" x14ac:dyDescent="0.25">
      <c r="A932" s="11" t="s">
        <v>3711</v>
      </c>
      <c r="B932" s="30" t="s">
        <v>1153</v>
      </c>
      <c r="C932" s="30" t="s">
        <v>665</v>
      </c>
      <c r="D932" s="30" t="s">
        <v>1154</v>
      </c>
      <c r="E932" s="30">
        <v>5</v>
      </c>
      <c r="F932" s="30" t="s">
        <v>699</v>
      </c>
      <c r="G932" s="30" t="s">
        <v>634</v>
      </c>
      <c r="H932" s="31">
        <v>45936.619317129633</v>
      </c>
      <c r="I932" s="32">
        <f>-Mvt_Inter_entrepot[[#This Row],[QTE]]</f>
        <v>-5</v>
      </c>
      <c r="J932" s="30" t="s">
        <v>1214</v>
      </c>
      <c r="K932" s="30" t="str">
        <f>_xlfn.TEXTBEFORE(Mvt_Inter_entrepot[[#This Row],[Num Suivis]],"-",,,1)</f>
        <v>CA250392</v>
      </c>
      <c r="L932" s="30" t="e">
        <f>_xlfn.XLOOKUP(Mvt_Inter_entrepot[[#This Row],[Num OF]],#REF!,#REF!,"Non Trouvé")</f>
        <v>#REF!</v>
      </c>
      <c r="M932" s="30" t="e">
        <f>_xlfn.XLOOKUP(Mvt_Inter_entrepot[[#This Row],[Num OF]],#REF!,#REF!,"Non Trouvé")</f>
        <v>#REF!</v>
      </c>
      <c r="N932" s="30" t="e">
        <f>_xlfn.XLOOKUP(Mvt_Inter_entrepot[[#This Row],[Num OF]],#REF!,#REF!,"Non Trouvé")</f>
        <v>#REF!</v>
      </c>
      <c r="O932" s="30" t="e">
        <f>_xlfn.XLOOKUP(Mvt_Inter_entrepot[[#This Row],[Num OF]],#REF!,#REF!,"Non Trouvé")</f>
        <v>#REF!</v>
      </c>
      <c r="P932" s="30" t="e">
        <f>_xlfn.XLOOKUP(Mvt_Inter_entrepot[[#This Row],[Num OF]],#REF!,#REF!,"Non Trouvé")</f>
        <v>#REF!</v>
      </c>
      <c r="Q932" s="11" t="str">
        <f>IF(
   COUNTIFS($A$2:A932,A932,
             $B$2:B932,B932,
             $C$2:C932,C932,
             $D$2:D932,D932,
             $E$2:E932,E932,
             $H$2:H932,H932
             )&gt;1,
   "Doublon",
   "Correcte"
)</f>
        <v>Correcte</v>
      </c>
    </row>
    <row r="933" spans="1:17" x14ac:dyDescent="0.25">
      <c r="A933" s="11" t="s">
        <v>3712</v>
      </c>
      <c r="B933" s="30" t="s">
        <v>1153</v>
      </c>
      <c r="C933" s="30" t="s">
        <v>665</v>
      </c>
      <c r="D933" s="30" t="s">
        <v>1154</v>
      </c>
      <c r="E933" s="30">
        <v>5</v>
      </c>
      <c r="F933" s="30" t="s">
        <v>699</v>
      </c>
      <c r="G933" s="30" t="s">
        <v>634</v>
      </c>
      <c r="H933" s="31">
        <v>45936.619513888887</v>
      </c>
      <c r="I933" s="32">
        <f>-Mvt_Inter_entrepot[[#This Row],[QTE]]</f>
        <v>-5</v>
      </c>
      <c r="J933" s="30" t="s">
        <v>1215</v>
      </c>
      <c r="K933" s="30" t="str">
        <f>_xlfn.TEXTBEFORE(Mvt_Inter_entrepot[[#This Row],[Num Suivis]],"-",,,1)</f>
        <v>CA250392</v>
      </c>
      <c r="L933" s="30" t="e">
        <f>_xlfn.XLOOKUP(Mvt_Inter_entrepot[[#This Row],[Num OF]],#REF!,#REF!,"Non Trouvé")</f>
        <v>#REF!</v>
      </c>
      <c r="M933" s="30" t="e">
        <f>_xlfn.XLOOKUP(Mvt_Inter_entrepot[[#This Row],[Num OF]],#REF!,#REF!,"Non Trouvé")</f>
        <v>#REF!</v>
      </c>
      <c r="N933" s="30" t="e">
        <f>_xlfn.XLOOKUP(Mvt_Inter_entrepot[[#This Row],[Num OF]],#REF!,#REF!,"Non Trouvé")</f>
        <v>#REF!</v>
      </c>
      <c r="O933" s="30" t="e">
        <f>_xlfn.XLOOKUP(Mvt_Inter_entrepot[[#This Row],[Num OF]],#REF!,#REF!,"Non Trouvé")</f>
        <v>#REF!</v>
      </c>
      <c r="P933" s="30" t="e">
        <f>_xlfn.XLOOKUP(Mvt_Inter_entrepot[[#This Row],[Num OF]],#REF!,#REF!,"Non Trouvé")</f>
        <v>#REF!</v>
      </c>
      <c r="Q933" s="11" t="str">
        <f>IF(
   COUNTIFS($A$2:A933,A933,
             $B$2:B933,B933,
             $C$2:C933,C933,
             $D$2:D933,D933,
             $E$2:E933,E933,
             $H$2:H933,H933
             )&gt;1,
   "Doublon",
   "Correcte"
)</f>
        <v>Correcte</v>
      </c>
    </row>
    <row r="934" spans="1:17" x14ac:dyDescent="0.25">
      <c r="A934" s="11" t="s">
        <v>3713</v>
      </c>
      <c r="B934" s="30" t="s">
        <v>1153</v>
      </c>
      <c r="C934" s="30" t="s">
        <v>665</v>
      </c>
      <c r="D934" s="30" t="s">
        <v>1154</v>
      </c>
      <c r="E934" s="30">
        <v>5</v>
      </c>
      <c r="F934" s="30" t="s">
        <v>699</v>
      </c>
      <c r="G934" s="30" t="s">
        <v>634</v>
      </c>
      <c r="H934" s="31">
        <v>45936.620219907411</v>
      </c>
      <c r="I934" s="32">
        <f>-Mvt_Inter_entrepot[[#This Row],[QTE]]</f>
        <v>-5</v>
      </c>
      <c r="J934" s="30" t="s">
        <v>1216</v>
      </c>
      <c r="K934" s="30" t="str">
        <f>_xlfn.TEXTBEFORE(Mvt_Inter_entrepot[[#This Row],[Num Suivis]],"-",,,1)</f>
        <v>CA250393</v>
      </c>
      <c r="L934" s="30" t="e">
        <f>_xlfn.XLOOKUP(Mvt_Inter_entrepot[[#This Row],[Num OF]],#REF!,#REF!,"Non Trouvé")</f>
        <v>#REF!</v>
      </c>
      <c r="M934" s="30" t="e">
        <f>_xlfn.XLOOKUP(Mvt_Inter_entrepot[[#This Row],[Num OF]],#REF!,#REF!,"Non Trouvé")</f>
        <v>#REF!</v>
      </c>
      <c r="N934" s="30" t="e">
        <f>_xlfn.XLOOKUP(Mvt_Inter_entrepot[[#This Row],[Num OF]],#REF!,#REF!,"Non Trouvé")</f>
        <v>#REF!</v>
      </c>
      <c r="O934" s="30" t="e">
        <f>_xlfn.XLOOKUP(Mvt_Inter_entrepot[[#This Row],[Num OF]],#REF!,#REF!,"Non Trouvé")</f>
        <v>#REF!</v>
      </c>
      <c r="P934" s="30" t="e">
        <f>_xlfn.XLOOKUP(Mvt_Inter_entrepot[[#This Row],[Num OF]],#REF!,#REF!,"Non Trouvé")</f>
        <v>#REF!</v>
      </c>
      <c r="Q934" s="11" t="str">
        <f>IF(
   COUNTIFS($A$2:A934,A934,
             $B$2:B934,B934,
             $C$2:C934,C934,
             $D$2:D934,D934,
             $E$2:E934,E934,
             $H$2:H934,H934
             )&gt;1,
   "Doublon",
   "Correcte"
)</f>
        <v>Correcte</v>
      </c>
    </row>
    <row r="935" spans="1:17" x14ac:dyDescent="0.25">
      <c r="A935" s="11" t="s">
        <v>3714</v>
      </c>
      <c r="B935" s="30" t="s">
        <v>1153</v>
      </c>
      <c r="C935" s="30" t="s">
        <v>665</v>
      </c>
      <c r="D935" s="30" t="s">
        <v>1154</v>
      </c>
      <c r="E935" s="30">
        <v>5</v>
      </c>
      <c r="F935" s="30" t="s">
        <v>699</v>
      </c>
      <c r="G935" s="30" t="s">
        <v>634</v>
      </c>
      <c r="H935" s="31">
        <v>45936.620416666665</v>
      </c>
      <c r="I935" s="32">
        <f>-Mvt_Inter_entrepot[[#This Row],[QTE]]</f>
        <v>-5</v>
      </c>
      <c r="J935" s="30" t="s">
        <v>1217</v>
      </c>
      <c r="K935" s="30" t="str">
        <f>_xlfn.TEXTBEFORE(Mvt_Inter_entrepot[[#This Row],[Num Suivis]],"-",,,1)</f>
        <v>CA250393</v>
      </c>
      <c r="L935" s="30" t="e">
        <f>_xlfn.XLOOKUP(Mvt_Inter_entrepot[[#This Row],[Num OF]],#REF!,#REF!,"Non Trouvé")</f>
        <v>#REF!</v>
      </c>
      <c r="M935" s="30" t="e">
        <f>_xlfn.XLOOKUP(Mvt_Inter_entrepot[[#This Row],[Num OF]],#REF!,#REF!,"Non Trouvé")</f>
        <v>#REF!</v>
      </c>
      <c r="N935" s="30" t="e">
        <f>_xlfn.XLOOKUP(Mvt_Inter_entrepot[[#This Row],[Num OF]],#REF!,#REF!,"Non Trouvé")</f>
        <v>#REF!</v>
      </c>
      <c r="O935" s="30" t="e">
        <f>_xlfn.XLOOKUP(Mvt_Inter_entrepot[[#This Row],[Num OF]],#REF!,#REF!,"Non Trouvé")</f>
        <v>#REF!</v>
      </c>
      <c r="P935" s="30" t="e">
        <f>_xlfn.XLOOKUP(Mvt_Inter_entrepot[[#This Row],[Num OF]],#REF!,#REF!,"Non Trouvé")</f>
        <v>#REF!</v>
      </c>
      <c r="Q935" s="11" t="str">
        <f>IF(
   COUNTIFS($A$2:A935,A935,
             $B$2:B935,B935,
             $C$2:C935,C935,
             $D$2:D935,D935,
             $E$2:E935,E935,
             $H$2:H935,H935
             )&gt;1,
   "Doublon",
   "Correcte"
)</f>
        <v>Correcte</v>
      </c>
    </row>
    <row r="936" spans="1:17" x14ac:dyDescent="0.25">
      <c r="A936" s="11" t="s">
        <v>3715</v>
      </c>
      <c r="B936" s="30" t="s">
        <v>1153</v>
      </c>
      <c r="C936" s="30" t="s">
        <v>665</v>
      </c>
      <c r="D936" s="30" t="s">
        <v>1154</v>
      </c>
      <c r="E936" s="30">
        <v>5</v>
      </c>
      <c r="F936" s="30" t="s">
        <v>699</v>
      </c>
      <c r="G936" s="30" t="s">
        <v>634</v>
      </c>
      <c r="H936" s="31">
        <v>45936.62059027778</v>
      </c>
      <c r="I936" s="32">
        <f>-Mvt_Inter_entrepot[[#This Row],[QTE]]</f>
        <v>-5</v>
      </c>
      <c r="J936" s="30" t="s">
        <v>1218</v>
      </c>
      <c r="K936" s="30" t="str">
        <f>_xlfn.TEXTBEFORE(Mvt_Inter_entrepot[[#This Row],[Num Suivis]],"-",,,1)</f>
        <v>CA250393</v>
      </c>
      <c r="L936" s="30" t="e">
        <f>_xlfn.XLOOKUP(Mvt_Inter_entrepot[[#This Row],[Num OF]],#REF!,#REF!,"Non Trouvé")</f>
        <v>#REF!</v>
      </c>
      <c r="M936" s="30" t="e">
        <f>_xlfn.XLOOKUP(Mvt_Inter_entrepot[[#This Row],[Num OF]],#REF!,#REF!,"Non Trouvé")</f>
        <v>#REF!</v>
      </c>
      <c r="N936" s="30" t="e">
        <f>_xlfn.XLOOKUP(Mvt_Inter_entrepot[[#This Row],[Num OF]],#REF!,#REF!,"Non Trouvé")</f>
        <v>#REF!</v>
      </c>
      <c r="O936" s="30" t="e">
        <f>_xlfn.XLOOKUP(Mvt_Inter_entrepot[[#This Row],[Num OF]],#REF!,#REF!,"Non Trouvé")</f>
        <v>#REF!</v>
      </c>
      <c r="P936" s="30" t="e">
        <f>_xlfn.XLOOKUP(Mvt_Inter_entrepot[[#This Row],[Num OF]],#REF!,#REF!,"Non Trouvé")</f>
        <v>#REF!</v>
      </c>
      <c r="Q936" s="11" t="str">
        <f>IF(
   COUNTIFS($A$2:A936,A936,
             $B$2:B936,B936,
             $C$2:C936,C936,
             $D$2:D936,D936,
             $E$2:E936,E936,
             $H$2:H936,H936
             )&gt;1,
   "Doublon",
   "Correcte"
)</f>
        <v>Correcte</v>
      </c>
    </row>
    <row r="937" spans="1:17" x14ac:dyDescent="0.25">
      <c r="A937" s="11" t="s">
        <v>3716</v>
      </c>
      <c r="B937" s="30" t="s">
        <v>1153</v>
      </c>
      <c r="C937" s="30" t="s">
        <v>665</v>
      </c>
      <c r="D937" s="30" t="s">
        <v>1154</v>
      </c>
      <c r="E937" s="30">
        <v>5</v>
      </c>
      <c r="F937" s="30" t="s">
        <v>699</v>
      </c>
      <c r="G937" s="30" t="s">
        <v>634</v>
      </c>
      <c r="H937" s="31">
        <v>45936.621018518519</v>
      </c>
      <c r="I937" s="32">
        <f>-Mvt_Inter_entrepot[[#This Row],[QTE]]</f>
        <v>-5</v>
      </c>
      <c r="J937" s="30" t="s">
        <v>1219</v>
      </c>
      <c r="K937" s="30" t="str">
        <f>_xlfn.TEXTBEFORE(Mvt_Inter_entrepot[[#This Row],[Num Suivis]],"-",,,1)</f>
        <v>CA250393</v>
      </c>
      <c r="L937" s="30" t="e">
        <f>_xlfn.XLOOKUP(Mvt_Inter_entrepot[[#This Row],[Num OF]],#REF!,#REF!,"Non Trouvé")</f>
        <v>#REF!</v>
      </c>
      <c r="M937" s="30" t="e">
        <f>_xlfn.XLOOKUP(Mvt_Inter_entrepot[[#This Row],[Num OF]],#REF!,#REF!,"Non Trouvé")</f>
        <v>#REF!</v>
      </c>
      <c r="N937" s="30" t="e">
        <f>_xlfn.XLOOKUP(Mvt_Inter_entrepot[[#This Row],[Num OF]],#REF!,#REF!,"Non Trouvé")</f>
        <v>#REF!</v>
      </c>
      <c r="O937" s="30" t="e">
        <f>_xlfn.XLOOKUP(Mvt_Inter_entrepot[[#This Row],[Num OF]],#REF!,#REF!,"Non Trouvé")</f>
        <v>#REF!</v>
      </c>
      <c r="P937" s="30" t="e">
        <f>_xlfn.XLOOKUP(Mvt_Inter_entrepot[[#This Row],[Num OF]],#REF!,#REF!,"Non Trouvé")</f>
        <v>#REF!</v>
      </c>
      <c r="Q937" s="11" t="str">
        <f>IF(
   COUNTIFS($A$2:A937,A937,
             $B$2:B937,B937,
             $C$2:C937,C937,
             $D$2:D937,D937,
             $E$2:E937,E937,
             $H$2:H937,H937
             )&gt;1,
   "Doublon",
   "Correcte"
)</f>
        <v>Correcte</v>
      </c>
    </row>
    <row r="938" spans="1:17" x14ac:dyDescent="0.25">
      <c r="A938" s="11" t="s">
        <v>3717</v>
      </c>
      <c r="B938" s="30" t="s">
        <v>1153</v>
      </c>
      <c r="C938" s="30" t="s">
        <v>665</v>
      </c>
      <c r="D938" s="30" t="s">
        <v>1154</v>
      </c>
      <c r="E938" s="30">
        <v>5</v>
      </c>
      <c r="F938" s="30" t="s">
        <v>699</v>
      </c>
      <c r="G938" s="30" t="s">
        <v>634</v>
      </c>
      <c r="H938" s="31">
        <v>45936.62128472222</v>
      </c>
      <c r="I938" s="32">
        <f>-Mvt_Inter_entrepot[[#This Row],[QTE]]</f>
        <v>-5</v>
      </c>
      <c r="J938" s="30" t="s">
        <v>1220</v>
      </c>
      <c r="K938" s="30" t="str">
        <f>_xlfn.TEXTBEFORE(Mvt_Inter_entrepot[[#This Row],[Num Suivis]],"-",,,1)</f>
        <v>CA250393</v>
      </c>
      <c r="L938" s="30" t="e">
        <f>_xlfn.XLOOKUP(Mvt_Inter_entrepot[[#This Row],[Num OF]],#REF!,#REF!,"Non Trouvé")</f>
        <v>#REF!</v>
      </c>
      <c r="M938" s="30" t="e">
        <f>_xlfn.XLOOKUP(Mvt_Inter_entrepot[[#This Row],[Num OF]],#REF!,#REF!,"Non Trouvé")</f>
        <v>#REF!</v>
      </c>
      <c r="N938" s="30" t="e">
        <f>_xlfn.XLOOKUP(Mvt_Inter_entrepot[[#This Row],[Num OF]],#REF!,#REF!,"Non Trouvé")</f>
        <v>#REF!</v>
      </c>
      <c r="O938" s="30" t="e">
        <f>_xlfn.XLOOKUP(Mvt_Inter_entrepot[[#This Row],[Num OF]],#REF!,#REF!,"Non Trouvé")</f>
        <v>#REF!</v>
      </c>
      <c r="P938" s="30" t="e">
        <f>_xlfn.XLOOKUP(Mvt_Inter_entrepot[[#This Row],[Num OF]],#REF!,#REF!,"Non Trouvé")</f>
        <v>#REF!</v>
      </c>
      <c r="Q938" s="11" t="str">
        <f>IF(
   COUNTIFS($A$2:A938,A938,
             $B$2:B938,B938,
             $C$2:C938,C938,
             $D$2:D938,D938,
             $E$2:E938,E938,
             $H$2:H938,H938
             )&gt;1,
   "Doublon",
   "Correcte"
)</f>
        <v>Correcte</v>
      </c>
    </row>
    <row r="939" spans="1:17" x14ac:dyDescent="0.25">
      <c r="A939" s="11" t="s">
        <v>3718</v>
      </c>
      <c r="B939" s="30" t="s">
        <v>1153</v>
      </c>
      <c r="C939" s="30" t="s">
        <v>665</v>
      </c>
      <c r="D939" s="30" t="s">
        <v>1154</v>
      </c>
      <c r="E939" s="30">
        <v>5</v>
      </c>
      <c r="F939" s="30" t="s">
        <v>699</v>
      </c>
      <c r="G939" s="30" t="s">
        <v>634</v>
      </c>
      <c r="H939" s="31">
        <v>45936.621446759258</v>
      </c>
      <c r="I939" s="32">
        <f>-Mvt_Inter_entrepot[[#This Row],[QTE]]</f>
        <v>-5</v>
      </c>
      <c r="J939" s="30" t="s">
        <v>1221</v>
      </c>
      <c r="K939" s="30" t="str">
        <f>_xlfn.TEXTBEFORE(Mvt_Inter_entrepot[[#This Row],[Num Suivis]],"-",,,1)</f>
        <v>CA250393</v>
      </c>
      <c r="L939" s="30" t="e">
        <f>_xlfn.XLOOKUP(Mvt_Inter_entrepot[[#This Row],[Num OF]],#REF!,#REF!,"Non Trouvé")</f>
        <v>#REF!</v>
      </c>
      <c r="M939" s="30" t="e">
        <f>_xlfn.XLOOKUP(Mvt_Inter_entrepot[[#This Row],[Num OF]],#REF!,#REF!,"Non Trouvé")</f>
        <v>#REF!</v>
      </c>
      <c r="N939" s="30" t="e">
        <f>_xlfn.XLOOKUP(Mvt_Inter_entrepot[[#This Row],[Num OF]],#REF!,#REF!,"Non Trouvé")</f>
        <v>#REF!</v>
      </c>
      <c r="O939" s="30" t="e">
        <f>_xlfn.XLOOKUP(Mvt_Inter_entrepot[[#This Row],[Num OF]],#REF!,#REF!,"Non Trouvé")</f>
        <v>#REF!</v>
      </c>
      <c r="P939" s="30" t="e">
        <f>_xlfn.XLOOKUP(Mvt_Inter_entrepot[[#This Row],[Num OF]],#REF!,#REF!,"Non Trouvé")</f>
        <v>#REF!</v>
      </c>
      <c r="Q939" s="11" t="str">
        <f>IF(
   COUNTIFS($A$2:A939,A939,
             $B$2:B939,B939,
             $C$2:C939,C939,
             $D$2:D939,D939,
             $E$2:E939,E939,
             $H$2:H939,H939
             )&gt;1,
   "Doublon",
   "Correcte"
)</f>
        <v>Correcte</v>
      </c>
    </row>
    <row r="940" spans="1:17" x14ac:dyDescent="0.25">
      <c r="A940" s="11" t="s">
        <v>3719</v>
      </c>
      <c r="B940" s="30" t="s">
        <v>1153</v>
      </c>
      <c r="C940" s="30" t="s">
        <v>665</v>
      </c>
      <c r="D940" s="30" t="s">
        <v>1154</v>
      </c>
      <c r="E940" s="30">
        <v>5</v>
      </c>
      <c r="F940" s="30" t="s">
        <v>699</v>
      </c>
      <c r="G940" s="30" t="s">
        <v>634</v>
      </c>
      <c r="H940" s="31">
        <v>45936.621886574074</v>
      </c>
      <c r="I940" s="32">
        <f>-Mvt_Inter_entrepot[[#This Row],[QTE]]</f>
        <v>-5</v>
      </c>
      <c r="J940" s="30" t="s">
        <v>1222</v>
      </c>
      <c r="K940" s="30" t="str">
        <f>_xlfn.TEXTBEFORE(Mvt_Inter_entrepot[[#This Row],[Num Suivis]],"-",,,1)</f>
        <v>CA250393</v>
      </c>
      <c r="L940" s="30" t="e">
        <f>_xlfn.XLOOKUP(Mvt_Inter_entrepot[[#This Row],[Num OF]],#REF!,#REF!,"Non Trouvé")</f>
        <v>#REF!</v>
      </c>
      <c r="M940" s="30" t="e">
        <f>_xlfn.XLOOKUP(Mvt_Inter_entrepot[[#This Row],[Num OF]],#REF!,#REF!,"Non Trouvé")</f>
        <v>#REF!</v>
      </c>
      <c r="N940" s="30" t="e">
        <f>_xlfn.XLOOKUP(Mvt_Inter_entrepot[[#This Row],[Num OF]],#REF!,#REF!,"Non Trouvé")</f>
        <v>#REF!</v>
      </c>
      <c r="O940" s="30" t="e">
        <f>_xlfn.XLOOKUP(Mvt_Inter_entrepot[[#This Row],[Num OF]],#REF!,#REF!,"Non Trouvé")</f>
        <v>#REF!</v>
      </c>
      <c r="P940" s="30" t="e">
        <f>_xlfn.XLOOKUP(Mvt_Inter_entrepot[[#This Row],[Num OF]],#REF!,#REF!,"Non Trouvé")</f>
        <v>#REF!</v>
      </c>
      <c r="Q940" s="11" t="str">
        <f>IF(
   COUNTIFS($A$2:A940,A940,
             $B$2:B940,B940,
             $C$2:C940,C940,
             $D$2:D940,D940,
             $E$2:E940,E940,
             $H$2:H940,H940
             )&gt;1,
   "Doublon",
   "Correcte"
)</f>
        <v>Correcte</v>
      </c>
    </row>
    <row r="941" spans="1:17" x14ac:dyDescent="0.25">
      <c r="A941" s="11" t="s">
        <v>3720</v>
      </c>
      <c r="B941" s="30" t="s">
        <v>1153</v>
      </c>
      <c r="C941" s="30" t="s">
        <v>665</v>
      </c>
      <c r="D941" s="30" t="s">
        <v>1154</v>
      </c>
      <c r="E941" s="30">
        <v>5</v>
      </c>
      <c r="F941" s="30" t="s">
        <v>699</v>
      </c>
      <c r="G941" s="30" t="s">
        <v>634</v>
      </c>
      <c r="H941" s="31">
        <v>45936.622094907405</v>
      </c>
      <c r="I941" s="32">
        <f>-Mvt_Inter_entrepot[[#This Row],[QTE]]</f>
        <v>-5</v>
      </c>
      <c r="J941" s="30" t="s">
        <v>1223</v>
      </c>
      <c r="K941" s="30" t="str">
        <f>_xlfn.TEXTBEFORE(Mvt_Inter_entrepot[[#This Row],[Num Suivis]],"-",,,1)</f>
        <v>CA250393</v>
      </c>
      <c r="L941" s="30" t="e">
        <f>_xlfn.XLOOKUP(Mvt_Inter_entrepot[[#This Row],[Num OF]],#REF!,#REF!,"Non Trouvé")</f>
        <v>#REF!</v>
      </c>
      <c r="M941" s="30" t="e">
        <f>_xlfn.XLOOKUP(Mvt_Inter_entrepot[[#This Row],[Num OF]],#REF!,#REF!,"Non Trouvé")</f>
        <v>#REF!</v>
      </c>
      <c r="N941" s="30" t="e">
        <f>_xlfn.XLOOKUP(Mvt_Inter_entrepot[[#This Row],[Num OF]],#REF!,#REF!,"Non Trouvé")</f>
        <v>#REF!</v>
      </c>
      <c r="O941" s="30" t="e">
        <f>_xlfn.XLOOKUP(Mvt_Inter_entrepot[[#This Row],[Num OF]],#REF!,#REF!,"Non Trouvé")</f>
        <v>#REF!</v>
      </c>
      <c r="P941" s="30" t="e">
        <f>_xlfn.XLOOKUP(Mvt_Inter_entrepot[[#This Row],[Num OF]],#REF!,#REF!,"Non Trouvé")</f>
        <v>#REF!</v>
      </c>
      <c r="Q941" s="11" t="str">
        <f>IF(
   COUNTIFS($A$2:A941,A941,
             $B$2:B941,B941,
             $C$2:C941,C941,
             $D$2:D941,D941,
             $E$2:E941,E941,
             $H$2:H941,H941
             )&gt;1,
   "Doublon",
   "Correcte"
)</f>
        <v>Correcte</v>
      </c>
    </row>
    <row r="942" spans="1:17" x14ac:dyDescent="0.25">
      <c r="A942" s="11" t="s">
        <v>3721</v>
      </c>
      <c r="B942" s="30" t="s">
        <v>1153</v>
      </c>
      <c r="C942" s="30" t="s">
        <v>665</v>
      </c>
      <c r="D942" s="30" t="s">
        <v>1154</v>
      </c>
      <c r="E942" s="30">
        <v>5</v>
      </c>
      <c r="F942" s="30" t="s">
        <v>699</v>
      </c>
      <c r="G942" s="30" t="s">
        <v>634</v>
      </c>
      <c r="H942" s="31">
        <v>45936.62259259259</v>
      </c>
      <c r="I942" s="32">
        <f>-Mvt_Inter_entrepot[[#This Row],[QTE]]</f>
        <v>-5</v>
      </c>
      <c r="J942" s="30" t="s">
        <v>1224</v>
      </c>
      <c r="K942" s="30" t="str">
        <f>_xlfn.TEXTBEFORE(Mvt_Inter_entrepot[[#This Row],[Num Suivis]],"-",,,1)</f>
        <v>CA250392</v>
      </c>
      <c r="L942" s="30" t="e">
        <f>_xlfn.XLOOKUP(Mvt_Inter_entrepot[[#This Row],[Num OF]],#REF!,#REF!,"Non Trouvé")</f>
        <v>#REF!</v>
      </c>
      <c r="M942" s="30" t="e">
        <f>_xlfn.XLOOKUP(Mvt_Inter_entrepot[[#This Row],[Num OF]],#REF!,#REF!,"Non Trouvé")</f>
        <v>#REF!</v>
      </c>
      <c r="N942" s="30" t="e">
        <f>_xlfn.XLOOKUP(Mvt_Inter_entrepot[[#This Row],[Num OF]],#REF!,#REF!,"Non Trouvé")</f>
        <v>#REF!</v>
      </c>
      <c r="O942" s="30" t="e">
        <f>_xlfn.XLOOKUP(Mvt_Inter_entrepot[[#This Row],[Num OF]],#REF!,#REF!,"Non Trouvé")</f>
        <v>#REF!</v>
      </c>
      <c r="P942" s="30" t="e">
        <f>_xlfn.XLOOKUP(Mvt_Inter_entrepot[[#This Row],[Num OF]],#REF!,#REF!,"Non Trouvé")</f>
        <v>#REF!</v>
      </c>
      <c r="Q942" s="11" t="str">
        <f>IF(
   COUNTIFS($A$2:A942,A942,
             $B$2:B942,B942,
             $C$2:C942,C942,
             $D$2:D942,D942,
             $E$2:E942,E942,
             $H$2:H942,H942
             )&gt;1,
   "Doublon",
   "Correcte"
)</f>
        <v>Correcte</v>
      </c>
    </row>
    <row r="943" spans="1:17" x14ac:dyDescent="0.25">
      <c r="A943" s="11" t="s">
        <v>3722</v>
      </c>
      <c r="B943" s="30" t="s">
        <v>1153</v>
      </c>
      <c r="C943" s="30" t="s">
        <v>665</v>
      </c>
      <c r="D943" s="30" t="s">
        <v>1154</v>
      </c>
      <c r="E943" s="30">
        <v>5</v>
      </c>
      <c r="F943" s="30" t="s">
        <v>699</v>
      </c>
      <c r="G943" s="30" t="s">
        <v>634</v>
      </c>
      <c r="H943" s="31">
        <v>45936.622812499998</v>
      </c>
      <c r="I943" s="32">
        <f>-Mvt_Inter_entrepot[[#This Row],[QTE]]</f>
        <v>-5</v>
      </c>
      <c r="J943" s="30" t="s">
        <v>1225</v>
      </c>
      <c r="K943" s="30" t="str">
        <f>_xlfn.TEXTBEFORE(Mvt_Inter_entrepot[[#This Row],[Num Suivis]],"-",,,1)</f>
        <v>CA250392</v>
      </c>
      <c r="L943" s="30" t="e">
        <f>_xlfn.XLOOKUP(Mvt_Inter_entrepot[[#This Row],[Num OF]],#REF!,#REF!,"Non Trouvé")</f>
        <v>#REF!</v>
      </c>
      <c r="M943" s="30" t="e">
        <f>_xlfn.XLOOKUP(Mvt_Inter_entrepot[[#This Row],[Num OF]],#REF!,#REF!,"Non Trouvé")</f>
        <v>#REF!</v>
      </c>
      <c r="N943" s="30" t="e">
        <f>_xlfn.XLOOKUP(Mvt_Inter_entrepot[[#This Row],[Num OF]],#REF!,#REF!,"Non Trouvé")</f>
        <v>#REF!</v>
      </c>
      <c r="O943" s="30" t="e">
        <f>_xlfn.XLOOKUP(Mvt_Inter_entrepot[[#This Row],[Num OF]],#REF!,#REF!,"Non Trouvé")</f>
        <v>#REF!</v>
      </c>
      <c r="P943" s="30" t="e">
        <f>_xlfn.XLOOKUP(Mvt_Inter_entrepot[[#This Row],[Num OF]],#REF!,#REF!,"Non Trouvé")</f>
        <v>#REF!</v>
      </c>
      <c r="Q943" s="11" t="str">
        <f>IF(
   COUNTIFS($A$2:A943,A943,
             $B$2:B943,B943,
             $C$2:C943,C943,
             $D$2:D943,D943,
             $E$2:E943,E943,
             $H$2:H943,H943
             )&gt;1,
   "Doublon",
   "Correcte"
)</f>
        <v>Correcte</v>
      </c>
    </row>
    <row r="944" spans="1:17" x14ac:dyDescent="0.25">
      <c r="A944" s="11" t="s">
        <v>3723</v>
      </c>
      <c r="B944" s="30" t="s">
        <v>1153</v>
      </c>
      <c r="C944" s="30" t="s">
        <v>665</v>
      </c>
      <c r="D944" s="30" t="s">
        <v>1154</v>
      </c>
      <c r="E944" s="30">
        <v>5</v>
      </c>
      <c r="F944" s="30" t="s">
        <v>699</v>
      </c>
      <c r="G944" s="30" t="s">
        <v>634</v>
      </c>
      <c r="H944" s="31">
        <v>45940.390046296299</v>
      </c>
      <c r="I944" s="32">
        <f>-Mvt_Inter_entrepot[[#This Row],[QTE]]</f>
        <v>-5</v>
      </c>
      <c r="J944" s="30" t="s">
        <v>1077</v>
      </c>
      <c r="K944" s="30" t="str">
        <f>_xlfn.TEXTBEFORE(Mvt_Inter_entrepot[[#This Row],[Num Suivis]],"-",,,1)</f>
        <v>CA250019</v>
      </c>
      <c r="L944" s="30" t="e">
        <f>_xlfn.XLOOKUP(Mvt_Inter_entrepot[[#This Row],[Num OF]],#REF!,#REF!,"Non Trouvé")</f>
        <v>#REF!</v>
      </c>
      <c r="M944" s="30" t="e">
        <f>_xlfn.XLOOKUP(Mvt_Inter_entrepot[[#This Row],[Num OF]],#REF!,#REF!,"Non Trouvé")</f>
        <v>#REF!</v>
      </c>
      <c r="N944" s="30" t="e">
        <f>_xlfn.XLOOKUP(Mvt_Inter_entrepot[[#This Row],[Num OF]],#REF!,#REF!,"Non Trouvé")</f>
        <v>#REF!</v>
      </c>
      <c r="O944" s="30" t="e">
        <f>_xlfn.XLOOKUP(Mvt_Inter_entrepot[[#This Row],[Num OF]],#REF!,#REF!,"Non Trouvé")</f>
        <v>#REF!</v>
      </c>
      <c r="P944" s="30" t="e">
        <f>_xlfn.XLOOKUP(Mvt_Inter_entrepot[[#This Row],[Num OF]],#REF!,#REF!,"Non Trouvé")</f>
        <v>#REF!</v>
      </c>
      <c r="Q944" s="11" t="str">
        <f>IF(
   COUNTIFS($A$2:A944,A944,
             $B$2:B944,B944,
             $C$2:C944,C944,
             $D$2:D944,D944,
             $E$2:E944,E944,
             $H$2:H944,H944
             )&gt;1,
   "Doublon",
   "Correcte"
)</f>
        <v>Correcte</v>
      </c>
    </row>
    <row r="945" spans="1:17" x14ac:dyDescent="0.25">
      <c r="A945" s="11" t="s">
        <v>3724</v>
      </c>
      <c r="B945" s="30" t="s">
        <v>1153</v>
      </c>
      <c r="C945" s="30" t="s">
        <v>665</v>
      </c>
      <c r="D945" s="30" t="s">
        <v>1154</v>
      </c>
      <c r="E945" s="30">
        <v>4</v>
      </c>
      <c r="F945" s="30" t="s">
        <v>699</v>
      </c>
      <c r="G945" s="30" t="s">
        <v>634</v>
      </c>
      <c r="H945" s="31">
        <v>45940.390625</v>
      </c>
      <c r="I945" s="32">
        <f>-Mvt_Inter_entrepot[[#This Row],[QTE]]</f>
        <v>-4</v>
      </c>
      <c r="J945" s="30" t="s">
        <v>1083</v>
      </c>
      <c r="K945" s="30" t="str">
        <f>_xlfn.TEXTBEFORE(Mvt_Inter_entrepot[[#This Row],[Num Suivis]],"-",,,1)</f>
        <v>CA250019</v>
      </c>
      <c r="L945" s="30" t="e">
        <f>_xlfn.XLOOKUP(Mvt_Inter_entrepot[[#This Row],[Num OF]],#REF!,#REF!,"Non Trouvé")</f>
        <v>#REF!</v>
      </c>
      <c r="M945" s="30" t="e">
        <f>_xlfn.XLOOKUP(Mvt_Inter_entrepot[[#This Row],[Num OF]],#REF!,#REF!,"Non Trouvé")</f>
        <v>#REF!</v>
      </c>
      <c r="N945" s="30" t="e">
        <f>_xlfn.XLOOKUP(Mvt_Inter_entrepot[[#This Row],[Num OF]],#REF!,#REF!,"Non Trouvé")</f>
        <v>#REF!</v>
      </c>
      <c r="O945" s="30" t="e">
        <f>_xlfn.XLOOKUP(Mvt_Inter_entrepot[[#This Row],[Num OF]],#REF!,#REF!,"Non Trouvé")</f>
        <v>#REF!</v>
      </c>
      <c r="P945" s="30" t="e">
        <f>_xlfn.XLOOKUP(Mvt_Inter_entrepot[[#This Row],[Num OF]],#REF!,#REF!,"Non Trouvé")</f>
        <v>#REF!</v>
      </c>
      <c r="Q945" s="11" t="str">
        <f>IF(
   COUNTIFS($A$2:A945,A945,
             $B$2:B945,B945,
             $C$2:C945,C945,
             $D$2:D945,D945,
             $E$2:E945,E945,
             $H$2:H945,H945
             )&gt;1,
   "Doublon",
   "Correcte"
)</f>
        <v>Correcte</v>
      </c>
    </row>
    <row r="946" spans="1:17" x14ac:dyDescent="0.25">
      <c r="A946" s="11" t="s">
        <v>3725</v>
      </c>
      <c r="B946" s="30" t="s">
        <v>1153</v>
      </c>
      <c r="C946" s="30" t="s">
        <v>665</v>
      </c>
      <c r="D946" s="30" t="s">
        <v>1154</v>
      </c>
      <c r="E946" s="30">
        <v>5</v>
      </c>
      <c r="F946" s="30" t="s">
        <v>699</v>
      </c>
      <c r="G946" s="30" t="s">
        <v>634</v>
      </c>
      <c r="H946" s="31">
        <v>45940.3909375</v>
      </c>
      <c r="I946" s="32">
        <f>-Mvt_Inter_entrepot[[#This Row],[QTE]]</f>
        <v>-5</v>
      </c>
      <c r="J946" s="30" t="s">
        <v>1075</v>
      </c>
      <c r="K946" s="30" t="str">
        <f>_xlfn.TEXTBEFORE(Mvt_Inter_entrepot[[#This Row],[Num Suivis]],"-",,,1)</f>
        <v>CA250019</v>
      </c>
      <c r="L946" s="30" t="e">
        <f>_xlfn.XLOOKUP(Mvt_Inter_entrepot[[#This Row],[Num OF]],#REF!,#REF!,"Non Trouvé")</f>
        <v>#REF!</v>
      </c>
      <c r="M946" s="30" t="e">
        <f>_xlfn.XLOOKUP(Mvt_Inter_entrepot[[#This Row],[Num OF]],#REF!,#REF!,"Non Trouvé")</f>
        <v>#REF!</v>
      </c>
      <c r="N946" s="30" t="e">
        <f>_xlfn.XLOOKUP(Mvt_Inter_entrepot[[#This Row],[Num OF]],#REF!,#REF!,"Non Trouvé")</f>
        <v>#REF!</v>
      </c>
      <c r="O946" s="30" t="e">
        <f>_xlfn.XLOOKUP(Mvt_Inter_entrepot[[#This Row],[Num OF]],#REF!,#REF!,"Non Trouvé")</f>
        <v>#REF!</v>
      </c>
      <c r="P946" s="30" t="e">
        <f>_xlfn.XLOOKUP(Mvt_Inter_entrepot[[#This Row],[Num OF]],#REF!,#REF!,"Non Trouvé")</f>
        <v>#REF!</v>
      </c>
      <c r="Q946" s="11" t="str">
        <f>IF(
   COUNTIFS($A$2:A946,A946,
             $B$2:B946,B946,
             $C$2:C946,C946,
             $D$2:D946,D946,
             $E$2:E946,E946,
             $H$2:H946,H946
             )&gt;1,
   "Doublon",
   "Correcte"
)</f>
        <v>Correcte</v>
      </c>
    </row>
    <row r="947" spans="1:17" x14ac:dyDescent="0.25">
      <c r="A947" s="11" t="s">
        <v>3726</v>
      </c>
      <c r="B947" s="30" t="s">
        <v>1153</v>
      </c>
      <c r="C947" s="30" t="s">
        <v>665</v>
      </c>
      <c r="D947" s="30" t="s">
        <v>1154</v>
      </c>
      <c r="E947" s="30">
        <v>5</v>
      </c>
      <c r="F947" s="30" t="s">
        <v>699</v>
      </c>
      <c r="G947" s="30" t="s">
        <v>634</v>
      </c>
      <c r="H947" s="31">
        <v>45940.391145833331</v>
      </c>
      <c r="I947" s="32">
        <f>-Mvt_Inter_entrepot[[#This Row],[QTE]]</f>
        <v>-5</v>
      </c>
      <c r="J947" s="30" t="s">
        <v>1048</v>
      </c>
      <c r="K947" s="30" t="str">
        <f>_xlfn.TEXTBEFORE(Mvt_Inter_entrepot[[#This Row],[Num Suivis]],"-",,,1)</f>
        <v>CA250038</v>
      </c>
      <c r="L947" s="30" t="e">
        <f>_xlfn.XLOOKUP(Mvt_Inter_entrepot[[#This Row],[Num OF]],#REF!,#REF!,"Non Trouvé")</f>
        <v>#REF!</v>
      </c>
      <c r="M947" s="30" t="e">
        <f>_xlfn.XLOOKUP(Mvt_Inter_entrepot[[#This Row],[Num OF]],#REF!,#REF!,"Non Trouvé")</f>
        <v>#REF!</v>
      </c>
      <c r="N947" s="30" t="e">
        <f>_xlfn.XLOOKUP(Mvt_Inter_entrepot[[#This Row],[Num OF]],#REF!,#REF!,"Non Trouvé")</f>
        <v>#REF!</v>
      </c>
      <c r="O947" s="30" t="e">
        <f>_xlfn.XLOOKUP(Mvt_Inter_entrepot[[#This Row],[Num OF]],#REF!,#REF!,"Non Trouvé")</f>
        <v>#REF!</v>
      </c>
      <c r="P947" s="30" t="e">
        <f>_xlfn.XLOOKUP(Mvt_Inter_entrepot[[#This Row],[Num OF]],#REF!,#REF!,"Non Trouvé")</f>
        <v>#REF!</v>
      </c>
      <c r="Q947" s="11" t="str">
        <f>IF(
   COUNTIFS($A$2:A947,A947,
             $B$2:B947,B947,
             $C$2:C947,C947,
             $D$2:D947,D947,
             $E$2:E947,E947,
             $H$2:H947,H947
             )&gt;1,
   "Doublon",
   "Correcte"
)</f>
        <v>Correcte</v>
      </c>
    </row>
    <row r="948" spans="1:17" x14ac:dyDescent="0.25">
      <c r="A948" s="11" t="s">
        <v>3727</v>
      </c>
      <c r="B948" s="30" t="s">
        <v>1153</v>
      </c>
      <c r="C948" s="30" t="s">
        <v>665</v>
      </c>
      <c r="D948" s="30" t="s">
        <v>1154</v>
      </c>
      <c r="E948" s="30">
        <v>5</v>
      </c>
      <c r="F948" s="30" t="s">
        <v>699</v>
      </c>
      <c r="G948" s="30" t="s">
        <v>634</v>
      </c>
      <c r="H948" s="31">
        <v>45940.391701388886</v>
      </c>
      <c r="I948" s="32">
        <f>-Mvt_Inter_entrepot[[#This Row],[QTE]]</f>
        <v>-5</v>
      </c>
      <c r="J948" s="30" t="s">
        <v>1074</v>
      </c>
      <c r="K948" s="30" t="str">
        <f>_xlfn.TEXTBEFORE(Mvt_Inter_entrepot[[#This Row],[Num Suivis]],"-",,,1)</f>
        <v>CA250016</v>
      </c>
      <c r="L948" s="30" t="e">
        <f>_xlfn.XLOOKUP(Mvt_Inter_entrepot[[#This Row],[Num OF]],#REF!,#REF!,"Non Trouvé")</f>
        <v>#REF!</v>
      </c>
      <c r="M948" s="30" t="e">
        <f>_xlfn.XLOOKUP(Mvt_Inter_entrepot[[#This Row],[Num OF]],#REF!,#REF!,"Non Trouvé")</f>
        <v>#REF!</v>
      </c>
      <c r="N948" s="30" t="e">
        <f>_xlfn.XLOOKUP(Mvt_Inter_entrepot[[#This Row],[Num OF]],#REF!,#REF!,"Non Trouvé")</f>
        <v>#REF!</v>
      </c>
      <c r="O948" s="30" t="e">
        <f>_xlfn.XLOOKUP(Mvt_Inter_entrepot[[#This Row],[Num OF]],#REF!,#REF!,"Non Trouvé")</f>
        <v>#REF!</v>
      </c>
      <c r="P948" s="30" t="e">
        <f>_xlfn.XLOOKUP(Mvt_Inter_entrepot[[#This Row],[Num OF]],#REF!,#REF!,"Non Trouvé")</f>
        <v>#REF!</v>
      </c>
      <c r="Q948" s="11" t="str">
        <f>IF(
   COUNTIFS($A$2:A948,A948,
             $B$2:B948,B948,
             $C$2:C948,C948,
             $D$2:D948,D948,
             $E$2:E948,E948,
             $H$2:H948,H948
             )&gt;1,
   "Doublon",
   "Correcte"
)</f>
        <v>Correcte</v>
      </c>
    </row>
    <row r="949" spans="1:17" x14ac:dyDescent="0.25">
      <c r="A949" s="11" t="s">
        <v>3728</v>
      </c>
      <c r="B949" s="30" t="s">
        <v>1153</v>
      </c>
      <c r="C949" s="30" t="s">
        <v>665</v>
      </c>
      <c r="D949" s="30" t="s">
        <v>1154</v>
      </c>
      <c r="E949" s="30">
        <v>3</v>
      </c>
      <c r="F949" s="30" t="s">
        <v>699</v>
      </c>
      <c r="G949" s="30" t="s">
        <v>634</v>
      </c>
      <c r="H949" s="31">
        <v>45940.391921296294</v>
      </c>
      <c r="I949" s="32">
        <f>-Mvt_Inter_entrepot[[#This Row],[QTE]]</f>
        <v>-3</v>
      </c>
      <c r="J949" s="30" t="s">
        <v>1081</v>
      </c>
      <c r="K949" s="30" t="str">
        <f>_xlfn.TEXTBEFORE(Mvt_Inter_entrepot[[#This Row],[Num Suivis]],"-",,,1)</f>
        <v>CA250053</v>
      </c>
      <c r="L949" s="30" t="e">
        <f>_xlfn.XLOOKUP(Mvt_Inter_entrepot[[#This Row],[Num OF]],#REF!,#REF!,"Non Trouvé")</f>
        <v>#REF!</v>
      </c>
      <c r="M949" s="30" t="e">
        <f>_xlfn.XLOOKUP(Mvt_Inter_entrepot[[#This Row],[Num OF]],#REF!,#REF!,"Non Trouvé")</f>
        <v>#REF!</v>
      </c>
      <c r="N949" s="30" t="e">
        <f>_xlfn.XLOOKUP(Mvt_Inter_entrepot[[#This Row],[Num OF]],#REF!,#REF!,"Non Trouvé")</f>
        <v>#REF!</v>
      </c>
      <c r="O949" s="30" t="e">
        <f>_xlfn.XLOOKUP(Mvt_Inter_entrepot[[#This Row],[Num OF]],#REF!,#REF!,"Non Trouvé")</f>
        <v>#REF!</v>
      </c>
      <c r="P949" s="30" t="e">
        <f>_xlfn.XLOOKUP(Mvt_Inter_entrepot[[#This Row],[Num OF]],#REF!,#REF!,"Non Trouvé")</f>
        <v>#REF!</v>
      </c>
      <c r="Q949" s="11" t="str">
        <f>IF(
   COUNTIFS($A$2:A949,A949,
             $B$2:B949,B949,
             $C$2:C949,C949,
             $D$2:D949,D949,
             $E$2:E949,E949,
             $H$2:H949,H949
             )&gt;1,
   "Doublon",
   "Correcte"
)</f>
        <v>Correcte</v>
      </c>
    </row>
    <row r="950" spans="1:17" x14ac:dyDescent="0.25">
      <c r="A950" s="11" t="s">
        <v>3729</v>
      </c>
      <c r="B950" s="30" t="s">
        <v>1153</v>
      </c>
      <c r="C950" s="30" t="s">
        <v>665</v>
      </c>
      <c r="D950" s="30" t="s">
        <v>1154</v>
      </c>
      <c r="E950" s="30">
        <v>4</v>
      </c>
      <c r="F950" s="30" t="s">
        <v>699</v>
      </c>
      <c r="G950" s="30" t="s">
        <v>634</v>
      </c>
      <c r="H950" s="31">
        <v>45940.392256944448</v>
      </c>
      <c r="I950" s="32">
        <f>-Mvt_Inter_entrepot[[#This Row],[QTE]]</f>
        <v>-4</v>
      </c>
      <c r="J950" s="30" t="s">
        <v>1082</v>
      </c>
      <c r="K950" s="30" t="str">
        <f>_xlfn.TEXTBEFORE(Mvt_Inter_entrepot[[#This Row],[Num Suivis]],"-",,,1)</f>
        <v>CA250024</v>
      </c>
      <c r="L950" s="30" t="e">
        <f>_xlfn.XLOOKUP(Mvt_Inter_entrepot[[#This Row],[Num OF]],#REF!,#REF!,"Non Trouvé")</f>
        <v>#REF!</v>
      </c>
      <c r="M950" s="30" t="e">
        <f>_xlfn.XLOOKUP(Mvt_Inter_entrepot[[#This Row],[Num OF]],#REF!,#REF!,"Non Trouvé")</f>
        <v>#REF!</v>
      </c>
      <c r="N950" s="30" t="e">
        <f>_xlfn.XLOOKUP(Mvt_Inter_entrepot[[#This Row],[Num OF]],#REF!,#REF!,"Non Trouvé")</f>
        <v>#REF!</v>
      </c>
      <c r="O950" s="30" t="e">
        <f>_xlfn.XLOOKUP(Mvt_Inter_entrepot[[#This Row],[Num OF]],#REF!,#REF!,"Non Trouvé")</f>
        <v>#REF!</v>
      </c>
      <c r="P950" s="30" t="e">
        <f>_xlfn.XLOOKUP(Mvt_Inter_entrepot[[#This Row],[Num OF]],#REF!,#REF!,"Non Trouvé")</f>
        <v>#REF!</v>
      </c>
      <c r="Q950" s="11" t="str">
        <f>IF(
   COUNTIFS($A$2:A950,A950,
             $B$2:B950,B950,
             $C$2:C950,C950,
             $D$2:D950,D950,
             $E$2:E950,E950,
             $H$2:H950,H950
             )&gt;1,
   "Doublon",
   "Correcte"
)</f>
        <v>Correcte</v>
      </c>
    </row>
    <row r="951" spans="1:17" x14ac:dyDescent="0.25">
      <c r="A951" s="11" t="s">
        <v>3730</v>
      </c>
      <c r="B951" s="30" t="s">
        <v>1153</v>
      </c>
      <c r="C951" s="30" t="s">
        <v>665</v>
      </c>
      <c r="D951" s="30" t="s">
        <v>1154</v>
      </c>
      <c r="E951" s="30">
        <v>5</v>
      </c>
      <c r="F951" s="30" t="s">
        <v>699</v>
      </c>
      <c r="G951" s="30" t="s">
        <v>634</v>
      </c>
      <c r="H951" s="31">
        <v>45940.392557870371</v>
      </c>
      <c r="I951" s="32">
        <f>-Mvt_Inter_entrepot[[#This Row],[QTE]]</f>
        <v>-5</v>
      </c>
      <c r="J951" s="30" t="s">
        <v>1087</v>
      </c>
      <c r="K951" s="30" t="str">
        <f>_xlfn.TEXTBEFORE(Mvt_Inter_entrepot[[#This Row],[Num Suivis]],"-",,,1)</f>
        <v>CA250047</v>
      </c>
      <c r="L951" s="30" t="e">
        <f>_xlfn.XLOOKUP(Mvt_Inter_entrepot[[#This Row],[Num OF]],#REF!,#REF!,"Non Trouvé")</f>
        <v>#REF!</v>
      </c>
      <c r="M951" s="30" t="e">
        <f>_xlfn.XLOOKUP(Mvt_Inter_entrepot[[#This Row],[Num OF]],#REF!,#REF!,"Non Trouvé")</f>
        <v>#REF!</v>
      </c>
      <c r="N951" s="30" t="e">
        <f>_xlfn.XLOOKUP(Mvt_Inter_entrepot[[#This Row],[Num OF]],#REF!,#REF!,"Non Trouvé")</f>
        <v>#REF!</v>
      </c>
      <c r="O951" s="30" t="e">
        <f>_xlfn.XLOOKUP(Mvt_Inter_entrepot[[#This Row],[Num OF]],#REF!,#REF!,"Non Trouvé")</f>
        <v>#REF!</v>
      </c>
      <c r="P951" s="30" t="e">
        <f>_xlfn.XLOOKUP(Mvt_Inter_entrepot[[#This Row],[Num OF]],#REF!,#REF!,"Non Trouvé")</f>
        <v>#REF!</v>
      </c>
      <c r="Q951" s="11" t="str">
        <f>IF(
   COUNTIFS($A$2:A951,A951,
             $B$2:B951,B951,
             $C$2:C951,C951,
             $D$2:D951,D951,
             $E$2:E951,E951,
             $H$2:H951,H951
             )&gt;1,
   "Doublon",
   "Correcte"
)</f>
        <v>Correcte</v>
      </c>
    </row>
    <row r="952" spans="1:17" x14ac:dyDescent="0.25">
      <c r="A952" s="11" t="s">
        <v>3731</v>
      </c>
      <c r="B952" s="30" t="s">
        <v>1153</v>
      </c>
      <c r="C952" s="30" t="s">
        <v>665</v>
      </c>
      <c r="D952" s="30" t="s">
        <v>1154</v>
      </c>
      <c r="E952" s="30">
        <v>5</v>
      </c>
      <c r="F952" s="30" t="s">
        <v>699</v>
      </c>
      <c r="G952" s="30" t="s">
        <v>634</v>
      </c>
      <c r="H952" s="31">
        <v>45940.392847222225</v>
      </c>
      <c r="I952" s="32">
        <f>-Mvt_Inter_entrepot[[#This Row],[QTE]]</f>
        <v>-5</v>
      </c>
      <c r="J952" s="30" t="s">
        <v>1072</v>
      </c>
      <c r="K952" s="30" t="str">
        <f>_xlfn.TEXTBEFORE(Mvt_Inter_entrepot[[#This Row],[Num Suivis]],"-",,,1)</f>
        <v>CA250016</v>
      </c>
      <c r="L952" s="30" t="e">
        <f>_xlfn.XLOOKUP(Mvt_Inter_entrepot[[#This Row],[Num OF]],#REF!,#REF!,"Non Trouvé")</f>
        <v>#REF!</v>
      </c>
      <c r="M952" s="30" t="e">
        <f>_xlfn.XLOOKUP(Mvt_Inter_entrepot[[#This Row],[Num OF]],#REF!,#REF!,"Non Trouvé")</f>
        <v>#REF!</v>
      </c>
      <c r="N952" s="30" t="e">
        <f>_xlfn.XLOOKUP(Mvt_Inter_entrepot[[#This Row],[Num OF]],#REF!,#REF!,"Non Trouvé")</f>
        <v>#REF!</v>
      </c>
      <c r="O952" s="30" t="e">
        <f>_xlfn.XLOOKUP(Mvt_Inter_entrepot[[#This Row],[Num OF]],#REF!,#REF!,"Non Trouvé")</f>
        <v>#REF!</v>
      </c>
      <c r="P952" s="30" t="e">
        <f>_xlfn.XLOOKUP(Mvt_Inter_entrepot[[#This Row],[Num OF]],#REF!,#REF!,"Non Trouvé")</f>
        <v>#REF!</v>
      </c>
      <c r="Q952" s="11" t="str">
        <f>IF(
   COUNTIFS($A$2:A952,A952,
             $B$2:B952,B952,
             $C$2:C952,C952,
             $D$2:D952,D952,
             $E$2:E952,E952,
             $H$2:H952,H952
             )&gt;1,
   "Doublon",
   "Correcte"
)</f>
        <v>Correcte</v>
      </c>
    </row>
    <row r="953" spans="1:17" x14ac:dyDescent="0.25">
      <c r="A953" s="11" t="s">
        <v>3732</v>
      </c>
      <c r="B953" s="30" t="s">
        <v>1153</v>
      </c>
      <c r="C953" s="30" t="s">
        <v>665</v>
      </c>
      <c r="D953" s="30" t="s">
        <v>1154</v>
      </c>
      <c r="E953" s="30">
        <v>5</v>
      </c>
      <c r="F953" s="30" t="s">
        <v>699</v>
      </c>
      <c r="G953" s="30" t="s">
        <v>634</v>
      </c>
      <c r="H953" s="31">
        <v>45940.393275462964</v>
      </c>
      <c r="I953" s="32">
        <f>-Mvt_Inter_entrepot[[#This Row],[QTE]]</f>
        <v>-5</v>
      </c>
      <c r="J953" s="30" t="s">
        <v>1061</v>
      </c>
      <c r="K953" s="30" t="str">
        <f>_xlfn.TEXTBEFORE(Mvt_Inter_entrepot[[#This Row],[Num Suivis]],"-",,,1)</f>
        <v>CA250053</v>
      </c>
      <c r="L953" s="30" t="e">
        <f>_xlfn.XLOOKUP(Mvt_Inter_entrepot[[#This Row],[Num OF]],#REF!,#REF!,"Non Trouvé")</f>
        <v>#REF!</v>
      </c>
      <c r="M953" s="30" t="e">
        <f>_xlfn.XLOOKUP(Mvt_Inter_entrepot[[#This Row],[Num OF]],#REF!,#REF!,"Non Trouvé")</f>
        <v>#REF!</v>
      </c>
      <c r="N953" s="30" t="e">
        <f>_xlfn.XLOOKUP(Mvt_Inter_entrepot[[#This Row],[Num OF]],#REF!,#REF!,"Non Trouvé")</f>
        <v>#REF!</v>
      </c>
      <c r="O953" s="30" t="e">
        <f>_xlfn.XLOOKUP(Mvt_Inter_entrepot[[#This Row],[Num OF]],#REF!,#REF!,"Non Trouvé")</f>
        <v>#REF!</v>
      </c>
      <c r="P953" s="30" t="e">
        <f>_xlfn.XLOOKUP(Mvt_Inter_entrepot[[#This Row],[Num OF]],#REF!,#REF!,"Non Trouvé")</f>
        <v>#REF!</v>
      </c>
      <c r="Q953" s="11" t="str">
        <f>IF(
   COUNTIFS($A$2:A953,A953,
             $B$2:B953,B953,
             $C$2:C953,C953,
             $D$2:D953,D953,
             $E$2:E953,E953,
             $H$2:H953,H953
             )&gt;1,
   "Doublon",
   "Correcte"
)</f>
        <v>Correcte</v>
      </c>
    </row>
    <row r="954" spans="1:17" x14ac:dyDescent="0.25">
      <c r="A954" s="11" t="s">
        <v>3733</v>
      </c>
      <c r="B954" s="30" t="s">
        <v>1153</v>
      </c>
      <c r="C954" s="30" t="s">
        <v>665</v>
      </c>
      <c r="D954" s="30" t="s">
        <v>1154</v>
      </c>
      <c r="E954" s="30">
        <v>5</v>
      </c>
      <c r="F954" s="30" t="s">
        <v>699</v>
      </c>
      <c r="G954" s="30" t="s">
        <v>634</v>
      </c>
      <c r="H954" s="31">
        <v>45940.393541666665</v>
      </c>
      <c r="I954" s="32">
        <f>-Mvt_Inter_entrepot[[#This Row],[QTE]]</f>
        <v>-5</v>
      </c>
      <c r="J954" s="30" t="s">
        <v>1060</v>
      </c>
      <c r="K954" s="30" t="str">
        <f>_xlfn.TEXTBEFORE(Mvt_Inter_entrepot[[#This Row],[Num Suivis]],"-",,,1)</f>
        <v>CA250053</v>
      </c>
      <c r="L954" s="30" t="e">
        <f>_xlfn.XLOOKUP(Mvt_Inter_entrepot[[#This Row],[Num OF]],#REF!,#REF!,"Non Trouvé")</f>
        <v>#REF!</v>
      </c>
      <c r="M954" s="30" t="e">
        <f>_xlfn.XLOOKUP(Mvt_Inter_entrepot[[#This Row],[Num OF]],#REF!,#REF!,"Non Trouvé")</f>
        <v>#REF!</v>
      </c>
      <c r="N954" s="30" t="e">
        <f>_xlfn.XLOOKUP(Mvt_Inter_entrepot[[#This Row],[Num OF]],#REF!,#REF!,"Non Trouvé")</f>
        <v>#REF!</v>
      </c>
      <c r="O954" s="30" t="e">
        <f>_xlfn.XLOOKUP(Mvt_Inter_entrepot[[#This Row],[Num OF]],#REF!,#REF!,"Non Trouvé")</f>
        <v>#REF!</v>
      </c>
      <c r="P954" s="30" t="e">
        <f>_xlfn.XLOOKUP(Mvt_Inter_entrepot[[#This Row],[Num OF]],#REF!,#REF!,"Non Trouvé")</f>
        <v>#REF!</v>
      </c>
      <c r="Q954" s="11" t="str">
        <f>IF(
   COUNTIFS($A$2:A954,A954,
             $B$2:B954,B954,
             $C$2:C954,C954,
             $D$2:D954,D954,
             $E$2:E954,E954,
             $H$2:H954,H954
             )&gt;1,
   "Doublon",
   "Correcte"
)</f>
        <v>Correcte</v>
      </c>
    </row>
    <row r="955" spans="1:17" x14ac:dyDescent="0.25">
      <c r="A955" s="11" t="s">
        <v>3734</v>
      </c>
      <c r="B955" s="30" t="s">
        <v>1153</v>
      </c>
      <c r="C955" s="30" t="s">
        <v>665</v>
      </c>
      <c r="D955" s="30" t="s">
        <v>1154</v>
      </c>
      <c r="E955" s="30">
        <v>5</v>
      </c>
      <c r="F955" s="30" t="s">
        <v>699</v>
      </c>
      <c r="G955" s="30" t="s">
        <v>634</v>
      </c>
      <c r="H955" s="31">
        <v>45940.393807870372</v>
      </c>
      <c r="I955" s="32">
        <f>-Mvt_Inter_entrepot[[#This Row],[QTE]]</f>
        <v>-5</v>
      </c>
      <c r="J955" s="30" t="s">
        <v>1086</v>
      </c>
      <c r="K955" s="30" t="str">
        <f>_xlfn.TEXTBEFORE(Mvt_Inter_entrepot[[#This Row],[Num Suivis]],"-",,,1)</f>
        <v>CA250047</v>
      </c>
      <c r="L955" s="30" t="e">
        <f>_xlfn.XLOOKUP(Mvt_Inter_entrepot[[#This Row],[Num OF]],#REF!,#REF!,"Non Trouvé")</f>
        <v>#REF!</v>
      </c>
      <c r="M955" s="30" t="e">
        <f>_xlfn.XLOOKUP(Mvt_Inter_entrepot[[#This Row],[Num OF]],#REF!,#REF!,"Non Trouvé")</f>
        <v>#REF!</v>
      </c>
      <c r="N955" s="30" t="e">
        <f>_xlfn.XLOOKUP(Mvt_Inter_entrepot[[#This Row],[Num OF]],#REF!,#REF!,"Non Trouvé")</f>
        <v>#REF!</v>
      </c>
      <c r="O955" s="30" t="e">
        <f>_xlfn.XLOOKUP(Mvt_Inter_entrepot[[#This Row],[Num OF]],#REF!,#REF!,"Non Trouvé")</f>
        <v>#REF!</v>
      </c>
      <c r="P955" s="30" t="e">
        <f>_xlfn.XLOOKUP(Mvt_Inter_entrepot[[#This Row],[Num OF]],#REF!,#REF!,"Non Trouvé")</f>
        <v>#REF!</v>
      </c>
      <c r="Q955" s="11" t="str">
        <f>IF(
   COUNTIFS($A$2:A955,A955,
             $B$2:B955,B955,
             $C$2:C955,C955,
             $D$2:D955,D955,
             $E$2:E955,E955,
             $H$2:H955,H955
             )&gt;1,
   "Doublon",
   "Correcte"
)</f>
        <v>Correcte</v>
      </c>
    </row>
    <row r="956" spans="1:17" x14ac:dyDescent="0.25">
      <c r="A956" s="11" t="s">
        <v>3735</v>
      </c>
      <c r="B956" s="30" t="s">
        <v>1153</v>
      </c>
      <c r="C956" s="30" t="s">
        <v>665</v>
      </c>
      <c r="D956" s="30" t="s">
        <v>1154</v>
      </c>
      <c r="E956" s="30">
        <v>5</v>
      </c>
      <c r="F956" s="30" t="s">
        <v>699</v>
      </c>
      <c r="G956" s="30" t="s">
        <v>634</v>
      </c>
      <c r="H956" s="31">
        <v>45940.394178240742</v>
      </c>
      <c r="I956" s="32">
        <f>-Mvt_Inter_entrepot[[#This Row],[QTE]]</f>
        <v>-5</v>
      </c>
      <c r="J956" s="30" t="s">
        <v>1035</v>
      </c>
      <c r="K956" s="30" t="str">
        <f>_xlfn.TEXTBEFORE(Mvt_Inter_entrepot[[#This Row],[Num Suivis]],"-",,,1)</f>
        <v>CA250051</v>
      </c>
      <c r="L956" s="30" t="e">
        <f>_xlfn.XLOOKUP(Mvt_Inter_entrepot[[#This Row],[Num OF]],#REF!,#REF!,"Non Trouvé")</f>
        <v>#REF!</v>
      </c>
      <c r="M956" s="30" t="e">
        <f>_xlfn.XLOOKUP(Mvt_Inter_entrepot[[#This Row],[Num OF]],#REF!,#REF!,"Non Trouvé")</f>
        <v>#REF!</v>
      </c>
      <c r="N956" s="30" t="e">
        <f>_xlfn.XLOOKUP(Mvt_Inter_entrepot[[#This Row],[Num OF]],#REF!,#REF!,"Non Trouvé")</f>
        <v>#REF!</v>
      </c>
      <c r="O956" s="30" t="e">
        <f>_xlfn.XLOOKUP(Mvt_Inter_entrepot[[#This Row],[Num OF]],#REF!,#REF!,"Non Trouvé")</f>
        <v>#REF!</v>
      </c>
      <c r="P956" s="30" t="e">
        <f>_xlfn.XLOOKUP(Mvt_Inter_entrepot[[#This Row],[Num OF]],#REF!,#REF!,"Non Trouvé")</f>
        <v>#REF!</v>
      </c>
      <c r="Q956" s="11" t="str">
        <f>IF(
   COUNTIFS($A$2:A956,A956,
             $B$2:B956,B956,
             $C$2:C956,C956,
             $D$2:D956,D956,
             $E$2:E956,E956,
             $H$2:H956,H956
             )&gt;1,
   "Doublon",
   "Correcte"
)</f>
        <v>Correcte</v>
      </c>
    </row>
    <row r="957" spans="1:17" x14ac:dyDescent="0.25">
      <c r="A957" s="11" t="s">
        <v>3736</v>
      </c>
      <c r="B957" s="30" t="s">
        <v>1153</v>
      </c>
      <c r="C957" s="30" t="s">
        <v>665</v>
      </c>
      <c r="D957" s="30" t="s">
        <v>1154</v>
      </c>
      <c r="E957" s="30">
        <v>5</v>
      </c>
      <c r="F957" s="30" t="s">
        <v>699</v>
      </c>
      <c r="G957" s="30" t="s">
        <v>634</v>
      </c>
      <c r="H957" s="31">
        <v>45940.394432870373</v>
      </c>
      <c r="I957" s="32">
        <f>-Mvt_Inter_entrepot[[#This Row],[QTE]]</f>
        <v>-5</v>
      </c>
      <c r="J957" s="30" t="s">
        <v>1037</v>
      </c>
      <c r="K957" s="30" t="str">
        <f>_xlfn.TEXTBEFORE(Mvt_Inter_entrepot[[#This Row],[Num Suivis]],"-",,,1)</f>
        <v>CA250052</v>
      </c>
      <c r="L957" s="30" t="e">
        <f>_xlfn.XLOOKUP(Mvt_Inter_entrepot[[#This Row],[Num OF]],#REF!,#REF!,"Non Trouvé")</f>
        <v>#REF!</v>
      </c>
      <c r="M957" s="30" t="e">
        <f>_xlfn.XLOOKUP(Mvt_Inter_entrepot[[#This Row],[Num OF]],#REF!,#REF!,"Non Trouvé")</f>
        <v>#REF!</v>
      </c>
      <c r="N957" s="30" t="e">
        <f>_xlfn.XLOOKUP(Mvt_Inter_entrepot[[#This Row],[Num OF]],#REF!,#REF!,"Non Trouvé")</f>
        <v>#REF!</v>
      </c>
      <c r="O957" s="30" t="e">
        <f>_xlfn.XLOOKUP(Mvt_Inter_entrepot[[#This Row],[Num OF]],#REF!,#REF!,"Non Trouvé")</f>
        <v>#REF!</v>
      </c>
      <c r="P957" s="30" t="e">
        <f>_xlfn.XLOOKUP(Mvt_Inter_entrepot[[#This Row],[Num OF]],#REF!,#REF!,"Non Trouvé")</f>
        <v>#REF!</v>
      </c>
      <c r="Q957" s="11" t="str">
        <f>IF(
   COUNTIFS($A$2:A957,A957,
             $B$2:B957,B957,
             $C$2:C957,C957,
             $D$2:D957,D957,
             $E$2:E957,E957,
             $H$2:H957,H957
             )&gt;1,
   "Doublon",
   "Correcte"
)</f>
        <v>Correcte</v>
      </c>
    </row>
    <row r="958" spans="1:17" x14ac:dyDescent="0.25">
      <c r="A958" s="11" t="s">
        <v>3737</v>
      </c>
      <c r="B958" s="30" t="s">
        <v>1153</v>
      </c>
      <c r="C958" s="30" t="s">
        <v>665</v>
      </c>
      <c r="D958" s="30" t="s">
        <v>1154</v>
      </c>
      <c r="E958" s="30">
        <v>5</v>
      </c>
      <c r="F958" s="30" t="s">
        <v>699</v>
      </c>
      <c r="G958" s="30" t="s">
        <v>634</v>
      </c>
      <c r="H958" s="31">
        <v>45940.394803240742</v>
      </c>
      <c r="I958" s="32">
        <f>-Mvt_Inter_entrepot[[#This Row],[QTE]]</f>
        <v>-5</v>
      </c>
      <c r="J958" s="30" t="s">
        <v>1036</v>
      </c>
      <c r="K958" s="30" t="str">
        <f>_xlfn.TEXTBEFORE(Mvt_Inter_entrepot[[#This Row],[Num Suivis]],"-",,,1)</f>
        <v>CA250052</v>
      </c>
      <c r="L958" s="30" t="e">
        <f>_xlfn.XLOOKUP(Mvt_Inter_entrepot[[#This Row],[Num OF]],#REF!,#REF!,"Non Trouvé")</f>
        <v>#REF!</v>
      </c>
      <c r="M958" s="30" t="e">
        <f>_xlfn.XLOOKUP(Mvt_Inter_entrepot[[#This Row],[Num OF]],#REF!,#REF!,"Non Trouvé")</f>
        <v>#REF!</v>
      </c>
      <c r="N958" s="30" t="e">
        <f>_xlfn.XLOOKUP(Mvt_Inter_entrepot[[#This Row],[Num OF]],#REF!,#REF!,"Non Trouvé")</f>
        <v>#REF!</v>
      </c>
      <c r="O958" s="30" t="e">
        <f>_xlfn.XLOOKUP(Mvt_Inter_entrepot[[#This Row],[Num OF]],#REF!,#REF!,"Non Trouvé")</f>
        <v>#REF!</v>
      </c>
      <c r="P958" s="30" t="e">
        <f>_xlfn.XLOOKUP(Mvt_Inter_entrepot[[#This Row],[Num OF]],#REF!,#REF!,"Non Trouvé")</f>
        <v>#REF!</v>
      </c>
      <c r="Q958" s="11" t="str">
        <f>IF(
   COUNTIFS($A$2:A958,A958,
             $B$2:B958,B958,
             $C$2:C958,C958,
             $D$2:D958,D958,
             $E$2:E958,E958,
             $H$2:H958,H958
             )&gt;1,
   "Doublon",
   "Correcte"
)</f>
        <v>Correcte</v>
      </c>
    </row>
    <row r="959" spans="1:17" x14ac:dyDescent="0.25">
      <c r="A959" s="11" t="s">
        <v>3738</v>
      </c>
      <c r="B959" s="30" t="s">
        <v>1153</v>
      </c>
      <c r="C959" s="30" t="s">
        <v>665</v>
      </c>
      <c r="D959" s="30" t="s">
        <v>1154</v>
      </c>
      <c r="E959" s="30">
        <v>1</v>
      </c>
      <c r="F959" s="30" t="s">
        <v>699</v>
      </c>
      <c r="G959" s="30" t="s">
        <v>634</v>
      </c>
      <c r="H959" s="31">
        <v>45940.395069444443</v>
      </c>
      <c r="I959" s="32">
        <f>-Mvt_Inter_entrepot[[#This Row],[QTE]]</f>
        <v>-1</v>
      </c>
      <c r="J959" s="30" t="s">
        <v>1080</v>
      </c>
      <c r="K959" s="30" t="str">
        <f>_xlfn.TEXTBEFORE(Mvt_Inter_entrepot[[#This Row],[Num Suivis]],"-",,,1)</f>
        <v>CA250021</v>
      </c>
      <c r="L959" s="30" t="e">
        <f>_xlfn.XLOOKUP(Mvt_Inter_entrepot[[#This Row],[Num OF]],#REF!,#REF!,"Non Trouvé")</f>
        <v>#REF!</v>
      </c>
      <c r="M959" s="30" t="e">
        <f>_xlfn.XLOOKUP(Mvt_Inter_entrepot[[#This Row],[Num OF]],#REF!,#REF!,"Non Trouvé")</f>
        <v>#REF!</v>
      </c>
      <c r="N959" s="30" t="e">
        <f>_xlfn.XLOOKUP(Mvt_Inter_entrepot[[#This Row],[Num OF]],#REF!,#REF!,"Non Trouvé")</f>
        <v>#REF!</v>
      </c>
      <c r="O959" s="30" t="e">
        <f>_xlfn.XLOOKUP(Mvt_Inter_entrepot[[#This Row],[Num OF]],#REF!,#REF!,"Non Trouvé")</f>
        <v>#REF!</v>
      </c>
      <c r="P959" s="30" t="e">
        <f>_xlfn.XLOOKUP(Mvt_Inter_entrepot[[#This Row],[Num OF]],#REF!,#REF!,"Non Trouvé")</f>
        <v>#REF!</v>
      </c>
      <c r="Q959" s="11" t="str">
        <f>IF(
   COUNTIFS($A$2:A959,A959,
             $B$2:B959,B959,
             $C$2:C959,C959,
             $D$2:D959,D959,
             $E$2:E959,E959,
             $H$2:H959,H959
             )&gt;1,
   "Doublon",
   "Correcte"
)</f>
        <v>Correcte</v>
      </c>
    </row>
    <row r="960" spans="1:17" x14ac:dyDescent="0.25">
      <c r="A960" s="11" t="s">
        <v>3739</v>
      </c>
      <c r="B960" s="30" t="s">
        <v>1153</v>
      </c>
      <c r="C960" s="30" t="s">
        <v>665</v>
      </c>
      <c r="D960" s="30" t="s">
        <v>1154</v>
      </c>
      <c r="E960" s="30">
        <v>4</v>
      </c>
      <c r="F960" s="30" t="s">
        <v>699</v>
      </c>
      <c r="G960" s="30" t="s">
        <v>634</v>
      </c>
      <c r="H960" s="31">
        <v>45940.395358796297</v>
      </c>
      <c r="I960" s="32">
        <f>-Mvt_Inter_entrepot[[#This Row],[QTE]]</f>
        <v>-4</v>
      </c>
      <c r="J960" s="30" t="s">
        <v>1079</v>
      </c>
      <c r="K960" s="30" t="str">
        <f>_xlfn.TEXTBEFORE(Mvt_Inter_entrepot[[#This Row],[Num Suivis]],"-",,,1)</f>
        <v>CA250051</v>
      </c>
      <c r="L960" s="30" t="e">
        <f>_xlfn.XLOOKUP(Mvt_Inter_entrepot[[#This Row],[Num OF]],#REF!,#REF!,"Non Trouvé")</f>
        <v>#REF!</v>
      </c>
      <c r="M960" s="30" t="e">
        <f>_xlfn.XLOOKUP(Mvt_Inter_entrepot[[#This Row],[Num OF]],#REF!,#REF!,"Non Trouvé")</f>
        <v>#REF!</v>
      </c>
      <c r="N960" s="30" t="e">
        <f>_xlfn.XLOOKUP(Mvt_Inter_entrepot[[#This Row],[Num OF]],#REF!,#REF!,"Non Trouvé")</f>
        <v>#REF!</v>
      </c>
      <c r="O960" s="30" t="e">
        <f>_xlfn.XLOOKUP(Mvt_Inter_entrepot[[#This Row],[Num OF]],#REF!,#REF!,"Non Trouvé")</f>
        <v>#REF!</v>
      </c>
      <c r="P960" s="30" t="e">
        <f>_xlfn.XLOOKUP(Mvt_Inter_entrepot[[#This Row],[Num OF]],#REF!,#REF!,"Non Trouvé")</f>
        <v>#REF!</v>
      </c>
      <c r="Q960" s="11" t="str">
        <f>IF(
   COUNTIFS($A$2:A960,A960,
             $B$2:B960,B960,
             $C$2:C960,C960,
             $D$2:D960,D960,
             $E$2:E960,E960,
             $H$2:H960,H960
             )&gt;1,
   "Doublon",
   "Correcte"
)</f>
        <v>Correcte</v>
      </c>
    </row>
    <row r="961" spans="1:17" x14ac:dyDescent="0.25">
      <c r="A961" s="11" t="s">
        <v>3740</v>
      </c>
      <c r="B961" s="30" t="s">
        <v>1153</v>
      </c>
      <c r="C961" s="30" t="s">
        <v>665</v>
      </c>
      <c r="D961" s="30" t="s">
        <v>1154</v>
      </c>
      <c r="E961" s="30">
        <v>5</v>
      </c>
      <c r="F961" s="30" t="s">
        <v>699</v>
      </c>
      <c r="G961" s="30" t="s">
        <v>634</v>
      </c>
      <c r="H961" s="31">
        <v>45940.395821759259</v>
      </c>
      <c r="I961" s="32">
        <f>-Mvt_Inter_entrepot[[#This Row],[QTE]]</f>
        <v>-5</v>
      </c>
      <c r="J961" s="30" t="s">
        <v>1063</v>
      </c>
      <c r="K961" s="30" t="str">
        <f>_xlfn.TEXTBEFORE(Mvt_Inter_entrepot[[#This Row],[Num Suivis]],"-",,,1)</f>
        <v>CA250051</v>
      </c>
      <c r="L961" s="30" t="e">
        <f>_xlfn.XLOOKUP(Mvt_Inter_entrepot[[#This Row],[Num OF]],#REF!,#REF!,"Non Trouvé")</f>
        <v>#REF!</v>
      </c>
      <c r="M961" s="30" t="e">
        <f>_xlfn.XLOOKUP(Mvt_Inter_entrepot[[#This Row],[Num OF]],#REF!,#REF!,"Non Trouvé")</f>
        <v>#REF!</v>
      </c>
      <c r="N961" s="30" t="e">
        <f>_xlfn.XLOOKUP(Mvt_Inter_entrepot[[#This Row],[Num OF]],#REF!,#REF!,"Non Trouvé")</f>
        <v>#REF!</v>
      </c>
      <c r="O961" s="30" t="e">
        <f>_xlfn.XLOOKUP(Mvt_Inter_entrepot[[#This Row],[Num OF]],#REF!,#REF!,"Non Trouvé")</f>
        <v>#REF!</v>
      </c>
      <c r="P961" s="30" t="e">
        <f>_xlfn.XLOOKUP(Mvt_Inter_entrepot[[#This Row],[Num OF]],#REF!,#REF!,"Non Trouvé")</f>
        <v>#REF!</v>
      </c>
      <c r="Q961" s="11" t="str">
        <f>IF(
   COUNTIFS($A$2:A961,A961,
             $B$2:B961,B961,
             $C$2:C961,C961,
             $D$2:D961,D961,
             $E$2:E961,E961,
             $H$2:H961,H961
             )&gt;1,
   "Doublon",
   "Correcte"
)</f>
        <v>Correcte</v>
      </c>
    </row>
    <row r="962" spans="1:17" x14ac:dyDescent="0.25">
      <c r="A962" s="11" t="s">
        <v>3741</v>
      </c>
      <c r="B962" s="30" t="s">
        <v>1153</v>
      </c>
      <c r="C962" s="30" t="s">
        <v>665</v>
      </c>
      <c r="D962" s="30" t="s">
        <v>1154</v>
      </c>
      <c r="E962" s="30">
        <v>5</v>
      </c>
      <c r="F962" s="30" t="s">
        <v>699</v>
      </c>
      <c r="G962" s="30" t="s">
        <v>634</v>
      </c>
      <c r="H962" s="31">
        <v>45940.396064814813</v>
      </c>
      <c r="I962" s="32">
        <f>-Mvt_Inter_entrepot[[#This Row],[QTE]]</f>
        <v>-5</v>
      </c>
      <c r="J962" s="30" t="s">
        <v>1027</v>
      </c>
      <c r="K962" s="30" t="str">
        <f>_xlfn.TEXTBEFORE(Mvt_Inter_entrepot[[#This Row],[Num Suivis]],"-",,,1)</f>
        <v>CA250052</v>
      </c>
      <c r="L962" s="30" t="e">
        <f>_xlfn.XLOOKUP(Mvt_Inter_entrepot[[#This Row],[Num OF]],#REF!,#REF!,"Non Trouvé")</f>
        <v>#REF!</v>
      </c>
      <c r="M962" s="30" t="e">
        <f>_xlfn.XLOOKUP(Mvt_Inter_entrepot[[#This Row],[Num OF]],#REF!,#REF!,"Non Trouvé")</f>
        <v>#REF!</v>
      </c>
      <c r="N962" s="30" t="e">
        <f>_xlfn.XLOOKUP(Mvt_Inter_entrepot[[#This Row],[Num OF]],#REF!,#REF!,"Non Trouvé")</f>
        <v>#REF!</v>
      </c>
      <c r="O962" s="30" t="e">
        <f>_xlfn.XLOOKUP(Mvt_Inter_entrepot[[#This Row],[Num OF]],#REF!,#REF!,"Non Trouvé")</f>
        <v>#REF!</v>
      </c>
      <c r="P962" s="30" t="e">
        <f>_xlfn.XLOOKUP(Mvt_Inter_entrepot[[#This Row],[Num OF]],#REF!,#REF!,"Non Trouvé")</f>
        <v>#REF!</v>
      </c>
      <c r="Q962" s="11" t="str">
        <f>IF(
   COUNTIFS($A$2:A962,A962,
             $B$2:B962,B962,
             $C$2:C962,C962,
             $D$2:D962,D962,
             $E$2:E962,E962,
             $H$2:H962,H962
             )&gt;1,
   "Doublon",
   "Correcte"
)</f>
        <v>Correcte</v>
      </c>
    </row>
    <row r="963" spans="1:17" x14ac:dyDescent="0.25">
      <c r="A963" s="11" t="s">
        <v>3742</v>
      </c>
      <c r="B963" s="30" t="s">
        <v>1153</v>
      </c>
      <c r="C963" s="30" t="s">
        <v>665</v>
      </c>
      <c r="D963" s="30" t="s">
        <v>1154</v>
      </c>
      <c r="E963" s="30">
        <v>5</v>
      </c>
      <c r="F963" s="30" t="s">
        <v>699</v>
      </c>
      <c r="G963" s="30" t="s">
        <v>634</v>
      </c>
      <c r="H963" s="31">
        <v>45940.396319444444</v>
      </c>
      <c r="I963" s="32">
        <f>-Mvt_Inter_entrepot[[#This Row],[QTE]]</f>
        <v>-5</v>
      </c>
      <c r="J963" s="30" t="s">
        <v>1053</v>
      </c>
      <c r="K963" s="30" t="str">
        <f>_xlfn.TEXTBEFORE(Mvt_Inter_entrepot[[#This Row],[Num Suivis]],"-",,,1)</f>
        <v>CA250051</v>
      </c>
      <c r="L963" s="30" t="e">
        <f>_xlfn.XLOOKUP(Mvt_Inter_entrepot[[#This Row],[Num OF]],#REF!,#REF!,"Non Trouvé")</f>
        <v>#REF!</v>
      </c>
      <c r="M963" s="30" t="e">
        <f>_xlfn.XLOOKUP(Mvt_Inter_entrepot[[#This Row],[Num OF]],#REF!,#REF!,"Non Trouvé")</f>
        <v>#REF!</v>
      </c>
      <c r="N963" s="30" t="e">
        <f>_xlfn.XLOOKUP(Mvt_Inter_entrepot[[#This Row],[Num OF]],#REF!,#REF!,"Non Trouvé")</f>
        <v>#REF!</v>
      </c>
      <c r="O963" s="30" t="e">
        <f>_xlfn.XLOOKUP(Mvt_Inter_entrepot[[#This Row],[Num OF]],#REF!,#REF!,"Non Trouvé")</f>
        <v>#REF!</v>
      </c>
      <c r="P963" s="30" t="e">
        <f>_xlfn.XLOOKUP(Mvt_Inter_entrepot[[#This Row],[Num OF]],#REF!,#REF!,"Non Trouvé")</f>
        <v>#REF!</v>
      </c>
      <c r="Q963" s="11" t="str">
        <f>IF(
   COUNTIFS($A$2:A963,A963,
             $B$2:B963,B963,
             $C$2:C963,C963,
             $D$2:D963,D963,
             $E$2:E963,E963,
             $H$2:H963,H963
             )&gt;1,
   "Doublon",
   "Correcte"
)</f>
        <v>Correcte</v>
      </c>
    </row>
    <row r="964" spans="1:17" x14ac:dyDescent="0.25">
      <c r="A964" s="11" t="s">
        <v>3743</v>
      </c>
      <c r="B964" s="30" t="s">
        <v>1153</v>
      </c>
      <c r="C964" s="30" t="s">
        <v>665</v>
      </c>
      <c r="D964" s="30" t="s">
        <v>1154</v>
      </c>
      <c r="E964" s="30">
        <v>5</v>
      </c>
      <c r="F964" s="30" t="s">
        <v>699</v>
      </c>
      <c r="G964" s="30" t="s">
        <v>634</v>
      </c>
      <c r="H964" s="31">
        <v>45940.398842592593</v>
      </c>
      <c r="I964" s="32">
        <f>-Mvt_Inter_entrepot[[#This Row],[QTE]]</f>
        <v>-5</v>
      </c>
      <c r="J964" s="30" t="s">
        <v>999</v>
      </c>
      <c r="K964" s="30" t="str">
        <f>_xlfn.TEXTBEFORE(Mvt_Inter_entrepot[[#This Row],[Num Suivis]],"-",,,1)</f>
        <v>CA250049</v>
      </c>
      <c r="L964" s="30" t="e">
        <f>_xlfn.XLOOKUP(Mvt_Inter_entrepot[[#This Row],[Num OF]],#REF!,#REF!,"Non Trouvé")</f>
        <v>#REF!</v>
      </c>
      <c r="M964" s="30" t="e">
        <f>_xlfn.XLOOKUP(Mvt_Inter_entrepot[[#This Row],[Num OF]],#REF!,#REF!,"Non Trouvé")</f>
        <v>#REF!</v>
      </c>
      <c r="N964" s="30" t="e">
        <f>_xlfn.XLOOKUP(Mvt_Inter_entrepot[[#This Row],[Num OF]],#REF!,#REF!,"Non Trouvé")</f>
        <v>#REF!</v>
      </c>
      <c r="O964" s="30" t="e">
        <f>_xlfn.XLOOKUP(Mvt_Inter_entrepot[[#This Row],[Num OF]],#REF!,#REF!,"Non Trouvé")</f>
        <v>#REF!</v>
      </c>
      <c r="P964" s="30" t="e">
        <f>_xlfn.XLOOKUP(Mvt_Inter_entrepot[[#This Row],[Num OF]],#REF!,#REF!,"Non Trouvé")</f>
        <v>#REF!</v>
      </c>
      <c r="Q964" s="11" t="str">
        <f>IF(
   COUNTIFS($A$2:A964,A964,
             $B$2:B964,B964,
             $C$2:C964,C964,
             $D$2:D964,D964,
             $E$2:E964,E964,
             $H$2:H964,H964
             )&gt;1,
   "Doublon",
   "Correcte"
)</f>
        <v>Correcte</v>
      </c>
    </row>
    <row r="965" spans="1:17" x14ac:dyDescent="0.25">
      <c r="A965" s="11" t="s">
        <v>3744</v>
      </c>
      <c r="B965" s="30" t="s">
        <v>1153</v>
      </c>
      <c r="C965" s="30" t="s">
        <v>665</v>
      </c>
      <c r="D965" s="30" t="s">
        <v>1154</v>
      </c>
      <c r="E965" s="30">
        <v>5</v>
      </c>
      <c r="F965" s="30" t="s">
        <v>699</v>
      </c>
      <c r="G965" s="30" t="s">
        <v>634</v>
      </c>
      <c r="H965" s="31">
        <v>45940.399039351854</v>
      </c>
      <c r="I965" s="32">
        <f>-Mvt_Inter_entrepot[[#This Row],[QTE]]</f>
        <v>-5</v>
      </c>
      <c r="J965" s="30" t="s">
        <v>1085</v>
      </c>
      <c r="K965" s="30" t="str">
        <f>_xlfn.TEXTBEFORE(Mvt_Inter_entrepot[[#This Row],[Num Suivis]],"-",,,1)</f>
        <v>CA250047</v>
      </c>
      <c r="L965" s="30" t="e">
        <f>_xlfn.XLOOKUP(Mvt_Inter_entrepot[[#This Row],[Num OF]],#REF!,#REF!,"Non Trouvé")</f>
        <v>#REF!</v>
      </c>
      <c r="M965" s="30" t="e">
        <f>_xlfn.XLOOKUP(Mvt_Inter_entrepot[[#This Row],[Num OF]],#REF!,#REF!,"Non Trouvé")</f>
        <v>#REF!</v>
      </c>
      <c r="N965" s="30" t="e">
        <f>_xlfn.XLOOKUP(Mvt_Inter_entrepot[[#This Row],[Num OF]],#REF!,#REF!,"Non Trouvé")</f>
        <v>#REF!</v>
      </c>
      <c r="O965" s="30" t="e">
        <f>_xlfn.XLOOKUP(Mvt_Inter_entrepot[[#This Row],[Num OF]],#REF!,#REF!,"Non Trouvé")</f>
        <v>#REF!</v>
      </c>
      <c r="P965" s="30" t="e">
        <f>_xlfn.XLOOKUP(Mvt_Inter_entrepot[[#This Row],[Num OF]],#REF!,#REF!,"Non Trouvé")</f>
        <v>#REF!</v>
      </c>
      <c r="Q965" s="11" t="str">
        <f>IF(
   COUNTIFS($A$2:A965,A965,
             $B$2:B965,B965,
             $C$2:C965,C965,
             $D$2:D965,D965,
             $E$2:E965,E965,
             $H$2:H965,H965
             )&gt;1,
   "Doublon",
   "Correcte"
)</f>
        <v>Correcte</v>
      </c>
    </row>
    <row r="966" spans="1:17" x14ac:dyDescent="0.25">
      <c r="A966" s="11" t="s">
        <v>3745</v>
      </c>
      <c r="B966" s="30" t="s">
        <v>1153</v>
      </c>
      <c r="C966" s="30" t="s">
        <v>665</v>
      </c>
      <c r="D966" s="30" t="s">
        <v>1154</v>
      </c>
      <c r="E966" s="30">
        <v>5</v>
      </c>
      <c r="F966" s="30" t="s">
        <v>699</v>
      </c>
      <c r="G966" s="30" t="s">
        <v>634</v>
      </c>
      <c r="H966" s="31">
        <v>45940.399317129632</v>
      </c>
      <c r="I966" s="32">
        <f>-Mvt_Inter_entrepot[[#This Row],[QTE]]</f>
        <v>-5</v>
      </c>
      <c r="J966" s="30" t="s">
        <v>1029</v>
      </c>
      <c r="K966" s="30" t="str">
        <f>_xlfn.TEXTBEFORE(Mvt_Inter_entrepot[[#This Row],[Num Suivis]],"-",,,1)</f>
        <v>CA250052</v>
      </c>
      <c r="L966" s="30" t="e">
        <f>_xlfn.XLOOKUP(Mvt_Inter_entrepot[[#This Row],[Num OF]],#REF!,#REF!,"Non Trouvé")</f>
        <v>#REF!</v>
      </c>
      <c r="M966" s="30" t="e">
        <f>_xlfn.XLOOKUP(Mvt_Inter_entrepot[[#This Row],[Num OF]],#REF!,#REF!,"Non Trouvé")</f>
        <v>#REF!</v>
      </c>
      <c r="N966" s="30" t="e">
        <f>_xlfn.XLOOKUP(Mvt_Inter_entrepot[[#This Row],[Num OF]],#REF!,#REF!,"Non Trouvé")</f>
        <v>#REF!</v>
      </c>
      <c r="O966" s="30" t="e">
        <f>_xlfn.XLOOKUP(Mvt_Inter_entrepot[[#This Row],[Num OF]],#REF!,#REF!,"Non Trouvé")</f>
        <v>#REF!</v>
      </c>
      <c r="P966" s="30" t="e">
        <f>_xlfn.XLOOKUP(Mvt_Inter_entrepot[[#This Row],[Num OF]],#REF!,#REF!,"Non Trouvé")</f>
        <v>#REF!</v>
      </c>
      <c r="Q966" s="11" t="str">
        <f>IF(
   COUNTIFS($A$2:A966,A966,
             $B$2:B966,B966,
             $C$2:C966,C966,
             $D$2:D966,D966,
             $E$2:E966,E966,
             $H$2:H966,H966
             )&gt;1,
   "Doublon",
   "Correcte"
)</f>
        <v>Correcte</v>
      </c>
    </row>
    <row r="967" spans="1:17" x14ac:dyDescent="0.25">
      <c r="A967" s="11" t="s">
        <v>3746</v>
      </c>
      <c r="B967" s="30" t="s">
        <v>1153</v>
      </c>
      <c r="C967" s="30" t="s">
        <v>665</v>
      </c>
      <c r="D967" s="30" t="s">
        <v>1154</v>
      </c>
      <c r="E967" s="30">
        <v>5</v>
      </c>
      <c r="F967" s="30" t="s">
        <v>699</v>
      </c>
      <c r="G967" s="30" t="s">
        <v>634</v>
      </c>
      <c r="H967" s="31">
        <v>45940.399629629632</v>
      </c>
      <c r="I967" s="32">
        <f>-Mvt_Inter_entrepot[[#This Row],[QTE]]</f>
        <v>-5</v>
      </c>
      <c r="J967" s="30" t="s">
        <v>1031</v>
      </c>
      <c r="K967" s="30" t="str">
        <f>_xlfn.TEXTBEFORE(Mvt_Inter_entrepot[[#This Row],[Num Suivis]],"-",,,1)</f>
        <v>CA250052</v>
      </c>
      <c r="L967" s="30" t="e">
        <f>_xlfn.XLOOKUP(Mvt_Inter_entrepot[[#This Row],[Num OF]],#REF!,#REF!,"Non Trouvé")</f>
        <v>#REF!</v>
      </c>
      <c r="M967" s="30" t="e">
        <f>_xlfn.XLOOKUP(Mvt_Inter_entrepot[[#This Row],[Num OF]],#REF!,#REF!,"Non Trouvé")</f>
        <v>#REF!</v>
      </c>
      <c r="N967" s="30" t="e">
        <f>_xlfn.XLOOKUP(Mvt_Inter_entrepot[[#This Row],[Num OF]],#REF!,#REF!,"Non Trouvé")</f>
        <v>#REF!</v>
      </c>
      <c r="O967" s="30" t="e">
        <f>_xlfn.XLOOKUP(Mvt_Inter_entrepot[[#This Row],[Num OF]],#REF!,#REF!,"Non Trouvé")</f>
        <v>#REF!</v>
      </c>
      <c r="P967" s="30" t="e">
        <f>_xlfn.XLOOKUP(Mvt_Inter_entrepot[[#This Row],[Num OF]],#REF!,#REF!,"Non Trouvé")</f>
        <v>#REF!</v>
      </c>
      <c r="Q967" s="11" t="str">
        <f>IF(
   COUNTIFS($A$2:A967,A967,
             $B$2:B967,B967,
             $C$2:C967,C967,
             $D$2:D967,D967,
             $E$2:E967,E967,
             $H$2:H967,H967
             )&gt;1,
   "Doublon",
   "Correcte"
)</f>
        <v>Correcte</v>
      </c>
    </row>
    <row r="968" spans="1:17" x14ac:dyDescent="0.25">
      <c r="A968" s="11" t="s">
        <v>3747</v>
      </c>
      <c r="B968" s="30" t="s">
        <v>1153</v>
      </c>
      <c r="C968" s="30" t="s">
        <v>665</v>
      </c>
      <c r="D968" s="30" t="s">
        <v>1154</v>
      </c>
      <c r="E968" s="30">
        <v>5</v>
      </c>
      <c r="F968" s="30" t="s">
        <v>699</v>
      </c>
      <c r="G968" s="30" t="s">
        <v>634</v>
      </c>
      <c r="H968" s="31">
        <v>45940.399895833332</v>
      </c>
      <c r="I968" s="32">
        <f>-Mvt_Inter_entrepot[[#This Row],[QTE]]</f>
        <v>-5</v>
      </c>
      <c r="J968" s="30" t="s">
        <v>1084</v>
      </c>
      <c r="K968" s="30" t="str">
        <f>_xlfn.TEXTBEFORE(Mvt_Inter_entrepot[[#This Row],[Num Suivis]],"-",,,1)</f>
        <v>CA250047</v>
      </c>
      <c r="L968" s="30" t="e">
        <f>_xlfn.XLOOKUP(Mvt_Inter_entrepot[[#This Row],[Num OF]],#REF!,#REF!,"Non Trouvé")</f>
        <v>#REF!</v>
      </c>
      <c r="M968" s="30" t="e">
        <f>_xlfn.XLOOKUP(Mvt_Inter_entrepot[[#This Row],[Num OF]],#REF!,#REF!,"Non Trouvé")</f>
        <v>#REF!</v>
      </c>
      <c r="N968" s="30" t="e">
        <f>_xlfn.XLOOKUP(Mvt_Inter_entrepot[[#This Row],[Num OF]],#REF!,#REF!,"Non Trouvé")</f>
        <v>#REF!</v>
      </c>
      <c r="O968" s="30" t="e">
        <f>_xlfn.XLOOKUP(Mvt_Inter_entrepot[[#This Row],[Num OF]],#REF!,#REF!,"Non Trouvé")</f>
        <v>#REF!</v>
      </c>
      <c r="P968" s="30" t="e">
        <f>_xlfn.XLOOKUP(Mvt_Inter_entrepot[[#This Row],[Num OF]],#REF!,#REF!,"Non Trouvé")</f>
        <v>#REF!</v>
      </c>
      <c r="Q968" s="11" t="str">
        <f>IF(
   COUNTIFS($A$2:A968,A968,
             $B$2:B968,B968,
             $C$2:C968,C968,
             $D$2:D968,D968,
             $E$2:E968,E968,
             $H$2:H968,H968
             )&gt;1,
   "Doublon",
   "Correcte"
)</f>
        <v>Correcte</v>
      </c>
    </row>
    <row r="969" spans="1:17" x14ac:dyDescent="0.25">
      <c r="A969" s="11" t="s">
        <v>3748</v>
      </c>
      <c r="B969" s="30" t="s">
        <v>1153</v>
      </c>
      <c r="C969" s="30" t="s">
        <v>665</v>
      </c>
      <c r="D969" s="30" t="s">
        <v>1154</v>
      </c>
      <c r="E969" s="30">
        <v>5</v>
      </c>
      <c r="F969" s="30" t="s">
        <v>699</v>
      </c>
      <c r="G969" s="30" t="s">
        <v>634</v>
      </c>
      <c r="H969" s="31">
        <v>45940.400138888886</v>
      </c>
      <c r="I969" s="32">
        <f>-Mvt_Inter_entrepot[[#This Row],[QTE]]</f>
        <v>-5</v>
      </c>
      <c r="J969" s="30" t="s">
        <v>998</v>
      </c>
      <c r="K969" s="30" t="str">
        <f>_xlfn.TEXTBEFORE(Mvt_Inter_entrepot[[#This Row],[Num Suivis]],"-",,,1)</f>
        <v>CA250049</v>
      </c>
      <c r="L969" s="30" t="e">
        <f>_xlfn.XLOOKUP(Mvt_Inter_entrepot[[#This Row],[Num OF]],#REF!,#REF!,"Non Trouvé")</f>
        <v>#REF!</v>
      </c>
      <c r="M969" s="30" t="e">
        <f>_xlfn.XLOOKUP(Mvt_Inter_entrepot[[#This Row],[Num OF]],#REF!,#REF!,"Non Trouvé")</f>
        <v>#REF!</v>
      </c>
      <c r="N969" s="30" t="e">
        <f>_xlfn.XLOOKUP(Mvt_Inter_entrepot[[#This Row],[Num OF]],#REF!,#REF!,"Non Trouvé")</f>
        <v>#REF!</v>
      </c>
      <c r="O969" s="30" t="e">
        <f>_xlfn.XLOOKUP(Mvt_Inter_entrepot[[#This Row],[Num OF]],#REF!,#REF!,"Non Trouvé")</f>
        <v>#REF!</v>
      </c>
      <c r="P969" s="30" t="e">
        <f>_xlfn.XLOOKUP(Mvt_Inter_entrepot[[#This Row],[Num OF]],#REF!,#REF!,"Non Trouvé")</f>
        <v>#REF!</v>
      </c>
      <c r="Q969" s="11" t="str">
        <f>IF(
   COUNTIFS($A$2:A969,A969,
             $B$2:B969,B969,
             $C$2:C969,C969,
             $D$2:D969,D969,
             $E$2:E969,E969,
             $H$2:H969,H969
             )&gt;1,
   "Doublon",
   "Correcte"
)</f>
        <v>Correcte</v>
      </c>
    </row>
    <row r="970" spans="1:17" x14ac:dyDescent="0.25">
      <c r="A970" s="11" t="s">
        <v>3749</v>
      </c>
      <c r="B970" s="30" t="s">
        <v>1153</v>
      </c>
      <c r="C970" s="30" t="s">
        <v>665</v>
      </c>
      <c r="D970" s="30" t="s">
        <v>1154</v>
      </c>
      <c r="E970" s="30">
        <v>5</v>
      </c>
      <c r="F970" s="30" t="s">
        <v>699</v>
      </c>
      <c r="G970" s="30" t="s">
        <v>634</v>
      </c>
      <c r="H970" s="31">
        <v>45940.400370370371</v>
      </c>
      <c r="I970" s="32">
        <f>-Mvt_Inter_entrepot[[#This Row],[QTE]]</f>
        <v>-5</v>
      </c>
      <c r="J970" s="30" t="s">
        <v>1076</v>
      </c>
      <c r="K970" s="30" t="str">
        <f>_xlfn.TEXTBEFORE(Mvt_Inter_entrepot[[#This Row],[Num Suivis]],"-",,,1)</f>
        <v>CA250019</v>
      </c>
      <c r="L970" s="30" t="e">
        <f>_xlfn.XLOOKUP(Mvt_Inter_entrepot[[#This Row],[Num OF]],#REF!,#REF!,"Non Trouvé")</f>
        <v>#REF!</v>
      </c>
      <c r="M970" s="30" t="e">
        <f>_xlfn.XLOOKUP(Mvt_Inter_entrepot[[#This Row],[Num OF]],#REF!,#REF!,"Non Trouvé")</f>
        <v>#REF!</v>
      </c>
      <c r="N970" s="30" t="e">
        <f>_xlfn.XLOOKUP(Mvt_Inter_entrepot[[#This Row],[Num OF]],#REF!,#REF!,"Non Trouvé")</f>
        <v>#REF!</v>
      </c>
      <c r="O970" s="30" t="e">
        <f>_xlfn.XLOOKUP(Mvt_Inter_entrepot[[#This Row],[Num OF]],#REF!,#REF!,"Non Trouvé")</f>
        <v>#REF!</v>
      </c>
      <c r="P970" s="30" t="e">
        <f>_xlfn.XLOOKUP(Mvt_Inter_entrepot[[#This Row],[Num OF]],#REF!,#REF!,"Non Trouvé")</f>
        <v>#REF!</v>
      </c>
      <c r="Q970" s="11" t="str">
        <f>IF(
   COUNTIFS($A$2:A970,A970,
             $B$2:B970,B970,
             $C$2:C970,C970,
             $D$2:D970,D970,
             $E$2:E970,E970,
             $H$2:H970,H970
             )&gt;1,
   "Doublon",
   "Correcte"
)</f>
        <v>Correcte</v>
      </c>
    </row>
    <row r="971" spans="1:17" x14ac:dyDescent="0.25">
      <c r="A971" s="11" t="s">
        <v>3750</v>
      </c>
      <c r="B971" s="30" t="s">
        <v>1153</v>
      </c>
      <c r="C971" s="30" t="s">
        <v>665</v>
      </c>
      <c r="D971" s="30" t="s">
        <v>1154</v>
      </c>
      <c r="E971" s="30">
        <v>5</v>
      </c>
      <c r="F971" s="30" t="s">
        <v>699</v>
      </c>
      <c r="G971" s="30" t="s">
        <v>634</v>
      </c>
      <c r="H971" s="31">
        <v>45940.400706018518</v>
      </c>
      <c r="I971" s="32">
        <f>-Mvt_Inter_entrepot[[#This Row],[QTE]]</f>
        <v>-5</v>
      </c>
      <c r="J971" s="30" t="s">
        <v>990</v>
      </c>
      <c r="K971" s="30" t="str">
        <f>_xlfn.TEXTBEFORE(Mvt_Inter_entrepot[[#This Row],[Num Suivis]],"-",,,1)</f>
        <v>CA250023</v>
      </c>
      <c r="L971" s="30" t="e">
        <f>_xlfn.XLOOKUP(Mvt_Inter_entrepot[[#This Row],[Num OF]],#REF!,#REF!,"Non Trouvé")</f>
        <v>#REF!</v>
      </c>
      <c r="M971" s="30" t="e">
        <f>_xlfn.XLOOKUP(Mvt_Inter_entrepot[[#This Row],[Num OF]],#REF!,#REF!,"Non Trouvé")</f>
        <v>#REF!</v>
      </c>
      <c r="N971" s="30" t="e">
        <f>_xlfn.XLOOKUP(Mvt_Inter_entrepot[[#This Row],[Num OF]],#REF!,#REF!,"Non Trouvé")</f>
        <v>#REF!</v>
      </c>
      <c r="O971" s="30" t="e">
        <f>_xlfn.XLOOKUP(Mvt_Inter_entrepot[[#This Row],[Num OF]],#REF!,#REF!,"Non Trouvé")</f>
        <v>#REF!</v>
      </c>
      <c r="P971" s="30" t="e">
        <f>_xlfn.XLOOKUP(Mvt_Inter_entrepot[[#This Row],[Num OF]],#REF!,#REF!,"Non Trouvé")</f>
        <v>#REF!</v>
      </c>
      <c r="Q971" s="11" t="str">
        <f>IF(
   COUNTIFS($A$2:A971,A971,
             $B$2:B971,B971,
             $C$2:C971,C971,
             $D$2:D971,D971,
             $E$2:E971,E971,
             $H$2:H971,H971
             )&gt;1,
   "Doublon",
   "Correcte"
)</f>
        <v>Correcte</v>
      </c>
    </row>
    <row r="972" spans="1:17" x14ac:dyDescent="0.25">
      <c r="A972" s="11" t="s">
        <v>3751</v>
      </c>
      <c r="B972" s="30" t="s">
        <v>1153</v>
      </c>
      <c r="C972" s="30" t="s">
        <v>665</v>
      </c>
      <c r="D972" s="30" t="s">
        <v>1154</v>
      </c>
      <c r="E972" s="30">
        <v>5</v>
      </c>
      <c r="F972" s="30" t="s">
        <v>699</v>
      </c>
      <c r="G972" s="30" t="s">
        <v>634</v>
      </c>
      <c r="H972" s="31">
        <v>45940.401041666664</v>
      </c>
      <c r="I972" s="32">
        <f>-Mvt_Inter_entrepot[[#This Row],[QTE]]</f>
        <v>-5</v>
      </c>
      <c r="J972" s="30" t="s">
        <v>1047</v>
      </c>
      <c r="K972" s="30" t="str">
        <f>_xlfn.TEXTBEFORE(Mvt_Inter_entrepot[[#This Row],[Num Suivis]],"-",,,1)</f>
        <v>CA250037</v>
      </c>
      <c r="L972" s="30" t="e">
        <f>_xlfn.XLOOKUP(Mvt_Inter_entrepot[[#This Row],[Num OF]],#REF!,#REF!,"Non Trouvé")</f>
        <v>#REF!</v>
      </c>
      <c r="M972" s="30" t="e">
        <f>_xlfn.XLOOKUP(Mvt_Inter_entrepot[[#This Row],[Num OF]],#REF!,#REF!,"Non Trouvé")</f>
        <v>#REF!</v>
      </c>
      <c r="N972" s="30" t="e">
        <f>_xlfn.XLOOKUP(Mvt_Inter_entrepot[[#This Row],[Num OF]],#REF!,#REF!,"Non Trouvé")</f>
        <v>#REF!</v>
      </c>
      <c r="O972" s="30" t="e">
        <f>_xlfn.XLOOKUP(Mvt_Inter_entrepot[[#This Row],[Num OF]],#REF!,#REF!,"Non Trouvé")</f>
        <v>#REF!</v>
      </c>
      <c r="P972" s="30" t="e">
        <f>_xlfn.XLOOKUP(Mvt_Inter_entrepot[[#This Row],[Num OF]],#REF!,#REF!,"Non Trouvé")</f>
        <v>#REF!</v>
      </c>
      <c r="Q972" s="11" t="str">
        <f>IF(
   COUNTIFS($A$2:A972,A972,
             $B$2:B972,B972,
             $C$2:C972,C972,
             $D$2:D972,D972,
             $E$2:E972,E972,
             $H$2:H972,H972
             )&gt;1,
   "Doublon",
   "Correcte"
)</f>
        <v>Correcte</v>
      </c>
    </row>
    <row r="973" spans="1:17" x14ac:dyDescent="0.25">
      <c r="A973" s="11" t="s">
        <v>3752</v>
      </c>
      <c r="B973" s="30" t="s">
        <v>1153</v>
      </c>
      <c r="C973" s="30" t="s">
        <v>665</v>
      </c>
      <c r="D973" s="30" t="s">
        <v>1154</v>
      </c>
      <c r="E973" s="30">
        <v>5</v>
      </c>
      <c r="F973" s="30" t="s">
        <v>699</v>
      </c>
      <c r="G973" s="30" t="s">
        <v>634</v>
      </c>
      <c r="H973" s="31">
        <v>45940.401296296295</v>
      </c>
      <c r="I973" s="32">
        <f>-Mvt_Inter_entrepot[[#This Row],[QTE]]</f>
        <v>-5</v>
      </c>
      <c r="J973" s="30" t="s">
        <v>1044</v>
      </c>
      <c r="K973" s="30" t="str">
        <f>_xlfn.TEXTBEFORE(Mvt_Inter_entrepot[[#This Row],[Num Suivis]],"-",,,1)</f>
        <v>CA250037</v>
      </c>
      <c r="L973" s="30" t="e">
        <f>_xlfn.XLOOKUP(Mvt_Inter_entrepot[[#This Row],[Num OF]],#REF!,#REF!,"Non Trouvé")</f>
        <v>#REF!</v>
      </c>
      <c r="M973" s="30" t="e">
        <f>_xlfn.XLOOKUP(Mvt_Inter_entrepot[[#This Row],[Num OF]],#REF!,#REF!,"Non Trouvé")</f>
        <v>#REF!</v>
      </c>
      <c r="N973" s="30" t="e">
        <f>_xlfn.XLOOKUP(Mvt_Inter_entrepot[[#This Row],[Num OF]],#REF!,#REF!,"Non Trouvé")</f>
        <v>#REF!</v>
      </c>
      <c r="O973" s="30" t="e">
        <f>_xlfn.XLOOKUP(Mvt_Inter_entrepot[[#This Row],[Num OF]],#REF!,#REF!,"Non Trouvé")</f>
        <v>#REF!</v>
      </c>
      <c r="P973" s="30" t="e">
        <f>_xlfn.XLOOKUP(Mvt_Inter_entrepot[[#This Row],[Num OF]],#REF!,#REF!,"Non Trouvé")</f>
        <v>#REF!</v>
      </c>
      <c r="Q973" s="11" t="str">
        <f>IF(
   COUNTIFS($A$2:A973,A973,
             $B$2:B973,B973,
             $C$2:C973,C973,
             $D$2:D973,D973,
             $E$2:E973,E973,
             $H$2:H973,H973
             )&gt;1,
   "Doublon",
   "Correcte"
)</f>
        <v>Correcte</v>
      </c>
    </row>
    <row r="974" spans="1:17" x14ac:dyDescent="0.25">
      <c r="A974" s="11" t="s">
        <v>3302</v>
      </c>
      <c r="B974" s="30" t="s">
        <v>1153</v>
      </c>
      <c r="C974" s="30" t="s">
        <v>665</v>
      </c>
      <c r="D974" s="30" t="s">
        <v>1154</v>
      </c>
      <c r="E974" s="30">
        <v>5</v>
      </c>
      <c r="F974" s="30" t="s">
        <v>699</v>
      </c>
      <c r="G974" s="30" t="s">
        <v>634</v>
      </c>
      <c r="H974" s="31">
        <v>45940.401678240742</v>
      </c>
      <c r="I974" s="32">
        <f>-Mvt_Inter_entrepot[[#This Row],[QTE]]</f>
        <v>-5</v>
      </c>
      <c r="J974" s="30" t="s">
        <v>47</v>
      </c>
      <c r="K974" s="30" t="str">
        <f>_xlfn.TEXTBEFORE(Mvt_Inter_entrepot[[#This Row],[Num Suivis]],"-",,,1)</f>
        <v>CA250025</v>
      </c>
      <c r="L974" s="30" t="e">
        <f>_xlfn.XLOOKUP(Mvt_Inter_entrepot[[#This Row],[Num OF]],#REF!,#REF!,"Non Trouvé")</f>
        <v>#REF!</v>
      </c>
      <c r="M974" s="30" t="e">
        <f>_xlfn.XLOOKUP(Mvt_Inter_entrepot[[#This Row],[Num OF]],#REF!,#REF!,"Non Trouvé")</f>
        <v>#REF!</v>
      </c>
      <c r="N974" s="30" t="e">
        <f>_xlfn.XLOOKUP(Mvt_Inter_entrepot[[#This Row],[Num OF]],#REF!,#REF!,"Non Trouvé")</f>
        <v>#REF!</v>
      </c>
      <c r="O974" s="30" t="e">
        <f>_xlfn.XLOOKUP(Mvt_Inter_entrepot[[#This Row],[Num OF]],#REF!,#REF!,"Non Trouvé")</f>
        <v>#REF!</v>
      </c>
      <c r="P974" s="30" t="e">
        <f>_xlfn.XLOOKUP(Mvt_Inter_entrepot[[#This Row],[Num OF]],#REF!,#REF!,"Non Trouvé")</f>
        <v>#REF!</v>
      </c>
      <c r="Q974" s="11" t="str">
        <f>IF(
   COUNTIFS($A$2:A974,A974,
             $B$2:B974,B974,
             $C$2:C974,C974,
             $D$2:D974,D974,
             $E$2:E974,E974,
             $H$2:H974,H974
             )&gt;1,
   "Doublon",
   "Correcte"
)</f>
        <v>Correcte</v>
      </c>
    </row>
    <row r="975" spans="1:17" x14ac:dyDescent="0.25">
      <c r="A975" s="11" t="s">
        <v>3753</v>
      </c>
      <c r="B975" s="30" t="s">
        <v>1153</v>
      </c>
      <c r="C975" s="30" t="s">
        <v>665</v>
      </c>
      <c r="D975" s="30" t="s">
        <v>1154</v>
      </c>
      <c r="E975" s="30">
        <v>5</v>
      </c>
      <c r="F975" s="30" t="s">
        <v>699</v>
      </c>
      <c r="G975" s="30" t="s">
        <v>634</v>
      </c>
      <c r="H975" s="31">
        <v>45940.402083333334</v>
      </c>
      <c r="I975" s="32">
        <f>-Mvt_Inter_entrepot[[#This Row],[QTE]]</f>
        <v>-5</v>
      </c>
      <c r="J975" s="30" t="s">
        <v>1043</v>
      </c>
      <c r="K975" s="30" t="str">
        <f>_xlfn.TEXTBEFORE(Mvt_Inter_entrepot[[#This Row],[Num Suivis]],"-",,,1)</f>
        <v>CA250037</v>
      </c>
      <c r="L975" s="30" t="e">
        <f>_xlfn.XLOOKUP(Mvt_Inter_entrepot[[#This Row],[Num OF]],#REF!,#REF!,"Non Trouvé")</f>
        <v>#REF!</v>
      </c>
      <c r="M975" s="30" t="e">
        <f>_xlfn.XLOOKUP(Mvt_Inter_entrepot[[#This Row],[Num OF]],#REF!,#REF!,"Non Trouvé")</f>
        <v>#REF!</v>
      </c>
      <c r="N975" s="30" t="e">
        <f>_xlfn.XLOOKUP(Mvt_Inter_entrepot[[#This Row],[Num OF]],#REF!,#REF!,"Non Trouvé")</f>
        <v>#REF!</v>
      </c>
      <c r="O975" s="30" t="e">
        <f>_xlfn.XLOOKUP(Mvt_Inter_entrepot[[#This Row],[Num OF]],#REF!,#REF!,"Non Trouvé")</f>
        <v>#REF!</v>
      </c>
      <c r="P975" s="30" t="e">
        <f>_xlfn.XLOOKUP(Mvt_Inter_entrepot[[#This Row],[Num OF]],#REF!,#REF!,"Non Trouvé")</f>
        <v>#REF!</v>
      </c>
      <c r="Q975" s="11" t="str">
        <f>IF(
   COUNTIFS($A$2:A975,A975,
             $B$2:B975,B975,
             $C$2:C975,C975,
             $D$2:D975,D975,
             $E$2:E975,E975,
             $H$2:H975,H975
             )&gt;1,
   "Doublon",
   "Correcte"
)</f>
        <v>Correcte</v>
      </c>
    </row>
    <row r="976" spans="1:17" x14ac:dyDescent="0.25">
      <c r="A976" s="11" t="s">
        <v>3754</v>
      </c>
      <c r="B976" s="30" t="s">
        <v>1153</v>
      </c>
      <c r="C976" s="30" t="s">
        <v>665</v>
      </c>
      <c r="D976" s="30" t="s">
        <v>1154</v>
      </c>
      <c r="E976" s="30">
        <v>5</v>
      </c>
      <c r="F976" s="30" t="s">
        <v>699</v>
      </c>
      <c r="G976" s="30" t="s">
        <v>634</v>
      </c>
      <c r="H976" s="31">
        <v>45940.402604166666</v>
      </c>
      <c r="I976" s="32">
        <f>-Mvt_Inter_entrepot[[#This Row],[QTE]]</f>
        <v>-5</v>
      </c>
      <c r="J976" s="30" t="s">
        <v>1051</v>
      </c>
      <c r="K976" s="30" t="str">
        <f>_xlfn.TEXTBEFORE(Mvt_Inter_entrepot[[#This Row],[Num Suivis]],"-",,,1)</f>
        <v>CA250037</v>
      </c>
      <c r="L976" s="30" t="e">
        <f>_xlfn.XLOOKUP(Mvt_Inter_entrepot[[#This Row],[Num OF]],#REF!,#REF!,"Non Trouvé")</f>
        <v>#REF!</v>
      </c>
      <c r="M976" s="30" t="e">
        <f>_xlfn.XLOOKUP(Mvt_Inter_entrepot[[#This Row],[Num OF]],#REF!,#REF!,"Non Trouvé")</f>
        <v>#REF!</v>
      </c>
      <c r="N976" s="30" t="e">
        <f>_xlfn.XLOOKUP(Mvt_Inter_entrepot[[#This Row],[Num OF]],#REF!,#REF!,"Non Trouvé")</f>
        <v>#REF!</v>
      </c>
      <c r="O976" s="30" t="e">
        <f>_xlfn.XLOOKUP(Mvt_Inter_entrepot[[#This Row],[Num OF]],#REF!,#REF!,"Non Trouvé")</f>
        <v>#REF!</v>
      </c>
      <c r="P976" s="30" t="e">
        <f>_xlfn.XLOOKUP(Mvt_Inter_entrepot[[#This Row],[Num OF]],#REF!,#REF!,"Non Trouvé")</f>
        <v>#REF!</v>
      </c>
      <c r="Q976" s="11" t="str">
        <f>IF(
   COUNTIFS($A$2:A976,A976,
             $B$2:B976,B976,
             $C$2:C976,C976,
             $D$2:D976,D976,
             $E$2:E976,E976,
             $H$2:H976,H976
             )&gt;1,
   "Doublon",
   "Correcte"
)</f>
        <v>Correcte</v>
      </c>
    </row>
    <row r="977" spans="1:17" x14ac:dyDescent="0.25">
      <c r="A977" s="11" t="s">
        <v>3755</v>
      </c>
      <c r="B977" s="30" t="s">
        <v>1153</v>
      </c>
      <c r="C977" s="30" t="s">
        <v>665</v>
      </c>
      <c r="D977" s="30" t="s">
        <v>1154</v>
      </c>
      <c r="E977" s="30">
        <v>5</v>
      </c>
      <c r="F977" s="30" t="s">
        <v>699</v>
      </c>
      <c r="G977" s="30" t="s">
        <v>634</v>
      </c>
      <c r="H977" s="31">
        <v>45940.402812499997</v>
      </c>
      <c r="I977" s="32">
        <f>-Mvt_Inter_entrepot[[#This Row],[QTE]]</f>
        <v>-5</v>
      </c>
      <c r="J977" s="30" t="s">
        <v>1059</v>
      </c>
      <c r="K977" s="30" t="str">
        <f>_xlfn.TEXTBEFORE(Mvt_Inter_entrepot[[#This Row],[Num Suivis]],"-",,,1)</f>
        <v>CA250051</v>
      </c>
      <c r="L977" s="30" t="e">
        <f>_xlfn.XLOOKUP(Mvt_Inter_entrepot[[#This Row],[Num OF]],#REF!,#REF!,"Non Trouvé")</f>
        <v>#REF!</v>
      </c>
      <c r="M977" s="30" t="e">
        <f>_xlfn.XLOOKUP(Mvt_Inter_entrepot[[#This Row],[Num OF]],#REF!,#REF!,"Non Trouvé")</f>
        <v>#REF!</v>
      </c>
      <c r="N977" s="30" t="e">
        <f>_xlfn.XLOOKUP(Mvt_Inter_entrepot[[#This Row],[Num OF]],#REF!,#REF!,"Non Trouvé")</f>
        <v>#REF!</v>
      </c>
      <c r="O977" s="30" t="e">
        <f>_xlfn.XLOOKUP(Mvt_Inter_entrepot[[#This Row],[Num OF]],#REF!,#REF!,"Non Trouvé")</f>
        <v>#REF!</v>
      </c>
      <c r="P977" s="30" t="e">
        <f>_xlfn.XLOOKUP(Mvt_Inter_entrepot[[#This Row],[Num OF]],#REF!,#REF!,"Non Trouvé")</f>
        <v>#REF!</v>
      </c>
      <c r="Q977" s="11" t="str">
        <f>IF(
   COUNTIFS($A$2:A977,A977,
             $B$2:B977,B977,
             $C$2:C977,C977,
             $D$2:D977,D977,
             $E$2:E977,E977,
             $H$2:H977,H977
             )&gt;1,
   "Doublon",
   "Correcte"
)</f>
        <v>Correcte</v>
      </c>
    </row>
    <row r="978" spans="1:17" x14ac:dyDescent="0.25">
      <c r="A978" s="11" t="s">
        <v>3756</v>
      </c>
      <c r="B978" s="30" t="s">
        <v>1153</v>
      </c>
      <c r="C978" s="30" t="s">
        <v>665</v>
      </c>
      <c r="D978" s="30" t="s">
        <v>1154</v>
      </c>
      <c r="E978" s="30">
        <v>1</v>
      </c>
      <c r="F978" s="30" t="s">
        <v>699</v>
      </c>
      <c r="G978" s="30" t="s">
        <v>634</v>
      </c>
      <c r="H978" s="31">
        <v>45940.403148148151</v>
      </c>
      <c r="I978" s="32">
        <f>-Mvt_Inter_entrepot[[#This Row],[QTE]]</f>
        <v>-1</v>
      </c>
      <c r="J978" s="30" t="s">
        <v>1046</v>
      </c>
      <c r="K978" s="30" t="str">
        <f>_xlfn.TEXTBEFORE(Mvt_Inter_entrepot[[#This Row],[Num Suivis]],"-",,,1)</f>
        <v>CA250037</v>
      </c>
      <c r="L978" s="30" t="e">
        <f>_xlfn.XLOOKUP(Mvt_Inter_entrepot[[#This Row],[Num OF]],#REF!,#REF!,"Non Trouvé")</f>
        <v>#REF!</v>
      </c>
      <c r="M978" s="30" t="e">
        <f>_xlfn.XLOOKUP(Mvt_Inter_entrepot[[#This Row],[Num OF]],#REF!,#REF!,"Non Trouvé")</f>
        <v>#REF!</v>
      </c>
      <c r="N978" s="30" t="e">
        <f>_xlfn.XLOOKUP(Mvt_Inter_entrepot[[#This Row],[Num OF]],#REF!,#REF!,"Non Trouvé")</f>
        <v>#REF!</v>
      </c>
      <c r="O978" s="30" t="e">
        <f>_xlfn.XLOOKUP(Mvt_Inter_entrepot[[#This Row],[Num OF]],#REF!,#REF!,"Non Trouvé")</f>
        <v>#REF!</v>
      </c>
      <c r="P978" s="30" t="e">
        <f>_xlfn.XLOOKUP(Mvt_Inter_entrepot[[#This Row],[Num OF]],#REF!,#REF!,"Non Trouvé")</f>
        <v>#REF!</v>
      </c>
      <c r="Q978" s="11" t="str">
        <f>IF(
   COUNTIFS($A$2:A978,A978,
             $B$2:B978,B978,
             $C$2:C978,C978,
             $D$2:D978,D978,
             $E$2:E978,E978,
             $H$2:H978,H978
             )&gt;1,
   "Doublon",
   "Correcte"
)</f>
        <v>Correcte</v>
      </c>
    </row>
    <row r="979" spans="1:17" x14ac:dyDescent="0.25">
      <c r="A979" s="11" t="s">
        <v>3357</v>
      </c>
      <c r="B979" s="30" t="s">
        <v>1153</v>
      </c>
      <c r="C979" s="30" t="s">
        <v>665</v>
      </c>
      <c r="D979" s="30" t="s">
        <v>1154</v>
      </c>
      <c r="E979" s="30">
        <v>5</v>
      </c>
      <c r="F979" s="30" t="s">
        <v>699</v>
      </c>
      <c r="G979" s="30" t="s">
        <v>634</v>
      </c>
      <c r="H979" s="31">
        <v>45940.403599537036</v>
      </c>
      <c r="I979" s="32">
        <f>-Mvt_Inter_entrepot[[#This Row],[QTE]]</f>
        <v>-5</v>
      </c>
      <c r="J979" s="30" t="s">
        <v>48</v>
      </c>
      <c r="K979" s="30" t="str">
        <f>_xlfn.TEXTBEFORE(Mvt_Inter_entrepot[[#This Row],[Num Suivis]],"-",,,1)</f>
        <v>CA250026</v>
      </c>
      <c r="L979" s="30" t="e">
        <f>_xlfn.XLOOKUP(Mvt_Inter_entrepot[[#This Row],[Num OF]],#REF!,#REF!,"Non Trouvé")</f>
        <v>#REF!</v>
      </c>
      <c r="M979" s="30" t="e">
        <f>_xlfn.XLOOKUP(Mvt_Inter_entrepot[[#This Row],[Num OF]],#REF!,#REF!,"Non Trouvé")</f>
        <v>#REF!</v>
      </c>
      <c r="N979" s="30" t="e">
        <f>_xlfn.XLOOKUP(Mvt_Inter_entrepot[[#This Row],[Num OF]],#REF!,#REF!,"Non Trouvé")</f>
        <v>#REF!</v>
      </c>
      <c r="O979" s="30" t="e">
        <f>_xlfn.XLOOKUP(Mvt_Inter_entrepot[[#This Row],[Num OF]],#REF!,#REF!,"Non Trouvé")</f>
        <v>#REF!</v>
      </c>
      <c r="P979" s="30" t="e">
        <f>_xlfn.XLOOKUP(Mvt_Inter_entrepot[[#This Row],[Num OF]],#REF!,#REF!,"Non Trouvé")</f>
        <v>#REF!</v>
      </c>
      <c r="Q979" s="11" t="str">
        <f>IF(
   COUNTIFS($A$2:A979,A979,
             $B$2:B979,B979,
             $C$2:C979,C979,
             $D$2:D979,D979,
             $E$2:E979,E979,
             $H$2:H979,H979
             )&gt;1,
   "Doublon",
   "Correcte"
)</f>
        <v>Correcte</v>
      </c>
    </row>
    <row r="980" spans="1:17" x14ac:dyDescent="0.25">
      <c r="A980" s="11" t="s">
        <v>3757</v>
      </c>
      <c r="B980" s="30" t="s">
        <v>1153</v>
      </c>
      <c r="C980" s="30" t="s">
        <v>665</v>
      </c>
      <c r="D980" s="30" t="s">
        <v>1154</v>
      </c>
      <c r="E980" s="30">
        <v>5</v>
      </c>
      <c r="F980" s="30" t="s">
        <v>699</v>
      </c>
      <c r="G980" s="30" t="s">
        <v>634</v>
      </c>
      <c r="H980" s="31">
        <v>45940.404004629629</v>
      </c>
      <c r="I980" s="32">
        <f>-Mvt_Inter_entrepot[[#This Row],[QTE]]</f>
        <v>-5</v>
      </c>
      <c r="J980" s="30" t="s">
        <v>1062</v>
      </c>
      <c r="K980" s="30" t="str">
        <f>_xlfn.TEXTBEFORE(Mvt_Inter_entrepot[[#This Row],[Num Suivis]],"-",,,1)</f>
        <v>CA250051</v>
      </c>
      <c r="L980" s="30" t="e">
        <f>_xlfn.XLOOKUP(Mvt_Inter_entrepot[[#This Row],[Num OF]],#REF!,#REF!,"Non Trouvé")</f>
        <v>#REF!</v>
      </c>
      <c r="M980" s="30" t="e">
        <f>_xlfn.XLOOKUP(Mvt_Inter_entrepot[[#This Row],[Num OF]],#REF!,#REF!,"Non Trouvé")</f>
        <v>#REF!</v>
      </c>
      <c r="N980" s="30" t="e">
        <f>_xlfn.XLOOKUP(Mvt_Inter_entrepot[[#This Row],[Num OF]],#REF!,#REF!,"Non Trouvé")</f>
        <v>#REF!</v>
      </c>
      <c r="O980" s="30" t="e">
        <f>_xlfn.XLOOKUP(Mvt_Inter_entrepot[[#This Row],[Num OF]],#REF!,#REF!,"Non Trouvé")</f>
        <v>#REF!</v>
      </c>
      <c r="P980" s="30" t="e">
        <f>_xlfn.XLOOKUP(Mvt_Inter_entrepot[[#This Row],[Num OF]],#REF!,#REF!,"Non Trouvé")</f>
        <v>#REF!</v>
      </c>
      <c r="Q980" s="11" t="str">
        <f>IF(
   COUNTIFS($A$2:A980,A980,
             $B$2:B980,B980,
             $C$2:C980,C980,
             $D$2:D980,D980,
             $E$2:E980,E980,
             $H$2:H980,H980
             )&gt;1,
   "Doublon",
   "Correcte"
)</f>
        <v>Correcte</v>
      </c>
    </row>
    <row r="981" spans="1:17" x14ac:dyDescent="0.25">
      <c r="A981" s="11" t="s">
        <v>3758</v>
      </c>
      <c r="B981" s="30" t="s">
        <v>1153</v>
      </c>
      <c r="C981" s="30" t="s">
        <v>665</v>
      </c>
      <c r="D981" s="30" t="s">
        <v>1154</v>
      </c>
      <c r="E981" s="30">
        <v>5</v>
      </c>
      <c r="F981" s="30" t="s">
        <v>699</v>
      </c>
      <c r="G981" s="30" t="s">
        <v>634</v>
      </c>
      <c r="H981" s="31">
        <v>45940.404282407406</v>
      </c>
      <c r="I981" s="32">
        <f>-Mvt_Inter_entrepot[[#This Row],[QTE]]</f>
        <v>-5</v>
      </c>
      <c r="J981" s="30" t="s">
        <v>1088</v>
      </c>
      <c r="K981" s="30" t="str">
        <f>_xlfn.TEXTBEFORE(Mvt_Inter_entrepot[[#This Row],[Num Suivis]],"-",,,1)</f>
        <v>CA250047</v>
      </c>
      <c r="L981" s="30" t="e">
        <f>_xlfn.XLOOKUP(Mvt_Inter_entrepot[[#This Row],[Num OF]],#REF!,#REF!,"Non Trouvé")</f>
        <v>#REF!</v>
      </c>
      <c r="M981" s="30" t="e">
        <f>_xlfn.XLOOKUP(Mvt_Inter_entrepot[[#This Row],[Num OF]],#REF!,#REF!,"Non Trouvé")</f>
        <v>#REF!</v>
      </c>
      <c r="N981" s="30" t="e">
        <f>_xlfn.XLOOKUP(Mvt_Inter_entrepot[[#This Row],[Num OF]],#REF!,#REF!,"Non Trouvé")</f>
        <v>#REF!</v>
      </c>
      <c r="O981" s="30" t="e">
        <f>_xlfn.XLOOKUP(Mvt_Inter_entrepot[[#This Row],[Num OF]],#REF!,#REF!,"Non Trouvé")</f>
        <v>#REF!</v>
      </c>
      <c r="P981" s="30" t="e">
        <f>_xlfn.XLOOKUP(Mvt_Inter_entrepot[[#This Row],[Num OF]],#REF!,#REF!,"Non Trouvé")</f>
        <v>#REF!</v>
      </c>
      <c r="Q981" s="11" t="str">
        <f>IF(
   COUNTIFS($A$2:A981,A981,
             $B$2:B981,B981,
             $C$2:C981,C981,
             $D$2:D981,D981,
             $E$2:E981,E981,
             $H$2:H981,H981
             )&gt;1,
   "Doublon",
   "Correcte"
)</f>
        <v>Correcte</v>
      </c>
    </row>
    <row r="982" spans="1:17" x14ac:dyDescent="0.25">
      <c r="A982" s="11" t="s">
        <v>3759</v>
      </c>
      <c r="B982" s="30" t="s">
        <v>1153</v>
      </c>
      <c r="C982" s="30" t="s">
        <v>665</v>
      </c>
      <c r="D982" s="30" t="s">
        <v>1154</v>
      </c>
      <c r="E982" s="30">
        <v>5</v>
      </c>
      <c r="F982" s="30" t="s">
        <v>699</v>
      </c>
      <c r="G982" s="30" t="s">
        <v>634</v>
      </c>
      <c r="H982" s="31">
        <v>45940.406354166669</v>
      </c>
      <c r="I982" s="32">
        <f>-Mvt_Inter_entrepot[[#This Row],[QTE]]</f>
        <v>-5</v>
      </c>
      <c r="J982" s="30" t="s">
        <v>1052</v>
      </c>
      <c r="K982" s="30" t="str">
        <f>_xlfn.TEXTBEFORE(Mvt_Inter_entrepot[[#This Row],[Num Suivis]],"-",,,1)</f>
        <v>CA250038</v>
      </c>
      <c r="L982" s="30" t="e">
        <f>_xlfn.XLOOKUP(Mvt_Inter_entrepot[[#This Row],[Num OF]],#REF!,#REF!,"Non Trouvé")</f>
        <v>#REF!</v>
      </c>
      <c r="M982" s="30" t="e">
        <f>_xlfn.XLOOKUP(Mvt_Inter_entrepot[[#This Row],[Num OF]],#REF!,#REF!,"Non Trouvé")</f>
        <v>#REF!</v>
      </c>
      <c r="N982" s="30" t="e">
        <f>_xlfn.XLOOKUP(Mvt_Inter_entrepot[[#This Row],[Num OF]],#REF!,#REF!,"Non Trouvé")</f>
        <v>#REF!</v>
      </c>
      <c r="O982" s="30" t="e">
        <f>_xlfn.XLOOKUP(Mvt_Inter_entrepot[[#This Row],[Num OF]],#REF!,#REF!,"Non Trouvé")</f>
        <v>#REF!</v>
      </c>
      <c r="P982" s="30" t="e">
        <f>_xlfn.XLOOKUP(Mvt_Inter_entrepot[[#This Row],[Num OF]],#REF!,#REF!,"Non Trouvé")</f>
        <v>#REF!</v>
      </c>
      <c r="Q982" s="11" t="str">
        <f>IF(
   COUNTIFS($A$2:A982,A982,
             $B$2:B982,B982,
             $C$2:C982,C982,
             $D$2:D982,D982,
             $E$2:E982,E982,
             $H$2:H982,H982
             )&gt;1,
   "Doublon",
   "Correcte"
)</f>
        <v>Correcte</v>
      </c>
    </row>
    <row r="983" spans="1:17" x14ac:dyDescent="0.25">
      <c r="A983" s="11" t="s">
        <v>3760</v>
      </c>
      <c r="B983" s="30" t="s">
        <v>1153</v>
      </c>
      <c r="C983" s="30" t="s">
        <v>665</v>
      </c>
      <c r="D983" s="30" t="s">
        <v>1154</v>
      </c>
      <c r="E983" s="30">
        <v>5</v>
      </c>
      <c r="F983" s="30" t="s">
        <v>699</v>
      </c>
      <c r="G983" s="30" t="s">
        <v>634</v>
      </c>
      <c r="H983" s="31">
        <v>45940.4065625</v>
      </c>
      <c r="I983" s="32">
        <f>-Mvt_Inter_entrepot[[#This Row],[QTE]]</f>
        <v>-5</v>
      </c>
      <c r="J983" s="30" t="s">
        <v>1045</v>
      </c>
      <c r="K983" s="30" t="str">
        <f>_xlfn.TEXTBEFORE(Mvt_Inter_entrepot[[#This Row],[Num Suivis]],"-",,,1)</f>
        <v>CA250037</v>
      </c>
      <c r="L983" s="30" t="e">
        <f>_xlfn.XLOOKUP(Mvt_Inter_entrepot[[#This Row],[Num OF]],#REF!,#REF!,"Non Trouvé")</f>
        <v>#REF!</v>
      </c>
      <c r="M983" s="30" t="e">
        <f>_xlfn.XLOOKUP(Mvt_Inter_entrepot[[#This Row],[Num OF]],#REF!,#REF!,"Non Trouvé")</f>
        <v>#REF!</v>
      </c>
      <c r="N983" s="30" t="e">
        <f>_xlfn.XLOOKUP(Mvt_Inter_entrepot[[#This Row],[Num OF]],#REF!,#REF!,"Non Trouvé")</f>
        <v>#REF!</v>
      </c>
      <c r="O983" s="30" t="e">
        <f>_xlfn.XLOOKUP(Mvt_Inter_entrepot[[#This Row],[Num OF]],#REF!,#REF!,"Non Trouvé")</f>
        <v>#REF!</v>
      </c>
      <c r="P983" s="30" t="e">
        <f>_xlfn.XLOOKUP(Mvt_Inter_entrepot[[#This Row],[Num OF]],#REF!,#REF!,"Non Trouvé")</f>
        <v>#REF!</v>
      </c>
      <c r="Q983" s="11" t="str">
        <f>IF(
   COUNTIFS($A$2:A983,A983,
             $B$2:B983,B983,
             $C$2:C983,C983,
             $D$2:D983,D983,
             $E$2:E983,E983,
             $H$2:H983,H983
             )&gt;1,
   "Doublon",
   "Correcte"
)</f>
        <v>Correcte</v>
      </c>
    </row>
    <row r="984" spans="1:17" x14ac:dyDescent="0.25">
      <c r="A984" s="11" t="s">
        <v>3761</v>
      </c>
      <c r="B984" s="30" t="s">
        <v>1153</v>
      </c>
      <c r="C984" s="30" t="s">
        <v>665</v>
      </c>
      <c r="D984" s="30" t="s">
        <v>1154</v>
      </c>
      <c r="E984" s="30">
        <v>5</v>
      </c>
      <c r="F984" s="30" t="s">
        <v>699</v>
      </c>
      <c r="G984" s="30" t="s">
        <v>634</v>
      </c>
      <c r="H984" s="31">
        <v>45940.406793981485</v>
      </c>
      <c r="I984" s="32">
        <f>-Mvt_Inter_entrepot[[#This Row],[QTE]]</f>
        <v>-5</v>
      </c>
      <c r="J984" s="30" t="s">
        <v>1055</v>
      </c>
      <c r="K984" s="30" t="str">
        <f>_xlfn.TEXTBEFORE(Mvt_Inter_entrepot[[#This Row],[Num Suivis]],"-",,,1)</f>
        <v>CA250037</v>
      </c>
      <c r="L984" s="30" t="e">
        <f>_xlfn.XLOOKUP(Mvt_Inter_entrepot[[#This Row],[Num OF]],#REF!,#REF!,"Non Trouvé")</f>
        <v>#REF!</v>
      </c>
      <c r="M984" s="30" t="e">
        <f>_xlfn.XLOOKUP(Mvt_Inter_entrepot[[#This Row],[Num OF]],#REF!,#REF!,"Non Trouvé")</f>
        <v>#REF!</v>
      </c>
      <c r="N984" s="30" t="e">
        <f>_xlfn.XLOOKUP(Mvt_Inter_entrepot[[#This Row],[Num OF]],#REF!,#REF!,"Non Trouvé")</f>
        <v>#REF!</v>
      </c>
      <c r="O984" s="30" t="e">
        <f>_xlfn.XLOOKUP(Mvt_Inter_entrepot[[#This Row],[Num OF]],#REF!,#REF!,"Non Trouvé")</f>
        <v>#REF!</v>
      </c>
      <c r="P984" s="30" t="e">
        <f>_xlfn.XLOOKUP(Mvt_Inter_entrepot[[#This Row],[Num OF]],#REF!,#REF!,"Non Trouvé")</f>
        <v>#REF!</v>
      </c>
      <c r="Q984" s="11" t="str">
        <f>IF(
   COUNTIFS($A$2:A984,A984,
             $B$2:B984,B984,
             $C$2:C984,C984,
             $D$2:D984,D984,
             $E$2:E984,E984,
             $H$2:H984,H984
             )&gt;1,
   "Doublon",
   "Correcte"
)</f>
        <v>Correcte</v>
      </c>
    </row>
    <row r="985" spans="1:17" x14ac:dyDescent="0.25">
      <c r="A985" s="11" t="s">
        <v>3762</v>
      </c>
      <c r="B985" s="30" t="s">
        <v>1153</v>
      </c>
      <c r="C985" s="30" t="s">
        <v>665</v>
      </c>
      <c r="D985" s="30" t="s">
        <v>1154</v>
      </c>
      <c r="E985" s="30">
        <v>2</v>
      </c>
      <c r="F985" s="30" t="s">
        <v>699</v>
      </c>
      <c r="G985" s="30" t="s">
        <v>634</v>
      </c>
      <c r="H985" s="31">
        <v>45940.406990740739</v>
      </c>
      <c r="I985" s="32">
        <f>-Mvt_Inter_entrepot[[#This Row],[QTE]]</f>
        <v>-2</v>
      </c>
      <c r="J985" s="30" t="s">
        <v>1058</v>
      </c>
      <c r="K985" s="30" t="str">
        <f>_xlfn.TEXTBEFORE(Mvt_Inter_entrepot[[#This Row],[Num Suivis]],"-",,,1)</f>
        <v>CA250038</v>
      </c>
      <c r="L985" s="30" t="e">
        <f>_xlfn.XLOOKUP(Mvt_Inter_entrepot[[#This Row],[Num OF]],#REF!,#REF!,"Non Trouvé")</f>
        <v>#REF!</v>
      </c>
      <c r="M985" s="30" t="e">
        <f>_xlfn.XLOOKUP(Mvt_Inter_entrepot[[#This Row],[Num OF]],#REF!,#REF!,"Non Trouvé")</f>
        <v>#REF!</v>
      </c>
      <c r="N985" s="30" t="e">
        <f>_xlfn.XLOOKUP(Mvt_Inter_entrepot[[#This Row],[Num OF]],#REF!,#REF!,"Non Trouvé")</f>
        <v>#REF!</v>
      </c>
      <c r="O985" s="30" t="e">
        <f>_xlfn.XLOOKUP(Mvt_Inter_entrepot[[#This Row],[Num OF]],#REF!,#REF!,"Non Trouvé")</f>
        <v>#REF!</v>
      </c>
      <c r="P985" s="30" t="e">
        <f>_xlfn.XLOOKUP(Mvt_Inter_entrepot[[#This Row],[Num OF]],#REF!,#REF!,"Non Trouvé")</f>
        <v>#REF!</v>
      </c>
      <c r="Q985" s="11" t="str">
        <f>IF(
   COUNTIFS($A$2:A985,A985,
             $B$2:B985,B985,
             $C$2:C985,C985,
             $D$2:D985,D985,
             $E$2:E985,E985,
             $H$2:H985,H985
             )&gt;1,
   "Doublon",
   "Correcte"
)</f>
        <v>Correcte</v>
      </c>
    </row>
    <row r="986" spans="1:17" x14ac:dyDescent="0.25">
      <c r="A986" s="11" t="s">
        <v>3763</v>
      </c>
      <c r="B986" s="30" t="s">
        <v>1153</v>
      </c>
      <c r="C986" s="30" t="s">
        <v>665</v>
      </c>
      <c r="D986" s="30" t="s">
        <v>1154</v>
      </c>
      <c r="E986" s="30">
        <v>5</v>
      </c>
      <c r="F986" s="30" t="s">
        <v>699</v>
      </c>
      <c r="G986" s="30" t="s">
        <v>634</v>
      </c>
      <c r="H986" s="31">
        <v>45941.393726851849</v>
      </c>
      <c r="I986" s="32">
        <f>-Mvt_Inter_entrepot[[#This Row],[QTE]]</f>
        <v>-5</v>
      </c>
      <c r="J986" s="30" t="s">
        <v>1057</v>
      </c>
      <c r="K986" s="30" t="str">
        <f>_xlfn.TEXTBEFORE(Mvt_Inter_entrepot[[#This Row],[Num Suivis]],"-",,,1)</f>
        <v>CA250036</v>
      </c>
      <c r="L986" s="30" t="e">
        <f>_xlfn.XLOOKUP(Mvt_Inter_entrepot[[#This Row],[Num OF]],#REF!,#REF!,"Non Trouvé")</f>
        <v>#REF!</v>
      </c>
      <c r="M986" s="30" t="e">
        <f>_xlfn.XLOOKUP(Mvt_Inter_entrepot[[#This Row],[Num OF]],#REF!,#REF!,"Non Trouvé")</f>
        <v>#REF!</v>
      </c>
      <c r="N986" s="30" t="e">
        <f>_xlfn.XLOOKUP(Mvt_Inter_entrepot[[#This Row],[Num OF]],#REF!,#REF!,"Non Trouvé")</f>
        <v>#REF!</v>
      </c>
      <c r="O986" s="30" t="e">
        <f>_xlfn.XLOOKUP(Mvt_Inter_entrepot[[#This Row],[Num OF]],#REF!,#REF!,"Non Trouvé")</f>
        <v>#REF!</v>
      </c>
      <c r="P986" s="30" t="e">
        <f>_xlfn.XLOOKUP(Mvt_Inter_entrepot[[#This Row],[Num OF]],#REF!,#REF!,"Non Trouvé")</f>
        <v>#REF!</v>
      </c>
      <c r="Q986" s="11" t="str">
        <f>IF(
   COUNTIFS($A$2:A986,A986,
             $B$2:B986,B986,
             $C$2:C986,C986,
             $D$2:D986,D986,
             $E$2:E986,E986,
             $H$2:H986,H986
             )&gt;1,
   "Doublon",
   "Correcte"
)</f>
        <v>Correcte</v>
      </c>
    </row>
    <row r="987" spans="1:17" x14ac:dyDescent="0.25">
      <c r="A987" s="11" t="s">
        <v>3764</v>
      </c>
      <c r="B987" s="30" t="s">
        <v>1153</v>
      </c>
      <c r="C987" s="30" t="s">
        <v>665</v>
      </c>
      <c r="D987" s="30" t="s">
        <v>1154</v>
      </c>
      <c r="E987" s="30">
        <v>5</v>
      </c>
      <c r="F987" s="30" t="s">
        <v>699</v>
      </c>
      <c r="G987" s="30" t="s">
        <v>634</v>
      </c>
      <c r="H987" s="31">
        <v>45941.393935185188</v>
      </c>
      <c r="I987" s="32">
        <f>-Mvt_Inter_entrepot[[#This Row],[QTE]]</f>
        <v>-5</v>
      </c>
      <c r="J987" s="30" t="s">
        <v>1033</v>
      </c>
      <c r="K987" s="30" t="str">
        <f>_xlfn.TEXTBEFORE(Mvt_Inter_entrepot[[#This Row],[Num Suivis]],"-",,,1)</f>
        <v>CA250056</v>
      </c>
      <c r="L987" s="30" t="e">
        <f>_xlfn.XLOOKUP(Mvt_Inter_entrepot[[#This Row],[Num OF]],#REF!,#REF!,"Non Trouvé")</f>
        <v>#REF!</v>
      </c>
      <c r="M987" s="30" t="e">
        <f>_xlfn.XLOOKUP(Mvt_Inter_entrepot[[#This Row],[Num OF]],#REF!,#REF!,"Non Trouvé")</f>
        <v>#REF!</v>
      </c>
      <c r="N987" s="30" t="e">
        <f>_xlfn.XLOOKUP(Mvt_Inter_entrepot[[#This Row],[Num OF]],#REF!,#REF!,"Non Trouvé")</f>
        <v>#REF!</v>
      </c>
      <c r="O987" s="30" t="e">
        <f>_xlfn.XLOOKUP(Mvt_Inter_entrepot[[#This Row],[Num OF]],#REF!,#REF!,"Non Trouvé")</f>
        <v>#REF!</v>
      </c>
      <c r="P987" s="30" t="e">
        <f>_xlfn.XLOOKUP(Mvt_Inter_entrepot[[#This Row],[Num OF]],#REF!,#REF!,"Non Trouvé")</f>
        <v>#REF!</v>
      </c>
      <c r="Q987" s="11" t="str">
        <f>IF(
   COUNTIFS($A$2:A987,A987,
             $B$2:B987,B987,
             $C$2:C987,C987,
             $D$2:D987,D987,
             $E$2:E987,E987,
             $H$2:H987,H987
             )&gt;1,
   "Doublon",
   "Correcte"
)</f>
        <v>Correcte</v>
      </c>
    </row>
    <row r="988" spans="1:17" x14ac:dyDescent="0.25">
      <c r="A988" s="11" t="s">
        <v>3765</v>
      </c>
      <c r="B988" s="30" t="s">
        <v>1153</v>
      </c>
      <c r="C988" s="30" t="s">
        <v>665</v>
      </c>
      <c r="D988" s="30" t="s">
        <v>1154</v>
      </c>
      <c r="E988" s="30">
        <v>5</v>
      </c>
      <c r="F988" s="30" t="s">
        <v>699</v>
      </c>
      <c r="G988" s="30" t="s">
        <v>634</v>
      </c>
      <c r="H988" s="31">
        <v>45941.394178240742</v>
      </c>
      <c r="I988" s="12">
        <f>-Mvt_Inter_entrepot[[#This Row],[QTE]]</f>
        <v>-5</v>
      </c>
      <c r="J988" s="11" t="s">
        <v>1065</v>
      </c>
      <c r="K988" s="11" t="str">
        <f>_xlfn.TEXTBEFORE(Mvt_Inter_entrepot[[#This Row],[Num Suivis]],"-",,,1)</f>
        <v>CA250016</v>
      </c>
      <c r="L988" s="11" t="e">
        <f>_xlfn.XLOOKUP(Mvt_Inter_entrepot[[#This Row],[Num OF]],#REF!,#REF!,"Non Trouvé")</f>
        <v>#REF!</v>
      </c>
      <c r="M988" s="11" t="e">
        <f>_xlfn.XLOOKUP(Mvt_Inter_entrepot[[#This Row],[Num OF]],#REF!,#REF!,"Non Trouvé")</f>
        <v>#REF!</v>
      </c>
      <c r="N988" s="11" t="e">
        <f>_xlfn.XLOOKUP(Mvt_Inter_entrepot[[#This Row],[Num OF]],#REF!,#REF!,"Non Trouvé")</f>
        <v>#REF!</v>
      </c>
      <c r="O988" s="11" t="e">
        <f>_xlfn.XLOOKUP(Mvt_Inter_entrepot[[#This Row],[Num OF]],#REF!,#REF!,"Non Trouvé")</f>
        <v>#REF!</v>
      </c>
      <c r="P988" s="11" t="e">
        <f>_xlfn.XLOOKUP(Mvt_Inter_entrepot[[#This Row],[Num OF]],#REF!,#REF!,"Non Trouvé")</f>
        <v>#REF!</v>
      </c>
      <c r="Q988" s="11" t="str">
        <f>IF(
   COUNTIFS($A$2:A988,A988,
             $B$2:B988,B988,
             $C$2:C988,C988,
             $D$2:D988,D988,
             $E$2:E988,E988,
             $H$2:H988,H988
             )&gt;1,
   "Doublon",
   "Correcte"
)</f>
        <v>Correcte</v>
      </c>
    </row>
    <row r="989" spans="1:17" x14ac:dyDescent="0.25">
      <c r="A989" s="11" t="s">
        <v>3766</v>
      </c>
      <c r="B989" s="30" t="s">
        <v>1153</v>
      </c>
      <c r="C989" s="30" t="s">
        <v>665</v>
      </c>
      <c r="D989" s="30" t="s">
        <v>1154</v>
      </c>
      <c r="E989" s="30">
        <v>5</v>
      </c>
      <c r="F989" s="30" t="s">
        <v>699</v>
      </c>
      <c r="G989" s="30" t="s">
        <v>634</v>
      </c>
      <c r="H989" s="31">
        <v>45941.394421296296</v>
      </c>
      <c r="I989" s="12">
        <f>-Mvt_Inter_entrepot[[#This Row],[QTE]]</f>
        <v>-5</v>
      </c>
      <c r="J989" s="11" t="s">
        <v>1078</v>
      </c>
      <c r="K989" s="11" t="str">
        <f>_xlfn.TEXTBEFORE(Mvt_Inter_entrepot[[#This Row],[Num Suivis]],"-",,,1)</f>
        <v>CA250019</v>
      </c>
      <c r="L989" s="11" t="e">
        <f>_xlfn.XLOOKUP(Mvt_Inter_entrepot[[#This Row],[Num OF]],#REF!,#REF!,"Non Trouvé")</f>
        <v>#REF!</v>
      </c>
      <c r="M989" s="11" t="e">
        <f>_xlfn.XLOOKUP(Mvt_Inter_entrepot[[#This Row],[Num OF]],#REF!,#REF!,"Non Trouvé")</f>
        <v>#REF!</v>
      </c>
      <c r="N989" s="11" t="e">
        <f>_xlfn.XLOOKUP(Mvt_Inter_entrepot[[#This Row],[Num OF]],#REF!,#REF!,"Non Trouvé")</f>
        <v>#REF!</v>
      </c>
      <c r="O989" s="11" t="e">
        <f>_xlfn.XLOOKUP(Mvt_Inter_entrepot[[#This Row],[Num OF]],#REF!,#REF!,"Non Trouvé")</f>
        <v>#REF!</v>
      </c>
      <c r="P989" s="11" t="e">
        <f>_xlfn.XLOOKUP(Mvt_Inter_entrepot[[#This Row],[Num OF]],#REF!,#REF!,"Non Trouvé")</f>
        <v>#REF!</v>
      </c>
      <c r="Q989" s="11" t="str">
        <f>IF(
   COUNTIFS($A$2:A989,A989,
             $B$2:B989,B989,
             $C$2:C989,C989,
             $D$2:D989,D989,
             $E$2:E989,E989,
             $H$2:H989,H989
             )&gt;1,
   "Doublon",
   "Correcte"
)</f>
        <v>Correcte</v>
      </c>
    </row>
    <row r="990" spans="1:17" x14ac:dyDescent="0.25">
      <c r="A990" s="11" t="s">
        <v>3767</v>
      </c>
      <c r="B990" s="30" t="s">
        <v>1153</v>
      </c>
      <c r="C990" s="30" t="s">
        <v>665</v>
      </c>
      <c r="D990" s="30" t="s">
        <v>1154</v>
      </c>
      <c r="E990" s="30">
        <v>5</v>
      </c>
      <c r="F990" s="30" t="s">
        <v>699</v>
      </c>
      <c r="G990" s="30" t="s">
        <v>634</v>
      </c>
      <c r="H990" s="31">
        <v>45941.394629629627</v>
      </c>
      <c r="I990" s="12">
        <f>-Mvt_Inter_entrepot[[#This Row],[QTE]]</f>
        <v>-5</v>
      </c>
      <c r="J990" s="11" t="s">
        <v>1039</v>
      </c>
      <c r="K990" s="11" t="str">
        <f>_xlfn.TEXTBEFORE(Mvt_Inter_entrepot[[#This Row],[Num Suivis]],"-",,,1)</f>
        <v>CA250056</v>
      </c>
      <c r="L990" s="11" t="e">
        <f>_xlfn.XLOOKUP(Mvt_Inter_entrepot[[#This Row],[Num OF]],#REF!,#REF!,"Non Trouvé")</f>
        <v>#REF!</v>
      </c>
      <c r="M990" s="11" t="e">
        <f>_xlfn.XLOOKUP(Mvt_Inter_entrepot[[#This Row],[Num OF]],#REF!,#REF!,"Non Trouvé")</f>
        <v>#REF!</v>
      </c>
      <c r="N990" s="11" t="e">
        <f>_xlfn.XLOOKUP(Mvt_Inter_entrepot[[#This Row],[Num OF]],#REF!,#REF!,"Non Trouvé")</f>
        <v>#REF!</v>
      </c>
      <c r="O990" s="11" t="e">
        <f>_xlfn.XLOOKUP(Mvt_Inter_entrepot[[#This Row],[Num OF]],#REF!,#REF!,"Non Trouvé")</f>
        <v>#REF!</v>
      </c>
      <c r="P990" s="11" t="e">
        <f>_xlfn.XLOOKUP(Mvt_Inter_entrepot[[#This Row],[Num OF]],#REF!,#REF!,"Non Trouvé")</f>
        <v>#REF!</v>
      </c>
      <c r="Q990" s="11" t="str">
        <f>IF(
   COUNTIFS($A$2:A990,A990,
             $B$2:B990,B990,
             $C$2:C990,C990,
             $D$2:D990,D990,
             $E$2:E990,E990,
             $H$2:H990,H990
             )&gt;1,
   "Doublon",
   "Correcte"
)</f>
        <v>Correcte</v>
      </c>
    </row>
    <row r="991" spans="1:17" x14ac:dyDescent="0.25">
      <c r="A991" s="11" t="s">
        <v>3768</v>
      </c>
      <c r="B991" s="30" t="s">
        <v>1153</v>
      </c>
      <c r="C991" s="30" t="s">
        <v>665</v>
      </c>
      <c r="D991" s="30" t="s">
        <v>1154</v>
      </c>
      <c r="E991" s="30">
        <v>5</v>
      </c>
      <c r="F991" s="30" t="s">
        <v>699</v>
      </c>
      <c r="G991" s="30" t="s">
        <v>634</v>
      </c>
      <c r="H991" s="31">
        <v>45941.395162037035</v>
      </c>
      <c r="I991" s="12">
        <f>-Mvt_Inter_entrepot[[#This Row],[QTE]]</f>
        <v>-5</v>
      </c>
      <c r="J991" s="11" t="s">
        <v>1089</v>
      </c>
      <c r="K991" s="11" t="str">
        <f>_xlfn.TEXTBEFORE(Mvt_Inter_entrepot[[#This Row],[Num Suivis]],"-",,,1)</f>
        <v>CA250016</v>
      </c>
      <c r="L991" s="11" t="e">
        <f>_xlfn.XLOOKUP(Mvt_Inter_entrepot[[#This Row],[Num OF]],#REF!,#REF!,"Non Trouvé")</f>
        <v>#REF!</v>
      </c>
      <c r="M991" s="11" t="e">
        <f>_xlfn.XLOOKUP(Mvt_Inter_entrepot[[#This Row],[Num OF]],#REF!,#REF!,"Non Trouvé")</f>
        <v>#REF!</v>
      </c>
      <c r="N991" s="11" t="e">
        <f>_xlfn.XLOOKUP(Mvt_Inter_entrepot[[#This Row],[Num OF]],#REF!,#REF!,"Non Trouvé")</f>
        <v>#REF!</v>
      </c>
      <c r="O991" s="11" t="e">
        <f>_xlfn.XLOOKUP(Mvt_Inter_entrepot[[#This Row],[Num OF]],#REF!,#REF!,"Non Trouvé")</f>
        <v>#REF!</v>
      </c>
      <c r="P991" s="11" t="e">
        <f>_xlfn.XLOOKUP(Mvt_Inter_entrepot[[#This Row],[Num OF]],#REF!,#REF!,"Non Trouvé")</f>
        <v>#REF!</v>
      </c>
      <c r="Q991" s="11" t="str">
        <f>IF(
   COUNTIFS($A$2:A991,A991,
             $B$2:B991,B991,
             $C$2:C991,C991,
             $D$2:D991,D991,
             $E$2:E991,E991,
             $H$2:H991,H991
             )&gt;1,
   "Doublon",
   "Correcte"
)</f>
        <v>Correcte</v>
      </c>
    </row>
    <row r="992" spans="1:17" x14ac:dyDescent="0.25">
      <c r="A992" s="11" t="s">
        <v>3769</v>
      </c>
      <c r="B992" s="30" t="s">
        <v>1153</v>
      </c>
      <c r="C992" s="30" t="s">
        <v>665</v>
      </c>
      <c r="D992" s="30" t="s">
        <v>1154</v>
      </c>
      <c r="E992" s="30">
        <v>5</v>
      </c>
      <c r="F992" s="30" t="s">
        <v>699</v>
      </c>
      <c r="G992" s="30" t="s">
        <v>634</v>
      </c>
      <c r="H992" s="31">
        <v>45941.39539351852</v>
      </c>
      <c r="I992" s="12">
        <f>-Mvt_Inter_entrepot[[#This Row],[QTE]]</f>
        <v>-5</v>
      </c>
      <c r="J992" s="11" t="s">
        <v>1066</v>
      </c>
      <c r="K992" s="11" t="str">
        <f>_xlfn.TEXTBEFORE(Mvt_Inter_entrepot[[#This Row],[Num Suivis]],"-",,,1)</f>
        <v>CA250016</v>
      </c>
      <c r="L992" s="11" t="e">
        <f>_xlfn.XLOOKUP(Mvt_Inter_entrepot[[#This Row],[Num OF]],#REF!,#REF!,"Non Trouvé")</f>
        <v>#REF!</v>
      </c>
      <c r="M992" s="11" t="e">
        <f>_xlfn.XLOOKUP(Mvt_Inter_entrepot[[#This Row],[Num OF]],#REF!,#REF!,"Non Trouvé")</f>
        <v>#REF!</v>
      </c>
      <c r="N992" s="11" t="e">
        <f>_xlfn.XLOOKUP(Mvt_Inter_entrepot[[#This Row],[Num OF]],#REF!,#REF!,"Non Trouvé")</f>
        <v>#REF!</v>
      </c>
      <c r="O992" s="11" t="e">
        <f>_xlfn.XLOOKUP(Mvt_Inter_entrepot[[#This Row],[Num OF]],#REF!,#REF!,"Non Trouvé")</f>
        <v>#REF!</v>
      </c>
      <c r="P992" s="11" t="e">
        <f>_xlfn.XLOOKUP(Mvt_Inter_entrepot[[#This Row],[Num OF]],#REF!,#REF!,"Non Trouvé")</f>
        <v>#REF!</v>
      </c>
      <c r="Q992" s="11" t="str">
        <f>IF(
   COUNTIFS($A$2:A992,A992,
             $B$2:B992,B992,
             $C$2:C992,C992,
             $D$2:D992,D992,
             $E$2:E992,E992,
             $H$2:H992,H992
             )&gt;1,
   "Doublon",
   "Correcte"
)</f>
        <v>Correcte</v>
      </c>
    </row>
    <row r="993" spans="1:17" x14ac:dyDescent="0.25">
      <c r="A993" s="11" t="s">
        <v>3770</v>
      </c>
      <c r="B993" s="30" t="s">
        <v>1153</v>
      </c>
      <c r="C993" s="30" t="s">
        <v>665</v>
      </c>
      <c r="D993" s="30" t="s">
        <v>1154</v>
      </c>
      <c r="E993" s="30">
        <v>5</v>
      </c>
      <c r="F993" s="30" t="s">
        <v>699</v>
      </c>
      <c r="G993" s="30" t="s">
        <v>634</v>
      </c>
      <c r="H993" s="31">
        <v>45941.395578703705</v>
      </c>
      <c r="I993" s="12">
        <f>-Mvt_Inter_entrepot[[#This Row],[QTE]]</f>
        <v>-5</v>
      </c>
      <c r="J993" s="11" t="s">
        <v>1050</v>
      </c>
      <c r="K993" s="11" t="str">
        <f>_xlfn.TEXTBEFORE(Mvt_Inter_entrepot[[#This Row],[Num Suivis]],"-",,,1)</f>
        <v>CA250038</v>
      </c>
      <c r="L993" s="11" t="e">
        <f>_xlfn.XLOOKUP(Mvt_Inter_entrepot[[#This Row],[Num OF]],#REF!,#REF!,"Non Trouvé")</f>
        <v>#REF!</v>
      </c>
      <c r="M993" s="11" t="e">
        <f>_xlfn.XLOOKUP(Mvt_Inter_entrepot[[#This Row],[Num OF]],#REF!,#REF!,"Non Trouvé")</f>
        <v>#REF!</v>
      </c>
      <c r="N993" s="11" t="e">
        <f>_xlfn.XLOOKUP(Mvt_Inter_entrepot[[#This Row],[Num OF]],#REF!,#REF!,"Non Trouvé")</f>
        <v>#REF!</v>
      </c>
      <c r="O993" s="11" t="e">
        <f>_xlfn.XLOOKUP(Mvt_Inter_entrepot[[#This Row],[Num OF]],#REF!,#REF!,"Non Trouvé")</f>
        <v>#REF!</v>
      </c>
      <c r="P993" s="11" t="e">
        <f>_xlfn.XLOOKUP(Mvt_Inter_entrepot[[#This Row],[Num OF]],#REF!,#REF!,"Non Trouvé")</f>
        <v>#REF!</v>
      </c>
      <c r="Q993" s="11" t="str">
        <f>IF(
   COUNTIFS($A$2:A993,A993,
             $B$2:B993,B993,
             $C$2:C993,C993,
             $D$2:D993,D993,
             $E$2:E993,E993,
             $H$2:H993,H993
             )&gt;1,
   "Doublon",
   "Correcte"
)</f>
        <v>Correcte</v>
      </c>
    </row>
    <row r="994" spans="1:17" x14ac:dyDescent="0.25">
      <c r="A994" s="11" t="s">
        <v>3771</v>
      </c>
      <c r="B994" s="30" t="s">
        <v>1153</v>
      </c>
      <c r="C994" s="30" t="s">
        <v>665</v>
      </c>
      <c r="D994" s="30" t="s">
        <v>1154</v>
      </c>
      <c r="E994" s="30">
        <v>5</v>
      </c>
      <c r="F994" s="30" t="s">
        <v>699</v>
      </c>
      <c r="G994" s="30" t="s">
        <v>634</v>
      </c>
      <c r="H994" s="31">
        <v>45941.395787037036</v>
      </c>
      <c r="I994" s="12">
        <f>-Mvt_Inter_entrepot[[#This Row],[QTE]]</f>
        <v>-5</v>
      </c>
      <c r="J994" s="11" t="s">
        <v>1054</v>
      </c>
      <c r="K994" s="11" t="str">
        <f>_xlfn.TEXTBEFORE(Mvt_Inter_entrepot[[#This Row],[Num Suivis]],"-",,,1)</f>
        <v>CA250038</v>
      </c>
      <c r="L994" s="11" t="e">
        <f>_xlfn.XLOOKUP(Mvt_Inter_entrepot[[#This Row],[Num OF]],#REF!,#REF!,"Non Trouvé")</f>
        <v>#REF!</v>
      </c>
      <c r="M994" s="11" t="e">
        <f>_xlfn.XLOOKUP(Mvt_Inter_entrepot[[#This Row],[Num OF]],#REF!,#REF!,"Non Trouvé")</f>
        <v>#REF!</v>
      </c>
      <c r="N994" s="11" t="e">
        <f>_xlfn.XLOOKUP(Mvt_Inter_entrepot[[#This Row],[Num OF]],#REF!,#REF!,"Non Trouvé")</f>
        <v>#REF!</v>
      </c>
      <c r="O994" s="11" t="e">
        <f>_xlfn.XLOOKUP(Mvt_Inter_entrepot[[#This Row],[Num OF]],#REF!,#REF!,"Non Trouvé")</f>
        <v>#REF!</v>
      </c>
      <c r="P994" s="11" t="e">
        <f>_xlfn.XLOOKUP(Mvt_Inter_entrepot[[#This Row],[Num OF]],#REF!,#REF!,"Non Trouvé")</f>
        <v>#REF!</v>
      </c>
      <c r="Q994" s="11" t="str">
        <f>IF(
   COUNTIFS($A$2:A994,A994,
             $B$2:B994,B994,
             $C$2:C994,C994,
             $D$2:D994,D994,
             $E$2:E994,E994,
             $H$2:H994,H994
             )&gt;1,
   "Doublon",
   "Correcte"
)</f>
        <v>Correcte</v>
      </c>
    </row>
    <row r="995" spans="1:17" x14ac:dyDescent="0.25">
      <c r="A995" s="11" t="s">
        <v>3772</v>
      </c>
      <c r="B995" s="30" t="s">
        <v>1153</v>
      </c>
      <c r="C995" s="30" t="s">
        <v>665</v>
      </c>
      <c r="D995" s="30" t="s">
        <v>1154</v>
      </c>
      <c r="E995" s="30">
        <v>5</v>
      </c>
      <c r="F995" s="30" t="s">
        <v>699</v>
      </c>
      <c r="G995" s="30" t="s">
        <v>634</v>
      </c>
      <c r="H995" s="31">
        <v>45941.39607638889</v>
      </c>
      <c r="I995" s="12">
        <f>-Mvt_Inter_entrepot[[#This Row],[QTE]]</f>
        <v>-5</v>
      </c>
      <c r="J995" s="11" t="s">
        <v>1073</v>
      </c>
      <c r="K995" s="11" t="str">
        <f>_xlfn.TEXTBEFORE(Mvt_Inter_entrepot[[#This Row],[Num Suivis]],"-",,,1)</f>
        <v>CA250016</v>
      </c>
      <c r="L995" s="11" t="e">
        <f>_xlfn.XLOOKUP(Mvt_Inter_entrepot[[#This Row],[Num OF]],#REF!,#REF!,"Non Trouvé")</f>
        <v>#REF!</v>
      </c>
      <c r="M995" s="11" t="e">
        <f>_xlfn.XLOOKUP(Mvt_Inter_entrepot[[#This Row],[Num OF]],#REF!,#REF!,"Non Trouvé")</f>
        <v>#REF!</v>
      </c>
      <c r="N995" s="11" t="e">
        <f>_xlfn.XLOOKUP(Mvt_Inter_entrepot[[#This Row],[Num OF]],#REF!,#REF!,"Non Trouvé")</f>
        <v>#REF!</v>
      </c>
      <c r="O995" s="11" t="e">
        <f>_xlfn.XLOOKUP(Mvt_Inter_entrepot[[#This Row],[Num OF]],#REF!,#REF!,"Non Trouvé")</f>
        <v>#REF!</v>
      </c>
      <c r="P995" s="11" t="e">
        <f>_xlfn.XLOOKUP(Mvt_Inter_entrepot[[#This Row],[Num OF]],#REF!,#REF!,"Non Trouvé")</f>
        <v>#REF!</v>
      </c>
      <c r="Q995" s="11" t="str">
        <f>IF(
   COUNTIFS($A$2:A995,A995,
             $B$2:B995,B995,
             $C$2:C995,C995,
             $D$2:D995,D995,
             $E$2:E995,E995,
             $H$2:H995,H995
             )&gt;1,
   "Doublon",
   "Correcte"
)</f>
        <v>Correcte</v>
      </c>
    </row>
    <row r="996" spans="1:17" x14ac:dyDescent="0.25">
      <c r="A996" s="11" t="s">
        <v>3773</v>
      </c>
      <c r="B996" s="30" t="s">
        <v>1153</v>
      </c>
      <c r="C996" s="30" t="s">
        <v>665</v>
      </c>
      <c r="D996" s="30" t="s">
        <v>1154</v>
      </c>
      <c r="E996" s="30">
        <v>5</v>
      </c>
      <c r="F996" s="30" t="s">
        <v>699</v>
      </c>
      <c r="G996" s="30" t="s">
        <v>634</v>
      </c>
      <c r="H996" s="31">
        <v>45941.396284722221</v>
      </c>
      <c r="I996" s="12">
        <f>-Mvt_Inter_entrepot[[#This Row],[QTE]]</f>
        <v>-5</v>
      </c>
      <c r="J996" s="11" t="s">
        <v>1028</v>
      </c>
      <c r="K996" s="11" t="str">
        <f>_xlfn.TEXTBEFORE(Mvt_Inter_entrepot[[#This Row],[Num Suivis]],"-",,,1)</f>
        <v>CA250052</v>
      </c>
      <c r="L996" s="11" t="e">
        <f>_xlfn.XLOOKUP(Mvt_Inter_entrepot[[#This Row],[Num OF]],#REF!,#REF!,"Non Trouvé")</f>
        <v>#REF!</v>
      </c>
      <c r="M996" s="11" t="e">
        <f>_xlfn.XLOOKUP(Mvt_Inter_entrepot[[#This Row],[Num OF]],#REF!,#REF!,"Non Trouvé")</f>
        <v>#REF!</v>
      </c>
      <c r="N996" s="11" t="e">
        <f>_xlfn.XLOOKUP(Mvt_Inter_entrepot[[#This Row],[Num OF]],#REF!,#REF!,"Non Trouvé")</f>
        <v>#REF!</v>
      </c>
      <c r="O996" s="11" t="e">
        <f>_xlfn.XLOOKUP(Mvt_Inter_entrepot[[#This Row],[Num OF]],#REF!,#REF!,"Non Trouvé")</f>
        <v>#REF!</v>
      </c>
      <c r="P996" s="11" t="e">
        <f>_xlfn.XLOOKUP(Mvt_Inter_entrepot[[#This Row],[Num OF]],#REF!,#REF!,"Non Trouvé")</f>
        <v>#REF!</v>
      </c>
      <c r="Q996" s="11" t="str">
        <f>IF(
   COUNTIFS($A$2:A996,A996,
             $B$2:B996,B996,
             $C$2:C996,C996,
             $D$2:D996,D996,
             $E$2:E996,E996,
             $H$2:H996,H996
             )&gt;1,
   "Doublon",
   "Correcte"
)</f>
        <v>Correcte</v>
      </c>
    </row>
    <row r="997" spans="1:17" x14ac:dyDescent="0.25">
      <c r="A997" s="11" t="s">
        <v>3774</v>
      </c>
      <c r="B997" s="30" t="s">
        <v>1153</v>
      </c>
      <c r="C997" s="30" t="s">
        <v>665</v>
      </c>
      <c r="D997" s="30" t="s">
        <v>1154</v>
      </c>
      <c r="E997" s="30">
        <v>5</v>
      </c>
      <c r="F997" s="30" t="s">
        <v>699</v>
      </c>
      <c r="G997" s="30" t="s">
        <v>634</v>
      </c>
      <c r="H997" s="31">
        <v>45941.396493055552</v>
      </c>
      <c r="I997" s="12">
        <f>-Mvt_Inter_entrepot[[#This Row],[QTE]]</f>
        <v>-5</v>
      </c>
      <c r="J997" s="11" t="s">
        <v>1049</v>
      </c>
      <c r="K997" s="11" t="str">
        <f>_xlfn.TEXTBEFORE(Mvt_Inter_entrepot[[#This Row],[Num Suivis]],"-",,,1)</f>
        <v>CA250038</v>
      </c>
      <c r="L997" s="11" t="e">
        <f>_xlfn.XLOOKUP(Mvt_Inter_entrepot[[#This Row],[Num OF]],#REF!,#REF!,"Non Trouvé")</f>
        <v>#REF!</v>
      </c>
      <c r="M997" s="11" t="e">
        <f>_xlfn.XLOOKUP(Mvt_Inter_entrepot[[#This Row],[Num OF]],#REF!,#REF!,"Non Trouvé")</f>
        <v>#REF!</v>
      </c>
      <c r="N997" s="11" t="e">
        <f>_xlfn.XLOOKUP(Mvt_Inter_entrepot[[#This Row],[Num OF]],#REF!,#REF!,"Non Trouvé")</f>
        <v>#REF!</v>
      </c>
      <c r="O997" s="11" t="e">
        <f>_xlfn.XLOOKUP(Mvt_Inter_entrepot[[#This Row],[Num OF]],#REF!,#REF!,"Non Trouvé")</f>
        <v>#REF!</v>
      </c>
      <c r="P997" s="11" t="e">
        <f>_xlfn.XLOOKUP(Mvt_Inter_entrepot[[#This Row],[Num OF]],#REF!,#REF!,"Non Trouvé")</f>
        <v>#REF!</v>
      </c>
      <c r="Q997" s="11" t="str">
        <f>IF(
   COUNTIFS($A$2:A997,A997,
             $B$2:B997,B997,
             $C$2:C997,C997,
             $D$2:D997,D997,
             $E$2:E997,E997,
             $H$2:H997,H997
             )&gt;1,
   "Doublon",
   "Correcte"
)</f>
        <v>Correcte</v>
      </c>
    </row>
    <row r="998" spans="1:17" x14ac:dyDescent="0.25">
      <c r="A998" s="11" t="s">
        <v>3775</v>
      </c>
      <c r="B998" s="30" t="s">
        <v>1153</v>
      </c>
      <c r="C998" s="30" t="s">
        <v>665</v>
      </c>
      <c r="D998" s="30" t="s">
        <v>1154</v>
      </c>
      <c r="E998" s="30">
        <v>5</v>
      </c>
      <c r="F998" s="30" t="s">
        <v>699</v>
      </c>
      <c r="G998" s="30" t="s">
        <v>634</v>
      </c>
      <c r="H998" s="31">
        <v>45941.396724537037</v>
      </c>
      <c r="I998" s="12">
        <f>-Mvt_Inter_entrepot[[#This Row],[QTE]]</f>
        <v>-5</v>
      </c>
      <c r="J998" s="11" t="s">
        <v>1056</v>
      </c>
      <c r="K998" s="11" t="str">
        <f>_xlfn.TEXTBEFORE(Mvt_Inter_entrepot[[#This Row],[Num Suivis]],"-",,,1)</f>
        <v>CA250038</v>
      </c>
      <c r="L998" s="11" t="e">
        <f>_xlfn.XLOOKUP(Mvt_Inter_entrepot[[#This Row],[Num OF]],#REF!,#REF!,"Non Trouvé")</f>
        <v>#REF!</v>
      </c>
      <c r="M998" s="11" t="e">
        <f>_xlfn.XLOOKUP(Mvt_Inter_entrepot[[#This Row],[Num OF]],#REF!,#REF!,"Non Trouvé")</f>
        <v>#REF!</v>
      </c>
      <c r="N998" s="11" t="e">
        <f>_xlfn.XLOOKUP(Mvt_Inter_entrepot[[#This Row],[Num OF]],#REF!,#REF!,"Non Trouvé")</f>
        <v>#REF!</v>
      </c>
      <c r="O998" s="11" t="e">
        <f>_xlfn.XLOOKUP(Mvt_Inter_entrepot[[#This Row],[Num OF]],#REF!,#REF!,"Non Trouvé")</f>
        <v>#REF!</v>
      </c>
      <c r="P998" s="11" t="e">
        <f>_xlfn.XLOOKUP(Mvt_Inter_entrepot[[#This Row],[Num OF]],#REF!,#REF!,"Non Trouvé")</f>
        <v>#REF!</v>
      </c>
      <c r="Q998" s="11" t="str">
        <f>IF(
   COUNTIFS($A$2:A998,A998,
             $B$2:B998,B998,
             $C$2:C998,C998,
             $D$2:D998,D998,
             $E$2:E998,E998,
             $H$2:H998,H998
             )&gt;1,
   "Doublon",
   "Correcte"
)</f>
        <v>Correcte</v>
      </c>
    </row>
    <row r="999" spans="1:17" x14ac:dyDescent="0.25">
      <c r="A999" s="11" t="s">
        <v>3776</v>
      </c>
      <c r="B999" s="30" t="s">
        <v>1153</v>
      </c>
      <c r="C999" s="30" t="s">
        <v>665</v>
      </c>
      <c r="D999" s="30" t="s">
        <v>1154</v>
      </c>
      <c r="E999" s="30">
        <v>5</v>
      </c>
      <c r="F999" s="30" t="s">
        <v>699</v>
      </c>
      <c r="G999" s="30" t="s">
        <v>634</v>
      </c>
      <c r="H999" s="31">
        <v>45941.396932870368</v>
      </c>
      <c r="I999" s="12">
        <f>-Mvt_Inter_entrepot[[#This Row],[QTE]]</f>
        <v>-5</v>
      </c>
      <c r="J999" s="11" t="s">
        <v>1064</v>
      </c>
      <c r="K999" s="11" t="str">
        <f>_xlfn.TEXTBEFORE(Mvt_Inter_entrepot[[#This Row],[Num Suivis]],"-",,,1)</f>
        <v>CA250016</v>
      </c>
      <c r="L999" s="11" t="e">
        <f>_xlfn.XLOOKUP(Mvt_Inter_entrepot[[#This Row],[Num OF]],#REF!,#REF!,"Non Trouvé")</f>
        <v>#REF!</v>
      </c>
      <c r="M999" s="11" t="e">
        <f>_xlfn.XLOOKUP(Mvt_Inter_entrepot[[#This Row],[Num OF]],#REF!,#REF!,"Non Trouvé")</f>
        <v>#REF!</v>
      </c>
      <c r="N999" s="11" t="e">
        <f>_xlfn.XLOOKUP(Mvt_Inter_entrepot[[#This Row],[Num OF]],#REF!,#REF!,"Non Trouvé")</f>
        <v>#REF!</v>
      </c>
      <c r="O999" s="11" t="e">
        <f>_xlfn.XLOOKUP(Mvt_Inter_entrepot[[#This Row],[Num OF]],#REF!,#REF!,"Non Trouvé")</f>
        <v>#REF!</v>
      </c>
      <c r="P999" s="11" t="e">
        <f>_xlfn.XLOOKUP(Mvt_Inter_entrepot[[#This Row],[Num OF]],#REF!,#REF!,"Non Trouvé")</f>
        <v>#REF!</v>
      </c>
      <c r="Q999" s="11" t="str">
        <f>IF(
   COUNTIFS($A$2:A999,A999,
             $B$2:B999,B999,
             $C$2:C999,C999,
             $D$2:D999,D999,
             $E$2:E999,E999,
             $H$2:H999,H999
             )&gt;1,
   "Doublon",
   "Correcte"
)</f>
        <v>Correcte</v>
      </c>
    </row>
    <row r="1000" spans="1:17" x14ac:dyDescent="0.25">
      <c r="A1000" s="11" t="s">
        <v>3777</v>
      </c>
      <c r="B1000" s="30" t="s">
        <v>1153</v>
      </c>
      <c r="C1000" s="30" t="s">
        <v>665</v>
      </c>
      <c r="D1000" s="30" t="s">
        <v>1154</v>
      </c>
      <c r="E1000" s="30">
        <v>5</v>
      </c>
      <c r="F1000" s="30" t="s">
        <v>699</v>
      </c>
      <c r="G1000" s="30" t="s">
        <v>634</v>
      </c>
      <c r="H1000" s="31">
        <v>45941.397152777776</v>
      </c>
      <c r="I1000" s="12">
        <f>-Mvt_Inter_entrepot[[#This Row],[QTE]]</f>
        <v>-5</v>
      </c>
      <c r="J1000" s="11" t="s">
        <v>1068</v>
      </c>
      <c r="K1000" s="11" t="str">
        <f>_xlfn.TEXTBEFORE(Mvt_Inter_entrepot[[#This Row],[Num Suivis]],"-",,,1)</f>
        <v>CA250016</v>
      </c>
      <c r="L1000" s="11" t="e">
        <f>_xlfn.XLOOKUP(Mvt_Inter_entrepot[[#This Row],[Num OF]],#REF!,#REF!,"Non Trouvé")</f>
        <v>#REF!</v>
      </c>
      <c r="M1000" s="11" t="e">
        <f>_xlfn.XLOOKUP(Mvt_Inter_entrepot[[#This Row],[Num OF]],#REF!,#REF!,"Non Trouvé")</f>
        <v>#REF!</v>
      </c>
      <c r="N1000" s="11" t="e">
        <f>_xlfn.XLOOKUP(Mvt_Inter_entrepot[[#This Row],[Num OF]],#REF!,#REF!,"Non Trouvé")</f>
        <v>#REF!</v>
      </c>
      <c r="O1000" s="11" t="e">
        <f>_xlfn.XLOOKUP(Mvt_Inter_entrepot[[#This Row],[Num OF]],#REF!,#REF!,"Non Trouvé")</f>
        <v>#REF!</v>
      </c>
      <c r="P1000" s="11" t="e">
        <f>_xlfn.XLOOKUP(Mvt_Inter_entrepot[[#This Row],[Num OF]],#REF!,#REF!,"Non Trouvé")</f>
        <v>#REF!</v>
      </c>
      <c r="Q1000" s="11" t="str">
        <f>IF(
   COUNTIFS($A$2:A1000,A1000,
             $B$2:B1000,B1000,
             $C$2:C1000,C1000,
             $D$2:D1000,D1000,
             $E$2:E1000,E1000,
             $H$2:H1000,H1000
             )&gt;1,
   "Doublon",
   "Correcte"
)</f>
        <v>Correcte</v>
      </c>
    </row>
    <row r="1001" spans="1:17" x14ac:dyDescent="0.25">
      <c r="A1001" s="11" t="s">
        <v>3778</v>
      </c>
      <c r="B1001" s="30" t="s">
        <v>1153</v>
      </c>
      <c r="C1001" s="30" t="s">
        <v>665</v>
      </c>
      <c r="D1001" s="30" t="s">
        <v>1154</v>
      </c>
      <c r="E1001" s="30">
        <v>5</v>
      </c>
      <c r="F1001" s="30" t="s">
        <v>699</v>
      </c>
      <c r="G1001" s="30" t="s">
        <v>634</v>
      </c>
      <c r="H1001" s="31">
        <v>45941.397349537037</v>
      </c>
      <c r="I1001" s="12">
        <f>-Mvt_Inter_entrepot[[#This Row],[QTE]]</f>
        <v>-5</v>
      </c>
      <c r="J1001" s="11" t="s">
        <v>1070</v>
      </c>
      <c r="K1001" s="11" t="str">
        <f>_xlfn.TEXTBEFORE(Mvt_Inter_entrepot[[#This Row],[Num Suivis]],"-",,,1)</f>
        <v>CA250016</v>
      </c>
      <c r="L1001" s="11" t="e">
        <f>_xlfn.XLOOKUP(Mvt_Inter_entrepot[[#This Row],[Num OF]],#REF!,#REF!,"Non Trouvé")</f>
        <v>#REF!</v>
      </c>
      <c r="M1001" s="11" t="e">
        <f>_xlfn.XLOOKUP(Mvt_Inter_entrepot[[#This Row],[Num OF]],#REF!,#REF!,"Non Trouvé")</f>
        <v>#REF!</v>
      </c>
      <c r="N1001" s="11" t="e">
        <f>_xlfn.XLOOKUP(Mvt_Inter_entrepot[[#This Row],[Num OF]],#REF!,#REF!,"Non Trouvé")</f>
        <v>#REF!</v>
      </c>
      <c r="O1001" s="11" t="e">
        <f>_xlfn.XLOOKUP(Mvt_Inter_entrepot[[#This Row],[Num OF]],#REF!,#REF!,"Non Trouvé")</f>
        <v>#REF!</v>
      </c>
      <c r="P1001" s="11" t="e">
        <f>_xlfn.XLOOKUP(Mvt_Inter_entrepot[[#This Row],[Num OF]],#REF!,#REF!,"Non Trouvé")</f>
        <v>#REF!</v>
      </c>
      <c r="Q1001" s="11" t="str">
        <f>IF(
   COUNTIFS($A$2:A1001,A1001,
             $B$2:B1001,B1001,
             $C$2:C1001,C1001,
             $D$2:D1001,D1001,
             $E$2:E1001,E1001,
             $H$2:H1001,H1001
             )&gt;1,
   "Doublon",
   "Correcte"
)</f>
        <v>Correcte</v>
      </c>
    </row>
    <row r="1002" spans="1:17" x14ac:dyDescent="0.25">
      <c r="A1002" s="11" t="s">
        <v>3779</v>
      </c>
      <c r="B1002" s="30" t="s">
        <v>1153</v>
      </c>
      <c r="C1002" s="30" t="s">
        <v>665</v>
      </c>
      <c r="D1002" s="30" t="s">
        <v>1154</v>
      </c>
      <c r="E1002" s="30">
        <v>5</v>
      </c>
      <c r="F1002" s="30" t="s">
        <v>699</v>
      </c>
      <c r="G1002" s="30" t="s">
        <v>634</v>
      </c>
      <c r="H1002" s="31">
        <v>45941.398587962962</v>
      </c>
      <c r="I1002" s="12">
        <f>-Mvt_Inter_entrepot[[#This Row],[QTE]]</f>
        <v>-5</v>
      </c>
      <c r="J1002" s="11" t="s">
        <v>1030</v>
      </c>
      <c r="K1002" s="11" t="str">
        <f>_xlfn.TEXTBEFORE(Mvt_Inter_entrepot[[#This Row],[Num Suivis]],"-",,,1)</f>
        <v>CA250019</v>
      </c>
      <c r="L1002" s="11" t="e">
        <f>_xlfn.XLOOKUP(Mvt_Inter_entrepot[[#This Row],[Num OF]],#REF!,#REF!,"Non Trouvé")</f>
        <v>#REF!</v>
      </c>
      <c r="M1002" s="11" t="e">
        <f>_xlfn.XLOOKUP(Mvt_Inter_entrepot[[#This Row],[Num OF]],#REF!,#REF!,"Non Trouvé")</f>
        <v>#REF!</v>
      </c>
      <c r="N1002" s="11" t="e">
        <f>_xlfn.XLOOKUP(Mvt_Inter_entrepot[[#This Row],[Num OF]],#REF!,#REF!,"Non Trouvé")</f>
        <v>#REF!</v>
      </c>
      <c r="O1002" s="11" t="e">
        <f>_xlfn.XLOOKUP(Mvt_Inter_entrepot[[#This Row],[Num OF]],#REF!,#REF!,"Non Trouvé")</f>
        <v>#REF!</v>
      </c>
      <c r="P1002" s="11" t="e">
        <f>_xlfn.XLOOKUP(Mvt_Inter_entrepot[[#This Row],[Num OF]],#REF!,#REF!,"Non Trouvé")</f>
        <v>#REF!</v>
      </c>
      <c r="Q1002" s="11" t="str">
        <f>IF(
   COUNTIFS($A$2:A1002,A1002,
             $B$2:B1002,B1002,
             $C$2:C1002,C1002,
             $D$2:D1002,D1002,
             $E$2:E1002,E1002,
             $H$2:H1002,H1002
             )&gt;1,
   "Doublon",
   "Correcte"
)</f>
        <v>Correcte</v>
      </c>
    </row>
    <row r="1003" spans="1:17" x14ac:dyDescent="0.25">
      <c r="A1003" s="11" t="s">
        <v>3780</v>
      </c>
      <c r="B1003" s="30" t="s">
        <v>1153</v>
      </c>
      <c r="C1003" s="30" t="s">
        <v>665</v>
      </c>
      <c r="D1003" s="30" t="s">
        <v>1154</v>
      </c>
      <c r="E1003" s="30">
        <v>5</v>
      </c>
      <c r="F1003" s="30" t="s">
        <v>699</v>
      </c>
      <c r="G1003" s="30" t="s">
        <v>634</v>
      </c>
      <c r="H1003" s="31">
        <v>45941.398912037039</v>
      </c>
      <c r="I1003" s="12">
        <f>-Mvt_Inter_entrepot[[#This Row],[QTE]]</f>
        <v>-5</v>
      </c>
      <c r="J1003" s="11" t="s">
        <v>1038</v>
      </c>
      <c r="K1003" s="11" t="str">
        <f>_xlfn.TEXTBEFORE(Mvt_Inter_entrepot[[#This Row],[Num Suivis]],"-",,,1)</f>
        <v>CA250019</v>
      </c>
      <c r="L1003" s="11" t="e">
        <f>_xlfn.XLOOKUP(Mvt_Inter_entrepot[[#This Row],[Num OF]],#REF!,#REF!,"Non Trouvé")</f>
        <v>#REF!</v>
      </c>
      <c r="M1003" s="11" t="e">
        <f>_xlfn.XLOOKUP(Mvt_Inter_entrepot[[#This Row],[Num OF]],#REF!,#REF!,"Non Trouvé")</f>
        <v>#REF!</v>
      </c>
      <c r="N1003" s="11" t="e">
        <f>_xlfn.XLOOKUP(Mvt_Inter_entrepot[[#This Row],[Num OF]],#REF!,#REF!,"Non Trouvé")</f>
        <v>#REF!</v>
      </c>
      <c r="O1003" s="11" t="e">
        <f>_xlfn.XLOOKUP(Mvt_Inter_entrepot[[#This Row],[Num OF]],#REF!,#REF!,"Non Trouvé")</f>
        <v>#REF!</v>
      </c>
      <c r="P1003" s="11" t="e">
        <f>_xlfn.XLOOKUP(Mvt_Inter_entrepot[[#This Row],[Num OF]],#REF!,#REF!,"Non Trouvé")</f>
        <v>#REF!</v>
      </c>
      <c r="Q1003" s="11" t="str">
        <f>IF(
   COUNTIFS($A$2:A1003,A1003,
             $B$2:B1003,B1003,
             $C$2:C1003,C1003,
             $D$2:D1003,D1003,
             $E$2:E1003,E1003,
             $H$2:H1003,H1003
             )&gt;1,
   "Doublon",
   "Correcte"
)</f>
        <v>Correcte</v>
      </c>
    </row>
    <row r="1004" spans="1:17" x14ac:dyDescent="0.25">
      <c r="A1004" s="11" t="s">
        <v>3781</v>
      </c>
      <c r="B1004" s="30" t="s">
        <v>1153</v>
      </c>
      <c r="C1004" s="30" t="s">
        <v>665</v>
      </c>
      <c r="D1004" s="30" t="s">
        <v>1154</v>
      </c>
      <c r="E1004" s="30">
        <v>1</v>
      </c>
      <c r="F1004" s="30" t="s">
        <v>699</v>
      </c>
      <c r="G1004" s="30" t="s">
        <v>634</v>
      </c>
      <c r="H1004" s="31">
        <v>45941.399097222224</v>
      </c>
      <c r="I1004" s="12">
        <f>-Mvt_Inter_entrepot[[#This Row],[QTE]]</f>
        <v>-1</v>
      </c>
      <c r="J1004" s="11" t="s">
        <v>1032</v>
      </c>
      <c r="K1004" s="11" t="str">
        <f>_xlfn.TEXTBEFORE(Mvt_Inter_entrepot[[#This Row],[Num Suivis]],"-",,,1)</f>
        <v>CA250052</v>
      </c>
      <c r="L1004" s="11" t="e">
        <f>_xlfn.XLOOKUP(Mvt_Inter_entrepot[[#This Row],[Num OF]],#REF!,#REF!,"Non Trouvé")</f>
        <v>#REF!</v>
      </c>
      <c r="M1004" s="11" t="e">
        <f>_xlfn.XLOOKUP(Mvt_Inter_entrepot[[#This Row],[Num OF]],#REF!,#REF!,"Non Trouvé")</f>
        <v>#REF!</v>
      </c>
      <c r="N1004" s="11" t="e">
        <f>_xlfn.XLOOKUP(Mvt_Inter_entrepot[[#This Row],[Num OF]],#REF!,#REF!,"Non Trouvé")</f>
        <v>#REF!</v>
      </c>
      <c r="O1004" s="11" t="e">
        <f>_xlfn.XLOOKUP(Mvt_Inter_entrepot[[#This Row],[Num OF]],#REF!,#REF!,"Non Trouvé")</f>
        <v>#REF!</v>
      </c>
      <c r="P1004" s="11" t="e">
        <f>_xlfn.XLOOKUP(Mvt_Inter_entrepot[[#This Row],[Num OF]],#REF!,#REF!,"Non Trouvé")</f>
        <v>#REF!</v>
      </c>
      <c r="Q1004" s="11" t="str">
        <f>IF(
   COUNTIFS($A$2:A1004,A1004,
             $B$2:B1004,B1004,
             $C$2:C1004,C1004,
             $D$2:D1004,D1004,
             $E$2:E1004,E1004,
             $H$2:H1004,H1004
             )&gt;1,
   "Doublon",
   "Correcte"
)</f>
        <v>Correcte</v>
      </c>
    </row>
    <row r="1005" spans="1:17" x14ac:dyDescent="0.25">
      <c r="A1005" s="11" t="s">
        <v>3782</v>
      </c>
      <c r="B1005" s="30" t="s">
        <v>1153</v>
      </c>
      <c r="C1005" s="30" t="s">
        <v>665</v>
      </c>
      <c r="D1005" s="30" t="s">
        <v>1154</v>
      </c>
      <c r="E1005" s="30">
        <v>5</v>
      </c>
      <c r="F1005" s="30" t="s">
        <v>699</v>
      </c>
      <c r="G1005" s="30" t="s">
        <v>634</v>
      </c>
      <c r="H1005" s="31">
        <v>45941.399305555555</v>
      </c>
      <c r="I1005" s="12">
        <f>-Mvt_Inter_entrepot[[#This Row],[QTE]]</f>
        <v>-5</v>
      </c>
      <c r="J1005" s="11" t="s">
        <v>1042</v>
      </c>
      <c r="K1005" s="11" t="str">
        <f>_xlfn.TEXTBEFORE(Mvt_Inter_entrepot[[#This Row],[Num Suivis]],"-",,,1)</f>
        <v>CA250019</v>
      </c>
      <c r="L1005" s="11" t="e">
        <f>_xlfn.XLOOKUP(Mvt_Inter_entrepot[[#This Row],[Num OF]],#REF!,#REF!,"Non Trouvé")</f>
        <v>#REF!</v>
      </c>
      <c r="M1005" s="11" t="e">
        <f>_xlfn.XLOOKUP(Mvt_Inter_entrepot[[#This Row],[Num OF]],#REF!,#REF!,"Non Trouvé")</f>
        <v>#REF!</v>
      </c>
      <c r="N1005" s="11" t="e">
        <f>_xlfn.XLOOKUP(Mvt_Inter_entrepot[[#This Row],[Num OF]],#REF!,#REF!,"Non Trouvé")</f>
        <v>#REF!</v>
      </c>
      <c r="O1005" s="11" t="e">
        <f>_xlfn.XLOOKUP(Mvt_Inter_entrepot[[#This Row],[Num OF]],#REF!,#REF!,"Non Trouvé")</f>
        <v>#REF!</v>
      </c>
      <c r="P1005" s="11" t="e">
        <f>_xlfn.XLOOKUP(Mvt_Inter_entrepot[[#This Row],[Num OF]],#REF!,#REF!,"Non Trouvé")</f>
        <v>#REF!</v>
      </c>
      <c r="Q1005" s="11" t="str">
        <f>IF(
   COUNTIFS($A$2:A1005,A1005,
             $B$2:B1005,B1005,
             $C$2:C1005,C1005,
             $D$2:D1005,D1005,
             $E$2:E1005,E1005,
             $H$2:H1005,H1005
             )&gt;1,
   "Doublon",
   "Correcte"
)</f>
        <v>Correcte</v>
      </c>
    </row>
    <row r="1006" spans="1:17" x14ac:dyDescent="0.25">
      <c r="A1006" s="11" t="s">
        <v>3783</v>
      </c>
      <c r="B1006" s="30" t="s">
        <v>1153</v>
      </c>
      <c r="C1006" s="30" t="s">
        <v>665</v>
      </c>
      <c r="D1006" s="30" t="s">
        <v>1154</v>
      </c>
      <c r="E1006" s="30">
        <v>5</v>
      </c>
      <c r="F1006" s="30" t="s">
        <v>699</v>
      </c>
      <c r="G1006" s="30" t="s">
        <v>634</v>
      </c>
      <c r="H1006" s="31">
        <v>45941.39949074074</v>
      </c>
      <c r="I1006" s="12">
        <f>-Mvt_Inter_entrepot[[#This Row],[QTE]]</f>
        <v>-5</v>
      </c>
      <c r="J1006" s="11" t="s">
        <v>1069</v>
      </c>
      <c r="K1006" s="11" t="str">
        <f>_xlfn.TEXTBEFORE(Mvt_Inter_entrepot[[#This Row],[Num Suivis]],"-",,,1)</f>
        <v>CA250016</v>
      </c>
      <c r="L1006" s="11" t="e">
        <f>_xlfn.XLOOKUP(Mvt_Inter_entrepot[[#This Row],[Num OF]],#REF!,#REF!,"Non Trouvé")</f>
        <v>#REF!</v>
      </c>
      <c r="M1006" s="11" t="e">
        <f>_xlfn.XLOOKUP(Mvt_Inter_entrepot[[#This Row],[Num OF]],#REF!,#REF!,"Non Trouvé")</f>
        <v>#REF!</v>
      </c>
      <c r="N1006" s="11" t="e">
        <f>_xlfn.XLOOKUP(Mvt_Inter_entrepot[[#This Row],[Num OF]],#REF!,#REF!,"Non Trouvé")</f>
        <v>#REF!</v>
      </c>
      <c r="O1006" s="11" t="e">
        <f>_xlfn.XLOOKUP(Mvt_Inter_entrepot[[#This Row],[Num OF]],#REF!,#REF!,"Non Trouvé")</f>
        <v>#REF!</v>
      </c>
      <c r="P1006" s="11" t="e">
        <f>_xlfn.XLOOKUP(Mvt_Inter_entrepot[[#This Row],[Num OF]],#REF!,#REF!,"Non Trouvé")</f>
        <v>#REF!</v>
      </c>
      <c r="Q1006" s="11" t="str">
        <f>IF(
   COUNTIFS($A$2:A1006,A1006,
             $B$2:B1006,B1006,
             $C$2:C1006,C1006,
             $D$2:D1006,D1006,
             $E$2:E1006,E1006,
             $H$2:H1006,H1006
             )&gt;1,
   "Doublon",
   "Correcte"
)</f>
        <v>Correcte</v>
      </c>
    </row>
    <row r="1007" spans="1:17" x14ac:dyDescent="0.25">
      <c r="A1007" s="11" t="s">
        <v>3784</v>
      </c>
      <c r="B1007" s="30" t="s">
        <v>1153</v>
      </c>
      <c r="C1007" s="30" t="s">
        <v>665</v>
      </c>
      <c r="D1007" s="30" t="s">
        <v>1154</v>
      </c>
      <c r="E1007" s="30">
        <v>5</v>
      </c>
      <c r="F1007" s="30" t="s">
        <v>699</v>
      </c>
      <c r="G1007" s="30" t="s">
        <v>634</v>
      </c>
      <c r="H1007" s="31">
        <v>45941.399780092594</v>
      </c>
      <c r="I1007" s="12">
        <f>-Mvt_Inter_entrepot[[#This Row],[QTE]]</f>
        <v>-5</v>
      </c>
      <c r="J1007" s="11" t="s">
        <v>1067</v>
      </c>
      <c r="K1007" s="11" t="str">
        <f>_xlfn.TEXTBEFORE(Mvt_Inter_entrepot[[#This Row],[Num Suivis]],"-",,,1)</f>
        <v>CA250016</v>
      </c>
      <c r="L1007" s="11" t="e">
        <f>_xlfn.XLOOKUP(Mvt_Inter_entrepot[[#This Row],[Num OF]],#REF!,#REF!,"Non Trouvé")</f>
        <v>#REF!</v>
      </c>
      <c r="M1007" s="11" t="e">
        <f>_xlfn.XLOOKUP(Mvt_Inter_entrepot[[#This Row],[Num OF]],#REF!,#REF!,"Non Trouvé")</f>
        <v>#REF!</v>
      </c>
      <c r="N1007" s="11" t="e">
        <f>_xlfn.XLOOKUP(Mvt_Inter_entrepot[[#This Row],[Num OF]],#REF!,#REF!,"Non Trouvé")</f>
        <v>#REF!</v>
      </c>
      <c r="O1007" s="11" t="e">
        <f>_xlfn.XLOOKUP(Mvt_Inter_entrepot[[#This Row],[Num OF]],#REF!,#REF!,"Non Trouvé")</f>
        <v>#REF!</v>
      </c>
      <c r="P1007" s="11" t="e">
        <f>_xlfn.XLOOKUP(Mvt_Inter_entrepot[[#This Row],[Num OF]],#REF!,#REF!,"Non Trouvé")</f>
        <v>#REF!</v>
      </c>
      <c r="Q1007" s="11" t="str">
        <f>IF(
   COUNTIFS($A$2:A1007,A1007,
             $B$2:B1007,B1007,
             $C$2:C1007,C1007,
             $D$2:D1007,D1007,
             $E$2:E1007,E1007,
             $H$2:H1007,H1007
             )&gt;1,
   "Doublon",
   "Correcte"
)</f>
        <v>Correcte</v>
      </c>
    </row>
    <row r="1008" spans="1:17" x14ac:dyDescent="0.25">
      <c r="A1008" s="11" t="s">
        <v>3785</v>
      </c>
      <c r="B1008" s="30" t="s">
        <v>1153</v>
      </c>
      <c r="C1008" s="30" t="s">
        <v>665</v>
      </c>
      <c r="D1008" s="30" t="s">
        <v>1154</v>
      </c>
      <c r="E1008" s="30">
        <v>5</v>
      </c>
      <c r="F1008" s="30" t="s">
        <v>699</v>
      </c>
      <c r="G1008" s="30" t="s">
        <v>634</v>
      </c>
      <c r="H1008" s="31">
        <v>45941.4</v>
      </c>
      <c r="I1008" s="12">
        <f>-Mvt_Inter_entrepot[[#This Row],[QTE]]</f>
        <v>-5</v>
      </c>
      <c r="J1008" s="11" t="s">
        <v>1071</v>
      </c>
      <c r="K1008" s="11" t="str">
        <f>_xlfn.TEXTBEFORE(Mvt_Inter_entrepot[[#This Row],[Num Suivis]],"-",,,1)</f>
        <v>CA250016</v>
      </c>
      <c r="L1008" s="11" t="e">
        <f>_xlfn.XLOOKUP(Mvt_Inter_entrepot[[#This Row],[Num OF]],#REF!,#REF!,"Non Trouvé")</f>
        <v>#REF!</v>
      </c>
      <c r="M1008" s="11" t="e">
        <f>_xlfn.XLOOKUP(Mvt_Inter_entrepot[[#This Row],[Num OF]],#REF!,#REF!,"Non Trouvé")</f>
        <v>#REF!</v>
      </c>
      <c r="N1008" s="11" t="e">
        <f>_xlfn.XLOOKUP(Mvt_Inter_entrepot[[#This Row],[Num OF]],#REF!,#REF!,"Non Trouvé")</f>
        <v>#REF!</v>
      </c>
      <c r="O1008" s="11" t="e">
        <f>_xlfn.XLOOKUP(Mvt_Inter_entrepot[[#This Row],[Num OF]],#REF!,#REF!,"Non Trouvé")</f>
        <v>#REF!</v>
      </c>
      <c r="P1008" s="11" t="e">
        <f>_xlfn.XLOOKUP(Mvt_Inter_entrepot[[#This Row],[Num OF]],#REF!,#REF!,"Non Trouvé")</f>
        <v>#REF!</v>
      </c>
      <c r="Q1008" s="11" t="str">
        <f>IF(
   COUNTIFS($A$2:A1008,A1008,
             $B$2:B1008,B1008,
             $C$2:C1008,C1008,
             $D$2:D1008,D1008,
             $E$2:E1008,E1008,
             $H$2:H1008,H1008
             )&gt;1,
   "Doublon",
   "Correcte"
)</f>
        <v>Correcte</v>
      </c>
    </row>
    <row r="1009" spans="1:17" x14ac:dyDescent="0.25">
      <c r="A1009" s="11" t="s">
        <v>3786</v>
      </c>
      <c r="B1009" s="30" t="s">
        <v>1153</v>
      </c>
      <c r="C1009" s="30" t="s">
        <v>665</v>
      </c>
      <c r="D1009" s="30" t="s">
        <v>1154</v>
      </c>
      <c r="E1009" s="30">
        <v>5</v>
      </c>
      <c r="F1009" s="30" t="s">
        <v>699</v>
      </c>
      <c r="G1009" s="30" t="s">
        <v>634</v>
      </c>
      <c r="H1009" s="31">
        <v>45941.400196759256</v>
      </c>
      <c r="I1009" s="12">
        <f>-Mvt_Inter_entrepot[[#This Row],[QTE]]</f>
        <v>-5</v>
      </c>
      <c r="J1009" s="11" t="s">
        <v>1034</v>
      </c>
      <c r="K1009" s="11" t="str">
        <f>_xlfn.TEXTBEFORE(Mvt_Inter_entrepot[[#This Row],[Num Suivis]],"-",,,1)</f>
        <v>CA250056</v>
      </c>
      <c r="L1009" s="11" t="e">
        <f>_xlfn.XLOOKUP(Mvt_Inter_entrepot[[#This Row],[Num OF]],#REF!,#REF!,"Non Trouvé")</f>
        <v>#REF!</v>
      </c>
      <c r="M1009" s="11" t="e">
        <f>_xlfn.XLOOKUP(Mvt_Inter_entrepot[[#This Row],[Num OF]],#REF!,#REF!,"Non Trouvé")</f>
        <v>#REF!</v>
      </c>
      <c r="N1009" s="11" t="e">
        <f>_xlfn.XLOOKUP(Mvt_Inter_entrepot[[#This Row],[Num OF]],#REF!,#REF!,"Non Trouvé")</f>
        <v>#REF!</v>
      </c>
      <c r="O1009" s="11" t="e">
        <f>_xlfn.XLOOKUP(Mvt_Inter_entrepot[[#This Row],[Num OF]],#REF!,#REF!,"Non Trouvé")</f>
        <v>#REF!</v>
      </c>
      <c r="P1009" s="11" t="e">
        <f>_xlfn.XLOOKUP(Mvt_Inter_entrepot[[#This Row],[Num OF]],#REF!,#REF!,"Non Trouvé")</f>
        <v>#REF!</v>
      </c>
      <c r="Q1009" s="11" t="str">
        <f>IF(
   COUNTIFS($A$2:A1009,A1009,
             $B$2:B1009,B1009,
             $C$2:C1009,C1009,
             $D$2:D1009,D1009,
             $E$2:E1009,E1009,
             $H$2:H1009,H1009
             )&gt;1,
   "Doublon",
   "Correcte"
)</f>
        <v>Correcte</v>
      </c>
    </row>
    <row r="1010" spans="1:17" x14ac:dyDescent="0.25">
      <c r="A1010" s="11" t="s">
        <v>3787</v>
      </c>
      <c r="B1010" s="30" t="s">
        <v>1153</v>
      </c>
      <c r="C1010" s="30" t="s">
        <v>665</v>
      </c>
      <c r="D1010" s="30" t="s">
        <v>1154</v>
      </c>
      <c r="E1010" s="30">
        <v>5</v>
      </c>
      <c r="F1010" s="30" t="s">
        <v>699</v>
      </c>
      <c r="G1010" s="30" t="s">
        <v>634</v>
      </c>
      <c r="H1010" s="31">
        <v>45941.400347222225</v>
      </c>
      <c r="I1010" s="12">
        <f>-Mvt_Inter_entrepot[[#This Row],[QTE]]</f>
        <v>-5</v>
      </c>
      <c r="J1010" s="11" t="s">
        <v>1041</v>
      </c>
      <c r="K1010" s="11" t="str">
        <f>_xlfn.TEXTBEFORE(Mvt_Inter_entrepot[[#This Row],[Num Suivis]],"-",,,1)</f>
        <v>CA250019</v>
      </c>
      <c r="L1010" s="11" t="e">
        <f>_xlfn.XLOOKUP(Mvt_Inter_entrepot[[#This Row],[Num OF]],#REF!,#REF!,"Non Trouvé")</f>
        <v>#REF!</v>
      </c>
      <c r="M1010" s="11" t="e">
        <f>_xlfn.XLOOKUP(Mvt_Inter_entrepot[[#This Row],[Num OF]],#REF!,#REF!,"Non Trouvé")</f>
        <v>#REF!</v>
      </c>
      <c r="N1010" s="11" t="e">
        <f>_xlfn.XLOOKUP(Mvt_Inter_entrepot[[#This Row],[Num OF]],#REF!,#REF!,"Non Trouvé")</f>
        <v>#REF!</v>
      </c>
      <c r="O1010" s="11" t="e">
        <f>_xlfn.XLOOKUP(Mvt_Inter_entrepot[[#This Row],[Num OF]],#REF!,#REF!,"Non Trouvé")</f>
        <v>#REF!</v>
      </c>
      <c r="P1010" s="11" t="e">
        <f>_xlfn.XLOOKUP(Mvt_Inter_entrepot[[#This Row],[Num OF]],#REF!,#REF!,"Non Trouvé")</f>
        <v>#REF!</v>
      </c>
      <c r="Q1010" s="11" t="str">
        <f>IF(
   COUNTIFS($A$2:A1010,A1010,
             $B$2:B1010,B1010,
             $C$2:C1010,C1010,
             $D$2:D1010,D1010,
             $E$2:E1010,E1010,
             $H$2:H1010,H1010
             )&gt;1,
   "Doublon",
   "Correcte"
)</f>
        <v>Correcte</v>
      </c>
    </row>
    <row r="1011" spans="1:17" x14ac:dyDescent="0.25">
      <c r="A1011" s="30" t="s">
        <v>3788</v>
      </c>
      <c r="B1011" s="30" t="s">
        <v>1153</v>
      </c>
      <c r="C1011" s="30" t="s">
        <v>665</v>
      </c>
      <c r="D1011" s="30" t="s">
        <v>1154</v>
      </c>
      <c r="E1011" s="30">
        <v>5</v>
      </c>
      <c r="F1011" s="30" t="s">
        <v>699</v>
      </c>
      <c r="G1011" s="30" t="s">
        <v>634</v>
      </c>
      <c r="H1011" s="31">
        <v>45941.400555555556</v>
      </c>
      <c r="I1011" s="12">
        <f>-Mvt_Inter_entrepot[[#This Row],[QTE]]</f>
        <v>-5</v>
      </c>
      <c r="J1011" s="11" t="s">
        <v>1040</v>
      </c>
      <c r="K1011" s="11" t="str">
        <f>_xlfn.TEXTBEFORE(Mvt_Inter_entrepot[[#This Row],[Num Suivis]],"-",,,1)</f>
        <v>CA250019</v>
      </c>
      <c r="L1011" s="11" t="e">
        <f>_xlfn.XLOOKUP(Mvt_Inter_entrepot[[#This Row],[Num OF]],#REF!,#REF!,"Non Trouvé")</f>
        <v>#REF!</v>
      </c>
      <c r="M1011" s="11" t="e">
        <f>_xlfn.XLOOKUP(Mvt_Inter_entrepot[[#This Row],[Num OF]],#REF!,#REF!,"Non Trouvé")</f>
        <v>#REF!</v>
      </c>
      <c r="N1011" s="11" t="e">
        <f>_xlfn.XLOOKUP(Mvt_Inter_entrepot[[#This Row],[Num OF]],#REF!,#REF!,"Non Trouvé")</f>
        <v>#REF!</v>
      </c>
      <c r="O1011" s="11" t="e">
        <f>_xlfn.XLOOKUP(Mvt_Inter_entrepot[[#This Row],[Num OF]],#REF!,#REF!,"Non Trouvé")</f>
        <v>#REF!</v>
      </c>
      <c r="P1011" s="11" t="e">
        <f>_xlfn.XLOOKUP(Mvt_Inter_entrepot[[#This Row],[Num OF]],#REF!,#REF!,"Non Trouvé")</f>
        <v>#REF!</v>
      </c>
      <c r="Q1011" s="122" t="str">
        <f>IF(
   COUNTIFS($A$2:A1172,A1011,
             $B$2:B1172,B1011,
             $C$2:C1172,C1011,
             $D$2:D1172,D1011,
             $E$2:E1172,E1011,
             $H$2:H1172,H1011
             )&gt;1,
   "Doublon",
   "Correcte"
)</f>
        <v>Correcte</v>
      </c>
    </row>
    <row r="1012" spans="1:17" x14ac:dyDescent="0.25">
      <c r="A1012" s="11">
        <v>0</v>
      </c>
      <c r="B1012" s="11"/>
      <c r="C1012" s="11"/>
      <c r="D1012" s="11"/>
      <c r="E1012" s="11"/>
      <c r="F1012" s="11"/>
      <c r="G1012" s="11"/>
      <c r="H1012" s="14"/>
      <c r="I1012" s="12">
        <f>-Mvt_Inter_entrepot[[#This Row],[QTE]]</f>
        <v>0</v>
      </c>
      <c r="J1012" s="11" t="s">
        <v>2685</v>
      </c>
      <c r="K1012" s="11" t="str">
        <f>_xlfn.TEXTBEFORE(Mvt_Inter_entrepot[[#This Row],[Num Suivis]],"-",,,1)</f>
        <v>CA250759</v>
      </c>
      <c r="L1012" s="11" t="e">
        <f>_xlfn.XLOOKUP(Mvt_Inter_entrepot[[#This Row],[Num OF]],#REF!,#REF!,"Non Trouvé")</f>
        <v>#REF!</v>
      </c>
      <c r="M1012" s="11" t="e">
        <f>_xlfn.XLOOKUP(Mvt_Inter_entrepot[[#This Row],[Num OF]],#REF!,#REF!,"Non Trouvé")</f>
        <v>#REF!</v>
      </c>
      <c r="N1012" s="11" t="e">
        <f>_xlfn.XLOOKUP(Mvt_Inter_entrepot[[#This Row],[Num OF]],#REF!,#REF!,"Non Trouvé")</f>
        <v>#REF!</v>
      </c>
      <c r="O1012" s="11" t="e">
        <f>_xlfn.XLOOKUP(Mvt_Inter_entrepot[[#This Row],[Num OF]],#REF!,#REF!,"Non Trouvé")</f>
        <v>#REF!</v>
      </c>
      <c r="P1012" s="11" t="e">
        <f>_xlfn.XLOOKUP(Mvt_Inter_entrepot[[#This Row],[Num OF]],#REF!,#REF!,"Non Trouvé")</f>
        <v>#REF!</v>
      </c>
      <c r="Q1012" s="11" t="str">
        <f>IF(
   COUNTIFS($A$2:A1012,A1012,
             $B$2:B1012,B1012,
             $C$2:C1012,C1012,
             $D$2:D1012,D1012,
             $E$2:E1012,E1012,
             $H$2:H1012,H1012
             )&gt;1,
   "Doublon",
   "Correcte"
)</f>
        <v>Correcte</v>
      </c>
    </row>
    <row r="1013" spans="1:17" x14ac:dyDescent="0.25">
      <c r="A1013" s="11">
        <v>0</v>
      </c>
      <c r="B1013" s="11"/>
      <c r="C1013" s="11"/>
      <c r="D1013" s="11"/>
      <c r="E1013" s="11"/>
      <c r="F1013" s="11"/>
      <c r="G1013" s="11"/>
      <c r="H1013" s="14"/>
      <c r="I1013" s="12">
        <f>-Mvt_Inter_entrepot[[#This Row],[QTE]]</f>
        <v>0</v>
      </c>
      <c r="J1013" s="11" t="s">
        <v>2686</v>
      </c>
      <c r="K1013" s="11" t="str">
        <f>_xlfn.TEXTBEFORE(Mvt_Inter_entrepot[[#This Row],[Num Suivis]],"-",,,1)</f>
        <v>CA250759</v>
      </c>
      <c r="L1013" s="11" t="e">
        <f>_xlfn.XLOOKUP(Mvt_Inter_entrepot[[#This Row],[Num OF]],#REF!,#REF!,"Non Trouvé")</f>
        <v>#REF!</v>
      </c>
      <c r="M1013" s="11" t="e">
        <f>_xlfn.XLOOKUP(Mvt_Inter_entrepot[[#This Row],[Num OF]],#REF!,#REF!,"Non Trouvé")</f>
        <v>#REF!</v>
      </c>
      <c r="N1013" s="11" t="e">
        <f>_xlfn.XLOOKUP(Mvt_Inter_entrepot[[#This Row],[Num OF]],#REF!,#REF!,"Non Trouvé")</f>
        <v>#REF!</v>
      </c>
      <c r="O1013" s="11" t="e">
        <f>_xlfn.XLOOKUP(Mvt_Inter_entrepot[[#This Row],[Num OF]],#REF!,#REF!,"Non Trouvé")</f>
        <v>#REF!</v>
      </c>
      <c r="P1013" s="11" t="e">
        <f>_xlfn.XLOOKUP(Mvt_Inter_entrepot[[#This Row],[Num OF]],#REF!,#REF!,"Non Trouvé")</f>
        <v>#REF!</v>
      </c>
      <c r="Q1013" s="11" t="str">
        <f>IF(
   COUNTIFS($A$2:A1013,A1013,
             $B$2:B1013,B1013,
             $C$2:C1013,C1013,
             $D$2:D1013,D1013,
             $E$2:E1013,E1013,
             $H$2:H1013,H1013
             )&gt;1,
   "Doublon",
   "Correcte"
)</f>
        <v>Correcte</v>
      </c>
    </row>
    <row r="1014" spans="1:17" x14ac:dyDescent="0.25">
      <c r="A1014" s="11">
        <v>0</v>
      </c>
      <c r="B1014" s="11"/>
      <c r="C1014" s="11"/>
      <c r="D1014" s="11"/>
      <c r="E1014" s="11"/>
      <c r="F1014" s="11"/>
      <c r="G1014" s="11"/>
      <c r="H1014" s="14"/>
      <c r="I1014" s="12">
        <f>-Mvt_Inter_entrepot[[#This Row],[QTE]]</f>
        <v>0</v>
      </c>
      <c r="J1014" s="11" t="s">
        <v>2687</v>
      </c>
      <c r="K1014" s="11" t="str">
        <f>_xlfn.TEXTBEFORE(Mvt_Inter_entrepot[[#This Row],[Num Suivis]],"-",,,1)</f>
        <v>CA250759</v>
      </c>
      <c r="L1014" s="11" t="e">
        <f>_xlfn.XLOOKUP(Mvt_Inter_entrepot[[#This Row],[Num OF]],#REF!,#REF!,"Non Trouvé")</f>
        <v>#REF!</v>
      </c>
      <c r="M1014" s="11" t="e">
        <f>_xlfn.XLOOKUP(Mvt_Inter_entrepot[[#This Row],[Num OF]],#REF!,#REF!,"Non Trouvé")</f>
        <v>#REF!</v>
      </c>
      <c r="N1014" s="11" t="e">
        <f>_xlfn.XLOOKUP(Mvt_Inter_entrepot[[#This Row],[Num OF]],#REF!,#REF!,"Non Trouvé")</f>
        <v>#REF!</v>
      </c>
      <c r="O1014" s="11" t="e">
        <f>_xlfn.XLOOKUP(Mvt_Inter_entrepot[[#This Row],[Num OF]],#REF!,#REF!,"Non Trouvé")</f>
        <v>#REF!</v>
      </c>
      <c r="P1014" s="11" t="e">
        <f>_xlfn.XLOOKUP(Mvt_Inter_entrepot[[#This Row],[Num OF]],#REF!,#REF!,"Non Trouvé")</f>
        <v>#REF!</v>
      </c>
      <c r="Q1014" s="11" t="str">
        <f>IF(
   COUNTIFS($A$2:A1014,A1014,
             $B$2:B1014,B1014,
             $C$2:C1014,C1014,
             $D$2:D1014,D1014,
             $E$2:E1014,E1014,
             $H$2:H1014,H1014
             )&gt;1,
   "Doublon",
   "Correcte"
)</f>
        <v>Correcte</v>
      </c>
    </row>
    <row r="1015" spans="1:17" x14ac:dyDescent="0.25">
      <c r="A1015" s="11">
        <v>0</v>
      </c>
      <c r="B1015" s="11"/>
      <c r="C1015" s="11"/>
      <c r="D1015" s="11"/>
      <c r="E1015" s="11"/>
      <c r="F1015" s="11"/>
      <c r="G1015" s="11"/>
      <c r="H1015" s="14"/>
      <c r="I1015" s="12">
        <f>-Mvt_Inter_entrepot[[#This Row],[QTE]]</f>
        <v>0</v>
      </c>
      <c r="J1015" s="11" t="s">
        <v>2688</v>
      </c>
      <c r="K1015" s="11" t="str">
        <f>_xlfn.TEXTBEFORE(Mvt_Inter_entrepot[[#This Row],[Num Suivis]],"-",,,1)</f>
        <v>CA250759</v>
      </c>
      <c r="L1015" s="11" t="e">
        <f>_xlfn.XLOOKUP(Mvt_Inter_entrepot[[#This Row],[Num OF]],#REF!,#REF!,"Non Trouvé")</f>
        <v>#REF!</v>
      </c>
      <c r="M1015" s="11" t="e">
        <f>_xlfn.XLOOKUP(Mvt_Inter_entrepot[[#This Row],[Num OF]],#REF!,#REF!,"Non Trouvé")</f>
        <v>#REF!</v>
      </c>
      <c r="N1015" s="11" t="e">
        <f>_xlfn.XLOOKUP(Mvt_Inter_entrepot[[#This Row],[Num OF]],#REF!,#REF!,"Non Trouvé")</f>
        <v>#REF!</v>
      </c>
      <c r="O1015" s="11" t="e">
        <f>_xlfn.XLOOKUP(Mvt_Inter_entrepot[[#This Row],[Num OF]],#REF!,#REF!,"Non Trouvé")</f>
        <v>#REF!</v>
      </c>
      <c r="P1015" s="11" t="e">
        <f>_xlfn.XLOOKUP(Mvt_Inter_entrepot[[#This Row],[Num OF]],#REF!,#REF!,"Non Trouvé")</f>
        <v>#REF!</v>
      </c>
      <c r="Q1015" s="11" t="str">
        <f>IF(
   COUNTIFS($A$2:A1015,A1015,
             $B$2:B1015,B1015,
             $C$2:C1015,C1015,
             $D$2:D1015,D1015,
             $E$2:E1015,E1015,
             $H$2:H1015,H1015
             )&gt;1,
   "Doublon",
   "Correcte"
)</f>
        <v>Correcte</v>
      </c>
    </row>
    <row r="1016" spans="1:17" x14ac:dyDescent="0.25">
      <c r="A1016" s="11">
        <v>0</v>
      </c>
      <c r="B1016" s="11"/>
      <c r="C1016" s="11"/>
      <c r="D1016" s="11"/>
      <c r="E1016" s="11"/>
      <c r="F1016" s="11"/>
      <c r="G1016" s="11"/>
      <c r="H1016" s="14"/>
      <c r="I1016" s="12">
        <f>-Mvt_Inter_entrepot[[#This Row],[QTE]]</f>
        <v>0</v>
      </c>
      <c r="J1016" s="11" t="s">
        <v>2689</v>
      </c>
      <c r="K1016" s="11" t="str">
        <f>_xlfn.TEXTBEFORE(Mvt_Inter_entrepot[[#This Row],[Num Suivis]],"-",,,1)</f>
        <v>CA250759</v>
      </c>
      <c r="L1016" s="11" t="e">
        <f>_xlfn.XLOOKUP(Mvt_Inter_entrepot[[#This Row],[Num OF]],#REF!,#REF!,"Non Trouvé")</f>
        <v>#REF!</v>
      </c>
      <c r="M1016" s="11" t="e">
        <f>_xlfn.XLOOKUP(Mvt_Inter_entrepot[[#This Row],[Num OF]],#REF!,#REF!,"Non Trouvé")</f>
        <v>#REF!</v>
      </c>
      <c r="N1016" s="11" t="e">
        <f>_xlfn.XLOOKUP(Mvt_Inter_entrepot[[#This Row],[Num OF]],#REF!,#REF!,"Non Trouvé")</f>
        <v>#REF!</v>
      </c>
      <c r="O1016" s="11" t="e">
        <f>_xlfn.XLOOKUP(Mvt_Inter_entrepot[[#This Row],[Num OF]],#REF!,#REF!,"Non Trouvé")</f>
        <v>#REF!</v>
      </c>
      <c r="P1016" s="11" t="e">
        <f>_xlfn.XLOOKUP(Mvt_Inter_entrepot[[#This Row],[Num OF]],#REF!,#REF!,"Non Trouvé")</f>
        <v>#REF!</v>
      </c>
      <c r="Q1016" s="11" t="str">
        <f>IF(
   COUNTIFS($A$2:A1016,A1016,
             $B$2:B1016,B1016,
             $C$2:C1016,C1016,
             $D$2:D1016,D1016,
             $E$2:E1016,E1016,
             $H$2:H1016,H1016
             )&gt;1,
   "Doublon",
   "Correcte"
)</f>
        <v>Correcte</v>
      </c>
    </row>
    <row r="1017" spans="1:17" x14ac:dyDescent="0.25">
      <c r="A1017" s="11">
        <v>0</v>
      </c>
      <c r="B1017" s="11"/>
      <c r="C1017" s="11"/>
      <c r="D1017" s="11"/>
      <c r="E1017" s="11"/>
      <c r="F1017" s="11"/>
      <c r="G1017" s="11"/>
      <c r="H1017" s="14"/>
      <c r="I1017" s="12">
        <f>-Mvt_Inter_entrepot[[#This Row],[QTE]]</f>
        <v>0</v>
      </c>
      <c r="J1017" s="11" t="s">
        <v>2690</v>
      </c>
      <c r="K1017" s="11" t="str">
        <f>_xlfn.TEXTBEFORE(Mvt_Inter_entrepot[[#This Row],[Num Suivis]],"-",,,1)</f>
        <v>CA250759</v>
      </c>
      <c r="L1017" s="11" t="e">
        <f>_xlfn.XLOOKUP(Mvt_Inter_entrepot[[#This Row],[Num OF]],#REF!,#REF!,"Non Trouvé")</f>
        <v>#REF!</v>
      </c>
      <c r="M1017" s="11" t="e">
        <f>_xlfn.XLOOKUP(Mvt_Inter_entrepot[[#This Row],[Num OF]],#REF!,#REF!,"Non Trouvé")</f>
        <v>#REF!</v>
      </c>
      <c r="N1017" s="11" t="e">
        <f>_xlfn.XLOOKUP(Mvt_Inter_entrepot[[#This Row],[Num OF]],#REF!,#REF!,"Non Trouvé")</f>
        <v>#REF!</v>
      </c>
      <c r="O1017" s="11" t="e">
        <f>_xlfn.XLOOKUP(Mvt_Inter_entrepot[[#This Row],[Num OF]],#REF!,#REF!,"Non Trouvé")</f>
        <v>#REF!</v>
      </c>
      <c r="P1017" s="11" t="e">
        <f>_xlfn.XLOOKUP(Mvt_Inter_entrepot[[#This Row],[Num OF]],#REF!,#REF!,"Non Trouvé")</f>
        <v>#REF!</v>
      </c>
      <c r="Q1017" s="11" t="str">
        <f>IF(
   COUNTIFS($A$2:A1017,A1017,
             $B$2:B1017,B1017,
             $C$2:C1017,C1017,
             $D$2:D1017,D1017,
             $E$2:E1017,E1017,
             $H$2:H1017,H1017
             )&gt;1,
   "Doublon",
   "Correcte"
)</f>
        <v>Correcte</v>
      </c>
    </row>
    <row r="1018" spans="1:17" x14ac:dyDescent="0.25">
      <c r="A1018" s="11">
        <v>0</v>
      </c>
      <c r="B1018" s="11"/>
      <c r="C1018" s="11"/>
      <c r="D1018" s="11"/>
      <c r="E1018" s="11"/>
      <c r="F1018" s="11"/>
      <c r="G1018" s="11"/>
      <c r="H1018" s="14"/>
      <c r="I1018" s="12">
        <f>-Mvt_Inter_entrepot[[#This Row],[QTE]]</f>
        <v>0</v>
      </c>
      <c r="J1018" s="11" t="s">
        <v>2691</v>
      </c>
      <c r="K1018" s="11" t="str">
        <f>_xlfn.TEXTBEFORE(Mvt_Inter_entrepot[[#This Row],[Num Suivis]],"-",,,1)</f>
        <v>CA250759</v>
      </c>
      <c r="L1018" s="11" t="e">
        <f>_xlfn.XLOOKUP(Mvt_Inter_entrepot[[#This Row],[Num OF]],#REF!,#REF!,"Non Trouvé")</f>
        <v>#REF!</v>
      </c>
      <c r="M1018" s="11" t="e">
        <f>_xlfn.XLOOKUP(Mvt_Inter_entrepot[[#This Row],[Num OF]],#REF!,#REF!,"Non Trouvé")</f>
        <v>#REF!</v>
      </c>
      <c r="N1018" s="11" t="e">
        <f>_xlfn.XLOOKUP(Mvt_Inter_entrepot[[#This Row],[Num OF]],#REF!,#REF!,"Non Trouvé")</f>
        <v>#REF!</v>
      </c>
      <c r="O1018" s="11" t="e">
        <f>_xlfn.XLOOKUP(Mvt_Inter_entrepot[[#This Row],[Num OF]],#REF!,#REF!,"Non Trouvé")</f>
        <v>#REF!</v>
      </c>
      <c r="P1018" s="11" t="e">
        <f>_xlfn.XLOOKUP(Mvt_Inter_entrepot[[#This Row],[Num OF]],#REF!,#REF!,"Non Trouvé")</f>
        <v>#REF!</v>
      </c>
      <c r="Q1018" s="11" t="str">
        <f>IF(
   COUNTIFS($A$2:A1018,A1018,
             $B$2:B1018,B1018,
             $C$2:C1018,C1018,
             $D$2:D1018,D1018,
             $E$2:E1018,E1018,
             $H$2:H1018,H1018
             )&gt;1,
   "Doublon",
   "Correcte"
)</f>
        <v>Correcte</v>
      </c>
    </row>
    <row r="1019" spans="1:17" x14ac:dyDescent="0.25">
      <c r="A1019" s="11">
        <v>0</v>
      </c>
      <c r="B1019" s="11"/>
      <c r="C1019" s="11"/>
      <c r="D1019" s="11"/>
      <c r="E1019" s="11"/>
      <c r="F1019" s="11"/>
      <c r="G1019" s="11"/>
      <c r="H1019" s="14"/>
      <c r="I1019" s="12">
        <f>-Mvt_Inter_entrepot[[#This Row],[QTE]]</f>
        <v>0</v>
      </c>
      <c r="J1019" s="11" t="s">
        <v>2692</v>
      </c>
      <c r="K1019" s="11" t="str">
        <f>_xlfn.TEXTBEFORE(Mvt_Inter_entrepot[[#This Row],[Num Suivis]],"-",,,1)</f>
        <v>CA250759</v>
      </c>
      <c r="L1019" s="11" t="e">
        <f>_xlfn.XLOOKUP(Mvt_Inter_entrepot[[#This Row],[Num OF]],#REF!,#REF!,"Non Trouvé")</f>
        <v>#REF!</v>
      </c>
      <c r="M1019" s="11" t="e">
        <f>_xlfn.XLOOKUP(Mvt_Inter_entrepot[[#This Row],[Num OF]],#REF!,#REF!,"Non Trouvé")</f>
        <v>#REF!</v>
      </c>
      <c r="N1019" s="11" t="e">
        <f>_xlfn.XLOOKUP(Mvt_Inter_entrepot[[#This Row],[Num OF]],#REF!,#REF!,"Non Trouvé")</f>
        <v>#REF!</v>
      </c>
      <c r="O1019" s="11" t="e">
        <f>_xlfn.XLOOKUP(Mvt_Inter_entrepot[[#This Row],[Num OF]],#REF!,#REF!,"Non Trouvé")</f>
        <v>#REF!</v>
      </c>
      <c r="P1019" s="11" t="e">
        <f>_xlfn.XLOOKUP(Mvt_Inter_entrepot[[#This Row],[Num OF]],#REF!,#REF!,"Non Trouvé")</f>
        <v>#REF!</v>
      </c>
      <c r="Q1019" s="11" t="str">
        <f>IF(
   COUNTIFS($A$2:A1019,A1019,
             $B$2:B1019,B1019,
             $C$2:C1019,C1019,
             $D$2:D1019,D1019,
             $E$2:E1019,E1019,
             $H$2:H1019,H1019
             )&gt;1,
   "Doublon",
   "Correcte"
)</f>
        <v>Correcte</v>
      </c>
    </row>
    <row r="1020" spans="1:17" x14ac:dyDescent="0.25">
      <c r="A1020" s="11">
        <v>0</v>
      </c>
      <c r="B1020" s="11"/>
      <c r="C1020" s="11"/>
      <c r="D1020" s="11"/>
      <c r="E1020" s="11"/>
      <c r="F1020" s="11"/>
      <c r="G1020" s="11"/>
      <c r="H1020" s="14"/>
      <c r="I1020" s="12">
        <f>-Mvt_Inter_entrepot[[#This Row],[QTE]]</f>
        <v>0</v>
      </c>
      <c r="J1020" s="11" t="s">
        <v>2693</v>
      </c>
      <c r="K1020" s="11" t="str">
        <f>_xlfn.TEXTBEFORE(Mvt_Inter_entrepot[[#This Row],[Num Suivis]],"-",,,1)</f>
        <v>CA250759</v>
      </c>
      <c r="L1020" s="11" t="e">
        <f>_xlfn.XLOOKUP(Mvt_Inter_entrepot[[#This Row],[Num OF]],#REF!,#REF!,"Non Trouvé")</f>
        <v>#REF!</v>
      </c>
      <c r="M1020" s="11" t="e">
        <f>_xlfn.XLOOKUP(Mvt_Inter_entrepot[[#This Row],[Num OF]],#REF!,#REF!,"Non Trouvé")</f>
        <v>#REF!</v>
      </c>
      <c r="N1020" s="11" t="e">
        <f>_xlfn.XLOOKUP(Mvt_Inter_entrepot[[#This Row],[Num OF]],#REF!,#REF!,"Non Trouvé")</f>
        <v>#REF!</v>
      </c>
      <c r="O1020" s="11" t="e">
        <f>_xlfn.XLOOKUP(Mvt_Inter_entrepot[[#This Row],[Num OF]],#REF!,#REF!,"Non Trouvé")</f>
        <v>#REF!</v>
      </c>
      <c r="P1020" s="11" t="e">
        <f>_xlfn.XLOOKUP(Mvt_Inter_entrepot[[#This Row],[Num OF]],#REF!,#REF!,"Non Trouvé")</f>
        <v>#REF!</v>
      </c>
      <c r="Q1020" s="11" t="str">
        <f>IF(
   COUNTIFS($A$2:A1020,A1020,
             $B$2:B1020,B1020,
             $C$2:C1020,C1020,
             $D$2:D1020,D1020,
             $E$2:E1020,E1020,
             $H$2:H1020,H1020
             )&gt;1,
   "Doublon",
   "Correcte"
)</f>
        <v>Correcte</v>
      </c>
    </row>
    <row r="1021" spans="1:17" x14ac:dyDescent="0.25">
      <c r="A1021" s="11">
        <v>0</v>
      </c>
      <c r="B1021" s="11"/>
      <c r="C1021" s="11"/>
      <c r="D1021" s="11"/>
      <c r="E1021" s="11"/>
      <c r="F1021" s="11"/>
      <c r="G1021" s="11"/>
      <c r="H1021" s="14"/>
      <c r="I1021" s="12">
        <f>-Mvt_Inter_entrepot[[#This Row],[QTE]]</f>
        <v>0</v>
      </c>
      <c r="J1021" s="11" t="s">
        <v>2694</v>
      </c>
      <c r="K1021" s="11" t="str">
        <f>_xlfn.TEXTBEFORE(Mvt_Inter_entrepot[[#This Row],[Num Suivis]],"-",,,1)</f>
        <v>CA250759</v>
      </c>
      <c r="L1021" s="11" t="e">
        <f>_xlfn.XLOOKUP(Mvt_Inter_entrepot[[#This Row],[Num OF]],#REF!,#REF!,"Non Trouvé")</f>
        <v>#REF!</v>
      </c>
      <c r="M1021" s="11" t="e">
        <f>_xlfn.XLOOKUP(Mvt_Inter_entrepot[[#This Row],[Num OF]],#REF!,#REF!,"Non Trouvé")</f>
        <v>#REF!</v>
      </c>
      <c r="N1021" s="11" t="e">
        <f>_xlfn.XLOOKUP(Mvt_Inter_entrepot[[#This Row],[Num OF]],#REF!,#REF!,"Non Trouvé")</f>
        <v>#REF!</v>
      </c>
      <c r="O1021" s="11" t="e">
        <f>_xlfn.XLOOKUP(Mvt_Inter_entrepot[[#This Row],[Num OF]],#REF!,#REF!,"Non Trouvé")</f>
        <v>#REF!</v>
      </c>
      <c r="P1021" s="11" t="e">
        <f>_xlfn.XLOOKUP(Mvt_Inter_entrepot[[#This Row],[Num OF]],#REF!,#REF!,"Non Trouvé")</f>
        <v>#REF!</v>
      </c>
      <c r="Q1021" s="11" t="str">
        <f>IF(
   COUNTIFS($A$2:A1021,A1021,
             $B$2:B1021,B1021,
             $C$2:C1021,C1021,
             $D$2:D1021,D1021,
             $E$2:E1021,E1021,
             $H$2:H1021,H1021
             )&gt;1,
   "Doublon",
   "Correcte"
)</f>
        <v>Correcte</v>
      </c>
    </row>
    <row r="1022" spans="1:17" x14ac:dyDescent="0.25">
      <c r="A1022" s="11">
        <v>0</v>
      </c>
      <c r="B1022" s="11"/>
      <c r="C1022" s="11"/>
      <c r="D1022" s="11"/>
      <c r="E1022" s="11"/>
      <c r="F1022" s="11"/>
      <c r="G1022" s="11"/>
      <c r="H1022" s="14"/>
      <c r="I1022" s="12">
        <f>-Mvt_Inter_entrepot[[#This Row],[QTE]]</f>
        <v>0</v>
      </c>
      <c r="J1022" s="11" t="s">
        <v>2695</v>
      </c>
      <c r="K1022" s="11" t="str">
        <f>_xlfn.TEXTBEFORE(Mvt_Inter_entrepot[[#This Row],[Num Suivis]],"-",,,1)</f>
        <v>CA250759</v>
      </c>
      <c r="L1022" s="11" t="e">
        <f>_xlfn.XLOOKUP(Mvt_Inter_entrepot[[#This Row],[Num OF]],#REF!,#REF!,"Non Trouvé")</f>
        <v>#REF!</v>
      </c>
      <c r="M1022" s="11" t="e">
        <f>_xlfn.XLOOKUP(Mvt_Inter_entrepot[[#This Row],[Num OF]],#REF!,#REF!,"Non Trouvé")</f>
        <v>#REF!</v>
      </c>
      <c r="N1022" s="11" t="e">
        <f>_xlfn.XLOOKUP(Mvt_Inter_entrepot[[#This Row],[Num OF]],#REF!,#REF!,"Non Trouvé")</f>
        <v>#REF!</v>
      </c>
      <c r="O1022" s="11" t="e">
        <f>_xlfn.XLOOKUP(Mvt_Inter_entrepot[[#This Row],[Num OF]],#REF!,#REF!,"Non Trouvé")</f>
        <v>#REF!</v>
      </c>
      <c r="P1022" s="11" t="e">
        <f>_xlfn.XLOOKUP(Mvt_Inter_entrepot[[#This Row],[Num OF]],#REF!,#REF!,"Non Trouvé")</f>
        <v>#REF!</v>
      </c>
      <c r="Q1022" s="11" t="str">
        <f>IF(
   COUNTIFS($A$2:A1022,A1022,
             $B$2:B1022,B1022,
             $C$2:C1022,C1022,
             $D$2:D1022,D1022,
             $E$2:E1022,E1022,
             $H$2:H1022,H1022
             )&gt;1,
   "Doublon",
   "Correcte"
)</f>
        <v>Correcte</v>
      </c>
    </row>
    <row r="1023" spans="1:17" x14ac:dyDescent="0.25">
      <c r="A1023" s="11">
        <v>0</v>
      </c>
      <c r="B1023" s="11"/>
      <c r="C1023" s="11"/>
      <c r="D1023" s="11"/>
      <c r="E1023" s="11"/>
      <c r="F1023" s="11"/>
      <c r="G1023" s="11"/>
      <c r="H1023" s="14"/>
      <c r="I1023" s="12">
        <f>-Mvt_Inter_entrepot[[#This Row],[QTE]]</f>
        <v>0</v>
      </c>
      <c r="J1023" s="11" t="s">
        <v>2696</v>
      </c>
      <c r="K1023" s="11" t="str">
        <f>_xlfn.TEXTBEFORE(Mvt_Inter_entrepot[[#This Row],[Num Suivis]],"-",,,1)</f>
        <v>CA250759</v>
      </c>
      <c r="L1023" s="11" t="e">
        <f>_xlfn.XLOOKUP(Mvt_Inter_entrepot[[#This Row],[Num OF]],#REF!,#REF!,"Non Trouvé")</f>
        <v>#REF!</v>
      </c>
      <c r="M1023" s="11" t="e">
        <f>_xlfn.XLOOKUP(Mvt_Inter_entrepot[[#This Row],[Num OF]],#REF!,#REF!,"Non Trouvé")</f>
        <v>#REF!</v>
      </c>
      <c r="N1023" s="11" t="e">
        <f>_xlfn.XLOOKUP(Mvt_Inter_entrepot[[#This Row],[Num OF]],#REF!,#REF!,"Non Trouvé")</f>
        <v>#REF!</v>
      </c>
      <c r="O1023" s="11" t="e">
        <f>_xlfn.XLOOKUP(Mvt_Inter_entrepot[[#This Row],[Num OF]],#REF!,#REF!,"Non Trouvé")</f>
        <v>#REF!</v>
      </c>
      <c r="P1023" s="11" t="e">
        <f>_xlfn.XLOOKUP(Mvt_Inter_entrepot[[#This Row],[Num OF]],#REF!,#REF!,"Non Trouvé")</f>
        <v>#REF!</v>
      </c>
      <c r="Q1023" s="11" t="str">
        <f>IF(
   COUNTIFS($A$2:A1023,A1023,
             $B$2:B1023,B1023,
             $C$2:C1023,C1023,
             $D$2:D1023,D1023,
             $E$2:E1023,E1023,
             $H$2:H1023,H1023
             )&gt;1,
   "Doublon",
   "Correcte"
)</f>
        <v>Correcte</v>
      </c>
    </row>
    <row r="1024" spans="1:17" x14ac:dyDescent="0.25">
      <c r="A1024" s="11">
        <v>0</v>
      </c>
      <c r="B1024" s="11"/>
      <c r="C1024" s="11"/>
      <c r="D1024" s="11"/>
      <c r="E1024" s="11"/>
      <c r="F1024" s="11"/>
      <c r="G1024" s="11"/>
      <c r="H1024" s="14"/>
      <c r="I1024" s="12">
        <f>-Mvt_Inter_entrepot[[#This Row],[QTE]]</f>
        <v>0</v>
      </c>
      <c r="J1024" s="11" t="s">
        <v>2697</v>
      </c>
      <c r="K1024" s="11" t="str">
        <f>_xlfn.TEXTBEFORE(Mvt_Inter_entrepot[[#This Row],[Num Suivis]],"-",,,1)</f>
        <v>CA250764</v>
      </c>
      <c r="L1024" s="11" t="e">
        <f>_xlfn.XLOOKUP(Mvt_Inter_entrepot[[#This Row],[Num OF]],#REF!,#REF!,"Non Trouvé")</f>
        <v>#REF!</v>
      </c>
      <c r="M1024" s="11" t="e">
        <f>_xlfn.XLOOKUP(Mvt_Inter_entrepot[[#This Row],[Num OF]],#REF!,#REF!,"Non Trouvé")</f>
        <v>#REF!</v>
      </c>
      <c r="N1024" s="11" t="e">
        <f>_xlfn.XLOOKUP(Mvt_Inter_entrepot[[#This Row],[Num OF]],#REF!,#REF!,"Non Trouvé")</f>
        <v>#REF!</v>
      </c>
      <c r="O1024" s="11" t="e">
        <f>_xlfn.XLOOKUP(Mvt_Inter_entrepot[[#This Row],[Num OF]],#REF!,#REF!,"Non Trouvé")</f>
        <v>#REF!</v>
      </c>
      <c r="P1024" s="11" t="e">
        <f>_xlfn.XLOOKUP(Mvt_Inter_entrepot[[#This Row],[Num OF]],#REF!,#REF!,"Non Trouvé")</f>
        <v>#REF!</v>
      </c>
      <c r="Q1024" s="11" t="str">
        <f>IF(
   COUNTIFS($A$2:A1024,A1024,
             $B$2:B1024,B1024,
             $C$2:C1024,C1024,
             $D$2:D1024,D1024,
             $E$2:E1024,E1024,
             $H$2:H1024,H1024
             )&gt;1,
   "Doublon",
   "Correcte"
)</f>
        <v>Correcte</v>
      </c>
    </row>
    <row r="1025" spans="1:17" x14ac:dyDescent="0.25">
      <c r="A1025" s="11">
        <v>0</v>
      </c>
      <c r="B1025" s="11"/>
      <c r="C1025" s="11"/>
      <c r="D1025" s="11"/>
      <c r="E1025" s="11"/>
      <c r="F1025" s="11"/>
      <c r="G1025" s="11"/>
      <c r="H1025" s="14"/>
      <c r="I1025" s="12">
        <f>-Mvt_Inter_entrepot[[#This Row],[QTE]]</f>
        <v>0</v>
      </c>
      <c r="J1025" s="11" t="s">
        <v>2698</v>
      </c>
      <c r="K1025" s="11" t="str">
        <f>_xlfn.TEXTBEFORE(Mvt_Inter_entrepot[[#This Row],[Num Suivis]],"-",,,1)</f>
        <v>CA250764</v>
      </c>
      <c r="L1025" s="11" t="e">
        <f>_xlfn.XLOOKUP(Mvt_Inter_entrepot[[#This Row],[Num OF]],#REF!,#REF!,"Non Trouvé")</f>
        <v>#REF!</v>
      </c>
      <c r="M1025" s="11" t="e">
        <f>_xlfn.XLOOKUP(Mvt_Inter_entrepot[[#This Row],[Num OF]],#REF!,#REF!,"Non Trouvé")</f>
        <v>#REF!</v>
      </c>
      <c r="N1025" s="11" t="e">
        <f>_xlfn.XLOOKUP(Mvt_Inter_entrepot[[#This Row],[Num OF]],#REF!,#REF!,"Non Trouvé")</f>
        <v>#REF!</v>
      </c>
      <c r="O1025" s="11" t="e">
        <f>_xlfn.XLOOKUP(Mvt_Inter_entrepot[[#This Row],[Num OF]],#REF!,#REF!,"Non Trouvé")</f>
        <v>#REF!</v>
      </c>
      <c r="P1025" s="11" t="e">
        <f>_xlfn.XLOOKUP(Mvt_Inter_entrepot[[#This Row],[Num OF]],#REF!,#REF!,"Non Trouvé")</f>
        <v>#REF!</v>
      </c>
      <c r="Q1025" s="11" t="str">
        <f>IF(
   COUNTIFS($A$2:A1025,A1025,
             $B$2:B1025,B1025,
             $C$2:C1025,C1025,
             $D$2:D1025,D1025,
             $E$2:E1025,E1025,
             $H$2:H1025,H1025
             )&gt;1,
   "Doublon",
   "Correcte"
)</f>
        <v>Correcte</v>
      </c>
    </row>
    <row r="1026" spans="1:17" x14ac:dyDescent="0.25">
      <c r="A1026" s="11">
        <v>0</v>
      </c>
      <c r="B1026" s="11"/>
      <c r="C1026" s="11"/>
      <c r="D1026" s="11"/>
      <c r="E1026" s="11"/>
      <c r="F1026" s="11"/>
      <c r="G1026" s="11"/>
      <c r="H1026" s="14"/>
      <c r="I1026" s="12">
        <f>-Mvt_Inter_entrepot[[#This Row],[QTE]]</f>
        <v>0</v>
      </c>
      <c r="J1026" s="11" t="s">
        <v>2699</v>
      </c>
      <c r="K1026" s="11" t="str">
        <f>_xlfn.TEXTBEFORE(Mvt_Inter_entrepot[[#This Row],[Num Suivis]],"-",,,1)</f>
        <v>CA250764</v>
      </c>
      <c r="L1026" s="11" t="e">
        <f>_xlfn.XLOOKUP(Mvt_Inter_entrepot[[#This Row],[Num OF]],#REF!,#REF!,"Non Trouvé")</f>
        <v>#REF!</v>
      </c>
      <c r="M1026" s="11" t="e">
        <f>_xlfn.XLOOKUP(Mvt_Inter_entrepot[[#This Row],[Num OF]],#REF!,#REF!,"Non Trouvé")</f>
        <v>#REF!</v>
      </c>
      <c r="N1026" s="11" t="e">
        <f>_xlfn.XLOOKUP(Mvt_Inter_entrepot[[#This Row],[Num OF]],#REF!,#REF!,"Non Trouvé")</f>
        <v>#REF!</v>
      </c>
      <c r="O1026" s="11" t="e">
        <f>_xlfn.XLOOKUP(Mvt_Inter_entrepot[[#This Row],[Num OF]],#REF!,#REF!,"Non Trouvé")</f>
        <v>#REF!</v>
      </c>
      <c r="P1026" s="11" t="e">
        <f>_xlfn.XLOOKUP(Mvt_Inter_entrepot[[#This Row],[Num OF]],#REF!,#REF!,"Non Trouvé")</f>
        <v>#REF!</v>
      </c>
      <c r="Q1026" s="11" t="str">
        <f>IF(
   COUNTIFS($A$2:A1026,A1026,
             $B$2:B1026,B1026,
             $C$2:C1026,C1026,
             $D$2:D1026,D1026,
             $E$2:E1026,E1026,
             $H$2:H1026,H1026
             )&gt;1,
   "Doublon",
   "Correcte"
)</f>
        <v>Correcte</v>
      </c>
    </row>
    <row r="1027" spans="1:17" x14ac:dyDescent="0.25">
      <c r="A1027" s="11">
        <v>0</v>
      </c>
      <c r="B1027" s="11"/>
      <c r="C1027" s="11"/>
      <c r="D1027" s="11"/>
      <c r="E1027" s="11"/>
      <c r="F1027" s="11"/>
      <c r="G1027" s="11"/>
      <c r="H1027" s="14"/>
      <c r="I1027" s="12">
        <f>-Mvt_Inter_entrepot[[#This Row],[QTE]]</f>
        <v>0</v>
      </c>
      <c r="J1027" s="11" t="s">
        <v>2700</v>
      </c>
      <c r="K1027" s="11" t="str">
        <f>_xlfn.TEXTBEFORE(Mvt_Inter_entrepot[[#This Row],[Num Suivis]],"-",,,1)</f>
        <v>CA250764</v>
      </c>
      <c r="L1027" s="11" t="e">
        <f>_xlfn.XLOOKUP(Mvt_Inter_entrepot[[#This Row],[Num OF]],#REF!,#REF!,"Non Trouvé")</f>
        <v>#REF!</v>
      </c>
      <c r="M1027" s="11" t="e">
        <f>_xlfn.XLOOKUP(Mvt_Inter_entrepot[[#This Row],[Num OF]],#REF!,#REF!,"Non Trouvé")</f>
        <v>#REF!</v>
      </c>
      <c r="N1027" s="11" t="e">
        <f>_xlfn.XLOOKUP(Mvt_Inter_entrepot[[#This Row],[Num OF]],#REF!,#REF!,"Non Trouvé")</f>
        <v>#REF!</v>
      </c>
      <c r="O1027" s="11" t="e">
        <f>_xlfn.XLOOKUP(Mvt_Inter_entrepot[[#This Row],[Num OF]],#REF!,#REF!,"Non Trouvé")</f>
        <v>#REF!</v>
      </c>
      <c r="P1027" s="11" t="e">
        <f>_xlfn.XLOOKUP(Mvt_Inter_entrepot[[#This Row],[Num OF]],#REF!,#REF!,"Non Trouvé")</f>
        <v>#REF!</v>
      </c>
      <c r="Q1027" s="11" t="str">
        <f>IF(
   COUNTIFS($A$2:A1027,A1027,
             $B$2:B1027,B1027,
             $C$2:C1027,C1027,
             $D$2:D1027,D1027,
             $E$2:E1027,E1027,
             $H$2:H1027,H1027
             )&gt;1,
   "Doublon",
   "Correcte"
)</f>
        <v>Correcte</v>
      </c>
    </row>
    <row r="1028" spans="1:17" x14ac:dyDescent="0.25">
      <c r="A1028" s="11">
        <v>0</v>
      </c>
      <c r="B1028" s="11"/>
      <c r="C1028" s="11"/>
      <c r="D1028" s="11"/>
      <c r="E1028" s="11"/>
      <c r="F1028" s="11"/>
      <c r="G1028" s="11"/>
      <c r="H1028" s="14"/>
      <c r="I1028" s="12">
        <f>-Mvt_Inter_entrepot[[#This Row],[QTE]]</f>
        <v>0</v>
      </c>
      <c r="J1028" s="11" t="s">
        <v>2701</v>
      </c>
      <c r="K1028" s="11" t="str">
        <f>_xlfn.TEXTBEFORE(Mvt_Inter_entrepot[[#This Row],[Num Suivis]],"-",,,1)</f>
        <v>CA250764</v>
      </c>
      <c r="L1028" s="11" t="e">
        <f>_xlfn.XLOOKUP(Mvt_Inter_entrepot[[#This Row],[Num OF]],#REF!,#REF!,"Non Trouvé")</f>
        <v>#REF!</v>
      </c>
      <c r="M1028" s="11" t="e">
        <f>_xlfn.XLOOKUP(Mvt_Inter_entrepot[[#This Row],[Num OF]],#REF!,#REF!,"Non Trouvé")</f>
        <v>#REF!</v>
      </c>
      <c r="N1028" s="11" t="e">
        <f>_xlfn.XLOOKUP(Mvt_Inter_entrepot[[#This Row],[Num OF]],#REF!,#REF!,"Non Trouvé")</f>
        <v>#REF!</v>
      </c>
      <c r="O1028" s="11" t="e">
        <f>_xlfn.XLOOKUP(Mvt_Inter_entrepot[[#This Row],[Num OF]],#REF!,#REF!,"Non Trouvé")</f>
        <v>#REF!</v>
      </c>
      <c r="P1028" s="11" t="e">
        <f>_xlfn.XLOOKUP(Mvt_Inter_entrepot[[#This Row],[Num OF]],#REF!,#REF!,"Non Trouvé")</f>
        <v>#REF!</v>
      </c>
      <c r="Q1028" s="11" t="str">
        <f>IF(
   COUNTIFS($A$2:A1028,A1028,
             $B$2:B1028,B1028,
             $C$2:C1028,C1028,
             $D$2:D1028,D1028,
             $E$2:E1028,E1028,
             $H$2:H1028,H1028
             )&gt;1,
   "Doublon",
   "Correcte"
)</f>
        <v>Correcte</v>
      </c>
    </row>
    <row r="1029" spans="1:17" x14ac:dyDescent="0.25">
      <c r="A1029" s="11">
        <v>0</v>
      </c>
      <c r="B1029" s="11"/>
      <c r="C1029" s="11"/>
      <c r="D1029" s="11"/>
      <c r="E1029" s="11"/>
      <c r="F1029" s="11"/>
      <c r="G1029" s="11"/>
      <c r="H1029" s="14"/>
      <c r="I1029" s="12">
        <f>-Mvt_Inter_entrepot[[#This Row],[QTE]]</f>
        <v>0</v>
      </c>
      <c r="J1029" s="11" t="s">
        <v>2702</v>
      </c>
      <c r="K1029" s="11" t="str">
        <f>_xlfn.TEXTBEFORE(Mvt_Inter_entrepot[[#This Row],[Num Suivis]],"-",,,1)</f>
        <v>CA250763</v>
      </c>
      <c r="L1029" s="11" t="e">
        <f>_xlfn.XLOOKUP(Mvt_Inter_entrepot[[#This Row],[Num OF]],#REF!,#REF!,"Non Trouvé")</f>
        <v>#REF!</v>
      </c>
      <c r="M1029" s="11" t="e">
        <f>_xlfn.XLOOKUP(Mvt_Inter_entrepot[[#This Row],[Num OF]],#REF!,#REF!,"Non Trouvé")</f>
        <v>#REF!</v>
      </c>
      <c r="N1029" s="11" t="e">
        <f>_xlfn.XLOOKUP(Mvt_Inter_entrepot[[#This Row],[Num OF]],#REF!,#REF!,"Non Trouvé")</f>
        <v>#REF!</v>
      </c>
      <c r="O1029" s="11" t="e">
        <f>_xlfn.XLOOKUP(Mvt_Inter_entrepot[[#This Row],[Num OF]],#REF!,#REF!,"Non Trouvé")</f>
        <v>#REF!</v>
      </c>
      <c r="P1029" s="11" t="e">
        <f>_xlfn.XLOOKUP(Mvt_Inter_entrepot[[#This Row],[Num OF]],#REF!,#REF!,"Non Trouvé")</f>
        <v>#REF!</v>
      </c>
      <c r="Q1029" s="11" t="str">
        <f>IF(
   COUNTIFS($A$2:A1029,A1029,
             $B$2:B1029,B1029,
             $C$2:C1029,C1029,
             $D$2:D1029,D1029,
             $E$2:E1029,E1029,
             $H$2:H1029,H1029
             )&gt;1,
   "Doublon",
   "Correcte"
)</f>
        <v>Correcte</v>
      </c>
    </row>
    <row r="1030" spans="1:17" x14ac:dyDescent="0.25">
      <c r="A1030" s="11">
        <v>0</v>
      </c>
      <c r="B1030" s="11"/>
      <c r="C1030" s="11"/>
      <c r="D1030" s="11"/>
      <c r="E1030" s="11"/>
      <c r="F1030" s="11"/>
      <c r="G1030" s="11"/>
      <c r="H1030" s="14"/>
      <c r="I1030" s="12">
        <f>-Mvt_Inter_entrepot[[#This Row],[QTE]]</f>
        <v>0</v>
      </c>
      <c r="J1030" s="11" t="s">
        <v>2703</v>
      </c>
      <c r="K1030" s="11" t="str">
        <f>_xlfn.TEXTBEFORE(Mvt_Inter_entrepot[[#This Row],[Num Suivis]],"-",,,1)</f>
        <v>CA250763</v>
      </c>
      <c r="L1030" s="11" t="e">
        <f>_xlfn.XLOOKUP(Mvt_Inter_entrepot[[#This Row],[Num OF]],#REF!,#REF!,"Non Trouvé")</f>
        <v>#REF!</v>
      </c>
      <c r="M1030" s="11" t="e">
        <f>_xlfn.XLOOKUP(Mvt_Inter_entrepot[[#This Row],[Num OF]],#REF!,#REF!,"Non Trouvé")</f>
        <v>#REF!</v>
      </c>
      <c r="N1030" s="11" t="e">
        <f>_xlfn.XLOOKUP(Mvt_Inter_entrepot[[#This Row],[Num OF]],#REF!,#REF!,"Non Trouvé")</f>
        <v>#REF!</v>
      </c>
      <c r="O1030" s="11" t="e">
        <f>_xlfn.XLOOKUP(Mvt_Inter_entrepot[[#This Row],[Num OF]],#REF!,#REF!,"Non Trouvé")</f>
        <v>#REF!</v>
      </c>
      <c r="P1030" s="11" t="e">
        <f>_xlfn.XLOOKUP(Mvt_Inter_entrepot[[#This Row],[Num OF]],#REF!,#REF!,"Non Trouvé")</f>
        <v>#REF!</v>
      </c>
      <c r="Q1030" s="11" t="str">
        <f>IF(
   COUNTIFS($A$2:A1030,A1030,
             $B$2:B1030,B1030,
             $C$2:C1030,C1030,
             $D$2:D1030,D1030,
             $E$2:E1030,E1030,
             $H$2:H1030,H1030
             )&gt;1,
   "Doublon",
   "Correcte"
)</f>
        <v>Correcte</v>
      </c>
    </row>
    <row r="1031" spans="1:17" x14ac:dyDescent="0.25">
      <c r="A1031" s="11">
        <v>0</v>
      </c>
      <c r="B1031" s="11"/>
      <c r="C1031" s="11"/>
      <c r="D1031" s="11"/>
      <c r="E1031" s="11"/>
      <c r="F1031" s="11"/>
      <c r="G1031" s="11"/>
      <c r="H1031" s="14"/>
      <c r="I1031" s="12">
        <f>-Mvt_Inter_entrepot[[#This Row],[QTE]]</f>
        <v>0</v>
      </c>
      <c r="J1031" s="11" t="s">
        <v>2704</v>
      </c>
      <c r="K1031" s="11" t="str">
        <f>_xlfn.TEXTBEFORE(Mvt_Inter_entrepot[[#This Row],[Num Suivis]],"-",,,1)</f>
        <v>CA250763</v>
      </c>
      <c r="L1031" s="11" t="e">
        <f>_xlfn.XLOOKUP(Mvt_Inter_entrepot[[#This Row],[Num OF]],#REF!,#REF!,"Non Trouvé")</f>
        <v>#REF!</v>
      </c>
      <c r="M1031" s="11" t="e">
        <f>_xlfn.XLOOKUP(Mvt_Inter_entrepot[[#This Row],[Num OF]],#REF!,#REF!,"Non Trouvé")</f>
        <v>#REF!</v>
      </c>
      <c r="N1031" s="11" t="e">
        <f>_xlfn.XLOOKUP(Mvt_Inter_entrepot[[#This Row],[Num OF]],#REF!,#REF!,"Non Trouvé")</f>
        <v>#REF!</v>
      </c>
      <c r="O1031" s="11" t="e">
        <f>_xlfn.XLOOKUP(Mvt_Inter_entrepot[[#This Row],[Num OF]],#REF!,#REF!,"Non Trouvé")</f>
        <v>#REF!</v>
      </c>
      <c r="P1031" s="11" t="e">
        <f>_xlfn.XLOOKUP(Mvt_Inter_entrepot[[#This Row],[Num OF]],#REF!,#REF!,"Non Trouvé")</f>
        <v>#REF!</v>
      </c>
      <c r="Q1031" s="11" t="str">
        <f>IF(
   COUNTIFS($A$2:A1031,A1031,
             $B$2:B1031,B1031,
             $C$2:C1031,C1031,
             $D$2:D1031,D1031,
             $E$2:E1031,E1031,
             $H$2:H1031,H1031
             )&gt;1,
   "Doublon",
   "Correcte"
)</f>
        <v>Correcte</v>
      </c>
    </row>
    <row r="1032" spans="1:17" x14ac:dyDescent="0.25">
      <c r="A1032" s="11">
        <v>0</v>
      </c>
      <c r="B1032" s="11"/>
      <c r="C1032" s="11"/>
      <c r="D1032" s="11"/>
      <c r="E1032" s="11"/>
      <c r="F1032" s="11"/>
      <c r="G1032" s="11"/>
      <c r="H1032" s="14"/>
      <c r="I1032" s="12">
        <f>-Mvt_Inter_entrepot[[#This Row],[QTE]]</f>
        <v>0</v>
      </c>
      <c r="J1032" s="11" t="s">
        <v>2705</v>
      </c>
      <c r="K1032" s="11" t="str">
        <f>_xlfn.TEXTBEFORE(Mvt_Inter_entrepot[[#This Row],[Num Suivis]],"-",,,1)</f>
        <v>CA250763</v>
      </c>
      <c r="L1032" s="11" t="e">
        <f>_xlfn.XLOOKUP(Mvt_Inter_entrepot[[#This Row],[Num OF]],#REF!,#REF!,"Non Trouvé")</f>
        <v>#REF!</v>
      </c>
      <c r="M1032" s="11" t="e">
        <f>_xlfn.XLOOKUP(Mvt_Inter_entrepot[[#This Row],[Num OF]],#REF!,#REF!,"Non Trouvé")</f>
        <v>#REF!</v>
      </c>
      <c r="N1032" s="11" t="e">
        <f>_xlfn.XLOOKUP(Mvt_Inter_entrepot[[#This Row],[Num OF]],#REF!,#REF!,"Non Trouvé")</f>
        <v>#REF!</v>
      </c>
      <c r="O1032" s="11" t="e">
        <f>_xlfn.XLOOKUP(Mvt_Inter_entrepot[[#This Row],[Num OF]],#REF!,#REF!,"Non Trouvé")</f>
        <v>#REF!</v>
      </c>
      <c r="P1032" s="11" t="e">
        <f>_xlfn.XLOOKUP(Mvt_Inter_entrepot[[#This Row],[Num OF]],#REF!,#REF!,"Non Trouvé")</f>
        <v>#REF!</v>
      </c>
      <c r="Q1032" s="11" t="str">
        <f>IF(
   COUNTIFS($A$2:A1032,A1032,
             $B$2:B1032,B1032,
             $C$2:C1032,C1032,
             $D$2:D1032,D1032,
             $E$2:E1032,E1032,
             $H$2:H1032,H1032
             )&gt;1,
   "Doublon",
   "Correcte"
)</f>
        <v>Correcte</v>
      </c>
    </row>
    <row r="1033" spans="1:17" x14ac:dyDescent="0.25">
      <c r="A1033" s="11">
        <v>0</v>
      </c>
      <c r="B1033" s="11"/>
      <c r="C1033" s="11"/>
      <c r="D1033" s="11"/>
      <c r="E1033" s="11"/>
      <c r="F1033" s="11"/>
      <c r="G1033" s="11"/>
      <c r="H1033" s="14"/>
      <c r="I1033" s="12">
        <f>-Mvt_Inter_entrepot[[#This Row],[QTE]]</f>
        <v>0</v>
      </c>
      <c r="J1033" s="11" t="s">
        <v>2706</v>
      </c>
      <c r="K1033" s="11" t="str">
        <f>_xlfn.TEXTBEFORE(Mvt_Inter_entrepot[[#This Row],[Num Suivis]],"-",,,1)</f>
        <v>CA250755</v>
      </c>
      <c r="L1033" s="11" t="e">
        <f>_xlfn.XLOOKUP(Mvt_Inter_entrepot[[#This Row],[Num OF]],#REF!,#REF!,"Non Trouvé")</f>
        <v>#REF!</v>
      </c>
      <c r="M1033" s="11" t="e">
        <f>_xlfn.XLOOKUP(Mvt_Inter_entrepot[[#This Row],[Num OF]],#REF!,#REF!,"Non Trouvé")</f>
        <v>#REF!</v>
      </c>
      <c r="N1033" s="11" t="e">
        <f>_xlfn.XLOOKUP(Mvt_Inter_entrepot[[#This Row],[Num OF]],#REF!,#REF!,"Non Trouvé")</f>
        <v>#REF!</v>
      </c>
      <c r="O1033" s="11" t="e">
        <f>_xlfn.XLOOKUP(Mvt_Inter_entrepot[[#This Row],[Num OF]],#REF!,#REF!,"Non Trouvé")</f>
        <v>#REF!</v>
      </c>
      <c r="P1033" s="11" t="e">
        <f>_xlfn.XLOOKUP(Mvt_Inter_entrepot[[#This Row],[Num OF]],#REF!,#REF!,"Non Trouvé")</f>
        <v>#REF!</v>
      </c>
      <c r="Q1033" s="11" t="str">
        <f>IF(
   COUNTIFS($A$2:A1033,A1033,
             $B$2:B1033,B1033,
             $C$2:C1033,C1033,
             $D$2:D1033,D1033,
             $E$2:E1033,E1033,
             $H$2:H1033,H1033
             )&gt;1,
   "Doublon",
   "Correcte"
)</f>
        <v>Correcte</v>
      </c>
    </row>
    <row r="1034" spans="1:17" x14ac:dyDescent="0.25">
      <c r="A1034" s="11">
        <v>0</v>
      </c>
      <c r="B1034" s="11"/>
      <c r="C1034" s="11"/>
      <c r="D1034" s="11"/>
      <c r="E1034" s="11"/>
      <c r="F1034" s="11"/>
      <c r="G1034" s="11"/>
      <c r="H1034" s="14"/>
      <c r="I1034" s="12">
        <f>-Mvt_Inter_entrepot[[#This Row],[QTE]]</f>
        <v>0</v>
      </c>
      <c r="J1034" s="11" t="s">
        <v>2707</v>
      </c>
      <c r="K1034" s="11" t="str">
        <f>_xlfn.TEXTBEFORE(Mvt_Inter_entrepot[[#This Row],[Num Suivis]],"-",,,1)</f>
        <v>CA250758</v>
      </c>
      <c r="L1034" s="11" t="e">
        <f>_xlfn.XLOOKUP(Mvt_Inter_entrepot[[#This Row],[Num OF]],#REF!,#REF!,"Non Trouvé")</f>
        <v>#REF!</v>
      </c>
      <c r="M1034" s="11" t="e">
        <f>_xlfn.XLOOKUP(Mvt_Inter_entrepot[[#This Row],[Num OF]],#REF!,#REF!,"Non Trouvé")</f>
        <v>#REF!</v>
      </c>
      <c r="N1034" s="11" t="e">
        <f>_xlfn.XLOOKUP(Mvt_Inter_entrepot[[#This Row],[Num OF]],#REF!,#REF!,"Non Trouvé")</f>
        <v>#REF!</v>
      </c>
      <c r="O1034" s="11" t="e">
        <f>_xlfn.XLOOKUP(Mvt_Inter_entrepot[[#This Row],[Num OF]],#REF!,#REF!,"Non Trouvé")</f>
        <v>#REF!</v>
      </c>
      <c r="P1034" s="11" t="e">
        <f>_xlfn.XLOOKUP(Mvt_Inter_entrepot[[#This Row],[Num OF]],#REF!,#REF!,"Non Trouvé")</f>
        <v>#REF!</v>
      </c>
      <c r="Q1034" s="11" t="str">
        <f>IF(
   COUNTIFS($A$2:A1034,A1034,
             $B$2:B1034,B1034,
             $C$2:C1034,C1034,
             $D$2:D1034,D1034,
             $E$2:E1034,E1034,
             $H$2:H1034,H1034
             )&gt;1,
   "Doublon",
   "Correcte"
)</f>
        <v>Correcte</v>
      </c>
    </row>
    <row r="1035" spans="1:17" x14ac:dyDescent="0.25">
      <c r="A1035" s="11">
        <v>0</v>
      </c>
      <c r="B1035" s="11"/>
      <c r="C1035" s="11"/>
      <c r="D1035" s="11"/>
      <c r="E1035" s="11"/>
      <c r="F1035" s="11"/>
      <c r="G1035" s="11"/>
      <c r="H1035" s="14"/>
      <c r="I1035" s="12">
        <f>-Mvt_Inter_entrepot[[#This Row],[QTE]]</f>
        <v>0</v>
      </c>
      <c r="J1035" s="11" t="s">
        <v>2708</v>
      </c>
      <c r="K1035" s="11" t="str">
        <f>_xlfn.TEXTBEFORE(Mvt_Inter_entrepot[[#This Row],[Num Suivis]],"-",,,1)</f>
        <v>CA250758</v>
      </c>
      <c r="L1035" s="11" t="e">
        <f>_xlfn.XLOOKUP(Mvt_Inter_entrepot[[#This Row],[Num OF]],#REF!,#REF!,"Non Trouvé")</f>
        <v>#REF!</v>
      </c>
      <c r="M1035" s="11" t="e">
        <f>_xlfn.XLOOKUP(Mvt_Inter_entrepot[[#This Row],[Num OF]],#REF!,#REF!,"Non Trouvé")</f>
        <v>#REF!</v>
      </c>
      <c r="N1035" s="11" t="e">
        <f>_xlfn.XLOOKUP(Mvt_Inter_entrepot[[#This Row],[Num OF]],#REF!,#REF!,"Non Trouvé")</f>
        <v>#REF!</v>
      </c>
      <c r="O1035" s="11" t="e">
        <f>_xlfn.XLOOKUP(Mvt_Inter_entrepot[[#This Row],[Num OF]],#REF!,#REF!,"Non Trouvé")</f>
        <v>#REF!</v>
      </c>
      <c r="P1035" s="11" t="e">
        <f>_xlfn.XLOOKUP(Mvt_Inter_entrepot[[#This Row],[Num OF]],#REF!,#REF!,"Non Trouvé")</f>
        <v>#REF!</v>
      </c>
      <c r="Q1035" s="11" t="str">
        <f>IF(
   COUNTIFS($A$2:A1035,A1035,
             $B$2:B1035,B1035,
             $C$2:C1035,C1035,
             $D$2:D1035,D1035,
             $E$2:E1035,E1035,
             $H$2:H1035,H1035
             )&gt;1,
   "Doublon",
   "Correcte"
)</f>
        <v>Correcte</v>
      </c>
    </row>
    <row r="1036" spans="1:17" x14ac:dyDescent="0.25">
      <c r="A1036" s="11">
        <v>0</v>
      </c>
      <c r="B1036" s="11"/>
      <c r="C1036" s="11"/>
      <c r="D1036" s="11"/>
      <c r="E1036" s="11"/>
      <c r="F1036" s="11"/>
      <c r="G1036" s="11"/>
      <c r="H1036" s="14"/>
      <c r="I1036" s="12">
        <f>-Mvt_Inter_entrepot[[#This Row],[QTE]]</f>
        <v>0</v>
      </c>
      <c r="J1036" s="11" t="s">
        <v>2709</v>
      </c>
      <c r="K1036" s="11" t="str">
        <f>_xlfn.TEXTBEFORE(Mvt_Inter_entrepot[[#This Row],[Num Suivis]],"-",,,1)</f>
        <v>CA250758</v>
      </c>
      <c r="L1036" s="11" t="e">
        <f>_xlfn.XLOOKUP(Mvt_Inter_entrepot[[#This Row],[Num OF]],#REF!,#REF!,"Non Trouvé")</f>
        <v>#REF!</v>
      </c>
      <c r="M1036" s="11" t="e">
        <f>_xlfn.XLOOKUP(Mvt_Inter_entrepot[[#This Row],[Num OF]],#REF!,#REF!,"Non Trouvé")</f>
        <v>#REF!</v>
      </c>
      <c r="N1036" s="11" t="e">
        <f>_xlfn.XLOOKUP(Mvt_Inter_entrepot[[#This Row],[Num OF]],#REF!,#REF!,"Non Trouvé")</f>
        <v>#REF!</v>
      </c>
      <c r="O1036" s="11" t="e">
        <f>_xlfn.XLOOKUP(Mvt_Inter_entrepot[[#This Row],[Num OF]],#REF!,#REF!,"Non Trouvé")</f>
        <v>#REF!</v>
      </c>
      <c r="P1036" s="11" t="e">
        <f>_xlfn.XLOOKUP(Mvt_Inter_entrepot[[#This Row],[Num OF]],#REF!,#REF!,"Non Trouvé")</f>
        <v>#REF!</v>
      </c>
      <c r="Q1036" s="11" t="str">
        <f>IF(
   COUNTIFS($A$2:A1036,A1036,
             $B$2:B1036,B1036,
             $C$2:C1036,C1036,
             $D$2:D1036,D1036,
             $E$2:E1036,E1036,
             $H$2:H1036,H1036
             )&gt;1,
   "Doublon",
   "Correcte"
)</f>
        <v>Correcte</v>
      </c>
    </row>
    <row r="1037" spans="1:17" x14ac:dyDescent="0.25">
      <c r="A1037" s="11">
        <v>0</v>
      </c>
      <c r="B1037" s="11"/>
      <c r="C1037" s="11"/>
      <c r="D1037" s="11"/>
      <c r="E1037" s="11"/>
      <c r="F1037" s="11"/>
      <c r="G1037" s="11"/>
      <c r="H1037" s="14"/>
      <c r="I1037" s="12">
        <f>-Mvt_Inter_entrepot[[#This Row],[QTE]]</f>
        <v>0</v>
      </c>
      <c r="J1037" s="11" t="s">
        <v>2710</v>
      </c>
      <c r="K1037" s="11" t="str">
        <f>_xlfn.TEXTBEFORE(Mvt_Inter_entrepot[[#This Row],[Num Suivis]],"-",,,1)</f>
        <v>CA250758</v>
      </c>
      <c r="L1037" s="11" t="e">
        <f>_xlfn.XLOOKUP(Mvt_Inter_entrepot[[#This Row],[Num OF]],#REF!,#REF!,"Non Trouvé")</f>
        <v>#REF!</v>
      </c>
      <c r="M1037" s="11" t="e">
        <f>_xlfn.XLOOKUP(Mvt_Inter_entrepot[[#This Row],[Num OF]],#REF!,#REF!,"Non Trouvé")</f>
        <v>#REF!</v>
      </c>
      <c r="N1037" s="11" t="e">
        <f>_xlfn.XLOOKUP(Mvt_Inter_entrepot[[#This Row],[Num OF]],#REF!,#REF!,"Non Trouvé")</f>
        <v>#REF!</v>
      </c>
      <c r="O1037" s="11" t="e">
        <f>_xlfn.XLOOKUP(Mvt_Inter_entrepot[[#This Row],[Num OF]],#REF!,#REF!,"Non Trouvé")</f>
        <v>#REF!</v>
      </c>
      <c r="P1037" s="11" t="e">
        <f>_xlfn.XLOOKUP(Mvt_Inter_entrepot[[#This Row],[Num OF]],#REF!,#REF!,"Non Trouvé")</f>
        <v>#REF!</v>
      </c>
      <c r="Q1037" s="11" t="str">
        <f>IF(
   COUNTIFS($A$2:A1037,A1037,
             $B$2:B1037,B1037,
             $C$2:C1037,C1037,
             $D$2:D1037,D1037,
             $E$2:E1037,E1037,
             $H$2:H1037,H1037
             )&gt;1,
   "Doublon",
   "Correcte"
)</f>
        <v>Correcte</v>
      </c>
    </row>
    <row r="1038" spans="1:17" x14ac:dyDescent="0.25">
      <c r="A1038" s="11">
        <v>0</v>
      </c>
      <c r="B1038" s="11"/>
      <c r="C1038" s="11"/>
      <c r="D1038" s="11"/>
      <c r="E1038" s="11"/>
      <c r="F1038" s="11"/>
      <c r="G1038" s="11"/>
      <c r="H1038" s="14"/>
      <c r="I1038" s="12">
        <f>-Mvt_Inter_entrepot[[#This Row],[QTE]]</f>
        <v>0</v>
      </c>
      <c r="J1038" s="11" t="s">
        <v>2709</v>
      </c>
      <c r="K1038" s="11" t="str">
        <f>_xlfn.TEXTBEFORE(Mvt_Inter_entrepot[[#This Row],[Num Suivis]],"-",,,1)</f>
        <v>CA250758</v>
      </c>
      <c r="L1038" s="11" t="e">
        <f>_xlfn.XLOOKUP(Mvt_Inter_entrepot[[#This Row],[Num OF]],#REF!,#REF!,"Non Trouvé")</f>
        <v>#REF!</v>
      </c>
      <c r="M1038" s="11" t="e">
        <f>_xlfn.XLOOKUP(Mvt_Inter_entrepot[[#This Row],[Num OF]],#REF!,#REF!,"Non Trouvé")</f>
        <v>#REF!</v>
      </c>
      <c r="N1038" s="11" t="e">
        <f>_xlfn.XLOOKUP(Mvt_Inter_entrepot[[#This Row],[Num OF]],#REF!,#REF!,"Non Trouvé")</f>
        <v>#REF!</v>
      </c>
      <c r="O1038" s="11" t="e">
        <f>_xlfn.XLOOKUP(Mvt_Inter_entrepot[[#This Row],[Num OF]],#REF!,#REF!,"Non Trouvé")</f>
        <v>#REF!</v>
      </c>
      <c r="P1038" s="11" t="e">
        <f>_xlfn.XLOOKUP(Mvt_Inter_entrepot[[#This Row],[Num OF]],#REF!,#REF!,"Non Trouvé")</f>
        <v>#REF!</v>
      </c>
      <c r="Q1038" s="11" t="str">
        <f>IF(
   COUNTIFS($A$2:A1038,A1038,
             $B$2:B1038,B1038,
             $C$2:C1038,C1038,
             $D$2:D1038,D1038,
             $E$2:E1038,E1038,
             $H$2:H1038,H1038
             )&gt;1,
   "Doublon",
   "Correcte"
)</f>
        <v>Correcte</v>
      </c>
    </row>
    <row r="1039" spans="1:17" x14ac:dyDescent="0.25">
      <c r="A1039" s="11">
        <v>0</v>
      </c>
      <c r="B1039" s="11"/>
      <c r="C1039" s="11"/>
      <c r="D1039" s="11"/>
      <c r="E1039" s="11"/>
      <c r="F1039" s="11"/>
      <c r="G1039" s="11"/>
      <c r="H1039" s="14"/>
      <c r="I1039" s="12">
        <f>-Mvt_Inter_entrepot[[#This Row],[QTE]]</f>
        <v>0</v>
      </c>
      <c r="J1039" s="11" t="s">
        <v>2711</v>
      </c>
      <c r="K1039" s="11" t="str">
        <f>_xlfn.TEXTBEFORE(Mvt_Inter_entrepot[[#This Row],[Num Suivis]],"-",,,1)</f>
        <v>CA250755</v>
      </c>
      <c r="L1039" s="11" t="e">
        <f>_xlfn.XLOOKUP(Mvt_Inter_entrepot[[#This Row],[Num OF]],#REF!,#REF!,"Non Trouvé")</f>
        <v>#REF!</v>
      </c>
      <c r="M1039" s="11" t="e">
        <f>_xlfn.XLOOKUP(Mvt_Inter_entrepot[[#This Row],[Num OF]],#REF!,#REF!,"Non Trouvé")</f>
        <v>#REF!</v>
      </c>
      <c r="N1039" s="11" t="e">
        <f>_xlfn.XLOOKUP(Mvt_Inter_entrepot[[#This Row],[Num OF]],#REF!,#REF!,"Non Trouvé")</f>
        <v>#REF!</v>
      </c>
      <c r="O1039" s="11" t="e">
        <f>_xlfn.XLOOKUP(Mvt_Inter_entrepot[[#This Row],[Num OF]],#REF!,#REF!,"Non Trouvé")</f>
        <v>#REF!</v>
      </c>
      <c r="P1039" s="11" t="e">
        <f>_xlfn.XLOOKUP(Mvt_Inter_entrepot[[#This Row],[Num OF]],#REF!,#REF!,"Non Trouvé")</f>
        <v>#REF!</v>
      </c>
      <c r="Q1039" s="11" t="str">
        <f>IF(
   COUNTIFS($A$2:A1039,A1039,
             $B$2:B1039,B1039,
             $C$2:C1039,C1039,
             $D$2:D1039,D1039,
             $E$2:E1039,E1039,
             $H$2:H1039,H1039
             )&gt;1,
   "Doublon",
   "Correcte"
)</f>
        <v>Correcte</v>
      </c>
    </row>
    <row r="1040" spans="1:17" x14ac:dyDescent="0.25">
      <c r="A1040" s="11">
        <v>0</v>
      </c>
      <c r="B1040" s="11"/>
      <c r="C1040" s="11"/>
      <c r="D1040" s="11"/>
      <c r="E1040" s="11"/>
      <c r="F1040" s="11"/>
      <c r="G1040" s="11"/>
      <c r="H1040" s="14"/>
      <c r="I1040" s="12">
        <f>-Mvt_Inter_entrepot[[#This Row],[QTE]]</f>
        <v>0</v>
      </c>
      <c r="J1040" s="11" t="s">
        <v>2712</v>
      </c>
      <c r="K1040" s="11" t="str">
        <f>_xlfn.TEXTBEFORE(Mvt_Inter_entrepot[[#This Row],[Num Suivis]],"-",,,1)</f>
        <v>CA250755</v>
      </c>
      <c r="L1040" s="11" t="e">
        <f>_xlfn.XLOOKUP(Mvt_Inter_entrepot[[#This Row],[Num OF]],#REF!,#REF!,"Non Trouvé")</f>
        <v>#REF!</v>
      </c>
      <c r="M1040" s="11" t="e">
        <f>_xlfn.XLOOKUP(Mvt_Inter_entrepot[[#This Row],[Num OF]],#REF!,#REF!,"Non Trouvé")</f>
        <v>#REF!</v>
      </c>
      <c r="N1040" s="11" t="e">
        <f>_xlfn.XLOOKUP(Mvt_Inter_entrepot[[#This Row],[Num OF]],#REF!,#REF!,"Non Trouvé")</f>
        <v>#REF!</v>
      </c>
      <c r="O1040" s="11" t="e">
        <f>_xlfn.XLOOKUP(Mvt_Inter_entrepot[[#This Row],[Num OF]],#REF!,#REF!,"Non Trouvé")</f>
        <v>#REF!</v>
      </c>
      <c r="P1040" s="11" t="e">
        <f>_xlfn.XLOOKUP(Mvt_Inter_entrepot[[#This Row],[Num OF]],#REF!,#REF!,"Non Trouvé")</f>
        <v>#REF!</v>
      </c>
      <c r="Q1040" s="11" t="str">
        <f>IF(
   COUNTIFS($A$2:A1040,A1040,
             $B$2:B1040,B1040,
             $C$2:C1040,C1040,
             $D$2:D1040,D1040,
             $E$2:E1040,E1040,
             $H$2:H1040,H1040
             )&gt;1,
   "Doublon",
   "Correcte"
)</f>
        <v>Correcte</v>
      </c>
    </row>
    <row r="1041" spans="1:17" x14ac:dyDescent="0.25">
      <c r="A1041" s="11">
        <v>0</v>
      </c>
      <c r="B1041" s="11"/>
      <c r="C1041" s="11"/>
      <c r="D1041" s="11"/>
      <c r="E1041" s="11"/>
      <c r="F1041" s="11"/>
      <c r="G1041" s="11"/>
      <c r="H1041" s="14"/>
      <c r="I1041" s="12">
        <f>-Mvt_Inter_entrepot[[#This Row],[QTE]]</f>
        <v>0</v>
      </c>
      <c r="J1041" s="11" t="s">
        <v>2713</v>
      </c>
      <c r="K1041" s="11" t="str">
        <f>_xlfn.TEXTBEFORE(Mvt_Inter_entrepot[[#This Row],[Num Suivis]],"-",,,1)</f>
        <v>CA250764</v>
      </c>
      <c r="L1041" s="11" t="e">
        <f>_xlfn.XLOOKUP(Mvt_Inter_entrepot[[#This Row],[Num OF]],#REF!,#REF!,"Non Trouvé")</f>
        <v>#REF!</v>
      </c>
      <c r="M1041" s="11" t="e">
        <f>_xlfn.XLOOKUP(Mvt_Inter_entrepot[[#This Row],[Num OF]],#REF!,#REF!,"Non Trouvé")</f>
        <v>#REF!</v>
      </c>
      <c r="N1041" s="11" t="e">
        <f>_xlfn.XLOOKUP(Mvt_Inter_entrepot[[#This Row],[Num OF]],#REF!,#REF!,"Non Trouvé")</f>
        <v>#REF!</v>
      </c>
      <c r="O1041" s="11" t="e">
        <f>_xlfn.XLOOKUP(Mvt_Inter_entrepot[[#This Row],[Num OF]],#REF!,#REF!,"Non Trouvé")</f>
        <v>#REF!</v>
      </c>
      <c r="P1041" s="11" t="e">
        <f>_xlfn.XLOOKUP(Mvt_Inter_entrepot[[#This Row],[Num OF]],#REF!,#REF!,"Non Trouvé")</f>
        <v>#REF!</v>
      </c>
      <c r="Q1041" s="11" t="str">
        <f>IF(
   COUNTIFS($A$2:A1041,A1041,
             $B$2:B1041,B1041,
             $C$2:C1041,C1041,
             $D$2:D1041,D1041,
             $E$2:E1041,E1041,
             $H$2:H1041,H1041
             )&gt;1,
   "Doublon",
   "Correcte"
)</f>
        <v>Correcte</v>
      </c>
    </row>
    <row r="1042" spans="1:17" x14ac:dyDescent="0.25">
      <c r="A1042" s="11">
        <v>0</v>
      </c>
      <c r="B1042" s="11"/>
      <c r="C1042" s="11"/>
      <c r="D1042" s="11"/>
      <c r="E1042" s="11"/>
      <c r="F1042" s="11"/>
      <c r="G1042" s="11"/>
      <c r="H1042" s="14"/>
      <c r="I1042" s="12">
        <f>-Mvt_Inter_entrepot[[#This Row],[QTE]]</f>
        <v>0</v>
      </c>
      <c r="J1042" s="11" t="s">
        <v>2714</v>
      </c>
      <c r="K1042" s="11" t="str">
        <f>_xlfn.TEXTBEFORE(Mvt_Inter_entrepot[[#This Row],[Num Suivis]],"-",,,1)</f>
        <v>CA250764</v>
      </c>
      <c r="L1042" s="11" t="e">
        <f>_xlfn.XLOOKUP(Mvt_Inter_entrepot[[#This Row],[Num OF]],#REF!,#REF!,"Non Trouvé")</f>
        <v>#REF!</v>
      </c>
      <c r="M1042" s="11" t="e">
        <f>_xlfn.XLOOKUP(Mvt_Inter_entrepot[[#This Row],[Num OF]],#REF!,#REF!,"Non Trouvé")</f>
        <v>#REF!</v>
      </c>
      <c r="N1042" s="11" t="e">
        <f>_xlfn.XLOOKUP(Mvt_Inter_entrepot[[#This Row],[Num OF]],#REF!,#REF!,"Non Trouvé")</f>
        <v>#REF!</v>
      </c>
      <c r="O1042" s="11" t="e">
        <f>_xlfn.XLOOKUP(Mvt_Inter_entrepot[[#This Row],[Num OF]],#REF!,#REF!,"Non Trouvé")</f>
        <v>#REF!</v>
      </c>
      <c r="P1042" s="11" t="e">
        <f>_xlfn.XLOOKUP(Mvt_Inter_entrepot[[#This Row],[Num OF]],#REF!,#REF!,"Non Trouvé")</f>
        <v>#REF!</v>
      </c>
      <c r="Q1042" s="11" t="str">
        <f>IF(
   COUNTIFS($A$2:A1042,A1042,
             $B$2:B1042,B1042,
             $C$2:C1042,C1042,
             $D$2:D1042,D1042,
             $E$2:E1042,E1042,
             $H$2:H1042,H1042
             )&gt;1,
   "Doublon",
   "Correcte"
)</f>
        <v>Correcte</v>
      </c>
    </row>
    <row r="1043" spans="1:17" x14ac:dyDescent="0.25">
      <c r="A1043" s="11">
        <v>0</v>
      </c>
      <c r="B1043" s="11"/>
      <c r="C1043" s="11"/>
      <c r="D1043" s="11"/>
      <c r="E1043" s="11"/>
      <c r="F1043" s="11"/>
      <c r="G1043" s="11"/>
      <c r="H1043" s="14"/>
      <c r="I1043" s="12">
        <f>-Mvt_Inter_entrepot[[#This Row],[QTE]]</f>
        <v>0</v>
      </c>
      <c r="J1043" s="11" t="s">
        <v>2715</v>
      </c>
      <c r="K1043" s="11" t="str">
        <f>_xlfn.TEXTBEFORE(Mvt_Inter_entrepot[[#This Row],[Num Suivis]],"-",,,1)</f>
        <v>CA250764</v>
      </c>
      <c r="L1043" s="11" t="e">
        <f>_xlfn.XLOOKUP(Mvt_Inter_entrepot[[#This Row],[Num OF]],#REF!,#REF!,"Non Trouvé")</f>
        <v>#REF!</v>
      </c>
      <c r="M1043" s="11" t="e">
        <f>_xlfn.XLOOKUP(Mvt_Inter_entrepot[[#This Row],[Num OF]],#REF!,#REF!,"Non Trouvé")</f>
        <v>#REF!</v>
      </c>
      <c r="N1043" s="11" t="e">
        <f>_xlfn.XLOOKUP(Mvt_Inter_entrepot[[#This Row],[Num OF]],#REF!,#REF!,"Non Trouvé")</f>
        <v>#REF!</v>
      </c>
      <c r="O1043" s="11" t="e">
        <f>_xlfn.XLOOKUP(Mvt_Inter_entrepot[[#This Row],[Num OF]],#REF!,#REF!,"Non Trouvé")</f>
        <v>#REF!</v>
      </c>
      <c r="P1043" s="11" t="e">
        <f>_xlfn.XLOOKUP(Mvt_Inter_entrepot[[#This Row],[Num OF]],#REF!,#REF!,"Non Trouvé")</f>
        <v>#REF!</v>
      </c>
      <c r="Q1043" s="11" t="str">
        <f>IF(
   COUNTIFS($A$2:A1043,A1043,
             $B$2:B1043,B1043,
             $C$2:C1043,C1043,
             $D$2:D1043,D1043,
             $E$2:E1043,E1043,
             $H$2:H1043,H1043
             )&gt;1,
   "Doublon",
   "Correcte"
)</f>
        <v>Correcte</v>
      </c>
    </row>
    <row r="1044" spans="1:17" x14ac:dyDescent="0.25">
      <c r="A1044" s="11">
        <v>0</v>
      </c>
      <c r="B1044" s="11"/>
      <c r="C1044" s="11"/>
      <c r="D1044" s="11"/>
      <c r="E1044" s="11"/>
      <c r="F1044" s="11"/>
      <c r="G1044" s="11"/>
      <c r="H1044" s="14"/>
      <c r="I1044" s="12">
        <f>-Mvt_Inter_entrepot[[#This Row],[QTE]]</f>
        <v>0</v>
      </c>
      <c r="J1044" s="11" t="s">
        <v>2716</v>
      </c>
      <c r="K1044" s="11" t="str">
        <f>_xlfn.TEXTBEFORE(Mvt_Inter_entrepot[[#This Row],[Num Suivis]],"-",,,1)</f>
        <v>CA250764</v>
      </c>
      <c r="L1044" s="11" t="e">
        <f>_xlfn.XLOOKUP(Mvt_Inter_entrepot[[#This Row],[Num OF]],#REF!,#REF!,"Non Trouvé")</f>
        <v>#REF!</v>
      </c>
      <c r="M1044" s="11" t="e">
        <f>_xlfn.XLOOKUP(Mvt_Inter_entrepot[[#This Row],[Num OF]],#REF!,#REF!,"Non Trouvé")</f>
        <v>#REF!</v>
      </c>
      <c r="N1044" s="11" t="e">
        <f>_xlfn.XLOOKUP(Mvt_Inter_entrepot[[#This Row],[Num OF]],#REF!,#REF!,"Non Trouvé")</f>
        <v>#REF!</v>
      </c>
      <c r="O1044" s="11" t="e">
        <f>_xlfn.XLOOKUP(Mvt_Inter_entrepot[[#This Row],[Num OF]],#REF!,#REF!,"Non Trouvé")</f>
        <v>#REF!</v>
      </c>
      <c r="P1044" s="11" t="e">
        <f>_xlfn.XLOOKUP(Mvt_Inter_entrepot[[#This Row],[Num OF]],#REF!,#REF!,"Non Trouvé")</f>
        <v>#REF!</v>
      </c>
      <c r="Q1044" s="11" t="str">
        <f>IF(
   COUNTIFS($A$2:A1044,A1044,
             $B$2:B1044,B1044,
             $C$2:C1044,C1044,
             $D$2:D1044,D1044,
             $E$2:E1044,E1044,
             $H$2:H1044,H1044
             )&gt;1,
   "Doublon",
   "Correcte"
)</f>
        <v>Correcte</v>
      </c>
    </row>
    <row r="1045" spans="1:17" x14ac:dyDescent="0.25">
      <c r="A1045" s="11">
        <v>0</v>
      </c>
      <c r="B1045" s="11"/>
      <c r="C1045" s="11"/>
      <c r="D1045" s="11"/>
      <c r="E1045" s="11"/>
      <c r="F1045" s="11"/>
      <c r="G1045" s="11"/>
      <c r="H1045" s="14"/>
      <c r="I1045" s="12">
        <f>-Mvt_Inter_entrepot[[#This Row],[QTE]]</f>
        <v>0</v>
      </c>
      <c r="J1045" s="11" t="s">
        <v>2717</v>
      </c>
      <c r="K1045" s="11" t="str">
        <f>_xlfn.TEXTBEFORE(Mvt_Inter_entrepot[[#This Row],[Num Suivis]],"-",,,1)</f>
        <v>CA250764</v>
      </c>
      <c r="L1045" s="11" t="e">
        <f>_xlfn.XLOOKUP(Mvt_Inter_entrepot[[#This Row],[Num OF]],#REF!,#REF!,"Non Trouvé")</f>
        <v>#REF!</v>
      </c>
      <c r="M1045" s="11" t="e">
        <f>_xlfn.XLOOKUP(Mvt_Inter_entrepot[[#This Row],[Num OF]],#REF!,#REF!,"Non Trouvé")</f>
        <v>#REF!</v>
      </c>
      <c r="N1045" s="11" t="e">
        <f>_xlfn.XLOOKUP(Mvt_Inter_entrepot[[#This Row],[Num OF]],#REF!,#REF!,"Non Trouvé")</f>
        <v>#REF!</v>
      </c>
      <c r="O1045" s="11" t="e">
        <f>_xlfn.XLOOKUP(Mvt_Inter_entrepot[[#This Row],[Num OF]],#REF!,#REF!,"Non Trouvé")</f>
        <v>#REF!</v>
      </c>
      <c r="P1045" s="11" t="e">
        <f>_xlfn.XLOOKUP(Mvt_Inter_entrepot[[#This Row],[Num OF]],#REF!,#REF!,"Non Trouvé")</f>
        <v>#REF!</v>
      </c>
      <c r="Q1045" s="11" t="str">
        <f>IF(
   COUNTIFS($A$2:A1045,A1045,
             $B$2:B1045,B1045,
             $C$2:C1045,C1045,
             $D$2:D1045,D1045,
             $E$2:E1045,E1045,
             $H$2:H1045,H1045
             )&gt;1,
   "Doublon",
   "Correcte"
)</f>
        <v>Correcte</v>
      </c>
    </row>
    <row r="1046" spans="1:17" x14ac:dyDescent="0.25">
      <c r="A1046" s="11">
        <v>0</v>
      </c>
      <c r="B1046" s="11"/>
      <c r="C1046" s="11"/>
      <c r="D1046" s="11"/>
      <c r="E1046" s="11"/>
      <c r="F1046" s="11"/>
      <c r="G1046" s="11"/>
      <c r="H1046" s="14"/>
      <c r="I1046" s="12">
        <f>-Mvt_Inter_entrepot[[#This Row],[QTE]]</f>
        <v>0</v>
      </c>
      <c r="J1046" s="11" t="s">
        <v>2718</v>
      </c>
      <c r="K1046" s="11" t="str">
        <f>_xlfn.TEXTBEFORE(Mvt_Inter_entrepot[[#This Row],[Num Suivis]],"-",,,1)</f>
        <v>CA250764</v>
      </c>
      <c r="L1046" s="11" t="e">
        <f>_xlfn.XLOOKUP(Mvt_Inter_entrepot[[#This Row],[Num OF]],#REF!,#REF!,"Non Trouvé")</f>
        <v>#REF!</v>
      </c>
      <c r="M1046" s="11" t="e">
        <f>_xlfn.XLOOKUP(Mvt_Inter_entrepot[[#This Row],[Num OF]],#REF!,#REF!,"Non Trouvé")</f>
        <v>#REF!</v>
      </c>
      <c r="N1046" s="11" t="e">
        <f>_xlfn.XLOOKUP(Mvt_Inter_entrepot[[#This Row],[Num OF]],#REF!,#REF!,"Non Trouvé")</f>
        <v>#REF!</v>
      </c>
      <c r="O1046" s="11" t="e">
        <f>_xlfn.XLOOKUP(Mvt_Inter_entrepot[[#This Row],[Num OF]],#REF!,#REF!,"Non Trouvé")</f>
        <v>#REF!</v>
      </c>
      <c r="P1046" s="11" t="e">
        <f>_xlfn.XLOOKUP(Mvt_Inter_entrepot[[#This Row],[Num OF]],#REF!,#REF!,"Non Trouvé")</f>
        <v>#REF!</v>
      </c>
      <c r="Q1046" s="11" t="str">
        <f>IF(
   COUNTIFS($A$2:A1046,A1046,
             $B$2:B1046,B1046,
             $C$2:C1046,C1046,
             $D$2:D1046,D1046,
             $E$2:E1046,E1046,
             $H$2:H1046,H1046
             )&gt;1,
   "Doublon",
   "Correcte"
)</f>
        <v>Correcte</v>
      </c>
    </row>
    <row r="1047" spans="1:17" x14ac:dyDescent="0.25">
      <c r="A1047" s="11">
        <v>0</v>
      </c>
      <c r="B1047" s="11"/>
      <c r="C1047" s="11"/>
      <c r="D1047" s="11"/>
      <c r="E1047" s="11"/>
      <c r="F1047" s="11"/>
      <c r="G1047" s="11"/>
      <c r="H1047" s="14"/>
      <c r="I1047" s="12">
        <f>-Mvt_Inter_entrepot[[#This Row],[QTE]]</f>
        <v>0</v>
      </c>
      <c r="J1047" s="11" t="s">
        <v>2719</v>
      </c>
      <c r="K1047" s="11" t="str">
        <f>_xlfn.TEXTBEFORE(Mvt_Inter_entrepot[[#This Row],[Num Suivis]],"-",,,1)</f>
        <v>CA250764</v>
      </c>
      <c r="L1047" s="11" t="e">
        <f>_xlfn.XLOOKUP(Mvt_Inter_entrepot[[#This Row],[Num OF]],#REF!,#REF!,"Non Trouvé")</f>
        <v>#REF!</v>
      </c>
      <c r="M1047" s="11" t="e">
        <f>_xlfn.XLOOKUP(Mvt_Inter_entrepot[[#This Row],[Num OF]],#REF!,#REF!,"Non Trouvé")</f>
        <v>#REF!</v>
      </c>
      <c r="N1047" s="11" t="e">
        <f>_xlfn.XLOOKUP(Mvt_Inter_entrepot[[#This Row],[Num OF]],#REF!,#REF!,"Non Trouvé")</f>
        <v>#REF!</v>
      </c>
      <c r="O1047" s="11" t="e">
        <f>_xlfn.XLOOKUP(Mvt_Inter_entrepot[[#This Row],[Num OF]],#REF!,#REF!,"Non Trouvé")</f>
        <v>#REF!</v>
      </c>
      <c r="P1047" s="11" t="e">
        <f>_xlfn.XLOOKUP(Mvt_Inter_entrepot[[#This Row],[Num OF]],#REF!,#REF!,"Non Trouvé")</f>
        <v>#REF!</v>
      </c>
      <c r="Q1047" s="11" t="str">
        <f>IF(
   COUNTIFS($A$2:A1047,A1047,
             $B$2:B1047,B1047,
             $C$2:C1047,C1047,
             $D$2:D1047,D1047,
             $E$2:E1047,E1047,
             $H$2:H1047,H1047
             )&gt;1,
   "Doublon",
   "Correcte"
)</f>
        <v>Correcte</v>
      </c>
    </row>
    <row r="1048" spans="1:17" x14ac:dyDescent="0.25">
      <c r="A1048" s="11">
        <v>0</v>
      </c>
      <c r="B1048" s="11"/>
      <c r="C1048" s="11"/>
      <c r="D1048" s="11"/>
      <c r="E1048" s="11"/>
      <c r="F1048" s="11"/>
      <c r="G1048" s="11"/>
      <c r="H1048" s="14"/>
      <c r="I1048" s="12">
        <f>-Mvt_Inter_entrepot[[#This Row],[QTE]]</f>
        <v>0</v>
      </c>
      <c r="J1048" s="11" t="s">
        <v>2720</v>
      </c>
      <c r="K1048" s="11" t="str">
        <f>_xlfn.TEXTBEFORE(Mvt_Inter_entrepot[[#This Row],[Num Suivis]],"-",,,1)</f>
        <v>CA250764</v>
      </c>
      <c r="L1048" s="11" t="e">
        <f>_xlfn.XLOOKUP(Mvt_Inter_entrepot[[#This Row],[Num OF]],#REF!,#REF!,"Non Trouvé")</f>
        <v>#REF!</v>
      </c>
      <c r="M1048" s="11" t="e">
        <f>_xlfn.XLOOKUP(Mvt_Inter_entrepot[[#This Row],[Num OF]],#REF!,#REF!,"Non Trouvé")</f>
        <v>#REF!</v>
      </c>
      <c r="N1048" s="11" t="e">
        <f>_xlfn.XLOOKUP(Mvt_Inter_entrepot[[#This Row],[Num OF]],#REF!,#REF!,"Non Trouvé")</f>
        <v>#REF!</v>
      </c>
      <c r="O1048" s="11" t="e">
        <f>_xlfn.XLOOKUP(Mvt_Inter_entrepot[[#This Row],[Num OF]],#REF!,#REF!,"Non Trouvé")</f>
        <v>#REF!</v>
      </c>
      <c r="P1048" s="11" t="e">
        <f>_xlfn.XLOOKUP(Mvt_Inter_entrepot[[#This Row],[Num OF]],#REF!,#REF!,"Non Trouvé")</f>
        <v>#REF!</v>
      </c>
      <c r="Q1048" s="11" t="str">
        <f>IF(
   COUNTIFS($A$2:A1048,A1048,
             $B$2:B1048,B1048,
             $C$2:C1048,C1048,
             $D$2:D1048,D1048,
             $E$2:E1048,E1048,
             $H$2:H1048,H1048
             )&gt;1,
   "Doublon",
   "Correcte"
)</f>
        <v>Correcte</v>
      </c>
    </row>
    <row r="1049" spans="1:17" x14ac:dyDescent="0.25">
      <c r="A1049" s="11">
        <v>0</v>
      </c>
      <c r="B1049" s="11"/>
      <c r="C1049" s="11"/>
      <c r="D1049" s="11"/>
      <c r="E1049" s="11"/>
      <c r="F1049" s="11"/>
      <c r="G1049" s="11"/>
      <c r="H1049" s="14"/>
      <c r="I1049" s="12">
        <f>-Mvt_Inter_entrepot[[#This Row],[QTE]]</f>
        <v>0</v>
      </c>
      <c r="J1049" s="11" t="s">
        <v>2721</v>
      </c>
      <c r="K1049" s="11" t="str">
        <f>_xlfn.TEXTBEFORE(Mvt_Inter_entrepot[[#This Row],[Num Suivis]],"-",,,1)</f>
        <v>CA250764</v>
      </c>
      <c r="L1049" s="11" t="e">
        <f>_xlfn.XLOOKUP(Mvt_Inter_entrepot[[#This Row],[Num OF]],#REF!,#REF!,"Non Trouvé")</f>
        <v>#REF!</v>
      </c>
      <c r="M1049" s="11" t="e">
        <f>_xlfn.XLOOKUP(Mvt_Inter_entrepot[[#This Row],[Num OF]],#REF!,#REF!,"Non Trouvé")</f>
        <v>#REF!</v>
      </c>
      <c r="N1049" s="11" t="e">
        <f>_xlfn.XLOOKUP(Mvt_Inter_entrepot[[#This Row],[Num OF]],#REF!,#REF!,"Non Trouvé")</f>
        <v>#REF!</v>
      </c>
      <c r="O1049" s="11" t="e">
        <f>_xlfn.XLOOKUP(Mvt_Inter_entrepot[[#This Row],[Num OF]],#REF!,#REF!,"Non Trouvé")</f>
        <v>#REF!</v>
      </c>
      <c r="P1049" s="11" t="e">
        <f>_xlfn.XLOOKUP(Mvt_Inter_entrepot[[#This Row],[Num OF]],#REF!,#REF!,"Non Trouvé")</f>
        <v>#REF!</v>
      </c>
      <c r="Q1049" s="11" t="str">
        <f>IF(
   COUNTIFS($A$2:A1049,A1049,
             $B$2:B1049,B1049,
             $C$2:C1049,C1049,
             $D$2:D1049,D1049,
             $E$2:E1049,E1049,
             $H$2:H1049,H1049
             )&gt;1,
   "Doublon",
   "Correcte"
)</f>
        <v>Correcte</v>
      </c>
    </row>
    <row r="1050" spans="1:17" x14ac:dyDescent="0.25">
      <c r="A1050" s="11">
        <v>0</v>
      </c>
      <c r="B1050" s="11"/>
      <c r="C1050" s="11"/>
      <c r="D1050" s="11"/>
      <c r="E1050" s="11"/>
      <c r="F1050" s="11"/>
      <c r="G1050" s="11"/>
      <c r="H1050" s="14"/>
      <c r="I1050" s="12">
        <f>-Mvt_Inter_entrepot[[#This Row],[QTE]]</f>
        <v>0</v>
      </c>
      <c r="J1050" s="11" t="s">
        <v>2722</v>
      </c>
      <c r="K1050" s="11" t="str">
        <f>_xlfn.TEXTBEFORE(Mvt_Inter_entrepot[[#This Row],[Num Suivis]],"-",,,1)</f>
        <v>CA250764</v>
      </c>
      <c r="L1050" s="11" t="e">
        <f>_xlfn.XLOOKUP(Mvt_Inter_entrepot[[#This Row],[Num OF]],#REF!,#REF!,"Non Trouvé")</f>
        <v>#REF!</v>
      </c>
      <c r="M1050" s="11" t="e">
        <f>_xlfn.XLOOKUP(Mvt_Inter_entrepot[[#This Row],[Num OF]],#REF!,#REF!,"Non Trouvé")</f>
        <v>#REF!</v>
      </c>
      <c r="N1050" s="11" t="e">
        <f>_xlfn.XLOOKUP(Mvt_Inter_entrepot[[#This Row],[Num OF]],#REF!,#REF!,"Non Trouvé")</f>
        <v>#REF!</v>
      </c>
      <c r="O1050" s="11" t="e">
        <f>_xlfn.XLOOKUP(Mvt_Inter_entrepot[[#This Row],[Num OF]],#REF!,#REF!,"Non Trouvé")</f>
        <v>#REF!</v>
      </c>
      <c r="P1050" s="11" t="e">
        <f>_xlfn.XLOOKUP(Mvt_Inter_entrepot[[#This Row],[Num OF]],#REF!,#REF!,"Non Trouvé")</f>
        <v>#REF!</v>
      </c>
      <c r="Q1050" s="11" t="str">
        <f>IF(
   COUNTIFS($A$2:A1050,A1050,
             $B$2:B1050,B1050,
             $C$2:C1050,C1050,
             $D$2:D1050,D1050,
             $E$2:E1050,E1050,
             $H$2:H1050,H1050
             )&gt;1,
   "Doublon",
   "Correcte"
)</f>
        <v>Correcte</v>
      </c>
    </row>
    <row r="1051" spans="1:17" x14ac:dyDescent="0.25">
      <c r="A1051" s="11">
        <v>0</v>
      </c>
      <c r="B1051" s="11"/>
      <c r="C1051" s="11"/>
      <c r="D1051" s="11"/>
      <c r="E1051" s="11"/>
      <c r="F1051" s="11"/>
      <c r="G1051" s="11"/>
      <c r="H1051" s="14"/>
      <c r="I1051" s="12">
        <f>-Mvt_Inter_entrepot[[#This Row],[QTE]]</f>
        <v>0</v>
      </c>
      <c r="J1051" s="11" t="s">
        <v>2723</v>
      </c>
      <c r="K1051" s="11" t="str">
        <f>_xlfn.TEXTBEFORE(Mvt_Inter_entrepot[[#This Row],[Num Suivis]],"-",,,1)</f>
        <v>CA250764</v>
      </c>
      <c r="L1051" s="11" t="e">
        <f>_xlfn.XLOOKUP(Mvt_Inter_entrepot[[#This Row],[Num OF]],#REF!,#REF!,"Non Trouvé")</f>
        <v>#REF!</v>
      </c>
      <c r="M1051" s="11" t="e">
        <f>_xlfn.XLOOKUP(Mvt_Inter_entrepot[[#This Row],[Num OF]],#REF!,#REF!,"Non Trouvé")</f>
        <v>#REF!</v>
      </c>
      <c r="N1051" s="11" t="e">
        <f>_xlfn.XLOOKUP(Mvt_Inter_entrepot[[#This Row],[Num OF]],#REF!,#REF!,"Non Trouvé")</f>
        <v>#REF!</v>
      </c>
      <c r="O1051" s="11" t="e">
        <f>_xlfn.XLOOKUP(Mvt_Inter_entrepot[[#This Row],[Num OF]],#REF!,#REF!,"Non Trouvé")</f>
        <v>#REF!</v>
      </c>
      <c r="P1051" s="11" t="e">
        <f>_xlfn.XLOOKUP(Mvt_Inter_entrepot[[#This Row],[Num OF]],#REF!,#REF!,"Non Trouvé")</f>
        <v>#REF!</v>
      </c>
      <c r="Q1051" s="11" t="str">
        <f>IF(
   COUNTIFS($A$2:A1051,A1051,
             $B$2:B1051,B1051,
             $C$2:C1051,C1051,
             $D$2:D1051,D1051,
             $E$2:E1051,E1051,
             $H$2:H1051,H1051
             )&gt;1,
   "Doublon",
   "Correcte"
)</f>
        <v>Correcte</v>
      </c>
    </row>
    <row r="1052" spans="1:17" x14ac:dyDescent="0.25">
      <c r="A1052" s="11">
        <v>0</v>
      </c>
      <c r="B1052" s="11"/>
      <c r="C1052" s="11"/>
      <c r="D1052" s="11"/>
      <c r="E1052" s="11"/>
      <c r="F1052" s="11"/>
      <c r="G1052" s="11"/>
      <c r="H1052" s="14"/>
      <c r="I1052" s="12">
        <f>-Mvt_Inter_entrepot[[#This Row],[QTE]]</f>
        <v>0</v>
      </c>
      <c r="J1052" s="11" t="s">
        <v>2724</v>
      </c>
      <c r="K1052" s="11" t="str">
        <f>_xlfn.TEXTBEFORE(Mvt_Inter_entrepot[[#This Row],[Num Suivis]],"-",,,1)</f>
        <v>CA250764</v>
      </c>
      <c r="L1052" s="11" t="e">
        <f>_xlfn.XLOOKUP(Mvt_Inter_entrepot[[#This Row],[Num OF]],#REF!,#REF!,"Non Trouvé")</f>
        <v>#REF!</v>
      </c>
      <c r="M1052" s="11" t="e">
        <f>_xlfn.XLOOKUP(Mvt_Inter_entrepot[[#This Row],[Num OF]],#REF!,#REF!,"Non Trouvé")</f>
        <v>#REF!</v>
      </c>
      <c r="N1052" s="11" t="e">
        <f>_xlfn.XLOOKUP(Mvt_Inter_entrepot[[#This Row],[Num OF]],#REF!,#REF!,"Non Trouvé")</f>
        <v>#REF!</v>
      </c>
      <c r="O1052" s="11" t="e">
        <f>_xlfn.XLOOKUP(Mvt_Inter_entrepot[[#This Row],[Num OF]],#REF!,#REF!,"Non Trouvé")</f>
        <v>#REF!</v>
      </c>
      <c r="P1052" s="11" t="e">
        <f>_xlfn.XLOOKUP(Mvt_Inter_entrepot[[#This Row],[Num OF]],#REF!,#REF!,"Non Trouvé")</f>
        <v>#REF!</v>
      </c>
      <c r="Q1052" s="11" t="str">
        <f>IF(
   COUNTIFS($A$2:A1052,A1052,
             $B$2:B1052,B1052,
             $C$2:C1052,C1052,
             $D$2:D1052,D1052,
             $E$2:E1052,E1052,
             $H$2:H1052,H1052
             )&gt;1,
   "Doublon",
   "Correcte"
)</f>
        <v>Correcte</v>
      </c>
    </row>
    <row r="1053" spans="1:17" x14ac:dyDescent="0.25">
      <c r="A1053" s="11">
        <v>0</v>
      </c>
      <c r="B1053" s="11"/>
      <c r="C1053" s="11"/>
      <c r="D1053" s="11"/>
      <c r="E1053" s="11"/>
      <c r="F1053" s="11"/>
      <c r="G1053" s="11"/>
      <c r="H1053" s="14"/>
      <c r="I1053" s="12">
        <f>-Mvt_Inter_entrepot[[#This Row],[QTE]]</f>
        <v>0</v>
      </c>
      <c r="J1053" s="11" t="s">
        <v>2725</v>
      </c>
      <c r="K1053" s="11" t="str">
        <f>_xlfn.TEXTBEFORE(Mvt_Inter_entrepot[[#This Row],[Num Suivis]],"-",,,1)</f>
        <v>CA250764</v>
      </c>
      <c r="L1053" s="11" t="e">
        <f>_xlfn.XLOOKUP(Mvt_Inter_entrepot[[#This Row],[Num OF]],#REF!,#REF!,"Non Trouvé")</f>
        <v>#REF!</v>
      </c>
      <c r="M1053" s="11" t="e">
        <f>_xlfn.XLOOKUP(Mvt_Inter_entrepot[[#This Row],[Num OF]],#REF!,#REF!,"Non Trouvé")</f>
        <v>#REF!</v>
      </c>
      <c r="N1053" s="11" t="e">
        <f>_xlfn.XLOOKUP(Mvt_Inter_entrepot[[#This Row],[Num OF]],#REF!,#REF!,"Non Trouvé")</f>
        <v>#REF!</v>
      </c>
      <c r="O1053" s="11" t="e">
        <f>_xlfn.XLOOKUP(Mvt_Inter_entrepot[[#This Row],[Num OF]],#REF!,#REF!,"Non Trouvé")</f>
        <v>#REF!</v>
      </c>
      <c r="P1053" s="11" t="e">
        <f>_xlfn.XLOOKUP(Mvt_Inter_entrepot[[#This Row],[Num OF]],#REF!,#REF!,"Non Trouvé")</f>
        <v>#REF!</v>
      </c>
      <c r="Q1053" s="11" t="str">
        <f>IF(
   COUNTIFS($A$2:A1053,A1053,
             $B$2:B1053,B1053,
             $C$2:C1053,C1053,
             $D$2:D1053,D1053,
             $E$2:E1053,E1053,
             $H$2:H1053,H1053
             )&gt;1,
   "Doublon",
   "Correcte"
)</f>
        <v>Correcte</v>
      </c>
    </row>
    <row r="1054" spans="1:17" x14ac:dyDescent="0.25">
      <c r="A1054" s="11">
        <v>0</v>
      </c>
      <c r="B1054" s="11"/>
      <c r="C1054" s="11"/>
      <c r="D1054" s="11"/>
      <c r="E1054" s="11"/>
      <c r="F1054" s="11"/>
      <c r="G1054" s="11"/>
      <c r="H1054" s="14"/>
      <c r="I1054" s="12">
        <f>-Mvt_Inter_entrepot[[#This Row],[QTE]]</f>
        <v>0</v>
      </c>
      <c r="J1054" s="11" t="s">
        <v>2726</v>
      </c>
      <c r="K1054" s="11" t="str">
        <f>_xlfn.TEXTBEFORE(Mvt_Inter_entrepot[[#This Row],[Num Suivis]],"-",,,1)</f>
        <v>CA250764</v>
      </c>
      <c r="L1054" s="11" t="e">
        <f>_xlfn.XLOOKUP(Mvt_Inter_entrepot[[#This Row],[Num OF]],#REF!,#REF!,"Non Trouvé")</f>
        <v>#REF!</v>
      </c>
      <c r="M1054" s="11" t="e">
        <f>_xlfn.XLOOKUP(Mvt_Inter_entrepot[[#This Row],[Num OF]],#REF!,#REF!,"Non Trouvé")</f>
        <v>#REF!</v>
      </c>
      <c r="N1054" s="11" t="e">
        <f>_xlfn.XLOOKUP(Mvt_Inter_entrepot[[#This Row],[Num OF]],#REF!,#REF!,"Non Trouvé")</f>
        <v>#REF!</v>
      </c>
      <c r="O1054" s="11" t="e">
        <f>_xlfn.XLOOKUP(Mvt_Inter_entrepot[[#This Row],[Num OF]],#REF!,#REF!,"Non Trouvé")</f>
        <v>#REF!</v>
      </c>
      <c r="P1054" s="11" t="e">
        <f>_xlfn.XLOOKUP(Mvt_Inter_entrepot[[#This Row],[Num OF]],#REF!,#REF!,"Non Trouvé")</f>
        <v>#REF!</v>
      </c>
      <c r="Q1054" s="11" t="str">
        <f>IF(
   COUNTIFS($A$2:A1054,A1054,
             $B$2:B1054,B1054,
             $C$2:C1054,C1054,
             $D$2:D1054,D1054,
             $E$2:E1054,E1054,
             $H$2:H1054,H1054
             )&gt;1,
   "Doublon",
   "Correcte"
)</f>
        <v>Correcte</v>
      </c>
    </row>
    <row r="1055" spans="1:17" x14ac:dyDescent="0.25">
      <c r="A1055" s="11">
        <v>0</v>
      </c>
      <c r="B1055" s="11"/>
      <c r="C1055" s="11"/>
      <c r="D1055" s="11"/>
      <c r="E1055" s="11"/>
      <c r="F1055" s="11"/>
      <c r="G1055" s="11"/>
      <c r="H1055" s="14"/>
      <c r="I1055" s="12">
        <f>-Mvt_Inter_entrepot[[#This Row],[QTE]]</f>
        <v>0</v>
      </c>
      <c r="J1055" s="11" t="s">
        <v>2727</v>
      </c>
      <c r="K1055" s="11" t="str">
        <f>_xlfn.TEXTBEFORE(Mvt_Inter_entrepot[[#This Row],[Num Suivis]],"-",,,1)</f>
        <v>CA250763</v>
      </c>
      <c r="L1055" s="11" t="e">
        <f>_xlfn.XLOOKUP(Mvt_Inter_entrepot[[#This Row],[Num OF]],#REF!,#REF!,"Non Trouvé")</f>
        <v>#REF!</v>
      </c>
      <c r="M1055" s="11" t="e">
        <f>_xlfn.XLOOKUP(Mvt_Inter_entrepot[[#This Row],[Num OF]],#REF!,#REF!,"Non Trouvé")</f>
        <v>#REF!</v>
      </c>
      <c r="N1055" s="11" t="e">
        <f>_xlfn.XLOOKUP(Mvt_Inter_entrepot[[#This Row],[Num OF]],#REF!,#REF!,"Non Trouvé")</f>
        <v>#REF!</v>
      </c>
      <c r="O1055" s="11" t="e">
        <f>_xlfn.XLOOKUP(Mvt_Inter_entrepot[[#This Row],[Num OF]],#REF!,#REF!,"Non Trouvé")</f>
        <v>#REF!</v>
      </c>
      <c r="P1055" s="11" t="e">
        <f>_xlfn.XLOOKUP(Mvt_Inter_entrepot[[#This Row],[Num OF]],#REF!,#REF!,"Non Trouvé")</f>
        <v>#REF!</v>
      </c>
      <c r="Q1055" s="11" t="str">
        <f>IF(
   COUNTIFS($A$2:A1055,A1055,
             $B$2:B1055,B1055,
             $C$2:C1055,C1055,
             $D$2:D1055,D1055,
             $E$2:E1055,E1055,
             $H$2:H1055,H1055
             )&gt;1,
   "Doublon",
   "Correcte"
)</f>
        <v>Correcte</v>
      </c>
    </row>
    <row r="1056" spans="1:17" x14ac:dyDescent="0.25">
      <c r="A1056" s="11">
        <v>0</v>
      </c>
      <c r="B1056" s="11"/>
      <c r="C1056" s="11"/>
      <c r="D1056" s="11"/>
      <c r="E1056" s="11"/>
      <c r="F1056" s="11"/>
      <c r="G1056" s="11"/>
      <c r="H1056" s="14"/>
      <c r="I1056" s="12">
        <f>-Mvt_Inter_entrepot[[#This Row],[QTE]]</f>
        <v>0</v>
      </c>
      <c r="J1056" s="11" t="s">
        <v>2728</v>
      </c>
      <c r="K1056" s="11" t="str">
        <f>_xlfn.TEXTBEFORE(Mvt_Inter_entrepot[[#This Row],[Num Suivis]],"-",,,1)</f>
        <v>CA250763</v>
      </c>
      <c r="L1056" s="11" t="e">
        <f>_xlfn.XLOOKUP(Mvt_Inter_entrepot[[#This Row],[Num OF]],#REF!,#REF!,"Non Trouvé")</f>
        <v>#REF!</v>
      </c>
      <c r="M1056" s="11" t="e">
        <f>_xlfn.XLOOKUP(Mvt_Inter_entrepot[[#This Row],[Num OF]],#REF!,#REF!,"Non Trouvé")</f>
        <v>#REF!</v>
      </c>
      <c r="N1056" s="11" t="e">
        <f>_xlfn.XLOOKUP(Mvt_Inter_entrepot[[#This Row],[Num OF]],#REF!,#REF!,"Non Trouvé")</f>
        <v>#REF!</v>
      </c>
      <c r="O1056" s="11" t="e">
        <f>_xlfn.XLOOKUP(Mvt_Inter_entrepot[[#This Row],[Num OF]],#REF!,#REF!,"Non Trouvé")</f>
        <v>#REF!</v>
      </c>
      <c r="P1056" s="11" t="e">
        <f>_xlfn.XLOOKUP(Mvt_Inter_entrepot[[#This Row],[Num OF]],#REF!,#REF!,"Non Trouvé")</f>
        <v>#REF!</v>
      </c>
      <c r="Q1056" s="11" t="str">
        <f>IF(
   COUNTIFS($A$2:A1056,A1056,
             $B$2:B1056,B1056,
             $C$2:C1056,C1056,
             $D$2:D1056,D1056,
             $E$2:E1056,E1056,
             $H$2:H1056,H1056
             )&gt;1,
   "Doublon",
   "Correcte"
)</f>
        <v>Correcte</v>
      </c>
    </row>
    <row r="1057" spans="1:17" x14ac:dyDescent="0.25">
      <c r="A1057" s="11">
        <v>0</v>
      </c>
      <c r="B1057" s="11"/>
      <c r="C1057" s="11"/>
      <c r="D1057" s="11"/>
      <c r="E1057" s="11"/>
      <c r="F1057" s="11"/>
      <c r="G1057" s="11"/>
      <c r="H1057" s="14"/>
      <c r="I1057" s="12">
        <f>-Mvt_Inter_entrepot[[#This Row],[QTE]]</f>
        <v>0</v>
      </c>
      <c r="J1057" s="11" t="s">
        <v>2729</v>
      </c>
      <c r="K1057" s="11" t="str">
        <f>_xlfn.TEXTBEFORE(Mvt_Inter_entrepot[[#This Row],[Num Suivis]],"-",,,1)</f>
        <v>CA250778</v>
      </c>
      <c r="L1057" s="11" t="e">
        <f>_xlfn.XLOOKUP(Mvt_Inter_entrepot[[#This Row],[Num OF]],#REF!,#REF!,"Non Trouvé")</f>
        <v>#REF!</v>
      </c>
      <c r="M1057" s="11" t="e">
        <f>_xlfn.XLOOKUP(Mvt_Inter_entrepot[[#This Row],[Num OF]],#REF!,#REF!,"Non Trouvé")</f>
        <v>#REF!</v>
      </c>
      <c r="N1057" s="11" t="e">
        <f>_xlfn.XLOOKUP(Mvt_Inter_entrepot[[#This Row],[Num OF]],#REF!,#REF!,"Non Trouvé")</f>
        <v>#REF!</v>
      </c>
      <c r="O1057" s="11" t="e">
        <f>_xlfn.XLOOKUP(Mvt_Inter_entrepot[[#This Row],[Num OF]],#REF!,#REF!,"Non Trouvé")</f>
        <v>#REF!</v>
      </c>
      <c r="P1057" s="11" t="e">
        <f>_xlfn.XLOOKUP(Mvt_Inter_entrepot[[#This Row],[Num OF]],#REF!,#REF!,"Non Trouvé")</f>
        <v>#REF!</v>
      </c>
      <c r="Q1057" s="11" t="str">
        <f>IF(
   COUNTIFS($A$2:A1057,A1057,
             $B$2:B1057,B1057,
             $C$2:C1057,C1057,
             $D$2:D1057,D1057,
             $E$2:E1057,E1057,
             $H$2:H1057,H1057
             )&gt;1,
   "Doublon",
   "Correcte"
)</f>
        <v>Correcte</v>
      </c>
    </row>
    <row r="1058" spans="1:17" x14ac:dyDescent="0.25">
      <c r="A1058" s="11">
        <v>0</v>
      </c>
      <c r="B1058" s="11"/>
      <c r="C1058" s="11"/>
      <c r="D1058" s="11"/>
      <c r="E1058" s="11"/>
      <c r="F1058" s="11"/>
      <c r="G1058" s="11"/>
      <c r="H1058" s="14"/>
      <c r="I1058" s="12">
        <f>-Mvt_Inter_entrepot[[#This Row],[QTE]]</f>
        <v>0</v>
      </c>
      <c r="J1058" s="11" t="s">
        <v>2730</v>
      </c>
      <c r="K1058" s="11" t="str">
        <f>_xlfn.TEXTBEFORE(Mvt_Inter_entrepot[[#This Row],[Num Suivis]],"-",,,1)</f>
        <v>CA250778</v>
      </c>
      <c r="L1058" s="11" t="e">
        <f>_xlfn.XLOOKUP(Mvt_Inter_entrepot[[#This Row],[Num OF]],#REF!,#REF!,"Non Trouvé")</f>
        <v>#REF!</v>
      </c>
      <c r="M1058" s="11" t="e">
        <f>_xlfn.XLOOKUP(Mvt_Inter_entrepot[[#This Row],[Num OF]],#REF!,#REF!,"Non Trouvé")</f>
        <v>#REF!</v>
      </c>
      <c r="N1058" s="11" t="e">
        <f>_xlfn.XLOOKUP(Mvt_Inter_entrepot[[#This Row],[Num OF]],#REF!,#REF!,"Non Trouvé")</f>
        <v>#REF!</v>
      </c>
      <c r="O1058" s="11" t="e">
        <f>_xlfn.XLOOKUP(Mvt_Inter_entrepot[[#This Row],[Num OF]],#REF!,#REF!,"Non Trouvé")</f>
        <v>#REF!</v>
      </c>
      <c r="P1058" s="11" t="e">
        <f>_xlfn.XLOOKUP(Mvt_Inter_entrepot[[#This Row],[Num OF]],#REF!,#REF!,"Non Trouvé")</f>
        <v>#REF!</v>
      </c>
      <c r="Q1058" s="11" t="str">
        <f>IF(
   COUNTIFS($A$2:A1058,A1058,
             $B$2:B1058,B1058,
             $C$2:C1058,C1058,
             $D$2:D1058,D1058,
             $E$2:E1058,E1058,
             $H$2:H1058,H1058
             )&gt;1,
   "Doublon",
   "Correcte"
)</f>
        <v>Correcte</v>
      </c>
    </row>
    <row r="1059" spans="1:17" x14ac:dyDescent="0.25">
      <c r="A1059" s="11">
        <v>0</v>
      </c>
      <c r="B1059" s="11"/>
      <c r="C1059" s="11"/>
      <c r="D1059" s="11"/>
      <c r="E1059" s="11"/>
      <c r="F1059" s="11"/>
      <c r="G1059" s="11"/>
      <c r="H1059" s="14"/>
      <c r="I1059" s="12">
        <f>-Mvt_Inter_entrepot[[#This Row],[QTE]]</f>
        <v>0</v>
      </c>
      <c r="J1059" s="11" t="s">
        <v>2731</v>
      </c>
      <c r="K1059" s="11" t="str">
        <f>_xlfn.TEXTBEFORE(Mvt_Inter_entrepot[[#This Row],[Num Suivis]],"-",,,1)</f>
        <v>CA250763</v>
      </c>
      <c r="L1059" s="11" t="e">
        <f>_xlfn.XLOOKUP(Mvt_Inter_entrepot[[#This Row],[Num OF]],#REF!,#REF!,"Non Trouvé")</f>
        <v>#REF!</v>
      </c>
      <c r="M1059" s="11" t="e">
        <f>_xlfn.XLOOKUP(Mvt_Inter_entrepot[[#This Row],[Num OF]],#REF!,#REF!,"Non Trouvé")</f>
        <v>#REF!</v>
      </c>
      <c r="N1059" s="11" t="e">
        <f>_xlfn.XLOOKUP(Mvt_Inter_entrepot[[#This Row],[Num OF]],#REF!,#REF!,"Non Trouvé")</f>
        <v>#REF!</v>
      </c>
      <c r="O1059" s="11" t="e">
        <f>_xlfn.XLOOKUP(Mvt_Inter_entrepot[[#This Row],[Num OF]],#REF!,#REF!,"Non Trouvé")</f>
        <v>#REF!</v>
      </c>
      <c r="P1059" s="11" t="e">
        <f>_xlfn.XLOOKUP(Mvt_Inter_entrepot[[#This Row],[Num OF]],#REF!,#REF!,"Non Trouvé")</f>
        <v>#REF!</v>
      </c>
      <c r="Q1059" s="11" t="str">
        <f>IF(
   COUNTIFS($A$2:A1059,A1059,
             $B$2:B1059,B1059,
             $C$2:C1059,C1059,
             $D$2:D1059,D1059,
             $E$2:E1059,E1059,
             $H$2:H1059,H1059
             )&gt;1,
   "Doublon",
   "Correcte"
)</f>
        <v>Correcte</v>
      </c>
    </row>
    <row r="1060" spans="1:17" x14ac:dyDescent="0.25">
      <c r="A1060" s="11">
        <v>0</v>
      </c>
      <c r="B1060" s="11"/>
      <c r="C1060" s="11"/>
      <c r="D1060" s="11"/>
      <c r="E1060" s="11"/>
      <c r="F1060" s="11"/>
      <c r="G1060" s="11"/>
      <c r="H1060" s="14"/>
      <c r="I1060" s="12">
        <f>-Mvt_Inter_entrepot[[#This Row],[QTE]]</f>
        <v>0</v>
      </c>
      <c r="J1060" s="11" t="s">
        <v>2732</v>
      </c>
      <c r="K1060" s="11" t="str">
        <f>_xlfn.TEXTBEFORE(Mvt_Inter_entrepot[[#This Row],[Num Suivis]],"-",,,1)</f>
        <v>CA250763</v>
      </c>
      <c r="L1060" s="11" t="e">
        <f>_xlfn.XLOOKUP(Mvt_Inter_entrepot[[#This Row],[Num OF]],#REF!,#REF!,"Non Trouvé")</f>
        <v>#REF!</v>
      </c>
      <c r="M1060" s="11" t="e">
        <f>_xlfn.XLOOKUP(Mvt_Inter_entrepot[[#This Row],[Num OF]],#REF!,#REF!,"Non Trouvé")</f>
        <v>#REF!</v>
      </c>
      <c r="N1060" s="11" t="e">
        <f>_xlfn.XLOOKUP(Mvt_Inter_entrepot[[#This Row],[Num OF]],#REF!,#REF!,"Non Trouvé")</f>
        <v>#REF!</v>
      </c>
      <c r="O1060" s="11" t="e">
        <f>_xlfn.XLOOKUP(Mvt_Inter_entrepot[[#This Row],[Num OF]],#REF!,#REF!,"Non Trouvé")</f>
        <v>#REF!</v>
      </c>
      <c r="P1060" s="11" t="e">
        <f>_xlfn.XLOOKUP(Mvt_Inter_entrepot[[#This Row],[Num OF]],#REF!,#REF!,"Non Trouvé")</f>
        <v>#REF!</v>
      </c>
      <c r="Q1060" s="11" t="str">
        <f>IF(
   COUNTIFS($A$2:A1060,A1060,
             $B$2:B1060,B1060,
             $C$2:C1060,C1060,
             $D$2:D1060,D1060,
             $E$2:E1060,E1060,
             $H$2:H1060,H1060
             )&gt;1,
   "Doublon",
   "Correcte"
)</f>
        <v>Correcte</v>
      </c>
    </row>
    <row r="1061" spans="1:17" x14ac:dyDescent="0.25">
      <c r="A1061" s="11">
        <v>0</v>
      </c>
      <c r="B1061" s="11"/>
      <c r="C1061" s="11"/>
      <c r="D1061" s="11"/>
      <c r="E1061" s="11"/>
      <c r="F1061" s="11"/>
      <c r="G1061" s="11"/>
      <c r="H1061" s="14"/>
      <c r="I1061" s="12">
        <f>-Mvt_Inter_entrepot[[#This Row],[QTE]]</f>
        <v>0</v>
      </c>
      <c r="J1061" s="11" t="s">
        <v>2733</v>
      </c>
      <c r="K1061" s="11" t="str">
        <f>_xlfn.TEXTBEFORE(Mvt_Inter_entrepot[[#This Row],[Num Suivis]],"-",,,1)</f>
        <v>CA250763</v>
      </c>
      <c r="L1061" s="11" t="e">
        <f>_xlfn.XLOOKUP(Mvt_Inter_entrepot[[#This Row],[Num OF]],#REF!,#REF!,"Non Trouvé")</f>
        <v>#REF!</v>
      </c>
      <c r="M1061" s="11" t="e">
        <f>_xlfn.XLOOKUP(Mvt_Inter_entrepot[[#This Row],[Num OF]],#REF!,#REF!,"Non Trouvé")</f>
        <v>#REF!</v>
      </c>
      <c r="N1061" s="11" t="e">
        <f>_xlfn.XLOOKUP(Mvt_Inter_entrepot[[#This Row],[Num OF]],#REF!,#REF!,"Non Trouvé")</f>
        <v>#REF!</v>
      </c>
      <c r="O1061" s="11" t="e">
        <f>_xlfn.XLOOKUP(Mvt_Inter_entrepot[[#This Row],[Num OF]],#REF!,#REF!,"Non Trouvé")</f>
        <v>#REF!</v>
      </c>
      <c r="P1061" s="11" t="e">
        <f>_xlfn.XLOOKUP(Mvt_Inter_entrepot[[#This Row],[Num OF]],#REF!,#REF!,"Non Trouvé")</f>
        <v>#REF!</v>
      </c>
      <c r="Q1061" s="11" t="str">
        <f>IF(
   COUNTIFS($A$2:A1061,A1061,
             $B$2:B1061,B1061,
             $C$2:C1061,C1061,
             $D$2:D1061,D1061,
             $E$2:E1061,E1061,
             $H$2:H1061,H1061
             )&gt;1,
   "Doublon",
   "Correcte"
)</f>
        <v>Correcte</v>
      </c>
    </row>
    <row r="1062" spans="1:17" x14ac:dyDescent="0.25">
      <c r="A1062" s="11">
        <v>0</v>
      </c>
      <c r="B1062" s="11"/>
      <c r="C1062" s="11"/>
      <c r="D1062" s="11"/>
      <c r="E1062" s="11"/>
      <c r="F1062" s="11"/>
      <c r="G1062" s="11"/>
      <c r="H1062" s="14"/>
      <c r="I1062" s="12">
        <f>-Mvt_Inter_entrepot[[#This Row],[QTE]]</f>
        <v>0</v>
      </c>
      <c r="J1062" s="11" t="s">
        <v>2734</v>
      </c>
      <c r="K1062" s="11" t="str">
        <f>_xlfn.TEXTBEFORE(Mvt_Inter_entrepot[[#This Row],[Num Suivis]],"-",,,1)</f>
        <v>CA250763</v>
      </c>
      <c r="L1062" s="11" t="e">
        <f>_xlfn.XLOOKUP(Mvt_Inter_entrepot[[#This Row],[Num OF]],#REF!,#REF!,"Non Trouvé")</f>
        <v>#REF!</v>
      </c>
      <c r="M1062" s="11" t="e">
        <f>_xlfn.XLOOKUP(Mvt_Inter_entrepot[[#This Row],[Num OF]],#REF!,#REF!,"Non Trouvé")</f>
        <v>#REF!</v>
      </c>
      <c r="N1062" s="11" t="e">
        <f>_xlfn.XLOOKUP(Mvt_Inter_entrepot[[#This Row],[Num OF]],#REF!,#REF!,"Non Trouvé")</f>
        <v>#REF!</v>
      </c>
      <c r="O1062" s="11" t="e">
        <f>_xlfn.XLOOKUP(Mvt_Inter_entrepot[[#This Row],[Num OF]],#REF!,#REF!,"Non Trouvé")</f>
        <v>#REF!</v>
      </c>
      <c r="P1062" s="11" t="e">
        <f>_xlfn.XLOOKUP(Mvt_Inter_entrepot[[#This Row],[Num OF]],#REF!,#REF!,"Non Trouvé")</f>
        <v>#REF!</v>
      </c>
      <c r="Q1062" s="11" t="str">
        <f>IF(
   COUNTIFS($A$2:A1062,A1062,
             $B$2:B1062,B1062,
             $C$2:C1062,C1062,
             $D$2:D1062,D1062,
             $E$2:E1062,E1062,
             $H$2:H1062,H1062
             )&gt;1,
   "Doublon",
   "Correcte"
)</f>
        <v>Correcte</v>
      </c>
    </row>
    <row r="1063" spans="1:17" x14ac:dyDescent="0.25">
      <c r="A1063" s="11">
        <v>0</v>
      </c>
      <c r="B1063" s="11"/>
      <c r="C1063" s="11"/>
      <c r="D1063" s="11"/>
      <c r="E1063" s="11"/>
      <c r="F1063" s="11"/>
      <c r="G1063" s="11"/>
      <c r="H1063" s="14"/>
      <c r="I1063" s="12">
        <f>-Mvt_Inter_entrepot[[#This Row],[QTE]]</f>
        <v>0</v>
      </c>
      <c r="J1063" s="11" t="s">
        <v>2735</v>
      </c>
      <c r="K1063" s="11" t="str">
        <f>_xlfn.TEXTBEFORE(Mvt_Inter_entrepot[[#This Row],[Num Suivis]],"-",,,1)</f>
        <v>CA250763</v>
      </c>
      <c r="L1063" s="11" t="e">
        <f>_xlfn.XLOOKUP(Mvt_Inter_entrepot[[#This Row],[Num OF]],#REF!,#REF!,"Non Trouvé")</f>
        <v>#REF!</v>
      </c>
      <c r="M1063" s="11" t="e">
        <f>_xlfn.XLOOKUP(Mvt_Inter_entrepot[[#This Row],[Num OF]],#REF!,#REF!,"Non Trouvé")</f>
        <v>#REF!</v>
      </c>
      <c r="N1063" s="11" t="e">
        <f>_xlfn.XLOOKUP(Mvt_Inter_entrepot[[#This Row],[Num OF]],#REF!,#REF!,"Non Trouvé")</f>
        <v>#REF!</v>
      </c>
      <c r="O1063" s="11" t="e">
        <f>_xlfn.XLOOKUP(Mvt_Inter_entrepot[[#This Row],[Num OF]],#REF!,#REF!,"Non Trouvé")</f>
        <v>#REF!</v>
      </c>
      <c r="P1063" s="11" t="e">
        <f>_xlfn.XLOOKUP(Mvt_Inter_entrepot[[#This Row],[Num OF]],#REF!,#REF!,"Non Trouvé")</f>
        <v>#REF!</v>
      </c>
      <c r="Q1063" s="11" t="str">
        <f>IF(
   COUNTIFS($A$2:A1063,A1063,
             $B$2:B1063,B1063,
             $C$2:C1063,C1063,
             $D$2:D1063,D1063,
             $E$2:E1063,E1063,
             $H$2:H1063,H1063
             )&gt;1,
   "Doublon",
   "Correcte"
)</f>
        <v>Correcte</v>
      </c>
    </row>
    <row r="1064" spans="1:17" x14ac:dyDescent="0.25">
      <c r="A1064" s="11">
        <v>0</v>
      </c>
      <c r="B1064" s="11"/>
      <c r="C1064" s="11"/>
      <c r="D1064" s="11"/>
      <c r="E1064" s="11"/>
      <c r="F1064" s="11"/>
      <c r="G1064" s="11"/>
      <c r="H1064" s="14"/>
      <c r="I1064" s="12">
        <f>-Mvt_Inter_entrepot[[#This Row],[QTE]]</f>
        <v>0</v>
      </c>
      <c r="J1064" s="11" t="s">
        <v>2736</v>
      </c>
      <c r="K1064" s="11" t="str">
        <f>_xlfn.TEXTBEFORE(Mvt_Inter_entrepot[[#This Row],[Num Suivis]],"-",,,1)</f>
        <v>CA250763</v>
      </c>
      <c r="L1064" s="11" t="e">
        <f>_xlfn.XLOOKUP(Mvt_Inter_entrepot[[#This Row],[Num OF]],#REF!,#REF!,"Non Trouvé")</f>
        <v>#REF!</v>
      </c>
      <c r="M1064" s="11" t="e">
        <f>_xlfn.XLOOKUP(Mvt_Inter_entrepot[[#This Row],[Num OF]],#REF!,#REF!,"Non Trouvé")</f>
        <v>#REF!</v>
      </c>
      <c r="N1064" s="11" t="e">
        <f>_xlfn.XLOOKUP(Mvt_Inter_entrepot[[#This Row],[Num OF]],#REF!,#REF!,"Non Trouvé")</f>
        <v>#REF!</v>
      </c>
      <c r="O1064" s="11" t="e">
        <f>_xlfn.XLOOKUP(Mvt_Inter_entrepot[[#This Row],[Num OF]],#REF!,#REF!,"Non Trouvé")</f>
        <v>#REF!</v>
      </c>
      <c r="P1064" s="11" t="e">
        <f>_xlfn.XLOOKUP(Mvt_Inter_entrepot[[#This Row],[Num OF]],#REF!,#REF!,"Non Trouvé")</f>
        <v>#REF!</v>
      </c>
      <c r="Q1064" s="11" t="str">
        <f>IF(
   COUNTIFS($A$2:A1064,A1064,
             $B$2:B1064,B1064,
             $C$2:C1064,C1064,
             $D$2:D1064,D1064,
             $E$2:E1064,E1064,
             $H$2:H1064,H1064
             )&gt;1,
   "Doublon",
   "Correcte"
)</f>
        <v>Correcte</v>
      </c>
    </row>
    <row r="1065" spans="1:17" x14ac:dyDescent="0.25">
      <c r="A1065" s="11">
        <v>0</v>
      </c>
      <c r="B1065" s="11"/>
      <c r="C1065" s="11"/>
      <c r="D1065" s="11"/>
      <c r="E1065" s="11"/>
      <c r="F1065" s="11"/>
      <c r="G1065" s="11"/>
      <c r="H1065" s="14"/>
      <c r="I1065" s="12">
        <f>-Mvt_Inter_entrepot[[#This Row],[QTE]]</f>
        <v>0</v>
      </c>
      <c r="J1065" s="11" t="s">
        <v>2737</v>
      </c>
      <c r="K1065" s="11" t="str">
        <f>_xlfn.TEXTBEFORE(Mvt_Inter_entrepot[[#This Row],[Num Suivis]],"-",,,1)</f>
        <v>CA250763</v>
      </c>
      <c r="L1065" s="11" t="e">
        <f>_xlfn.XLOOKUP(Mvt_Inter_entrepot[[#This Row],[Num OF]],#REF!,#REF!,"Non Trouvé")</f>
        <v>#REF!</v>
      </c>
      <c r="M1065" s="11" t="e">
        <f>_xlfn.XLOOKUP(Mvt_Inter_entrepot[[#This Row],[Num OF]],#REF!,#REF!,"Non Trouvé")</f>
        <v>#REF!</v>
      </c>
      <c r="N1065" s="11" t="e">
        <f>_xlfn.XLOOKUP(Mvt_Inter_entrepot[[#This Row],[Num OF]],#REF!,#REF!,"Non Trouvé")</f>
        <v>#REF!</v>
      </c>
      <c r="O1065" s="11" t="e">
        <f>_xlfn.XLOOKUP(Mvt_Inter_entrepot[[#This Row],[Num OF]],#REF!,#REF!,"Non Trouvé")</f>
        <v>#REF!</v>
      </c>
      <c r="P1065" s="11" t="e">
        <f>_xlfn.XLOOKUP(Mvt_Inter_entrepot[[#This Row],[Num OF]],#REF!,#REF!,"Non Trouvé")</f>
        <v>#REF!</v>
      </c>
      <c r="Q1065" s="11" t="str">
        <f>IF(
   COUNTIFS($A$2:A1065,A1065,
             $B$2:B1065,B1065,
             $C$2:C1065,C1065,
             $D$2:D1065,D1065,
             $E$2:E1065,E1065,
             $H$2:H1065,H1065
             )&gt;1,
   "Doublon",
   "Correcte"
)</f>
        <v>Correcte</v>
      </c>
    </row>
    <row r="1066" spans="1:17" x14ac:dyDescent="0.25">
      <c r="A1066" s="11">
        <v>0</v>
      </c>
      <c r="B1066" s="11"/>
      <c r="C1066" s="11"/>
      <c r="D1066" s="11"/>
      <c r="E1066" s="11"/>
      <c r="F1066" s="11"/>
      <c r="G1066" s="11"/>
      <c r="H1066" s="14"/>
      <c r="I1066" s="12">
        <f>-Mvt_Inter_entrepot[[#This Row],[QTE]]</f>
        <v>0</v>
      </c>
      <c r="J1066" s="11" t="s">
        <v>2738</v>
      </c>
      <c r="K1066" s="11" t="str">
        <f>_xlfn.TEXTBEFORE(Mvt_Inter_entrepot[[#This Row],[Num Suivis]],"-",,,1)</f>
        <v>CA250763</v>
      </c>
      <c r="L1066" s="11" t="e">
        <f>_xlfn.XLOOKUP(Mvt_Inter_entrepot[[#This Row],[Num OF]],#REF!,#REF!,"Non Trouvé")</f>
        <v>#REF!</v>
      </c>
      <c r="M1066" s="11" t="e">
        <f>_xlfn.XLOOKUP(Mvt_Inter_entrepot[[#This Row],[Num OF]],#REF!,#REF!,"Non Trouvé")</f>
        <v>#REF!</v>
      </c>
      <c r="N1066" s="11" t="e">
        <f>_xlfn.XLOOKUP(Mvt_Inter_entrepot[[#This Row],[Num OF]],#REF!,#REF!,"Non Trouvé")</f>
        <v>#REF!</v>
      </c>
      <c r="O1066" s="11" t="e">
        <f>_xlfn.XLOOKUP(Mvt_Inter_entrepot[[#This Row],[Num OF]],#REF!,#REF!,"Non Trouvé")</f>
        <v>#REF!</v>
      </c>
      <c r="P1066" s="11" t="e">
        <f>_xlfn.XLOOKUP(Mvt_Inter_entrepot[[#This Row],[Num OF]],#REF!,#REF!,"Non Trouvé")</f>
        <v>#REF!</v>
      </c>
      <c r="Q1066" s="11" t="str">
        <f>IF(
   COUNTIFS($A$2:A1066,A1066,
             $B$2:B1066,B1066,
             $C$2:C1066,C1066,
             $D$2:D1066,D1066,
             $E$2:E1066,E1066,
             $H$2:H1066,H1066
             )&gt;1,
   "Doublon",
   "Correcte"
)</f>
        <v>Correcte</v>
      </c>
    </row>
    <row r="1067" spans="1:17" x14ac:dyDescent="0.25">
      <c r="A1067" s="11">
        <v>0</v>
      </c>
      <c r="B1067" s="11"/>
      <c r="C1067" s="11"/>
      <c r="D1067" s="11"/>
      <c r="E1067" s="11"/>
      <c r="F1067" s="11"/>
      <c r="G1067" s="11"/>
      <c r="H1067" s="14"/>
      <c r="I1067" s="12">
        <f>-Mvt_Inter_entrepot[[#This Row],[QTE]]</f>
        <v>0</v>
      </c>
      <c r="J1067" s="11" t="s">
        <v>2739</v>
      </c>
      <c r="K1067" s="11" t="str">
        <f>_xlfn.TEXTBEFORE(Mvt_Inter_entrepot[[#This Row],[Num Suivis]],"-",,,1)</f>
        <v>CA250763</v>
      </c>
      <c r="L1067" s="11" t="e">
        <f>_xlfn.XLOOKUP(Mvt_Inter_entrepot[[#This Row],[Num OF]],#REF!,#REF!,"Non Trouvé")</f>
        <v>#REF!</v>
      </c>
      <c r="M1067" s="11" t="e">
        <f>_xlfn.XLOOKUP(Mvt_Inter_entrepot[[#This Row],[Num OF]],#REF!,#REF!,"Non Trouvé")</f>
        <v>#REF!</v>
      </c>
      <c r="N1067" s="11" t="e">
        <f>_xlfn.XLOOKUP(Mvt_Inter_entrepot[[#This Row],[Num OF]],#REF!,#REF!,"Non Trouvé")</f>
        <v>#REF!</v>
      </c>
      <c r="O1067" s="11" t="e">
        <f>_xlfn.XLOOKUP(Mvt_Inter_entrepot[[#This Row],[Num OF]],#REF!,#REF!,"Non Trouvé")</f>
        <v>#REF!</v>
      </c>
      <c r="P1067" s="11" t="e">
        <f>_xlfn.XLOOKUP(Mvt_Inter_entrepot[[#This Row],[Num OF]],#REF!,#REF!,"Non Trouvé")</f>
        <v>#REF!</v>
      </c>
      <c r="Q1067" s="11" t="str">
        <f>IF(
   COUNTIFS($A$2:A1067,A1067,
             $B$2:B1067,B1067,
             $C$2:C1067,C1067,
             $D$2:D1067,D1067,
             $E$2:E1067,E1067,
             $H$2:H1067,H1067
             )&gt;1,
   "Doublon",
   "Correcte"
)</f>
        <v>Correcte</v>
      </c>
    </row>
    <row r="1068" spans="1:17" x14ac:dyDescent="0.25">
      <c r="A1068" s="11">
        <v>0</v>
      </c>
      <c r="B1068" s="11"/>
      <c r="C1068" s="11"/>
      <c r="D1068" s="11"/>
      <c r="E1068" s="11"/>
      <c r="F1068" s="11"/>
      <c r="G1068" s="11"/>
      <c r="H1068" s="14"/>
      <c r="I1068" s="12">
        <f>-Mvt_Inter_entrepot[[#This Row],[QTE]]</f>
        <v>0</v>
      </c>
      <c r="J1068" s="11" t="s">
        <v>2740</v>
      </c>
      <c r="K1068" s="11" t="str">
        <f>_xlfn.TEXTBEFORE(Mvt_Inter_entrepot[[#This Row],[Num Suivis]],"-",,,1)</f>
        <v>CA250763</v>
      </c>
      <c r="L1068" s="11" t="e">
        <f>_xlfn.XLOOKUP(Mvt_Inter_entrepot[[#This Row],[Num OF]],#REF!,#REF!,"Non Trouvé")</f>
        <v>#REF!</v>
      </c>
      <c r="M1068" s="11" t="e">
        <f>_xlfn.XLOOKUP(Mvt_Inter_entrepot[[#This Row],[Num OF]],#REF!,#REF!,"Non Trouvé")</f>
        <v>#REF!</v>
      </c>
      <c r="N1068" s="11" t="e">
        <f>_xlfn.XLOOKUP(Mvt_Inter_entrepot[[#This Row],[Num OF]],#REF!,#REF!,"Non Trouvé")</f>
        <v>#REF!</v>
      </c>
      <c r="O1068" s="11" t="e">
        <f>_xlfn.XLOOKUP(Mvt_Inter_entrepot[[#This Row],[Num OF]],#REF!,#REF!,"Non Trouvé")</f>
        <v>#REF!</v>
      </c>
      <c r="P1068" s="11" t="e">
        <f>_xlfn.XLOOKUP(Mvt_Inter_entrepot[[#This Row],[Num OF]],#REF!,#REF!,"Non Trouvé")</f>
        <v>#REF!</v>
      </c>
      <c r="Q1068" s="11" t="str">
        <f>IF(
   COUNTIFS($A$2:A1068,A1068,
             $B$2:B1068,B1068,
             $C$2:C1068,C1068,
             $D$2:D1068,D1068,
             $E$2:E1068,E1068,
             $H$2:H1068,H1068
             )&gt;1,
   "Doublon",
   "Correcte"
)</f>
        <v>Correcte</v>
      </c>
    </row>
    <row r="1069" spans="1:17" x14ac:dyDescent="0.25">
      <c r="A1069" s="11">
        <v>0</v>
      </c>
      <c r="B1069" s="11"/>
      <c r="C1069" s="11"/>
      <c r="D1069" s="11"/>
      <c r="E1069" s="11"/>
      <c r="F1069" s="11"/>
      <c r="G1069" s="11"/>
      <c r="H1069" s="14"/>
      <c r="I1069" s="12">
        <f>-Mvt_Inter_entrepot[[#This Row],[QTE]]</f>
        <v>0</v>
      </c>
      <c r="J1069" s="11" t="s">
        <v>2741</v>
      </c>
      <c r="K1069" s="11" t="str">
        <f>_xlfn.TEXTBEFORE(Mvt_Inter_entrepot[[#This Row],[Num Suivis]],"-",,,1)</f>
        <v>CA250763</v>
      </c>
      <c r="L1069" s="11" t="e">
        <f>_xlfn.XLOOKUP(Mvt_Inter_entrepot[[#This Row],[Num OF]],#REF!,#REF!,"Non Trouvé")</f>
        <v>#REF!</v>
      </c>
      <c r="M1069" s="11" t="e">
        <f>_xlfn.XLOOKUP(Mvt_Inter_entrepot[[#This Row],[Num OF]],#REF!,#REF!,"Non Trouvé")</f>
        <v>#REF!</v>
      </c>
      <c r="N1069" s="11" t="e">
        <f>_xlfn.XLOOKUP(Mvt_Inter_entrepot[[#This Row],[Num OF]],#REF!,#REF!,"Non Trouvé")</f>
        <v>#REF!</v>
      </c>
      <c r="O1069" s="11" t="e">
        <f>_xlfn.XLOOKUP(Mvt_Inter_entrepot[[#This Row],[Num OF]],#REF!,#REF!,"Non Trouvé")</f>
        <v>#REF!</v>
      </c>
      <c r="P1069" s="11" t="e">
        <f>_xlfn.XLOOKUP(Mvt_Inter_entrepot[[#This Row],[Num OF]],#REF!,#REF!,"Non Trouvé")</f>
        <v>#REF!</v>
      </c>
      <c r="Q1069" s="11" t="str">
        <f>IF(
   COUNTIFS($A$2:A1069,A1069,
             $B$2:B1069,B1069,
             $C$2:C1069,C1069,
             $D$2:D1069,D1069,
             $E$2:E1069,E1069,
             $H$2:H1069,H1069
             )&gt;1,
   "Doublon",
   "Correcte"
)</f>
        <v>Correcte</v>
      </c>
    </row>
    <row r="1070" spans="1:17" x14ac:dyDescent="0.25">
      <c r="A1070" s="11">
        <v>0</v>
      </c>
      <c r="B1070" s="11"/>
      <c r="C1070" s="11"/>
      <c r="D1070" s="11"/>
      <c r="E1070" s="11"/>
      <c r="F1070" s="11"/>
      <c r="G1070" s="11"/>
      <c r="H1070" s="14"/>
      <c r="I1070" s="12">
        <f>-Mvt_Inter_entrepot[[#This Row],[QTE]]</f>
        <v>0</v>
      </c>
      <c r="J1070" s="11" t="s">
        <v>2742</v>
      </c>
      <c r="K1070" s="11" t="str">
        <f>_xlfn.TEXTBEFORE(Mvt_Inter_entrepot[[#This Row],[Num Suivis]],"-",,,1)</f>
        <v>CA250763</v>
      </c>
      <c r="L1070" s="11" t="e">
        <f>_xlfn.XLOOKUP(Mvt_Inter_entrepot[[#This Row],[Num OF]],#REF!,#REF!,"Non Trouvé")</f>
        <v>#REF!</v>
      </c>
      <c r="M1070" s="11" t="e">
        <f>_xlfn.XLOOKUP(Mvt_Inter_entrepot[[#This Row],[Num OF]],#REF!,#REF!,"Non Trouvé")</f>
        <v>#REF!</v>
      </c>
      <c r="N1070" s="11" t="e">
        <f>_xlfn.XLOOKUP(Mvt_Inter_entrepot[[#This Row],[Num OF]],#REF!,#REF!,"Non Trouvé")</f>
        <v>#REF!</v>
      </c>
      <c r="O1070" s="11" t="e">
        <f>_xlfn.XLOOKUP(Mvt_Inter_entrepot[[#This Row],[Num OF]],#REF!,#REF!,"Non Trouvé")</f>
        <v>#REF!</v>
      </c>
      <c r="P1070" s="11" t="e">
        <f>_xlfn.XLOOKUP(Mvt_Inter_entrepot[[#This Row],[Num OF]],#REF!,#REF!,"Non Trouvé")</f>
        <v>#REF!</v>
      </c>
      <c r="Q1070" s="11" t="str">
        <f>IF(
   COUNTIFS($A$2:A1070,A1070,
             $B$2:B1070,B1070,
             $C$2:C1070,C1070,
             $D$2:D1070,D1070,
             $E$2:E1070,E1070,
             $H$2:H1070,H1070
             )&gt;1,
   "Doublon",
   "Correcte"
)</f>
        <v>Correcte</v>
      </c>
    </row>
    <row r="1071" spans="1:17" x14ac:dyDescent="0.25">
      <c r="A1071" s="11">
        <v>0</v>
      </c>
      <c r="B1071" s="11"/>
      <c r="C1071" s="11"/>
      <c r="D1071" s="11"/>
      <c r="E1071" s="11"/>
      <c r="F1071" s="11"/>
      <c r="G1071" s="11"/>
      <c r="H1071" s="14"/>
      <c r="I1071" s="12">
        <f>-Mvt_Inter_entrepot[[#This Row],[QTE]]</f>
        <v>0</v>
      </c>
      <c r="J1071" s="11" t="s">
        <v>2743</v>
      </c>
      <c r="K1071" s="11" t="str">
        <f>_xlfn.TEXTBEFORE(Mvt_Inter_entrepot[[#This Row],[Num Suivis]],"-",,,1)</f>
        <v>CA250758</v>
      </c>
      <c r="L1071" s="11" t="e">
        <f>_xlfn.XLOOKUP(Mvt_Inter_entrepot[[#This Row],[Num OF]],#REF!,#REF!,"Non Trouvé")</f>
        <v>#REF!</v>
      </c>
      <c r="M1071" s="11" t="e">
        <f>_xlfn.XLOOKUP(Mvt_Inter_entrepot[[#This Row],[Num OF]],#REF!,#REF!,"Non Trouvé")</f>
        <v>#REF!</v>
      </c>
      <c r="N1071" s="11" t="e">
        <f>_xlfn.XLOOKUP(Mvt_Inter_entrepot[[#This Row],[Num OF]],#REF!,#REF!,"Non Trouvé")</f>
        <v>#REF!</v>
      </c>
      <c r="O1071" s="11" t="e">
        <f>_xlfn.XLOOKUP(Mvt_Inter_entrepot[[#This Row],[Num OF]],#REF!,#REF!,"Non Trouvé")</f>
        <v>#REF!</v>
      </c>
      <c r="P1071" s="11" t="e">
        <f>_xlfn.XLOOKUP(Mvt_Inter_entrepot[[#This Row],[Num OF]],#REF!,#REF!,"Non Trouvé")</f>
        <v>#REF!</v>
      </c>
      <c r="Q1071" s="11" t="str">
        <f>IF(
   COUNTIFS($A$2:A1071,A1071,
             $B$2:B1071,B1071,
             $C$2:C1071,C1071,
             $D$2:D1071,D1071,
             $E$2:E1071,E1071,
             $H$2:H1071,H1071
             )&gt;1,
   "Doublon",
   "Correcte"
)</f>
        <v>Correcte</v>
      </c>
    </row>
    <row r="1072" spans="1:17" x14ac:dyDescent="0.25">
      <c r="A1072" s="11">
        <v>0</v>
      </c>
      <c r="B1072" s="11"/>
      <c r="C1072" s="11"/>
      <c r="D1072" s="11"/>
      <c r="E1072" s="11"/>
      <c r="F1072" s="11"/>
      <c r="G1072" s="11"/>
      <c r="H1072" s="14"/>
      <c r="I1072" s="12">
        <f>-Mvt_Inter_entrepot[[#This Row],[QTE]]</f>
        <v>0</v>
      </c>
      <c r="J1072" s="11" t="s">
        <v>2744</v>
      </c>
      <c r="K1072" s="11" t="str">
        <f>_xlfn.TEXTBEFORE(Mvt_Inter_entrepot[[#This Row],[Num Suivis]],"-",,,1)</f>
        <v>CA250758</v>
      </c>
      <c r="L1072" s="11" t="e">
        <f>_xlfn.XLOOKUP(Mvt_Inter_entrepot[[#This Row],[Num OF]],#REF!,#REF!,"Non Trouvé")</f>
        <v>#REF!</v>
      </c>
      <c r="M1072" s="11" t="e">
        <f>_xlfn.XLOOKUP(Mvt_Inter_entrepot[[#This Row],[Num OF]],#REF!,#REF!,"Non Trouvé")</f>
        <v>#REF!</v>
      </c>
      <c r="N1072" s="11" t="e">
        <f>_xlfn.XLOOKUP(Mvt_Inter_entrepot[[#This Row],[Num OF]],#REF!,#REF!,"Non Trouvé")</f>
        <v>#REF!</v>
      </c>
      <c r="O1072" s="11" t="e">
        <f>_xlfn.XLOOKUP(Mvt_Inter_entrepot[[#This Row],[Num OF]],#REF!,#REF!,"Non Trouvé")</f>
        <v>#REF!</v>
      </c>
      <c r="P1072" s="11" t="e">
        <f>_xlfn.XLOOKUP(Mvt_Inter_entrepot[[#This Row],[Num OF]],#REF!,#REF!,"Non Trouvé")</f>
        <v>#REF!</v>
      </c>
      <c r="Q1072" s="11" t="str">
        <f>IF(
   COUNTIFS($A$2:A1072,A1072,
             $B$2:B1072,B1072,
             $C$2:C1072,C1072,
             $D$2:D1072,D1072,
             $E$2:E1072,E1072,
             $H$2:H1072,H1072
             )&gt;1,
   "Doublon",
   "Correcte"
)</f>
        <v>Correcte</v>
      </c>
    </row>
    <row r="1073" spans="1:17" x14ac:dyDescent="0.25">
      <c r="A1073" s="11">
        <v>0</v>
      </c>
      <c r="B1073" s="11"/>
      <c r="C1073" s="11"/>
      <c r="D1073" s="11"/>
      <c r="E1073" s="11"/>
      <c r="F1073" s="11"/>
      <c r="G1073" s="11"/>
      <c r="H1073" s="14"/>
      <c r="I1073" s="12">
        <f>-Mvt_Inter_entrepot[[#This Row],[QTE]]</f>
        <v>0</v>
      </c>
      <c r="J1073" s="11" t="s">
        <v>2745</v>
      </c>
      <c r="K1073" s="11" t="str">
        <f>_xlfn.TEXTBEFORE(Mvt_Inter_entrepot[[#This Row],[Num Suivis]],"-",,,1)</f>
        <v>CA250758</v>
      </c>
      <c r="L1073" s="11" t="e">
        <f>_xlfn.XLOOKUP(Mvt_Inter_entrepot[[#This Row],[Num OF]],#REF!,#REF!,"Non Trouvé")</f>
        <v>#REF!</v>
      </c>
      <c r="M1073" s="11" t="e">
        <f>_xlfn.XLOOKUP(Mvt_Inter_entrepot[[#This Row],[Num OF]],#REF!,#REF!,"Non Trouvé")</f>
        <v>#REF!</v>
      </c>
      <c r="N1073" s="11" t="e">
        <f>_xlfn.XLOOKUP(Mvt_Inter_entrepot[[#This Row],[Num OF]],#REF!,#REF!,"Non Trouvé")</f>
        <v>#REF!</v>
      </c>
      <c r="O1073" s="11" t="e">
        <f>_xlfn.XLOOKUP(Mvt_Inter_entrepot[[#This Row],[Num OF]],#REF!,#REF!,"Non Trouvé")</f>
        <v>#REF!</v>
      </c>
      <c r="P1073" s="11" t="e">
        <f>_xlfn.XLOOKUP(Mvt_Inter_entrepot[[#This Row],[Num OF]],#REF!,#REF!,"Non Trouvé")</f>
        <v>#REF!</v>
      </c>
      <c r="Q1073" s="11" t="str">
        <f>IF(
   COUNTIFS($A$2:A1073,A1073,
             $B$2:B1073,B1073,
             $C$2:C1073,C1073,
             $D$2:D1073,D1073,
             $E$2:E1073,E1073,
             $H$2:H1073,H1073
             )&gt;1,
   "Doublon",
   "Correcte"
)</f>
        <v>Correcte</v>
      </c>
    </row>
    <row r="1074" spans="1:17" x14ac:dyDescent="0.25">
      <c r="A1074" s="11">
        <v>0</v>
      </c>
      <c r="B1074" s="11"/>
      <c r="C1074" s="11"/>
      <c r="D1074" s="11"/>
      <c r="E1074" s="11"/>
      <c r="F1074" s="11"/>
      <c r="G1074" s="11"/>
      <c r="H1074" s="14"/>
      <c r="I1074" s="12">
        <f>-Mvt_Inter_entrepot[[#This Row],[QTE]]</f>
        <v>0</v>
      </c>
      <c r="J1074" s="11" t="s">
        <v>2746</v>
      </c>
      <c r="K1074" s="11" t="str">
        <f>_xlfn.TEXTBEFORE(Mvt_Inter_entrepot[[#This Row],[Num Suivis]],"-",,,1)</f>
        <v>CA250758</v>
      </c>
      <c r="L1074" s="11" t="e">
        <f>_xlfn.XLOOKUP(Mvt_Inter_entrepot[[#This Row],[Num OF]],#REF!,#REF!,"Non Trouvé")</f>
        <v>#REF!</v>
      </c>
      <c r="M1074" s="11" t="e">
        <f>_xlfn.XLOOKUP(Mvt_Inter_entrepot[[#This Row],[Num OF]],#REF!,#REF!,"Non Trouvé")</f>
        <v>#REF!</v>
      </c>
      <c r="N1074" s="11" t="e">
        <f>_xlfn.XLOOKUP(Mvt_Inter_entrepot[[#This Row],[Num OF]],#REF!,#REF!,"Non Trouvé")</f>
        <v>#REF!</v>
      </c>
      <c r="O1074" s="11" t="e">
        <f>_xlfn.XLOOKUP(Mvt_Inter_entrepot[[#This Row],[Num OF]],#REF!,#REF!,"Non Trouvé")</f>
        <v>#REF!</v>
      </c>
      <c r="P1074" s="11" t="e">
        <f>_xlfn.XLOOKUP(Mvt_Inter_entrepot[[#This Row],[Num OF]],#REF!,#REF!,"Non Trouvé")</f>
        <v>#REF!</v>
      </c>
      <c r="Q1074" s="11" t="str">
        <f>IF(
   COUNTIFS($A$2:A1074,A1074,
             $B$2:B1074,B1074,
             $C$2:C1074,C1074,
             $D$2:D1074,D1074,
             $E$2:E1074,E1074,
             $H$2:H1074,H1074
             )&gt;1,
   "Doublon",
   "Correcte"
)</f>
        <v>Correcte</v>
      </c>
    </row>
    <row r="1075" spans="1:17" x14ac:dyDescent="0.25">
      <c r="A1075" s="11">
        <v>0</v>
      </c>
      <c r="B1075" s="11"/>
      <c r="C1075" s="11"/>
      <c r="D1075" s="11"/>
      <c r="E1075" s="11"/>
      <c r="F1075" s="11"/>
      <c r="G1075" s="11"/>
      <c r="H1075" s="14"/>
      <c r="I1075" s="12">
        <f>-Mvt_Inter_entrepot[[#This Row],[QTE]]</f>
        <v>0</v>
      </c>
      <c r="J1075" s="11" t="s">
        <v>2747</v>
      </c>
      <c r="K1075" s="11" t="str">
        <f>_xlfn.TEXTBEFORE(Mvt_Inter_entrepot[[#This Row],[Num Suivis]],"-",,,1)</f>
        <v>CA250758</v>
      </c>
      <c r="L1075" s="11" t="e">
        <f>_xlfn.XLOOKUP(Mvt_Inter_entrepot[[#This Row],[Num OF]],#REF!,#REF!,"Non Trouvé")</f>
        <v>#REF!</v>
      </c>
      <c r="M1075" s="11" t="e">
        <f>_xlfn.XLOOKUP(Mvt_Inter_entrepot[[#This Row],[Num OF]],#REF!,#REF!,"Non Trouvé")</f>
        <v>#REF!</v>
      </c>
      <c r="N1075" s="11" t="e">
        <f>_xlfn.XLOOKUP(Mvt_Inter_entrepot[[#This Row],[Num OF]],#REF!,#REF!,"Non Trouvé")</f>
        <v>#REF!</v>
      </c>
      <c r="O1075" s="11" t="e">
        <f>_xlfn.XLOOKUP(Mvt_Inter_entrepot[[#This Row],[Num OF]],#REF!,#REF!,"Non Trouvé")</f>
        <v>#REF!</v>
      </c>
      <c r="P1075" s="11" t="e">
        <f>_xlfn.XLOOKUP(Mvt_Inter_entrepot[[#This Row],[Num OF]],#REF!,#REF!,"Non Trouvé")</f>
        <v>#REF!</v>
      </c>
      <c r="Q1075" s="11" t="str">
        <f>IF(
   COUNTIFS($A$2:A1075,A1075,
             $B$2:B1075,B1075,
             $C$2:C1075,C1075,
             $D$2:D1075,D1075,
             $E$2:E1075,E1075,
             $H$2:H1075,H1075
             )&gt;1,
   "Doublon",
   "Correcte"
)</f>
        <v>Correcte</v>
      </c>
    </row>
    <row r="1076" spans="1:17" x14ac:dyDescent="0.25">
      <c r="A1076" s="11">
        <v>0</v>
      </c>
      <c r="B1076" s="11"/>
      <c r="C1076" s="11"/>
      <c r="D1076" s="11"/>
      <c r="E1076" s="11"/>
      <c r="F1076" s="11"/>
      <c r="G1076" s="11"/>
      <c r="H1076" s="14"/>
      <c r="I1076" s="12">
        <f>-Mvt_Inter_entrepot[[#This Row],[QTE]]</f>
        <v>0</v>
      </c>
      <c r="J1076" s="11" t="s">
        <v>2748</v>
      </c>
      <c r="K1076" s="11" t="str">
        <f>_xlfn.TEXTBEFORE(Mvt_Inter_entrepot[[#This Row],[Num Suivis]],"-",,,1)</f>
        <v>CA250758</v>
      </c>
      <c r="L1076" s="11" t="e">
        <f>_xlfn.XLOOKUP(Mvt_Inter_entrepot[[#This Row],[Num OF]],#REF!,#REF!,"Non Trouvé")</f>
        <v>#REF!</v>
      </c>
      <c r="M1076" s="11" t="e">
        <f>_xlfn.XLOOKUP(Mvt_Inter_entrepot[[#This Row],[Num OF]],#REF!,#REF!,"Non Trouvé")</f>
        <v>#REF!</v>
      </c>
      <c r="N1076" s="11" t="e">
        <f>_xlfn.XLOOKUP(Mvt_Inter_entrepot[[#This Row],[Num OF]],#REF!,#REF!,"Non Trouvé")</f>
        <v>#REF!</v>
      </c>
      <c r="O1076" s="11" t="e">
        <f>_xlfn.XLOOKUP(Mvt_Inter_entrepot[[#This Row],[Num OF]],#REF!,#REF!,"Non Trouvé")</f>
        <v>#REF!</v>
      </c>
      <c r="P1076" s="11" t="e">
        <f>_xlfn.XLOOKUP(Mvt_Inter_entrepot[[#This Row],[Num OF]],#REF!,#REF!,"Non Trouvé")</f>
        <v>#REF!</v>
      </c>
      <c r="Q1076" s="11" t="str">
        <f>IF(
   COUNTIFS($A$2:A1076,A1076,
             $B$2:B1076,B1076,
             $C$2:C1076,C1076,
             $D$2:D1076,D1076,
             $E$2:E1076,E1076,
             $H$2:H1076,H1076
             )&gt;1,
   "Doublon",
   "Correcte"
)</f>
        <v>Correcte</v>
      </c>
    </row>
    <row r="1077" spans="1:17" x14ac:dyDescent="0.25">
      <c r="A1077" s="11">
        <v>0</v>
      </c>
      <c r="B1077" s="11"/>
      <c r="C1077" s="11"/>
      <c r="D1077" s="11"/>
      <c r="E1077" s="11"/>
      <c r="F1077" s="11"/>
      <c r="G1077" s="11"/>
      <c r="H1077" s="14"/>
      <c r="I1077" s="12">
        <f>-Mvt_Inter_entrepot[[#This Row],[QTE]]</f>
        <v>0</v>
      </c>
      <c r="J1077" s="11" t="s">
        <v>2749</v>
      </c>
      <c r="K1077" s="11" t="str">
        <f>_xlfn.TEXTBEFORE(Mvt_Inter_entrepot[[#This Row],[Num Suivis]],"-",,,1)</f>
        <v>CA250758</v>
      </c>
      <c r="L1077" s="11" t="e">
        <f>_xlfn.XLOOKUP(Mvt_Inter_entrepot[[#This Row],[Num OF]],#REF!,#REF!,"Non Trouvé")</f>
        <v>#REF!</v>
      </c>
      <c r="M1077" s="11" t="e">
        <f>_xlfn.XLOOKUP(Mvt_Inter_entrepot[[#This Row],[Num OF]],#REF!,#REF!,"Non Trouvé")</f>
        <v>#REF!</v>
      </c>
      <c r="N1077" s="11" t="e">
        <f>_xlfn.XLOOKUP(Mvt_Inter_entrepot[[#This Row],[Num OF]],#REF!,#REF!,"Non Trouvé")</f>
        <v>#REF!</v>
      </c>
      <c r="O1077" s="11" t="e">
        <f>_xlfn.XLOOKUP(Mvt_Inter_entrepot[[#This Row],[Num OF]],#REF!,#REF!,"Non Trouvé")</f>
        <v>#REF!</v>
      </c>
      <c r="P1077" s="11" t="e">
        <f>_xlfn.XLOOKUP(Mvt_Inter_entrepot[[#This Row],[Num OF]],#REF!,#REF!,"Non Trouvé")</f>
        <v>#REF!</v>
      </c>
      <c r="Q1077" s="11" t="str">
        <f>IF(
   COUNTIFS($A$2:A1077,A1077,
             $B$2:B1077,B1077,
             $C$2:C1077,C1077,
             $D$2:D1077,D1077,
             $E$2:E1077,E1077,
             $H$2:H1077,H1077
             )&gt;1,
   "Doublon",
   "Correcte"
)</f>
        <v>Correcte</v>
      </c>
    </row>
    <row r="1078" spans="1:17" x14ac:dyDescent="0.25">
      <c r="A1078" s="11">
        <v>0</v>
      </c>
      <c r="B1078" s="11"/>
      <c r="C1078" s="11"/>
      <c r="D1078" s="11"/>
      <c r="E1078" s="11"/>
      <c r="F1078" s="11"/>
      <c r="G1078" s="11"/>
      <c r="H1078" s="14"/>
      <c r="I1078" s="12">
        <f>-Mvt_Inter_entrepot[[#This Row],[QTE]]</f>
        <v>0</v>
      </c>
      <c r="J1078" s="11" t="s">
        <v>2750</v>
      </c>
      <c r="K1078" s="11" t="str">
        <f>_xlfn.TEXTBEFORE(Mvt_Inter_entrepot[[#This Row],[Num Suivis]],"-",,,1)</f>
        <v>CA250758</v>
      </c>
      <c r="L1078" s="11" t="e">
        <f>_xlfn.XLOOKUP(Mvt_Inter_entrepot[[#This Row],[Num OF]],#REF!,#REF!,"Non Trouvé")</f>
        <v>#REF!</v>
      </c>
      <c r="M1078" s="11" t="e">
        <f>_xlfn.XLOOKUP(Mvt_Inter_entrepot[[#This Row],[Num OF]],#REF!,#REF!,"Non Trouvé")</f>
        <v>#REF!</v>
      </c>
      <c r="N1078" s="11" t="e">
        <f>_xlfn.XLOOKUP(Mvt_Inter_entrepot[[#This Row],[Num OF]],#REF!,#REF!,"Non Trouvé")</f>
        <v>#REF!</v>
      </c>
      <c r="O1078" s="11" t="e">
        <f>_xlfn.XLOOKUP(Mvt_Inter_entrepot[[#This Row],[Num OF]],#REF!,#REF!,"Non Trouvé")</f>
        <v>#REF!</v>
      </c>
      <c r="P1078" s="11" t="e">
        <f>_xlfn.XLOOKUP(Mvt_Inter_entrepot[[#This Row],[Num OF]],#REF!,#REF!,"Non Trouvé")</f>
        <v>#REF!</v>
      </c>
      <c r="Q1078" s="11" t="str">
        <f>IF(
   COUNTIFS($A$2:A1078,A1078,
             $B$2:B1078,B1078,
             $C$2:C1078,C1078,
             $D$2:D1078,D1078,
             $E$2:E1078,E1078,
             $H$2:H1078,H1078
             )&gt;1,
   "Doublon",
   "Correcte"
)</f>
        <v>Correcte</v>
      </c>
    </row>
    <row r="1079" spans="1:17" x14ac:dyDescent="0.25">
      <c r="A1079" s="11">
        <v>0</v>
      </c>
      <c r="B1079" s="11"/>
      <c r="C1079" s="11"/>
      <c r="D1079" s="11"/>
      <c r="E1079" s="11"/>
      <c r="F1079" s="11"/>
      <c r="G1079" s="11"/>
      <c r="H1079" s="14"/>
      <c r="I1079" s="12">
        <f>-Mvt_Inter_entrepot[[#This Row],[QTE]]</f>
        <v>0</v>
      </c>
      <c r="J1079" s="11" t="s">
        <v>2751</v>
      </c>
      <c r="K1079" s="11" t="str">
        <f>_xlfn.TEXTBEFORE(Mvt_Inter_entrepot[[#This Row],[Num Suivis]],"-",,,1)</f>
        <v>CA250758</v>
      </c>
      <c r="L1079" s="11" t="e">
        <f>_xlfn.XLOOKUP(Mvt_Inter_entrepot[[#This Row],[Num OF]],#REF!,#REF!,"Non Trouvé")</f>
        <v>#REF!</v>
      </c>
      <c r="M1079" s="11" t="e">
        <f>_xlfn.XLOOKUP(Mvt_Inter_entrepot[[#This Row],[Num OF]],#REF!,#REF!,"Non Trouvé")</f>
        <v>#REF!</v>
      </c>
      <c r="N1079" s="11" t="e">
        <f>_xlfn.XLOOKUP(Mvt_Inter_entrepot[[#This Row],[Num OF]],#REF!,#REF!,"Non Trouvé")</f>
        <v>#REF!</v>
      </c>
      <c r="O1079" s="11" t="e">
        <f>_xlfn.XLOOKUP(Mvt_Inter_entrepot[[#This Row],[Num OF]],#REF!,#REF!,"Non Trouvé")</f>
        <v>#REF!</v>
      </c>
      <c r="P1079" s="11" t="e">
        <f>_xlfn.XLOOKUP(Mvt_Inter_entrepot[[#This Row],[Num OF]],#REF!,#REF!,"Non Trouvé")</f>
        <v>#REF!</v>
      </c>
      <c r="Q1079" s="11" t="str">
        <f>IF(
   COUNTIFS($A$2:A1079,A1079,
             $B$2:B1079,B1079,
             $C$2:C1079,C1079,
             $D$2:D1079,D1079,
             $E$2:E1079,E1079,
             $H$2:H1079,H1079
             )&gt;1,
   "Doublon",
   "Correcte"
)</f>
        <v>Correcte</v>
      </c>
    </row>
    <row r="1080" spans="1:17" x14ac:dyDescent="0.25">
      <c r="A1080" s="11">
        <v>0</v>
      </c>
      <c r="B1080" s="11"/>
      <c r="C1080" s="11"/>
      <c r="D1080" s="11"/>
      <c r="E1080" s="11"/>
      <c r="F1080" s="11"/>
      <c r="G1080" s="11"/>
      <c r="H1080" s="14"/>
      <c r="I1080" s="12">
        <f>-Mvt_Inter_entrepot[[#This Row],[QTE]]</f>
        <v>0</v>
      </c>
      <c r="J1080" s="11" t="s">
        <v>2752</v>
      </c>
      <c r="K1080" s="11" t="str">
        <f>_xlfn.TEXTBEFORE(Mvt_Inter_entrepot[[#This Row],[Num Suivis]],"-",,,1)</f>
        <v>CA250758</v>
      </c>
      <c r="L1080" s="11" t="e">
        <f>_xlfn.XLOOKUP(Mvt_Inter_entrepot[[#This Row],[Num OF]],#REF!,#REF!,"Non Trouvé")</f>
        <v>#REF!</v>
      </c>
      <c r="M1080" s="11" t="e">
        <f>_xlfn.XLOOKUP(Mvt_Inter_entrepot[[#This Row],[Num OF]],#REF!,#REF!,"Non Trouvé")</f>
        <v>#REF!</v>
      </c>
      <c r="N1080" s="11" t="e">
        <f>_xlfn.XLOOKUP(Mvt_Inter_entrepot[[#This Row],[Num OF]],#REF!,#REF!,"Non Trouvé")</f>
        <v>#REF!</v>
      </c>
      <c r="O1080" s="11" t="e">
        <f>_xlfn.XLOOKUP(Mvt_Inter_entrepot[[#This Row],[Num OF]],#REF!,#REF!,"Non Trouvé")</f>
        <v>#REF!</v>
      </c>
      <c r="P1080" s="11" t="e">
        <f>_xlfn.XLOOKUP(Mvt_Inter_entrepot[[#This Row],[Num OF]],#REF!,#REF!,"Non Trouvé")</f>
        <v>#REF!</v>
      </c>
      <c r="Q1080" s="11" t="str">
        <f>IF(
   COUNTIFS($A$2:A1080,A1080,
             $B$2:B1080,B1080,
             $C$2:C1080,C1080,
             $D$2:D1080,D1080,
             $E$2:E1080,E1080,
             $H$2:H1080,H1080
             )&gt;1,
   "Doublon",
   "Correcte"
)</f>
        <v>Correcte</v>
      </c>
    </row>
    <row r="1081" spans="1:17" x14ac:dyDescent="0.25">
      <c r="A1081" s="11">
        <v>0</v>
      </c>
      <c r="B1081" s="11"/>
      <c r="C1081" s="11"/>
      <c r="D1081" s="11"/>
      <c r="E1081" s="11"/>
      <c r="F1081" s="11"/>
      <c r="G1081" s="11"/>
      <c r="H1081" s="14"/>
      <c r="I1081" s="12">
        <f>-Mvt_Inter_entrepot[[#This Row],[QTE]]</f>
        <v>0</v>
      </c>
      <c r="J1081" s="11" t="s">
        <v>2753</v>
      </c>
      <c r="K1081" s="11" t="str">
        <f>_xlfn.TEXTBEFORE(Mvt_Inter_entrepot[[#This Row],[Num Suivis]],"-",,,1)</f>
        <v>CA250763</v>
      </c>
      <c r="L1081" s="11" t="e">
        <f>_xlfn.XLOOKUP(Mvt_Inter_entrepot[[#This Row],[Num OF]],#REF!,#REF!,"Non Trouvé")</f>
        <v>#REF!</v>
      </c>
      <c r="M1081" s="11" t="e">
        <f>_xlfn.XLOOKUP(Mvt_Inter_entrepot[[#This Row],[Num OF]],#REF!,#REF!,"Non Trouvé")</f>
        <v>#REF!</v>
      </c>
      <c r="N1081" s="11" t="e">
        <f>_xlfn.XLOOKUP(Mvt_Inter_entrepot[[#This Row],[Num OF]],#REF!,#REF!,"Non Trouvé")</f>
        <v>#REF!</v>
      </c>
      <c r="O1081" s="11" t="e">
        <f>_xlfn.XLOOKUP(Mvt_Inter_entrepot[[#This Row],[Num OF]],#REF!,#REF!,"Non Trouvé")</f>
        <v>#REF!</v>
      </c>
      <c r="P1081" s="11" t="e">
        <f>_xlfn.XLOOKUP(Mvt_Inter_entrepot[[#This Row],[Num OF]],#REF!,#REF!,"Non Trouvé")</f>
        <v>#REF!</v>
      </c>
      <c r="Q1081" s="11" t="str">
        <f>IF(
   COUNTIFS($A$2:A1081,A1081,
             $B$2:B1081,B1081,
             $C$2:C1081,C1081,
             $D$2:D1081,D1081,
             $E$2:E1081,E1081,
             $H$2:H1081,H1081
             )&gt;1,
   "Doublon",
   "Correcte"
)</f>
        <v>Correcte</v>
      </c>
    </row>
    <row r="1082" spans="1:17" x14ac:dyDescent="0.25">
      <c r="A1082" s="11">
        <v>0</v>
      </c>
      <c r="B1082" s="11"/>
      <c r="C1082" s="11"/>
      <c r="D1082" s="11"/>
      <c r="E1082" s="11"/>
      <c r="F1082" s="11"/>
      <c r="G1082" s="11"/>
      <c r="H1082" s="14"/>
      <c r="I1082" s="12">
        <f>-Mvt_Inter_entrepot[[#This Row],[QTE]]</f>
        <v>0</v>
      </c>
      <c r="J1082" s="11" t="s">
        <v>2754</v>
      </c>
      <c r="K1082" s="11" t="str">
        <f>_xlfn.TEXTBEFORE(Mvt_Inter_entrepot[[#This Row],[Num Suivis]],"-",,,1)</f>
        <v>CA250758</v>
      </c>
      <c r="L1082" s="11" t="e">
        <f>_xlfn.XLOOKUP(Mvt_Inter_entrepot[[#This Row],[Num OF]],#REF!,#REF!,"Non Trouvé")</f>
        <v>#REF!</v>
      </c>
      <c r="M1082" s="11" t="e">
        <f>_xlfn.XLOOKUP(Mvt_Inter_entrepot[[#This Row],[Num OF]],#REF!,#REF!,"Non Trouvé")</f>
        <v>#REF!</v>
      </c>
      <c r="N1082" s="11" t="e">
        <f>_xlfn.XLOOKUP(Mvt_Inter_entrepot[[#This Row],[Num OF]],#REF!,#REF!,"Non Trouvé")</f>
        <v>#REF!</v>
      </c>
      <c r="O1082" s="11" t="e">
        <f>_xlfn.XLOOKUP(Mvt_Inter_entrepot[[#This Row],[Num OF]],#REF!,#REF!,"Non Trouvé")</f>
        <v>#REF!</v>
      </c>
      <c r="P1082" s="11" t="e">
        <f>_xlfn.XLOOKUP(Mvt_Inter_entrepot[[#This Row],[Num OF]],#REF!,#REF!,"Non Trouvé")</f>
        <v>#REF!</v>
      </c>
      <c r="Q1082" s="11" t="str">
        <f>IF(
   COUNTIFS($A$2:A1082,A1082,
             $B$2:B1082,B1082,
             $C$2:C1082,C1082,
             $D$2:D1082,D1082,
             $E$2:E1082,E1082,
             $H$2:H1082,H1082
             )&gt;1,
   "Doublon",
   "Correcte"
)</f>
        <v>Correcte</v>
      </c>
    </row>
    <row r="1083" spans="1:17" x14ac:dyDescent="0.25">
      <c r="A1083" s="11">
        <v>0</v>
      </c>
      <c r="B1083" s="11"/>
      <c r="C1083" s="11"/>
      <c r="D1083" s="11"/>
      <c r="E1083" s="11"/>
      <c r="F1083" s="11"/>
      <c r="G1083" s="11"/>
      <c r="H1083" s="14"/>
      <c r="I1083" s="12">
        <f>-Mvt_Inter_entrepot[[#This Row],[QTE]]</f>
        <v>0</v>
      </c>
      <c r="J1083" s="11" t="s">
        <v>2755</v>
      </c>
      <c r="K1083" s="11" t="str">
        <f>_xlfn.TEXTBEFORE(Mvt_Inter_entrepot[[#This Row],[Num Suivis]],"-",,,1)</f>
        <v>CA250758</v>
      </c>
      <c r="L1083" s="11" t="e">
        <f>_xlfn.XLOOKUP(Mvt_Inter_entrepot[[#This Row],[Num OF]],#REF!,#REF!,"Non Trouvé")</f>
        <v>#REF!</v>
      </c>
      <c r="M1083" s="11" t="e">
        <f>_xlfn.XLOOKUP(Mvt_Inter_entrepot[[#This Row],[Num OF]],#REF!,#REF!,"Non Trouvé")</f>
        <v>#REF!</v>
      </c>
      <c r="N1083" s="11" t="e">
        <f>_xlfn.XLOOKUP(Mvt_Inter_entrepot[[#This Row],[Num OF]],#REF!,#REF!,"Non Trouvé")</f>
        <v>#REF!</v>
      </c>
      <c r="O1083" s="11" t="e">
        <f>_xlfn.XLOOKUP(Mvt_Inter_entrepot[[#This Row],[Num OF]],#REF!,#REF!,"Non Trouvé")</f>
        <v>#REF!</v>
      </c>
      <c r="P1083" s="11" t="e">
        <f>_xlfn.XLOOKUP(Mvt_Inter_entrepot[[#This Row],[Num OF]],#REF!,#REF!,"Non Trouvé")</f>
        <v>#REF!</v>
      </c>
      <c r="Q1083" s="11" t="str">
        <f>IF(
   COUNTIFS($A$2:A1083,A1083,
             $B$2:B1083,B1083,
             $C$2:C1083,C1083,
             $D$2:D1083,D1083,
             $E$2:E1083,E1083,
             $H$2:H1083,H1083
             )&gt;1,
   "Doublon",
   "Correcte"
)</f>
        <v>Correcte</v>
      </c>
    </row>
    <row r="1084" spans="1:17" x14ac:dyDescent="0.25">
      <c r="A1084" s="11">
        <v>0</v>
      </c>
      <c r="B1084" s="11"/>
      <c r="C1084" s="11"/>
      <c r="D1084" s="11"/>
      <c r="E1084" s="11"/>
      <c r="F1084" s="11"/>
      <c r="G1084" s="11"/>
      <c r="H1084" s="14"/>
      <c r="I1084" s="12">
        <f>-Mvt_Inter_entrepot[[#This Row],[QTE]]</f>
        <v>0</v>
      </c>
      <c r="J1084" s="11" t="s">
        <v>2756</v>
      </c>
      <c r="K1084" s="11" t="str">
        <f>_xlfn.TEXTBEFORE(Mvt_Inter_entrepot[[#This Row],[Num Suivis]],"-",,,1)</f>
        <v>CA250755</v>
      </c>
      <c r="L1084" s="11" t="e">
        <f>_xlfn.XLOOKUP(Mvt_Inter_entrepot[[#This Row],[Num OF]],#REF!,#REF!,"Non Trouvé")</f>
        <v>#REF!</v>
      </c>
      <c r="M1084" s="11" t="e">
        <f>_xlfn.XLOOKUP(Mvt_Inter_entrepot[[#This Row],[Num OF]],#REF!,#REF!,"Non Trouvé")</f>
        <v>#REF!</v>
      </c>
      <c r="N1084" s="11" t="e">
        <f>_xlfn.XLOOKUP(Mvt_Inter_entrepot[[#This Row],[Num OF]],#REF!,#REF!,"Non Trouvé")</f>
        <v>#REF!</v>
      </c>
      <c r="O1084" s="11" t="e">
        <f>_xlfn.XLOOKUP(Mvt_Inter_entrepot[[#This Row],[Num OF]],#REF!,#REF!,"Non Trouvé")</f>
        <v>#REF!</v>
      </c>
      <c r="P1084" s="11" t="e">
        <f>_xlfn.XLOOKUP(Mvt_Inter_entrepot[[#This Row],[Num OF]],#REF!,#REF!,"Non Trouvé")</f>
        <v>#REF!</v>
      </c>
      <c r="Q1084" s="11" t="str">
        <f>IF(
   COUNTIFS($A$2:A1084,A1084,
             $B$2:B1084,B1084,
             $C$2:C1084,C1084,
             $D$2:D1084,D1084,
             $E$2:E1084,E1084,
             $H$2:H1084,H1084
             )&gt;1,
   "Doublon",
   "Correcte"
)</f>
        <v>Correcte</v>
      </c>
    </row>
    <row r="1085" spans="1:17" x14ac:dyDescent="0.25">
      <c r="A1085" s="11">
        <v>0</v>
      </c>
      <c r="B1085" s="11"/>
      <c r="C1085" s="11"/>
      <c r="D1085" s="11"/>
      <c r="E1085" s="11"/>
      <c r="F1085" s="11"/>
      <c r="G1085" s="11"/>
      <c r="H1085" s="14"/>
      <c r="I1085" s="12">
        <f>-Mvt_Inter_entrepot[[#This Row],[QTE]]</f>
        <v>0</v>
      </c>
      <c r="J1085" s="11" t="s">
        <v>2757</v>
      </c>
      <c r="K1085" s="11" t="str">
        <f>_xlfn.TEXTBEFORE(Mvt_Inter_entrepot[[#This Row],[Num Suivis]],"-",,,1)</f>
        <v>CA250755</v>
      </c>
      <c r="L1085" s="11" t="e">
        <f>_xlfn.XLOOKUP(Mvt_Inter_entrepot[[#This Row],[Num OF]],#REF!,#REF!,"Non Trouvé")</f>
        <v>#REF!</v>
      </c>
      <c r="M1085" s="11" t="e">
        <f>_xlfn.XLOOKUP(Mvt_Inter_entrepot[[#This Row],[Num OF]],#REF!,#REF!,"Non Trouvé")</f>
        <v>#REF!</v>
      </c>
      <c r="N1085" s="11" t="e">
        <f>_xlfn.XLOOKUP(Mvt_Inter_entrepot[[#This Row],[Num OF]],#REF!,#REF!,"Non Trouvé")</f>
        <v>#REF!</v>
      </c>
      <c r="O1085" s="11" t="e">
        <f>_xlfn.XLOOKUP(Mvt_Inter_entrepot[[#This Row],[Num OF]],#REF!,#REF!,"Non Trouvé")</f>
        <v>#REF!</v>
      </c>
      <c r="P1085" s="11" t="e">
        <f>_xlfn.XLOOKUP(Mvt_Inter_entrepot[[#This Row],[Num OF]],#REF!,#REF!,"Non Trouvé")</f>
        <v>#REF!</v>
      </c>
      <c r="Q1085" s="11" t="str">
        <f>IF(
   COUNTIFS($A$2:A1085,A1085,
             $B$2:B1085,B1085,
             $C$2:C1085,C1085,
             $D$2:D1085,D1085,
             $E$2:E1085,E1085,
             $H$2:H1085,H1085
             )&gt;1,
   "Doublon",
   "Correcte"
)</f>
        <v>Correcte</v>
      </c>
    </row>
    <row r="1086" spans="1:17" x14ac:dyDescent="0.25">
      <c r="A1086" s="11">
        <v>0</v>
      </c>
      <c r="B1086" s="11"/>
      <c r="C1086" s="11"/>
      <c r="D1086" s="11"/>
      <c r="E1086" s="11"/>
      <c r="F1086" s="11"/>
      <c r="G1086" s="11"/>
      <c r="H1086" s="14"/>
      <c r="I1086" s="12">
        <f>-Mvt_Inter_entrepot[[#This Row],[QTE]]</f>
        <v>0</v>
      </c>
      <c r="J1086" s="11" t="s">
        <v>2758</v>
      </c>
      <c r="K1086" s="11" t="str">
        <f>_xlfn.TEXTBEFORE(Mvt_Inter_entrepot[[#This Row],[Num Suivis]],"-",,,1)</f>
        <v>CA250755</v>
      </c>
      <c r="L1086" s="11" t="e">
        <f>_xlfn.XLOOKUP(Mvt_Inter_entrepot[[#This Row],[Num OF]],#REF!,#REF!,"Non Trouvé")</f>
        <v>#REF!</v>
      </c>
      <c r="M1086" s="11" t="e">
        <f>_xlfn.XLOOKUP(Mvt_Inter_entrepot[[#This Row],[Num OF]],#REF!,#REF!,"Non Trouvé")</f>
        <v>#REF!</v>
      </c>
      <c r="N1086" s="11" t="e">
        <f>_xlfn.XLOOKUP(Mvt_Inter_entrepot[[#This Row],[Num OF]],#REF!,#REF!,"Non Trouvé")</f>
        <v>#REF!</v>
      </c>
      <c r="O1086" s="11" t="e">
        <f>_xlfn.XLOOKUP(Mvt_Inter_entrepot[[#This Row],[Num OF]],#REF!,#REF!,"Non Trouvé")</f>
        <v>#REF!</v>
      </c>
      <c r="P1086" s="11" t="e">
        <f>_xlfn.XLOOKUP(Mvt_Inter_entrepot[[#This Row],[Num OF]],#REF!,#REF!,"Non Trouvé")</f>
        <v>#REF!</v>
      </c>
      <c r="Q1086" s="11" t="str">
        <f>IF(
   COUNTIFS($A$2:A1086,A1086,
             $B$2:B1086,B1086,
             $C$2:C1086,C1086,
             $D$2:D1086,D1086,
             $E$2:E1086,E1086,
             $H$2:H1086,H1086
             )&gt;1,
   "Doublon",
   "Correcte"
)</f>
        <v>Correcte</v>
      </c>
    </row>
    <row r="1087" spans="1:17" x14ac:dyDescent="0.25">
      <c r="A1087" s="11">
        <v>0</v>
      </c>
      <c r="B1087" s="11"/>
      <c r="C1087" s="11"/>
      <c r="D1087" s="11"/>
      <c r="E1087" s="11"/>
      <c r="F1087" s="11"/>
      <c r="G1087" s="11"/>
      <c r="H1087" s="14"/>
      <c r="I1087" s="12">
        <f>-Mvt_Inter_entrepot[[#This Row],[QTE]]</f>
        <v>0</v>
      </c>
      <c r="J1087" s="11" t="s">
        <v>2759</v>
      </c>
      <c r="K1087" s="11" t="str">
        <f>_xlfn.TEXTBEFORE(Mvt_Inter_entrepot[[#This Row],[Num Suivis]],"-",,,1)</f>
        <v>CA250755</v>
      </c>
      <c r="L1087" s="11" t="e">
        <f>_xlfn.XLOOKUP(Mvt_Inter_entrepot[[#This Row],[Num OF]],#REF!,#REF!,"Non Trouvé")</f>
        <v>#REF!</v>
      </c>
      <c r="M1087" s="11" t="e">
        <f>_xlfn.XLOOKUP(Mvt_Inter_entrepot[[#This Row],[Num OF]],#REF!,#REF!,"Non Trouvé")</f>
        <v>#REF!</v>
      </c>
      <c r="N1087" s="11" t="e">
        <f>_xlfn.XLOOKUP(Mvt_Inter_entrepot[[#This Row],[Num OF]],#REF!,#REF!,"Non Trouvé")</f>
        <v>#REF!</v>
      </c>
      <c r="O1087" s="11" t="e">
        <f>_xlfn.XLOOKUP(Mvt_Inter_entrepot[[#This Row],[Num OF]],#REF!,#REF!,"Non Trouvé")</f>
        <v>#REF!</v>
      </c>
      <c r="P1087" s="11" t="e">
        <f>_xlfn.XLOOKUP(Mvt_Inter_entrepot[[#This Row],[Num OF]],#REF!,#REF!,"Non Trouvé")</f>
        <v>#REF!</v>
      </c>
      <c r="Q1087" s="11" t="str">
        <f>IF(
   COUNTIFS($A$2:A1087,A1087,
             $B$2:B1087,B1087,
             $C$2:C1087,C1087,
             $D$2:D1087,D1087,
             $E$2:E1087,E1087,
             $H$2:H1087,H1087
             )&gt;1,
   "Doublon",
   "Correcte"
)</f>
        <v>Correcte</v>
      </c>
    </row>
    <row r="1088" spans="1:17" x14ac:dyDescent="0.25">
      <c r="A1088" s="11">
        <v>0</v>
      </c>
      <c r="B1088" s="11"/>
      <c r="C1088" s="11"/>
      <c r="D1088" s="11"/>
      <c r="E1088" s="11"/>
      <c r="F1088" s="11"/>
      <c r="G1088" s="11"/>
      <c r="H1088" s="14"/>
      <c r="I1088" s="12">
        <f>-Mvt_Inter_entrepot[[#This Row],[QTE]]</f>
        <v>0</v>
      </c>
      <c r="J1088" s="11" t="s">
        <v>2760</v>
      </c>
      <c r="K1088" s="11" t="str">
        <f>_xlfn.TEXTBEFORE(Mvt_Inter_entrepot[[#This Row],[Num Suivis]],"-",,,1)</f>
        <v>CA250755</v>
      </c>
      <c r="L1088" s="11" t="e">
        <f>_xlfn.XLOOKUP(Mvt_Inter_entrepot[[#This Row],[Num OF]],#REF!,#REF!,"Non Trouvé")</f>
        <v>#REF!</v>
      </c>
      <c r="M1088" s="11" t="e">
        <f>_xlfn.XLOOKUP(Mvt_Inter_entrepot[[#This Row],[Num OF]],#REF!,#REF!,"Non Trouvé")</f>
        <v>#REF!</v>
      </c>
      <c r="N1088" s="11" t="e">
        <f>_xlfn.XLOOKUP(Mvt_Inter_entrepot[[#This Row],[Num OF]],#REF!,#REF!,"Non Trouvé")</f>
        <v>#REF!</v>
      </c>
      <c r="O1088" s="11" t="e">
        <f>_xlfn.XLOOKUP(Mvt_Inter_entrepot[[#This Row],[Num OF]],#REF!,#REF!,"Non Trouvé")</f>
        <v>#REF!</v>
      </c>
      <c r="P1088" s="11" t="e">
        <f>_xlfn.XLOOKUP(Mvt_Inter_entrepot[[#This Row],[Num OF]],#REF!,#REF!,"Non Trouvé")</f>
        <v>#REF!</v>
      </c>
      <c r="Q1088" s="11" t="str">
        <f>IF(
   COUNTIFS($A$2:A1088,A1088,
             $B$2:B1088,B1088,
             $C$2:C1088,C1088,
             $D$2:D1088,D1088,
             $E$2:E1088,E1088,
             $H$2:H1088,H1088
             )&gt;1,
   "Doublon",
   "Correcte"
)</f>
        <v>Correcte</v>
      </c>
    </row>
    <row r="1089" spans="1:17" x14ac:dyDescent="0.25">
      <c r="A1089" s="11">
        <v>0</v>
      </c>
      <c r="B1089" s="11"/>
      <c r="C1089" s="11"/>
      <c r="D1089" s="11"/>
      <c r="E1089" s="11"/>
      <c r="F1089" s="11"/>
      <c r="G1089" s="11"/>
      <c r="H1089" s="14"/>
      <c r="I1089" s="12">
        <f>-Mvt_Inter_entrepot[[#This Row],[QTE]]</f>
        <v>0</v>
      </c>
      <c r="J1089" s="11" t="s">
        <v>2761</v>
      </c>
      <c r="K1089" s="11" t="str">
        <f>_xlfn.TEXTBEFORE(Mvt_Inter_entrepot[[#This Row],[Num Suivis]],"-",,,1)</f>
        <v>CA250755</v>
      </c>
      <c r="L1089" s="11" t="e">
        <f>_xlfn.XLOOKUP(Mvt_Inter_entrepot[[#This Row],[Num OF]],#REF!,#REF!,"Non Trouvé")</f>
        <v>#REF!</v>
      </c>
      <c r="M1089" s="11" t="e">
        <f>_xlfn.XLOOKUP(Mvt_Inter_entrepot[[#This Row],[Num OF]],#REF!,#REF!,"Non Trouvé")</f>
        <v>#REF!</v>
      </c>
      <c r="N1089" s="11" t="e">
        <f>_xlfn.XLOOKUP(Mvt_Inter_entrepot[[#This Row],[Num OF]],#REF!,#REF!,"Non Trouvé")</f>
        <v>#REF!</v>
      </c>
      <c r="O1089" s="11" t="e">
        <f>_xlfn.XLOOKUP(Mvt_Inter_entrepot[[#This Row],[Num OF]],#REF!,#REF!,"Non Trouvé")</f>
        <v>#REF!</v>
      </c>
      <c r="P1089" s="11" t="e">
        <f>_xlfn.XLOOKUP(Mvt_Inter_entrepot[[#This Row],[Num OF]],#REF!,#REF!,"Non Trouvé")</f>
        <v>#REF!</v>
      </c>
      <c r="Q1089" s="11" t="str">
        <f>IF(
   COUNTIFS($A$2:A1089,A1089,
             $B$2:B1089,B1089,
             $C$2:C1089,C1089,
             $D$2:D1089,D1089,
             $E$2:E1089,E1089,
             $H$2:H1089,H1089
             )&gt;1,
   "Doublon",
   "Correcte"
)</f>
        <v>Correcte</v>
      </c>
    </row>
    <row r="1090" spans="1:17" x14ac:dyDescent="0.25">
      <c r="A1090" s="11">
        <v>0</v>
      </c>
      <c r="B1090" s="11"/>
      <c r="C1090" s="11"/>
      <c r="D1090" s="11"/>
      <c r="E1090" s="11"/>
      <c r="F1090" s="11"/>
      <c r="G1090" s="11"/>
      <c r="H1090" s="14"/>
      <c r="I1090" s="12">
        <f>-Mvt_Inter_entrepot[[#This Row],[QTE]]</f>
        <v>0</v>
      </c>
      <c r="J1090" s="11" t="s">
        <v>2762</v>
      </c>
      <c r="K1090" s="11" t="str">
        <f>_xlfn.TEXTBEFORE(Mvt_Inter_entrepot[[#This Row],[Num Suivis]],"-",,,1)</f>
        <v>CA250755</v>
      </c>
      <c r="L1090" s="11" t="e">
        <f>_xlfn.XLOOKUP(Mvt_Inter_entrepot[[#This Row],[Num OF]],#REF!,#REF!,"Non Trouvé")</f>
        <v>#REF!</v>
      </c>
      <c r="M1090" s="11" t="e">
        <f>_xlfn.XLOOKUP(Mvt_Inter_entrepot[[#This Row],[Num OF]],#REF!,#REF!,"Non Trouvé")</f>
        <v>#REF!</v>
      </c>
      <c r="N1090" s="11" t="e">
        <f>_xlfn.XLOOKUP(Mvt_Inter_entrepot[[#This Row],[Num OF]],#REF!,#REF!,"Non Trouvé")</f>
        <v>#REF!</v>
      </c>
      <c r="O1090" s="11" t="e">
        <f>_xlfn.XLOOKUP(Mvt_Inter_entrepot[[#This Row],[Num OF]],#REF!,#REF!,"Non Trouvé")</f>
        <v>#REF!</v>
      </c>
      <c r="P1090" s="11" t="e">
        <f>_xlfn.XLOOKUP(Mvt_Inter_entrepot[[#This Row],[Num OF]],#REF!,#REF!,"Non Trouvé")</f>
        <v>#REF!</v>
      </c>
      <c r="Q1090" s="11" t="str">
        <f>IF(
   COUNTIFS($A$2:A1090,A1090,
             $B$2:B1090,B1090,
             $C$2:C1090,C1090,
             $D$2:D1090,D1090,
             $E$2:E1090,E1090,
             $H$2:H1090,H1090
             )&gt;1,
   "Doublon",
   "Correcte"
)</f>
        <v>Correcte</v>
      </c>
    </row>
    <row r="1091" spans="1:17" x14ac:dyDescent="0.25">
      <c r="A1091" s="11">
        <v>0</v>
      </c>
      <c r="B1091" s="11"/>
      <c r="C1091" s="11"/>
      <c r="D1091" s="11"/>
      <c r="E1091" s="11"/>
      <c r="F1091" s="11"/>
      <c r="G1091" s="11"/>
      <c r="H1091" s="14"/>
      <c r="I1091" s="12">
        <f>-Mvt_Inter_entrepot[[#This Row],[QTE]]</f>
        <v>0</v>
      </c>
      <c r="J1091" s="11" t="s">
        <v>2763</v>
      </c>
      <c r="K1091" s="11" t="str">
        <f>_xlfn.TEXTBEFORE(Mvt_Inter_entrepot[[#This Row],[Num Suivis]],"-",,,1)</f>
        <v>CA250755</v>
      </c>
      <c r="L1091" s="11" t="e">
        <f>_xlfn.XLOOKUP(Mvt_Inter_entrepot[[#This Row],[Num OF]],#REF!,#REF!,"Non Trouvé")</f>
        <v>#REF!</v>
      </c>
      <c r="M1091" s="11" t="e">
        <f>_xlfn.XLOOKUP(Mvt_Inter_entrepot[[#This Row],[Num OF]],#REF!,#REF!,"Non Trouvé")</f>
        <v>#REF!</v>
      </c>
      <c r="N1091" s="11" t="e">
        <f>_xlfn.XLOOKUP(Mvt_Inter_entrepot[[#This Row],[Num OF]],#REF!,#REF!,"Non Trouvé")</f>
        <v>#REF!</v>
      </c>
      <c r="O1091" s="11" t="e">
        <f>_xlfn.XLOOKUP(Mvt_Inter_entrepot[[#This Row],[Num OF]],#REF!,#REF!,"Non Trouvé")</f>
        <v>#REF!</v>
      </c>
      <c r="P1091" s="11" t="e">
        <f>_xlfn.XLOOKUP(Mvt_Inter_entrepot[[#This Row],[Num OF]],#REF!,#REF!,"Non Trouvé")</f>
        <v>#REF!</v>
      </c>
      <c r="Q1091" s="11" t="str">
        <f>IF(
   COUNTIFS($A$2:A1091,A1091,
             $B$2:B1091,B1091,
             $C$2:C1091,C1091,
             $D$2:D1091,D1091,
             $E$2:E1091,E1091,
             $H$2:H1091,H1091
             )&gt;1,
   "Doublon",
   "Correcte"
)</f>
        <v>Correcte</v>
      </c>
    </row>
    <row r="1092" spans="1:17" x14ac:dyDescent="0.25">
      <c r="A1092" s="11">
        <v>0</v>
      </c>
      <c r="B1092" s="11"/>
      <c r="C1092" s="11"/>
      <c r="D1092" s="11"/>
      <c r="E1092" s="11"/>
      <c r="F1092" s="11"/>
      <c r="G1092" s="11"/>
      <c r="H1092" s="14"/>
      <c r="I1092" s="12">
        <f>-Mvt_Inter_entrepot[[#This Row],[QTE]]</f>
        <v>0</v>
      </c>
      <c r="J1092" s="11" t="s">
        <v>2764</v>
      </c>
      <c r="K1092" s="11" t="str">
        <f>_xlfn.TEXTBEFORE(Mvt_Inter_entrepot[[#This Row],[Num Suivis]],"-",,,1)</f>
        <v>CA250755</v>
      </c>
      <c r="L1092" s="11" t="e">
        <f>_xlfn.XLOOKUP(Mvt_Inter_entrepot[[#This Row],[Num OF]],#REF!,#REF!,"Non Trouvé")</f>
        <v>#REF!</v>
      </c>
      <c r="M1092" s="11" t="e">
        <f>_xlfn.XLOOKUP(Mvt_Inter_entrepot[[#This Row],[Num OF]],#REF!,#REF!,"Non Trouvé")</f>
        <v>#REF!</v>
      </c>
      <c r="N1092" s="11" t="e">
        <f>_xlfn.XLOOKUP(Mvt_Inter_entrepot[[#This Row],[Num OF]],#REF!,#REF!,"Non Trouvé")</f>
        <v>#REF!</v>
      </c>
      <c r="O1092" s="11" t="e">
        <f>_xlfn.XLOOKUP(Mvt_Inter_entrepot[[#This Row],[Num OF]],#REF!,#REF!,"Non Trouvé")</f>
        <v>#REF!</v>
      </c>
      <c r="P1092" s="11" t="e">
        <f>_xlfn.XLOOKUP(Mvt_Inter_entrepot[[#This Row],[Num OF]],#REF!,#REF!,"Non Trouvé")</f>
        <v>#REF!</v>
      </c>
      <c r="Q1092" s="11" t="str">
        <f>IF(
   COUNTIFS($A$2:A1092,A1092,
             $B$2:B1092,B1092,
             $C$2:C1092,C1092,
             $D$2:D1092,D1092,
             $E$2:E1092,E1092,
             $H$2:H1092,H1092
             )&gt;1,
   "Doublon",
   "Correcte"
)</f>
        <v>Correcte</v>
      </c>
    </row>
    <row r="1093" spans="1:17" x14ac:dyDescent="0.25">
      <c r="A1093" s="11">
        <v>0</v>
      </c>
      <c r="B1093" s="11"/>
      <c r="C1093" s="11"/>
      <c r="D1093" s="11"/>
      <c r="E1093" s="11"/>
      <c r="F1093" s="11"/>
      <c r="G1093" s="11"/>
      <c r="H1093" s="14"/>
      <c r="I1093" s="12">
        <f>-Mvt_Inter_entrepot[[#This Row],[QTE]]</f>
        <v>0</v>
      </c>
      <c r="J1093" s="11" t="s">
        <v>2765</v>
      </c>
      <c r="K1093" s="11" t="str">
        <f>_xlfn.TEXTBEFORE(Mvt_Inter_entrepot[[#This Row],[Num Suivis]],"-",,,1)</f>
        <v>CA250755</v>
      </c>
      <c r="L1093" s="11" t="e">
        <f>_xlfn.XLOOKUP(Mvt_Inter_entrepot[[#This Row],[Num OF]],#REF!,#REF!,"Non Trouvé")</f>
        <v>#REF!</v>
      </c>
      <c r="M1093" s="11" t="e">
        <f>_xlfn.XLOOKUP(Mvt_Inter_entrepot[[#This Row],[Num OF]],#REF!,#REF!,"Non Trouvé")</f>
        <v>#REF!</v>
      </c>
      <c r="N1093" s="11" t="e">
        <f>_xlfn.XLOOKUP(Mvt_Inter_entrepot[[#This Row],[Num OF]],#REF!,#REF!,"Non Trouvé")</f>
        <v>#REF!</v>
      </c>
      <c r="O1093" s="11" t="e">
        <f>_xlfn.XLOOKUP(Mvt_Inter_entrepot[[#This Row],[Num OF]],#REF!,#REF!,"Non Trouvé")</f>
        <v>#REF!</v>
      </c>
      <c r="P1093" s="11" t="e">
        <f>_xlfn.XLOOKUP(Mvt_Inter_entrepot[[#This Row],[Num OF]],#REF!,#REF!,"Non Trouvé")</f>
        <v>#REF!</v>
      </c>
      <c r="Q1093" s="11" t="str">
        <f>IF(
   COUNTIFS($A$2:A1093,A1093,
             $B$2:B1093,B1093,
             $C$2:C1093,C1093,
             $D$2:D1093,D1093,
             $E$2:E1093,E1093,
             $H$2:H1093,H1093
             )&gt;1,
   "Doublon",
   "Correcte"
)</f>
        <v>Correcte</v>
      </c>
    </row>
    <row r="1094" spans="1:17" x14ac:dyDescent="0.25">
      <c r="A1094" s="11">
        <v>0</v>
      </c>
      <c r="B1094" s="11"/>
      <c r="C1094" s="11"/>
      <c r="D1094" s="11"/>
      <c r="E1094" s="11"/>
      <c r="F1094" s="11"/>
      <c r="G1094" s="11"/>
      <c r="H1094" s="14"/>
      <c r="I1094" s="12">
        <f>-Mvt_Inter_entrepot[[#This Row],[QTE]]</f>
        <v>0</v>
      </c>
      <c r="J1094" s="11" t="s">
        <v>2766</v>
      </c>
      <c r="K1094" s="11" t="str">
        <f>_xlfn.TEXTBEFORE(Mvt_Inter_entrepot[[#This Row],[Num Suivis]],"-",,,1)</f>
        <v>CA250759</v>
      </c>
      <c r="L1094" s="11" t="e">
        <f>_xlfn.XLOOKUP(Mvt_Inter_entrepot[[#This Row],[Num OF]],#REF!,#REF!,"Non Trouvé")</f>
        <v>#REF!</v>
      </c>
      <c r="M1094" s="11" t="e">
        <f>_xlfn.XLOOKUP(Mvt_Inter_entrepot[[#This Row],[Num OF]],#REF!,#REF!,"Non Trouvé")</f>
        <v>#REF!</v>
      </c>
      <c r="N1094" s="11" t="e">
        <f>_xlfn.XLOOKUP(Mvt_Inter_entrepot[[#This Row],[Num OF]],#REF!,#REF!,"Non Trouvé")</f>
        <v>#REF!</v>
      </c>
      <c r="O1094" s="11" t="e">
        <f>_xlfn.XLOOKUP(Mvt_Inter_entrepot[[#This Row],[Num OF]],#REF!,#REF!,"Non Trouvé")</f>
        <v>#REF!</v>
      </c>
      <c r="P1094" s="11" t="e">
        <f>_xlfn.XLOOKUP(Mvt_Inter_entrepot[[#This Row],[Num OF]],#REF!,#REF!,"Non Trouvé")</f>
        <v>#REF!</v>
      </c>
      <c r="Q1094" s="11" t="str">
        <f>IF(
   COUNTIFS($A$2:A1094,A1094,
             $B$2:B1094,B1094,
             $C$2:C1094,C1094,
             $D$2:D1094,D1094,
             $E$2:E1094,E1094,
             $H$2:H1094,H1094
             )&gt;1,
   "Doublon",
   "Correcte"
)</f>
        <v>Correcte</v>
      </c>
    </row>
    <row r="1095" spans="1:17" x14ac:dyDescent="0.25">
      <c r="A1095" s="11">
        <v>0</v>
      </c>
      <c r="B1095" s="11"/>
      <c r="C1095" s="11"/>
      <c r="D1095" s="11"/>
      <c r="E1095" s="11"/>
      <c r="F1095" s="11"/>
      <c r="G1095" s="11"/>
      <c r="H1095" s="14"/>
      <c r="I1095" s="12">
        <f>-Mvt_Inter_entrepot[[#This Row],[QTE]]</f>
        <v>0</v>
      </c>
      <c r="J1095" s="11" t="s">
        <v>2767</v>
      </c>
      <c r="K1095" s="11" t="str">
        <f>_xlfn.TEXTBEFORE(Mvt_Inter_entrepot[[#This Row],[Num Suivis]],"-",,,1)</f>
        <v>CA250759</v>
      </c>
      <c r="L1095" s="11" t="e">
        <f>_xlfn.XLOOKUP(Mvt_Inter_entrepot[[#This Row],[Num OF]],#REF!,#REF!,"Non Trouvé")</f>
        <v>#REF!</v>
      </c>
      <c r="M1095" s="11" t="e">
        <f>_xlfn.XLOOKUP(Mvt_Inter_entrepot[[#This Row],[Num OF]],#REF!,#REF!,"Non Trouvé")</f>
        <v>#REF!</v>
      </c>
      <c r="N1095" s="11" t="e">
        <f>_xlfn.XLOOKUP(Mvt_Inter_entrepot[[#This Row],[Num OF]],#REF!,#REF!,"Non Trouvé")</f>
        <v>#REF!</v>
      </c>
      <c r="O1095" s="11" t="e">
        <f>_xlfn.XLOOKUP(Mvt_Inter_entrepot[[#This Row],[Num OF]],#REF!,#REF!,"Non Trouvé")</f>
        <v>#REF!</v>
      </c>
      <c r="P1095" s="11" t="e">
        <f>_xlfn.XLOOKUP(Mvt_Inter_entrepot[[#This Row],[Num OF]],#REF!,#REF!,"Non Trouvé")</f>
        <v>#REF!</v>
      </c>
      <c r="Q1095" s="11" t="str">
        <f>IF(
   COUNTIFS($A$2:A1095,A1095,
             $B$2:B1095,B1095,
             $C$2:C1095,C1095,
             $D$2:D1095,D1095,
             $E$2:E1095,E1095,
             $H$2:H1095,H1095
             )&gt;1,
   "Doublon",
   "Correcte"
)</f>
        <v>Correcte</v>
      </c>
    </row>
    <row r="1096" spans="1:17" x14ac:dyDescent="0.25">
      <c r="A1096" s="11">
        <v>0</v>
      </c>
      <c r="B1096" s="11"/>
      <c r="C1096" s="11"/>
      <c r="D1096" s="11"/>
      <c r="E1096" s="11"/>
      <c r="F1096" s="11"/>
      <c r="G1096" s="11"/>
      <c r="H1096" s="14"/>
      <c r="I1096" s="12">
        <f>-Mvt_Inter_entrepot[[#This Row],[QTE]]</f>
        <v>0</v>
      </c>
      <c r="J1096" s="11" t="s">
        <v>2768</v>
      </c>
      <c r="K1096" s="11" t="str">
        <f>_xlfn.TEXTBEFORE(Mvt_Inter_entrepot[[#This Row],[Num Suivis]],"-",,,1)</f>
        <v>CA250759</v>
      </c>
      <c r="L1096" s="11" t="e">
        <f>_xlfn.XLOOKUP(Mvt_Inter_entrepot[[#This Row],[Num OF]],#REF!,#REF!,"Non Trouvé")</f>
        <v>#REF!</v>
      </c>
      <c r="M1096" s="11" t="e">
        <f>_xlfn.XLOOKUP(Mvt_Inter_entrepot[[#This Row],[Num OF]],#REF!,#REF!,"Non Trouvé")</f>
        <v>#REF!</v>
      </c>
      <c r="N1096" s="11" t="e">
        <f>_xlfn.XLOOKUP(Mvt_Inter_entrepot[[#This Row],[Num OF]],#REF!,#REF!,"Non Trouvé")</f>
        <v>#REF!</v>
      </c>
      <c r="O1096" s="11" t="e">
        <f>_xlfn.XLOOKUP(Mvt_Inter_entrepot[[#This Row],[Num OF]],#REF!,#REF!,"Non Trouvé")</f>
        <v>#REF!</v>
      </c>
      <c r="P1096" s="11" t="e">
        <f>_xlfn.XLOOKUP(Mvt_Inter_entrepot[[#This Row],[Num OF]],#REF!,#REF!,"Non Trouvé")</f>
        <v>#REF!</v>
      </c>
      <c r="Q1096" s="11" t="str">
        <f>IF(
   COUNTIFS($A$2:A1096,A1096,
             $B$2:B1096,B1096,
             $C$2:C1096,C1096,
             $D$2:D1096,D1096,
             $E$2:E1096,E1096,
             $H$2:H1096,H1096
             )&gt;1,
   "Doublon",
   "Correcte"
)</f>
        <v>Correcte</v>
      </c>
    </row>
    <row r="1097" spans="1:17" x14ac:dyDescent="0.25">
      <c r="A1097" s="11">
        <v>0</v>
      </c>
      <c r="B1097" s="11"/>
      <c r="C1097" s="11"/>
      <c r="D1097" s="11"/>
      <c r="E1097" s="11"/>
      <c r="F1097" s="11"/>
      <c r="G1097" s="11"/>
      <c r="H1097" s="14"/>
      <c r="I1097" s="12">
        <f>-Mvt_Inter_entrepot[[#This Row],[QTE]]</f>
        <v>0</v>
      </c>
      <c r="J1097" s="11" t="s">
        <v>2769</v>
      </c>
      <c r="K1097" s="11" t="str">
        <f>_xlfn.TEXTBEFORE(Mvt_Inter_entrepot[[#This Row],[Num Suivis]],"-",,,1)</f>
        <v>CA250759</v>
      </c>
      <c r="L1097" s="11" t="e">
        <f>_xlfn.XLOOKUP(Mvt_Inter_entrepot[[#This Row],[Num OF]],#REF!,#REF!,"Non Trouvé")</f>
        <v>#REF!</v>
      </c>
      <c r="M1097" s="11" t="e">
        <f>_xlfn.XLOOKUP(Mvt_Inter_entrepot[[#This Row],[Num OF]],#REF!,#REF!,"Non Trouvé")</f>
        <v>#REF!</v>
      </c>
      <c r="N1097" s="11" t="e">
        <f>_xlfn.XLOOKUP(Mvt_Inter_entrepot[[#This Row],[Num OF]],#REF!,#REF!,"Non Trouvé")</f>
        <v>#REF!</v>
      </c>
      <c r="O1097" s="11" t="e">
        <f>_xlfn.XLOOKUP(Mvt_Inter_entrepot[[#This Row],[Num OF]],#REF!,#REF!,"Non Trouvé")</f>
        <v>#REF!</v>
      </c>
      <c r="P1097" s="11" t="e">
        <f>_xlfn.XLOOKUP(Mvt_Inter_entrepot[[#This Row],[Num OF]],#REF!,#REF!,"Non Trouvé")</f>
        <v>#REF!</v>
      </c>
      <c r="Q1097" s="11" t="str">
        <f>IF(
   COUNTIFS($A$2:A1097,A1097,
             $B$2:B1097,B1097,
             $C$2:C1097,C1097,
             $D$2:D1097,D1097,
             $E$2:E1097,E1097,
             $H$2:H1097,H1097
             )&gt;1,
   "Doublon",
   "Correcte"
)</f>
        <v>Correcte</v>
      </c>
    </row>
    <row r="1098" spans="1:17" x14ac:dyDescent="0.25">
      <c r="A1098" s="11">
        <v>0</v>
      </c>
      <c r="B1098" s="11"/>
      <c r="C1098" s="11"/>
      <c r="D1098" s="11"/>
      <c r="E1098" s="11"/>
      <c r="F1098" s="11"/>
      <c r="G1098" s="11"/>
      <c r="H1098" s="14"/>
      <c r="I1098" s="12">
        <f>-Mvt_Inter_entrepot[[#This Row],[QTE]]</f>
        <v>0</v>
      </c>
      <c r="J1098" s="11" t="s">
        <v>2770</v>
      </c>
      <c r="K1098" s="11" t="str">
        <f>_xlfn.TEXTBEFORE(Mvt_Inter_entrepot[[#This Row],[Num Suivis]],"-",,,1)</f>
        <v>CA250761</v>
      </c>
      <c r="L1098" s="11" t="e">
        <f>_xlfn.XLOOKUP(Mvt_Inter_entrepot[[#This Row],[Num OF]],#REF!,#REF!,"Non Trouvé")</f>
        <v>#REF!</v>
      </c>
      <c r="M1098" s="11" t="e">
        <f>_xlfn.XLOOKUP(Mvt_Inter_entrepot[[#This Row],[Num OF]],#REF!,#REF!,"Non Trouvé")</f>
        <v>#REF!</v>
      </c>
      <c r="N1098" s="11" t="e">
        <f>_xlfn.XLOOKUP(Mvt_Inter_entrepot[[#This Row],[Num OF]],#REF!,#REF!,"Non Trouvé")</f>
        <v>#REF!</v>
      </c>
      <c r="O1098" s="11" t="e">
        <f>_xlfn.XLOOKUP(Mvt_Inter_entrepot[[#This Row],[Num OF]],#REF!,#REF!,"Non Trouvé")</f>
        <v>#REF!</v>
      </c>
      <c r="P1098" s="11" t="e">
        <f>_xlfn.XLOOKUP(Mvt_Inter_entrepot[[#This Row],[Num OF]],#REF!,#REF!,"Non Trouvé")</f>
        <v>#REF!</v>
      </c>
      <c r="Q1098" s="11" t="str">
        <f>IF(
   COUNTIFS($A$2:A1098,A1098,
             $B$2:B1098,B1098,
             $C$2:C1098,C1098,
             $D$2:D1098,D1098,
             $E$2:E1098,E1098,
             $H$2:H1098,H1098
             )&gt;1,
   "Doublon",
   "Correcte"
)</f>
        <v>Correcte</v>
      </c>
    </row>
    <row r="1099" spans="1:17" x14ac:dyDescent="0.25">
      <c r="A1099" s="11">
        <v>0</v>
      </c>
      <c r="B1099" s="11"/>
      <c r="C1099" s="11"/>
      <c r="D1099" s="11"/>
      <c r="E1099" s="11"/>
      <c r="F1099" s="11"/>
      <c r="G1099" s="11"/>
      <c r="H1099" s="14"/>
      <c r="I1099" s="12">
        <f>-Mvt_Inter_entrepot[[#This Row],[QTE]]</f>
        <v>0</v>
      </c>
      <c r="J1099" s="11" t="s">
        <v>2771</v>
      </c>
      <c r="K1099" s="11" t="str">
        <f>_xlfn.TEXTBEFORE(Mvt_Inter_entrepot[[#This Row],[Num Suivis]],"-",,,1)</f>
        <v>CA250761</v>
      </c>
      <c r="L1099" s="11" t="e">
        <f>_xlfn.XLOOKUP(Mvt_Inter_entrepot[[#This Row],[Num OF]],#REF!,#REF!,"Non Trouvé")</f>
        <v>#REF!</v>
      </c>
      <c r="M1099" s="11" t="e">
        <f>_xlfn.XLOOKUP(Mvt_Inter_entrepot[[#This Row],[Num OF]],#REF!,#REF!,"Non Trouvé")</f>
        <v>#REF!</v>
      </c>
      <c r="N1099" s="11" t="e">
        <f>_xlfn.XLOOKUP(Mvt_Inter_entrepot[[#This Row],[Num OF]],#REF!,#REF!,"Non Trouvé")</f>
        <v>#REF!</v>
      </c>
      <c r="O1099" s="11" t="e">
        <f>_xlfn.XLOOKUP(Mvt_Inter_entrepot[[#This Row],[Num OF]],#REF!,#REF!,"Non Trouvé")</f>
        <v>#REF!</v>
      </c>
      <c r="P1099" s="11" t="e">
        <f>_xlfn.XLOOKUP(Mvt_Inter_entrepot[[#This Row],[Num OF]],#REF!,#REF!,"Non Trouvé")</f>
        <v>#REF!</v>
      </c>
      <c r="Q1099" s="11" t="str">
        <f>IF(
   COUNTIFS($A$2:A1099,A1099,
             $B$2:B1099,B1099,
             $C$2:C1099,C1099,
             $D$2:D1099,D1099,
             $E$2:E1099,E1099,
             $H$2:H1099,H1099
             )&gt;1,
   "Doublon",
   "Correcte"
)</f>
        <v>Correcte</v>
      </c>
    </row>
    <row r="1100" spans="1:17" x14ac:dyDescent="0.25">
      <c r="A1100" s="11">
        <v>0</v>
      </c>
      <c r="B1100" s="11"/>
      <c r="C1100" s="11"/>
      <c r="D1100" s="11"/>
      <c r="E1100" s="11"/>
      <c r="F1100" s="11"/>
      <c r="G1100" s="11"/>
      <c r="H1100" s="14"/>
      <c r="I1100" s="12">
        <f>-Mvt_Inter_entrepot[[#This Row],[QTE]]</f>
        <v>0</v>
      </c>
      <c r="J1100" s="11" t="s">
        <v>2772</v>
      </c>
      <c r="K1100" s="11" t="str">
        <f>_xlfn.TEXTBEFORE(Mvt_Inter_entrepot[[#This Row],[Num Suivis]],"-",,,1)</f>
        <v>CA250759</v>
      </c>
      <c r="L1100" s="11" t="e">
        <f>_xlfn.XLOOKUP(Mvt_Inter_entrepot[[#This Row],[Num OF]],#REF!,#REF!,"Non Trouvé")</f>
        <v>#REF!</v>
      </c>
      <c r="M1100" s="11" t="e">
        <f>_xlfn.XLOOKUP(Mvt_Inter_entrepot[[#This Row],[Num OF]],#REF!,#REF!,"Non Trouvé")</f>
        <v>#REF!</v>
      </c>
      <c r="N1100" s="11" t="e">
        <f>_xlfn.XLOOKUP(Mvt_Inter_entrepot[[#This Row],[Num OF]],#REF!,#REF!,"Non Trouvé")</f>
        <v>#REF!</v>
      </c>
      <c r="O1100" s="11" t="e">
        <f>_xlfn.XLOOKUP(Mvt_Inter_entrepot[[#This Row],[Num OF]],#REF!,#REF!,"Non Trouvé")</f>
        <v>#REF!</v>
      </c>
      <c r="P1100" s="11" t="e">
        <f>_xlfn.XLOOKUP(Mvt_Inter_entrepot[[#This Row],[Num OF]],#REF!,#REF!,"Non Trouvé")</f>
        <v>#REF!</v>
      </c>
      <c r="Q1100" s="11" t="str">
        <f>IF(
   COUNTIFS($A$2:A1100,A1100,
             $B$2:B1100,B1100,
             $C$2:C1100,C1100,
             $D$2:D1100,D1100,
             $E$2:E1100,E1100,
             $H$2:H1100,H1100
             )&gt;1,
   "Doublon",
   "Correcte"
)</f>
        <v>Correcte</v>
      </c>
    </row>
    <row r="1101" spans="1:17" x14ac:dyDescent="0.25">
      <c r="A1101" s="11">
        <v>0</v>
      </c>
      <c r="B1101" s="11"/>
      <c r="C1101" s="11"/>
      <c r="D1101" s="11"/>
      <c r="E1101" s="11"/>
      <c r="F1101" s="11"/>
      <c r="G1101" s="11"/>
      <c r="H1101" s="14"/>
      <c r="I1101" s="12">
        <f>-Mvt_Inter_entrepot[[#This Row],[QTE]]</f>
        <v>0</v>
      </c>
      <c r="J1101" s="11" t="s">
        <v>2773</v>
      </c>
      <c r="K1101" s="11" t="str">
        <f>_xlfn.TEXTBEFORE(Mvt_Inter_entrepot[[#This Row],[Num Suivis]],"-",,,1)</f>
        <v>CA250759</v>
      </c>
      <c r="L1101" s="11" t="e">
        <f>_xlfn.XLOOKUP(Mvt_Inter_entrepot[[#This Row],[Num OF]],#REF!,#REF!,"Non Trouvé")</f>
        <v>#REF!</v>
      </c>
      <c r="M1101" s="11" t="e">
        <f>_xlfn.XLOOKUP(Mvt_Inter_entrepot[[#This Row],[Num OF]],#REF!,#REF!,"Non Trouvé")</f>
        <v>#REF!</v>
      </c>
      <c r="N1101" s="11" t="e">
        <f>_xlfn.XLOOKUP(Mvt_Inter_entrepot[[#This Row],[Num OF]],#REF!,#REF!,"Non Trouvé")</f>
        <v>#REF!</v>
      </c>
      <c r="O1101" s="11" t="e">
        <f>_xlfn.XLOOKUP(Mvt_Inter_entrepot[[#This Row],[Num OF]],#REF!,#REF!,"Non Trouvé")</f>
        <v>#REF!</v>
      </c>
      <c r="P1101" s="11" t="e">
        <f>_xlfn.XLOOKUP(Mvt_Inter_entrepot[[#This Row],[Num OF]],#REF!,#REF!,"Non Trouvé")</f>
        <v>#REF!</v>
      </c>
      <c r="Q1101" s="11" t="str">
        <f>IF(
   COUNTIFS($A$2:A1101,A1101,
             $B$2:B1101,B1101,
             $C$2:C1101,C1101,
             $D$2:D1101,D1101,
             $E$2:E1101,E1101,
             $H$2:H1101,H1101
             )&gt;1,
   "Doublon",
   "Correcte"
)</f>
        <v>Correcte</v>
      </c>
    </row>
    <row r="1102" spans="1:17" x14ac:dyDescent="0.25">
      <c r="A1102" s="11">
        <v>0</v>
      </c>
      <c r="B1102" s="11"/>
      <c r="C1102" s="11"/>
      <c r="D1102" s="11"/>
      <c r="E1102" s="11"/>
      <c r="F1102" s="11"/>
      <c r="G1102" s="11"/>
      <c r="H1102" s="14"/>
      <c r="I1102" s="12">
        <f>-Mvt_Inter_entrepot[[#This Row],[QTE]]</f>
        <v>0</v>
      </c>
      <c r="J1102" s="11" t="s">
        <v>2774</v>
      </c>
      <c r="K1102" s="11" t="str">
        <f>_xlfn.TEXTBEFORE(Mvt_Inter_entrepot[[#This Row],[Num Suivis]],"-",,,1)</f>
        <v>CA250761</v>
      </c>
      <c r="L1102" s="11" t="e">
        <f>_xlfn.XLOOKUP(Mvt_Inter_entrepot[[#This Row],[Num OF]],#REF!,#REF!,"Non Trouvé")</f>
        <v>#REF!</v>
      </c>
      <c r="M1102" s="11" t="e">
        <f>_xlfn.XLOOKUP(Mvt_Inter_entrepot[[#This Row],[Num OF]],#REF!,#REF!,"Non Trouvé")</f>
        <v>#REF!</v>
      </c>
      <c r="N1102" s="11" t="e">
        <f>_xlfn.XLOOKUP(Mvt_Inter_entrepot[[#This Row],[Num OF]],#REF!,#REF!,"Non Trouvé")</f>
        <v>#REF!</v>
      </c>
      <c r="O1102" s="11" t="e">
        <f>_xlfn.XLOOKUP(Mvt_Inter_entrepot[[#This Row],[Num OF]],#REF!,#REF!,"Non Trouvé")</f>
        <v>#REF!</v>
      </c>
      <c r="P1102" s="11" t="e">
        <f>_xlfn.XLOOKUP(Mvt_Inter_entrepot[[#This Row],[Num OF]],#REF!,#REF!,"Non Trouvé")</f>
        <v>#REF!</v>
      </c>
      <c r="Q1102" s="11" t="str">
        <f>IF(
   COUNTIFS($A$2:A1102,A1102,
             $B$2:B1102,B1102,
             $C$2:C1102,C1102,
             $D$2:D1102,D1102,
             $E$2:E1102,E1102,
             $H$2:H1102,H1102
             )&gt;1,
   "Doublon",
   "Correcte"
)</f>
        <v>Correcte</v>
      </c>
    </row>
    <row r="1103" spans="1:17" x14ac:dyDescent="0.25">
      <c r="A1103" s="11">
        <v>0</v>
      </c>
      <c r="B1103" s="11"/>
      <c r="C1103" s="11"/>
      <c r="D1103" s="11"/>
      <c r="E1103" s="11"/>
      <c r="F1103" s="11"/>
      <c r="G1103" s="11"/>
      <c r="H1103" s="14"/>
      <c r="I1103" s="12">
        <f>-Mvt_Inter_entrepot[[#This Row],[QTE]]</f>
        <v>0</v>
      </c>
      <c r="J1103" s="11" t="s">
        <v>2775</v>
      </c>
      <c r="K1103" s="11" t="str">
        <f>_xlfn.TEXTBEFORE(Mvt_Inter_entrepot[[#This Row],[Num Suivis]],"-",,,1)</f>
        <v>CA250761</v>
      </c>
      <c r="L1103" s="11" t="e">
        <f>_xlfn.XLOOKUP(Mvt_Inter_entrepot[[#This Row],[Num OF]],#REF!,#REF!,"Non Trouvé")</f>
        <v>#REF!</v>
      </c>
      <c r="M1103" s="11" t="e">
        <f>_xlfn.XLOOKUP(Mvt_Inter_entrepot[[#This Row],[Num OF]],#REF!,#REF!,"Non Trouvé")</f>
        <v>#REF!</v>
      </c>
      <c r="N1103" s="11" t="e">
        <f>_xlfn.XLOOKUP(Mvt_Inter_entrepot[[#This Row],[Num OF]],#REF!,#REF!,"Non Trouvé")</f>
        <v>#REF!</v>
      </c>
      <c r="O1103" s="11" t="e">
        <f>_xlfn.XLOOKUP(Mvt_Inter_entrepot[[#This Row],[Num OF]],#REF!,#REF!,"Non Trouvé")</f>
        <v>#REF!</v>
      </c>
      <c r="P1103" s="11" t="e">
        <f>_xlfn.XLOOKUP(Mvt_Inter_entrepot[[#This Row],[Num OF]],#REF!,#REF!,"Non Trouvé")</f>
        <v>#REF!</v>
      </c>
      <c r="Q1103" s="11" t="str">
        <f>IF(
   COUNTIFS($A$2:A1103,A1103,
             $B$2:B1103,B1103,
             $C$2:C1103,C1103,
             $D$2:D1103,D1103,
             $E$2:E1103,E1103,
             $H$2:H1103,H1103
             )&gt;1,
   "Doublon",
   "Correcte"
)</f>
        <v>Correcte</v>
      </c>
    </row>
    <row r="1104" spans="1:17" x14ac:dyDescent="0.25">
      <c r="A1104" s="11">
        <v>0</v>
      </c>
      <c r="B1104" s="11"/>
      <c r="C1104" s="11"/>
      <c r="D1104" s="11"/>
      <c r="E1104" s="11"/>
      <c r="F1104" s="11"/>
      <c r="G1104" s="11"/>
      <c r="H1104" s="14"/>
      <c r="I1104" s="12">
        <f>-Mvt_Inter_entrepot[[#This Row],[QTE]]</f>
        <v>0</v>
      </c>
      <c r="J1104" s="11" t="s">
        <v>2776</v>
      </c>
      <c r="K1104" s="11" t="str">
        <f>_xlfn.TEXTBEFORE(Mvt_Inter_entrepot[[#This Row],[Num Suivis]],"-",,,1)</f>
        <v>CA250761</v>
      </c>
      <c r="L1104" s="11" t="e">
        <f>_xlfn.XLOOKUP(Mvt_Inter_entrepot[[#This Row],[Num OF]],#REF!,#REF!,"Non Trouvé")</f>
        <v>#REF!</v>
      </c>
      <c r="M1104" s="11" t="e">
        <f>_xlfn.XLOOKUP(Mvt_Inter_entrepot[[#This Row],[Num OF]],#REF!,#REF!,"Non Trouvé")</f>
        <v>#REF!</v>
      </c>
      <c r="N1104" s="11" t="e">
        <f>_xlfn.XLOOKUP(Mvt_Inter_entrepot[[#This Row],[Num OF]],#REF!,#REF!,"Non Trouvé")</f>
        <v>#REF!</v>
      </c>
      <c r="O1104" s="11" t="e">
        <f>_xlfn.XLOOKUP(Mvt_Inter_entrepot[[#This Row],[Num OF]],#REF!,#REF!,"Non Trouvé")</f>
        <v>#REF!</v>
      </c>
      <c r="P1104" s="11" t="e">
        <f>_xlfn.XLOOKUP(Mvt_Inter_entrepot[[#This Row],[Num OF]],#REF!,#REF!,"Non Trouvé")</f>
        <v>#REF!</v>
      </c>
      <c r="Q1104" s="11" t="str">
        <f>IF(
   COUNTIFS($A$2:A1104,A1104,
             $B$2:B1104,B1104,
             $C$2:C1104,C1104,
             $D$2:D1104,D1104,
             $E$2:E1104,E1104,
             $H$2:H1104,H1104
             )&gt;1,
   "Doublon",
   "Correcte"
)</f>
        <v>Correcte</v>
      </c>
    </row>
    <row r="1105" spans="1:17" x14ac:dyDescent="0.25">
      <c r="A1105" s="11">
        <v>0</v>
      </c>
      <c r="B1105" s="11"/>
      <c r="C1105" s="11"/>
      <c r="D1105" s="11"/>
      <c r="E1105" s="11"/>
      <c r="F1105" s="11"/>
      <c r="G1105" s="11"/>
      <c r="H1105" s="14"/>
      <c r="I1105" s="12">
        <f>-Mvt_Inter_entrepot[[#This Row],[QTE]]</f>
        <v>0</v>
      </c>
      <c r="J1105" s="11" t="s">
        <v>2777</v>
      </c>
      <c r="K1105" s="11" t="str">
        <f>_xlfn.TEXTBEFORE(Mvt_Inter_entrepot[[#This Row],[Num Suivis]],"-",,,1)</f>
        <v>CA250761</v>
      </c>
      <c r="L1105" s="11" t="e">
        <f>_xlfn.XLOOKUP(Mvt_Inter_entrepot[[#This Row],[Num OF]],#REF!,#REF!,"Non Trouvé")</f>
        <v>#REF!</v>
      </c>
      <c r="M1105" s="11" t="e">
        <f>_xlfn.XLOOKUP(Mvt_Inter_entrepot[[#This Row],[Num OF]],#REF!,#REF!,"Non Trouvé")</f>
        <v>#REF!</v>
      </c>
      <c r="N1105" s="11" t="e">
        <f>_xlfn.XLOOKUP(Mvt_Inter_entrepot[[#This Row],[Num OF]],#REF!,#REF!,"Non Trouvé")</f>
        <v>#REF!</v>
      </c>
      <c r="O1105" s="11" t="e">
        <f>_xlfn.XLOOKUP(Mvt_Inter_entrepot[[#This Row],[Num OF]],#REF!,#REF!,"Non Trouvé")</f>
        <v>#REF!</v>
      </c>
      <c r="P1105" s="11" t="e">
        <f>_xlfn.XLOOKUP(Mvt_Inter_entrepot[[#This Row],[Num OF]],#REF!,#REF!,"Non Trouvé")</f>
        <v>#REF!</v>
      </c>
      <c r="Q1105" s="11" t="str">
        <f>IF(
   COUNTIFS($A$2:A1105,A1105,
             $B$2:B1105,B1105,
             $C$2:C1105,C1105,
             $D$2:D1105,D1105,
             $E$2:E1105,E1105,
             $H$2:H1105,H1105
             )&gt;1,
   "Doublon",
   "Correcte"
)</f>
        <v>Correcte</v>
      </c>
    </row>
    <row r="1106" spans="1:17" x14ac:dyDescent="0.25">
      <c r="A1106" s="11">
        <v>0</v>
      </c>
      <c r="B1106" s="11"/>
      <c r="C1106" s="11"/>
      <c r="D1106" s="11"/>
      <c r="E1106" s="11"/>
      <c r="F1106" s="11"/>
      <c r="G1106" s="11"/>
      <c r="H1106" s="14"/>
      <c r="I1106" s="12">
        <f>-Mvt_Inter_entrepot[[#This Row],[QTE]]</f>
        <v>0</v>
      </c>
      <c r="J1106" s="11" t="s">
        <v>2778</v>
      </c>
      <c r="K1106" s="11" t="str">
        <f>_xlfn.TEXTBEFORE(Mvt_Inter_entrepot[[#This Row],[Num Suivis]],"-",,,1)</f>
        <v>CA250761</v>
      </c>
      <c r="L1106" s="11" t="e">
        <f>_xlfn.XLOOKUP(Mvt_Inter_entrepot[[#This Row],[Num OF]],#REF!,#REF!,"Non Trouvé")</f>
        <v>#REF!</v>
      </c>
      <c r="M1106" s="11" t="e">
        <f>_xlfn.XLOOKUP(Mvt_Inter_entrepot[[#This Row],[Num OF]],#REF!,#REF!,"Non Trouvé")</f>
        <v>#REF!</v>
      </c>
      <c r="N1106" s="11" t="e">
        <f>_xlfn.XLOOKUP(Mvt_Inter_entrepot[[#This Row],[Num OF]],#REF!,#REF!,"Non Trouvé")</f>
        <v>#REF!</v>
      </c>
      <c r="O1106" s="11" t="e">
        <f>_xlfn.XLOOKUP(Mvt_Inter_entrepot[[#This Row],[Num OF]],#REF!,#REF!,"Non Trouvé")</f>
        <v>#REF!</v>
      </c>
      <c r="P1106" s="11" t="e">
        <f>_xlfn.XLOOKUP(Mvt_Inter_entrepot[[#This Row],[Num OF]],#REF!,#REF!,"Non Trouvé")</f>
        <v>#REF!</v>
      </c>
      <c r="Q1106" s="11" t="str">
        <f>IF(
   COUNTIFS($A$2:A1106,A1106,
             $B$2:B1106,B1106,
             $C$2:C1106,C1106,
             $D$2:D1106,D1106,
             $E$2:E1106,E1106,
             $H$2:H1106,H1106
             )&gt;1,
   "Doublon",
   "Correcte"
)</f>
        <v>Correcte</v>
      </c>
    </row>
    <row r="1107" spans="1:17" x14ac:dyDescent="0.25">
      <c r="A1107" s="11">
        <v>0</v>
      </c>
      <c r="B1107" s="11"/>
      <c r="C1107" s="11"/>
      <c r="D1107" s="11"/>
      <c r="E1107" s="11"/>
      <c r="F1107" s="11"/>
      <c r="G1107" s="11"/>
      <c r="H1107" s="14"/>
      <c r="I1107" s="12">
        <f>-Mvt_Inter_entrepot[[#This Row],[QTE]]</f>
        <v>0</v>
      </c>
      <c r="J1107" s="11" t="s">
        <v>2779</v>
      </c>
      <c r="K1107" s="11" t="str">
        <f>_xlfn.TEXTBEFORE(Mvt_Inter_entrepot[[#This Row],[Num Suivis]],"-",,,1)</f>
        <v>CA250761</v>
      </c>
      <c r="L1107" s="11" t="e">
        <f>_xlfn.XLOOKUP(Mvt_Inter_entrepot[[#This Row],[Num OF]],#REF!,#REF!,"Non Trouvé")</f>
        <v>#REF!</v>
      </c>
      <c r="M1107" s="11" t="e">
        <f>_xlfn.XLOOKUP(Mvt_Inter_entrepot[[#This Row],[Num OF]],#REF!,#REF!,"Non Trouvé")</f>
        <v>#REF!</v>
      </c>
      <c r="N1107" s="11" t="e">
        <f>_xlfn.XLOOKUP(Mvt_Inter_entrepot[[#This Row],[Num OF]],#REF!,#REF!,"Non Trouvé")</f>
        <v>#REF!</v>
      </c>
      <c r="O1107" s="11" t="e">
        <f>_xlfn.XLOOKUP(Mvt_Inter_entrepot[[#This Row],[Num OF]],#REF!,#REF!,"Non Trouvé")</f>
        <v>#REF!</v>
      </c>
      <c r="P1107" s="11" t="e">
        <f>_xlfn.XLOOKUP(Mvt_Inter_entrepot[[#This Row],[Num OF]],#REF!,#REF!,"Non Trouvé")</f>
        <v>#REF!</v>
      </c>
      <c r="Q1107" s="11" t="str">
        <f>IF(
   COUNTIFS($A$2:A1107,A1107,
             $B$2:B1107,B1107,
             $C$2:C1107,C1107,
             $D$2:D1107,D1107,
             $E$2:E1107,E1107,
             $H$2:H1107,H1107
             )&gt;1,
   "Doublon",
   "Correcte"
)</f>
        <v>Correcte</v>
      </c>
    </row>
    <row r="1108" spans="1:17" x14ac:dyDescent="0.25">
      <c r="A1108" s="11">
        <v>0</v>
      </c>
      <c r="B1108" s="11"/>
      <c r="C1108" s="11"/>
      <c r="D1108" s="11"/>
      <c r="E1108" s="11"/>
      <c r="F1108" s="11"/>
      <c r="G1108" s="11"/>
      <c r="H1108" s="14"/>
      <c r="I1108" s="12">
        <f>-Mvt_Inter_entrepot[[#This Row],[QTE]]</f>
        <v>0</v>
      </c>
      <c r="J1108" s="11" t="s">
        <v>2780</v>
      </c>
      <c r="K1108" s="11" t="str">
        <f>_xlfn.TEXTBEFORE(Mvt_Inter_entrepot[[#This Row],[Num Suivis]],"-",,,1)</f>
        <v>CA250761</v>
      </c>
      <c r="L1108" s="11" t="e">
        <f>_xlfn.XLOOKUP(Mvt_Inter_entrepot[[#This Row],[Num OF]],#REF!,#REF!,"Non Trouvé")</f>
        <v>#REF!</v>
      </c>
      <c r="M1108" s="11" t="e">
        <f>_xlfn.XLOOKUP(Mvt_Inter_entrepot[[#This Row],[Num OF]],#REF!,#REF!,"Non Trouvé")</f>
        <v>#REF!</v>
      </c>
      <c r="N1108" s="11" t="e">
        <f>_xlfn.XLOOKUP(Mvt_Inter_entrepot[[#This Row],[Num OF]],#REF!,#REF!,"Non Trouvé")</f>
        <v>#REF!</v>
      </c>
      <c r="O1108" s="11" t="e">
        <f>_xlfn.XLOOKUP(Mvt_Inter_entrepot[[#This Row],[Num OF]],#REF!,#REF!,"Non Trouvé")</f>
        <v>#REF!</v>
      </c>
      <c r="P1108" s="11" t="e">
        <f>_xlfn.XLOOKUP(Mvt_Inter_entrepot[[#This Row],[Num OF]],#REF!,#REF!,"Non Trouvé")</f>
        <v>#REF!</v>
      </c>
      <c r="Q1108" s="11" t="str">
        <f>IF(
   COUNTIFS($A$2:A1108,A1108,
             $B$2:B1108,B1108,
             $C$2:C1108,C1108,
             $D$2:D1108,D1108,
             $E$2:E1108,E1108,
             $H$2:H1108,H1108
             )&gt;1,
   "Doublon",
   "Correcte"
)</f>
        <v>Correcte</v>
      </c>
    </row>
    <row r="1109" spans="1:17" x14ac:dyDescent="0.25">
      <c r="A1109" s="11">
        <v>0</v>
      </c>
      <c r="B1109" s="11"/>
      <c r="C1109" s="11"/>
      <c r="D1109" s="11"/>
      <c r="E1109" s="11"/>
      <c r="F1109" s="11"/>
      <c r="G1109" s="11"/>
      <c r="H1109" s="14"/>
      <c r="I1109" s="12">
        <f>-Mvt_Inter_entrepot[[#This Row],[QTE]]</f>
        <v>0</v>
      </c>
      <c r="J1109" s="11" t="s">
        <v>2781</v>
      </c>
      <c r="K1109" s="11" t="str">
        <f>_xlfn.TEXTBEFORE(Mvt_Inter_entrepot[[#This Row],[Num Suivis]],"-",,,1)</f>
        <v>CA250761</v>
      </c>
      <c r="L1109" s="11" t="e">
        <f>_xlfn.XLOOKUP(Mvt_Inter_entrepot[[#This Row],[Num OF]],#REF!,#REF!,"Non Trouvé")</f>
        <v>#REF!</v>
      </c>
      <c r="M1109" s="11" t="e">
        <f>_xlfn.XLOOKUP(Mvt_Inter_entrepot[[#This Row],[Num OF]],#REF!,#REF!,"Non Trouvé")</f>
        <v>#REF!</v>
      </c>
      <c r="N1109" s="11" t="e">
        <f>_xlfn.XLOOKUP(Mvt_Inter_entrepot[[#This Row],[Num OF]],#REF!,#REF!,"Non Trouvé")</f>
        <v>#REF!</v>
      </c>
      <c r="O1109" s="11" t="e">
        <f>_xlfn.XLOOKUP(Mvt_Inter_entrepot[[#This Row],[Num OF]],#REF!,#REF!,"Non Trouvé")</f>
        <v>#REF!</v>
      </c>
      <c r="P1109" s="11" t="e">
        <f>_xlfn.XLOOKUP(Mvt_Inter_entrepot[[#This Row],[Num OF]],#REF!,#REF!,"Non Trouvé")</f>
        <v>#REF!</v>
      </c>
      <c r="Q1109" s="11" t="str">
        <f>IF(
   COUNTIFS($A$2:A1109,A1109,
             $B$2:B1109,B1109,
             $C$2:C1109,C1109,
             $D$2:D1109,D1109,
             $E$2:E1109,E1109,
             $H$2:H1109,H1109
             )&gt;1,
   "Doublon",
   "Correcte"
)</f>
        <v>Correcte</v>
      </c>
    </row>
    <row r="1110" spans="1:17" x14ac:dyDescent="0.25">
      <c r="A1110" s="11">
        <v>0</v>
      </c>
      <c r="B1110" s="11"/>
      <c r="C1110" s="11"/>
      <c r="D1110" s="11"/>
      <c r="E1110" s="11"/>
      <c r="F1110" s="11"/>
      <c r="G1110" s="11"/>
      <c r="H1110" s="14"/>
      <c r="I1110" s="12">
        <f>-Mvt_Inter_entrepot[[#This Row],[QTE]]</f>
        <v>0</v>
      </c>
      <c r="J1110" s="11" t="s">
        <v>2782</v>
      </c>
      <c r="K1110" s="11" t="str">
        <f>_xlfn.TEXTBEFORE(Mvt_Inter_entrepot[[#This Row],[Num Suivis]],"-",,,1)</f>
        <v>CA250761</v>
      </c>
      <c r="L1110" s="11" t="e">
        <f>_xlfn.XLOOKUP(Mvt_Inter_entrepot[[#This Row],[Num OF]],#REF!,#REF!,"Non Trouvé")</f>
        <v>#REF!</v>
      </c>
      <c r="M1110" s="11" t="e">
        <f>_xlfn.XLOOKUP(Mvt_Inter_entrepot[[#This Row],[Num OF]],#REF!,#REF!,"Non Trouvé")</f>
        <v>#REF!</v>
      </c>
      <c r="N1110" s="11" t="e">
        <f>_xlfn.XLOOKUP(Mvt_Inter_entrepot[[#This Row],[Num OF]],#REF!,#REF!,"Non Trouvé")</f>
        <v>#REF!</v>
      </c>
      <c r="O1110" s="11" t="e">
        <f>_xlfn.XLOOKUP(Mvt_Inter_entrepot[[#This Row],[Num OF]],#REF!,#REF!,"Non Trouvé")</f>
        <v>#REF!</v>
      </c>
      <c r="P1110" s="11" t="e">
        <f>_xlfn.XLOOKUP(Mvt_Inter_entrepot[[#This Row],[Num OF]],#REF!,#REF!,"Non Trouvé")</f>
        <v>#REF!</v>
      </c>
      <c r="Q1110" s="11" t="str">
        <f>IF(
   COUNTIFS($A$2:A1110,A1110,
             $B$2:B1110,B1110,
             $C$2:C1110,C1110,
             $D$2:D1110,D1110,
             $E$2:E1110,E1110,
             $H$2:H1110,H1110
             )&gt;1,
   "Doublon",
   "Correcte"
)</f>
        <v>Correcte</v>
      </c>
    </row>
    <row r="1111" spans="1:17" x14ac:dyDescent="0.25">
      <c r="A1111" s="11">
        <v>0</v>
      </c>
      <c r="B1111" s="11"/>
      <c r="C1111" s="11"/>
      <c r="D1111" s="11"/>
      <c r="E1111" s="11"/>
      <c r="F1111" s="11"/>
      <c r="G1111" s="11"/>
      <c r="H1111" s="14"/>
      <c r="I1111" s="12">
        <f>-Mvt_Inter_entrepot[[#This Row],[QTE]]</f>
        <v>0</v>
      </c>
      <c r="J1111" s="11" t="s">
        <v>2783</v>
      </c>
      <c r="K1111" s="11" t="str">
        <f>_xlfn.TEXTBEFORE(Mvt_Inter_entrepot[[#This Row],[Num Suivis]],"-",,,1)</f>
        <v>CA250761</v>
      </c>
      <c r="L1111" s="11" t="e">
        <f>_xlfn.XLOOKUP(Mvt_Inter_entrepot[[#This Row],[Num OF]],#REF!,#REF!,"Non Trouvé")</f>
        <v>#REF!</v>
      </c>
      <c r="M1111" s="11" t="e">
        <f>_xlfn.XLOOKUP(Mvt_Inter_entrepot[[#This Row],[Num OF]],#REF!,#REF!,"Non Trouvé")</f>
        <v>#REF!</v>
      </c>
      <c r="N1111" s="11" t="e">
        <f>_xlfn.XLOOKUP(Mvt_Inter_entrepot[[#This Row],[Num OF]],#REF!,#REF!,"Non Trouvé")</f>
        <v>#REF!</v>
      </c>
      <c r="O1111" s="11" t="e">
        <f>_xlfn.XLOOKUP(Mvt_Inter_entrepot[[#This Row],[Num OF]],#REF!,#REF!,"Non Trouvé")</f>
        <v>#REF!</v>
      </c>
      <c r="P1111" s="11" t="e">
        <f>_xlfn.XLOOKUP(Mvt_Inter_entrepot[[#This Row],[Num OF]],#REF!,#REF!,"Non Trouvé")</f>
        <v>#REF!</v>
      </c>
      <c r="Q1111" s="11" t="str">
        <f>IF(
   COUNTIFS($A$2:A1111,A1111,
             $B$2:B1111,B1111,
             $C$2:C1111,C1111,
             $D$2:D1111,D1111,
             $E$2:E1111,E1111,
             $H$2:H1111,H1111
             )&gt;1,
   "Doublon",
   "Correcte"
)</f>
        <v>Correcte</v>
      </c>
    </row>
    <row r="1112" spans="1:17" x14ac:dyDescent="0.25">
      <c r="A1112" s="11">
        <v>0</v>
      </c>
      <c r="B1112" s="11"/>
      <c r="C1112" s="11"/>
      <c r="D1112" s="11"/>
      <c r="E1112" s="11"/>
      <c r="F1112" s="11"/>
      <c r="G1112" s="11"/>
      <c r="H1112" s="14"/>
      <c r="I1112" s="12">
        <f>-Mvt_Inter_entrepot[[#This Row],[QTE]]</f>
        <v>0</v>
      </c>
      <c r="J1112" s="11" t="s">
        <v>2784</v>
      </c>
      <c r="K1112" s="11" t="str">
        <f>_xlfn.TEXTBEFORE(Mvt_Inter_entrepot[[#This Row],[Num Suivis]],"-",,,1)</f>
        <v>CA250761</v>
      </c>
      <c r="L1112" s="11" t="e">
        <f>_xlfn.XLOOKUP(Mvt_Inter_entrepot[[#This Row],[Num OF]],#REF!,#REF!,"Non Trouvé")</f>
        <v>#REF!</v>
      </c>
      <c r="M1112" s="11" t="e">
        <f>_xlfn.XLOOKUP(Mvt_Inter_entrepot[[#This Row],[Num OF]],#REF!,#REF!,"Non Trouvé")</f>
        <v>#REF!</v>
      </c>
      <c r="N1112" s="11" t="e">
        <f>_xlfn.XLOOKUP(Mvt_Inter_entrepot[[#This Row],[Num OF]],#REF!,#REF!,"Non Trouvé")</f>
        <v>#REF!</v>
      </c>
      <c r="O1112" s="11" t="e">
        <f>_xlfn.XLOOKUP(Mvt_Inter_entrepot[[#This Row],[Num OF]],#REF!,#REF!,"Non Trouvé")</f>
        <v>#REF!</v>
      </c>
      <c r="P1112" s="11" t="e">
        <f>_xlfn.XLOOKUP(Mvt_Inter_entrepot[[#This Row],[Num OF]],#REF!,#REF!,"Non Trouvé")</f>
        <v>#REF!</v>
      </c>
      <c r="Q1112" s="11" t="str">
        <f>IF(
   COUNTIFS($A$2:A1112,A1112,
             $B$2:B1112,B1112,
             $C$2:C1112,C1112,
             $D$2:D1112,D1112,
             $E$2:E1112,E1112,
             $H$2:H1112,H1112
             )&gt;1,
   "Doublon",
   "Correcte"
)</f>
        <v>Correcte</v>
      </c>
    </row>
    <row r="1113" spans="1:17" x14ac:dyDescent="0.25">
      <c r="A1113" s="11">
        <v>0</v>
      </c>
      <c r="B1113" s="11"/>
      <c r="C1113" s="11"/>
      <c r="D1113" s="11"/>
      <c r="E1113" s="11"/>
      <c r="F1113" s="11"/>
      <c r="G1113" s="11"/>
      <c r="H1113" s="14"/>
      <c r="I1113" s="12">
        <f>-Mvt_Inter_entrepot[[#This Row],[QTE]]</f>
        <v>0</v>
      </c>
      <c r="J1113" s="11" t="s">
        <v>2785</v>
      </c>
      <c r="K1113" s="11" t="str">
        <f>_xlfn.TEXTBEFORE(Mvt_Inter_entrepot[[#This Row],[Num Suivis]],"-",,,1)</f>
        <v>CA250761</v>
      </c>
      <c r="L1113" s="11" t="e">
        <f>_xlfn.XLOOKUP(Mvt_Inter_entrepot[[#This Row],[Num OF]],#REF!,#REF!,"Non Trouvé")</f>
        <v>#REF!</v>
      </c>
      <c r="M1113" s="11" t="e">
        <f>_xlfn.XLOOKUP(Mvt_Inter_entrepot[[#This Row],[Num OF]],#REF!,#REF!,"Non Trouvé")</f>
        <v>#REF!</v>
      </c>
      <c r="N1113" s="11" t="e">
        <f>_xlfn.XLOOKUP(Mvt_Inter_entrepot[[#This Row],[Num OF]],#REF!,#REF!,"Non Trouvé")</f>
        <v>#REF!</v>
      </c>
      <c r="O1113" s="11" t="e">
        <f>_xlfn.XLOOKUP(Mvt_Inter_entrepot[[#This Row],[Num OF]],#REF!,#REF!,"Non Trouvé")</f>
        <v>#REF!</v>
      </c>
      <c r="P1113" s="11" t="e">
        <f>_xlfn.XLOOKUP(Mvt_Inter_entrepot[[#This Row],[Num OF]],#REF!,#REF!,"Non Trouvé")</f>
        <v>#REF!</v>
      </c>
      <c r="Q1113" s="11" t="str">
        <f>IF(
   COUNTIFS($A$2:A1113,A1113,
             $B$2:B1113,B1113,
             $C$2:C1113,C1113,
             $D$2:D1113,D1113,
             $E$2:E1113,E1113,
             $H$2:H1113,H1113
             )&gt;1,
   "Doublon",
   "Correcte"
)</f>
        <v>Correcte</v>
      </c>
    </row>
    <row r="1114" spans="1:17" x14ac:dyDescent="0.25">
      <c r="A1114" s="11">
        <v>0</v>
      </c>
      <c r="B1114" s="11"/>
      <c r="C1114" s="11"/>
      <c r="D1114" s="11"/>
      <c r="E1114" s="11"/>
      <c r="F1114" s="11"/>
      <c r="G1114" s="11"/>
      <c r="H1114" s="14"/>
      <c r="I1114" s="12">
        <f>-Mvt_Inter_entrepot[[#This Row],[QTE]]</f>
        <v>0</v>
      </c>
      <c r="J1114" s="11" t="s">
        <v>2786</v>
      </c>
      <c r="K1114" s="11" t="str">
        <f>_xlfn.TEXTBEFORE(Mvt_Inter_entrepot[[#This Row],[Num Suivis]],"-",,,1)</f>
        <v>CA250761</v>
      </c>
      <c r="L1114" s="11" t="e">
        <f>_xlfn.XLOOKUP(Mvt_Inter_entrepot[[#This Row],[Num OF]],#REF!,#REF!,"Non Trouvé")</f>
        <v>#REF!</v>
      </c>
      <c r="M1114" s="11" t="e">
        <f>_xlfn.XLOOKUP(Mvt_Inter_entrepot[[#This Row],[Num OF]],#REF!,#REF!,"Non Trouvé")</f>
        <v>#REF!</v>
      </c>
      <c r="N1114" s="11" t="e">
        <f>_xlfn.XLOOKUP(Mvt_Inter_entrepot[[#This Row],[Num OF]],#REF!,#REF!,"Non Trouvé")</f>
        <v>#REF!</v>
      </c>
      <c r="O1114" s="11" t="e">
        <f>_xlfn.XLOOKUP(Mvt_Inter_entrepot[[#This Row],[Num OF]],#REF!,#REF!,"Non Trouvé")</f>
        <v>#REF!</v>
      </c>
      <c r="P1114" s="11" t="e">
        <f>_xlfn.XLOOKUP(Mvt_Inter_entrepot[[#This Row],[Num OF]],#REF!,#REF!,"Non Trouvé")</f>
        <v>#REF!</v>
      </c>
      <c r="Q1114" s="11" t="str">
        <f>IF(
   COUNTIFS($A$2:A1114,A1114,
             $B$2:B1114,B1114,
             $C$2:C1114,C1114,
             $D$2:D1114,D1114,
             $E$2:E1114,E1114,
             $H$2:H1114,H1114
             )&gt;1,
   "Doublon",
   "Correcte"
)</f>
        <v>Correcte</v>
      </c>
    </row>
    <row r="1115" spans="1:17" x14ac:dyDescent="0.25">
      <c r="A1115" s="11">
        <v>0</v>
      </c>
      <c r="B1115" s="11"/>
      <c r="C1115" s="11"/>
      <c r="D1115" s="11"/>
      <c r="E1115" s="11"/>
      <c r="F1115" s="11"/>
      <c r="G1115" s="11"/>
      <c r="H1115" s="14"/>
      <c r="I1115" s="12">
        <f>-Mvt_Inter_entrepot[[#This Row],[QTE]]</f>
        <v>0</v>
      </c>
      <c r="J1115" s="11" t="s">
        <v>2787</v>
      </c>
      <c r="K1115" s="11" t="str">
        <f>_xlfn.TEXTBEFORE(Mvt_Inter_entrepot[[#This Row],[Num Suivis]],"-",,,1)</f>
        <v>CA250761</v>
      </c>
      <c r="L1115" s="11" t="e">
        <f>_xlfn.XLOOKUP(Mvt_Inter_entrepot[[#This Row],[Num OF]],#REF!,#REF!,"Non Trouvé")</f>
        <v>#REF!</v>
      </c>
      <c r="M1115" s="11" t="e">
        <f>_xlfn.XLOOKUP(Mvt_Inter_entrepot[[#This Row],[Num OF]],#REF!,#REF!,"Non Trouvé")</f>
        <v>#REF!</v>
      </c>
      <c r="N1115" s="11" t="e">
        <f>_xlfn.XLOOKUP(Mvt_Inter_entrepot[[#This Row],[Num OF]],#REF!,#REF!,"Non Trouvé")</f>
        <v>#REF!</v>
      </c>
      <c r="O1115" s="11" t="e">
        <f>_xlfn.XLOOKUP(Mvt_Inter_entrepot[[#This Row],[Num OF]],#REF!,#REF!,"Non Trouvé")</f>
        <v>#REF!</v>
      </c>
      <c r="P1115" s="11" t="e">
        <f>_xlfn.XLOOKUP(Mvt_Inter_entrepot[[#This Row],[Num OF]],#REF!,#REF!,"Non Trouvé")</f>
        <v>#REF!</v>
      </c>
      <c r="Q1115" s="11" t="str">
        <f>IF(
   COUNTIFS($A$2:A1115,A1115,
             $B$2:B1115,B1115,
             $C$2:C1115,C1115,
             $D$2:D1115,D1115,
             $E$2:E1115,E1115,
             $H$2:H1115,H1115
             )&gt;1,
   "Doublon",
   "Correcte"
)</f>
        <v>Correcte</v>
      </c>
    </row>
    <row r="1116" spans="1:17" x14ac:dyDescent="0.25">
      <c r="A1116" s="11">
        <v>0</v>
      </c>
      <c r="B1116" s="11"/>
      <c r="C1116" s="11"/>
      <c r="D1116" s="11"/>
      <c r="E1116" s="11"/>
      <c r="F1116" s="11"/>
      <c r="G1116" s="11"/>
      <c r="H1116" s="14"/>
      <c r="I1116" s="12">
        <f>-Mvt_Inter_entrepot[[#This Row],[QTE]]</f>
        <v>0</v>
      </c>
      <c r="J1116" s="11" t="s">
        <v>2788</v>
      </c>
      <c r="K1116" s="11" t="str">
        <f>_xlfn.TEXTBEFORE(Mvt_Inter_entrepot[[#This Row],[Num Suivis]],"-",,,1)</f>
        <v>CA250761</v>
      </c>
      <c r="L1116" s="11" t="e">
        <f>_xlfn.XLOOKUP(Mvt_Inter_entrepot[[#This Row],[Num OF]],#REF!,#REF!,"Non Trouvé")</f>
        <v>#REF!</v>
      </c>
      <c r="M1116" s="11" t="e">
        <f>_xlfn.XLOOKUP(Mvt_Inter_entrepot[[#This Row],[Num OF]],#REF!,#REF!,"Non Trouvé")</f>
        <v>#REF!</v>
      </c>
      <c r="N1116" s="11" t="e">
        <f>_xlfn.XLOOKUP(Mvt_Inter_entrepot[[#This Row],[Num OF]],#REF!,#REF!,"Non Trouvé")</f>
        <v>#REF!</v>
      </c>
      <c r="O1116" s="11" t="e">
        <f>_xlfn.XLOOKUP(Mvt_Inter_entrepot[[#This Row],[Num OF]],#REF!,#REF!,"Non Trouvé")</f>
        <v>#REF!</v>
      </c>
      <c r="P1116" s="11" t="e">
        <f>_xlfn.XLOOKUP(Mvt_Inter_entrepot[[#This Row],[Num OF]],#REF!,#REF!,"Non Trouvé")</f>
        <v>#REF!</v>
      </c>
      <c r="Q1116" s="11" t="str">
        <f>IF(
   COUNTIFS($A$2:A1116,A1116,
             $B$2:B1116,B1116,
             $C$2:C1116,C1116,
             $D$2:D1116,D1116,
             $E$2:E1116,E1116,
             $H$2:H1116,H1116
             )&gt;1,
   "Doublon",
   "Correcte"
)</f>
        <v>Correcte</v>
      </c>
    </row>
    <row r="1117" spans="1:17" x14ac:dyDescent="0.25">
      <c r="A1117" s="11">
        <v>0</v>
      </c>
      <c r="B1117" s="11"/>
      <c r="C1117" s="11"/>
      <c r="D1117" s="11"/>
      <c r="E1117" s="11"/>
      <c r="F1117" s="11"/>
      <c r="G1117" s="11"/>
      <c r="H1117" s="14"/>
      <c r="I1117" s="12">
        <f>-Mvt_Inter_entrepot[[#This Row],[QTE]]</f>
        <v>0</v>
      </c>
      <c r="J1117" s="11" t="s">
        <v>2789</v>
      </c>
      <c r="K1117" s="11" t="str">
        <f>_xlfn.TEXTBEFORE(Mvt_Inter_entrepot[[#This Row],[Num Suivis]],"-",,,1)</f>
        <v>CA250761</v>
      </c>
      <c r="L1117" s="11" t="e">
        <f>_xlfn.XLOOKUP(Mvt_Inter_entrepot[[#This Row],[Num OF]],#REF!,#REF!,"Non Trouvé")</f>
        <v>#REF!</v>
      </c>
      <c r="M1117" s="11" t="e">
        <f>_xlfn.XLOOKUP(Mvt_Inter_entrepot[[#This Row],[Num OF]],#REF!,#REF!,"Non Trouvé")</f>
        <v>#REF!</v>
      </c>
      <c r="N1117" s="11" t="e">
        <f>_xlfn.XLOOKUP(Mvt_Inter_entrepot[[#This Row],[Num OF]],#REF!,#REF!,"Non Trouvé")</f>
        <v>#REF!</v>
      </c>
      <c r="O1117" s="11" t="e">
        <f>_xlfn.XLOOKUP(Mvt_Inter_entrepot[[#This Row],[Num OF]],#REF!,#REF!,"Non Trouvé")</f>
        <v>#REF!</v>
      </c>
      <c r="P1117" s="11" t="e">
        <f>_xlfn.XLOOKUP(Mvt_Inter_entrepot[[#This Row],[Num OF]],#REF!,#REF!,"Non Trouvé")</f>
        <v>#REF!</v>
      </c>
      <c r="Q1117" s="11" t="str">
        <f>IF(
   COUNTIFS($A$2:A1117,A1117,
             $B$2:B1117,B1117,
             $C$2:C1117,C1117,
             $D$2:D1117,D1117,
             $E$2:E1117,E1117,
             $H$2:H1117,H1117
             )&gt;1,
   "Doublon",
   "Correcte"
)</f>
        <v>Correcte</v>
      </c>
    </row>
    <row r="1118" spans="1:17" x14ac:dyDescent="0.25">
      <c r="A1118" s="11">
        <v>0</v>
      </c>
      <c r="B1118" s="11"/>
      <c r="C1118" s="11"/>
      <c r="D1118" s="11"/>
      <c r="E1118" s="11"/>
      <c r="F1118" s="11"/>
      <c r="G1118" s="11"/>
      <c r="H1118" s="14"/>
      <c r="I1118" s="12">
        <f>-Mvt_Inter_entrepot[[#This Row],[QTE]]</f>
        <v>0</v>
      </c>
      <c r="J1118" s="11" t="s">
        <v>2790</v>
      </c>
      <c r="K1118" s="11" t="str">
        <f>_xlfn.TEXTBEFORE(Mvt_Inter_entrepot[[#This Row],[Num Suivis]],"-",,,1)</f>
        <v>CA250761</v>
      </c>
      <c r="L1118" s="11" t="e">
        <f>_xlfn.XLOOKUP(Mvt_Inter_entrepot[[#This Row],[Num OF]],#REF!,#REF!,"Non Trouvé")</f>
        <v>#REF!</v>
      </c>
      <c r="M1118" s="11" t="e">
        <f>_xlfn.XLOOKUP(Mvt_Inter_entrepot[[#This Row],[Num OF]],#REF!,#REF!,"Non Trouvé")</f>
        <v>#REF!</v>
      </c>
      <c r="N1118" s="11" t="e">
        <f>_xlfn.XLOOKUP(Mvt_Inter_entrepot[[#This Row],[Num OF]],#REF!,#REF!,"Non Trouvé")</f>
        <v>#REF!</v>
      </c>
      <c r="O1118" s="11" t="e">
        <f>_xlfn.XLOOKUP(Mvt_Inter_entrepot[[#This Row],[Num OF]],#REF!,#REF!,"Non Trouvé")</f>
        <v>#REF!</v>
      </c>
      <c r="P1118" s="11" t="e">
        <f>_xlfn.XLOOKUP(Mvt_Inter_entrepot[[#This Row],[Num OF]],#REF!,#REF!,"Non Trouvé")</f>
        <v>#REF!</v>
      </c>
      <c r="Q1118" s="11" t="str">
        <f>IF(
   COUNTIFS($A$2:A1118,A1118,
             $B$2:B1118,B1118,
             $C$2:C1118,C1118,
             $D$2:D1118,D1118,
             $E$2:E1118,E1118,
             $H$2:H1118,H1118
             )&gt;1,
   "Doublon",
   "Correcte"
)</f>
        <v>Correcte</v>
      </c>
    </row>
    <row r="1119" spans="1:17" x14ac:dyDescent="0.25">
      <c r="A1119" s="11">
        <v>0</v>
      </c>
      <c r="B1119" s="11"/>
      <c r="C1119" s="11"/>
      <c r="D1119" s="11"/>
      <c r="E1119" s="11"/>
      <c r="F1119" s="11"/>
      <c r="G1119" s="11"/>
      <c r="H1119" s="14"/>
      <c r="I1119" s="12">
        <f>-Mvt_Inter_entrepot[[#This Row],[QTE]]</f>
        <v>0</v>
      </c>
      <c r="J1119" s="11" t="s">
        <v>2791</v>
      </c>
      <c r="K1119" s="11" t="str">
        <f>_xlfn.TEXTBEFORE(Mvt_Inter_entrepot[[#This Row],[Num Suivis]],"-",,,1)</f>
        <v>CA250761</v>
      </c>
      <c r="L1119" s="11" t="e">
        <f>_xlfn.XLOOKUP(Mvt_Inter_entrepot[[#This Row],[Num OF]],#REF!,#REF!,"Non Trouvé")</f>
        <v>#REF!</v>
      </c>
      <c r="M1119" s="11" t="e">
        <f>_xlfn.XLOOKUP(Mvt_Inter_entrepot[[#This Row],[Num OF]],#REF!,#REF!,"Non Trouvé")</f>
        <v>#REF!</v>
      </c>
      <c r="N1119" s="11" t="e">
        <f>_xlfn.XLOOKUP(Mvt_Inter_entrepot[[#This Row],[Num OF]],#REF!,#REF!,"Non Trouvé")</f>
        <v>#REF!</v>
      </c>
      <c r="O1119" s="11" t="e">
        <f>_xlfn.XLOOKUP(Mvt_Inter_entrepot[[#This Row],[Num OF]],#REF!,#REF!,"Non Trouvé")</f>
        <v>#REF!</v>
      </c>
      <c r="P1119" s="11" t="e">
        <f>_xlfn.XLOOKUP(Mvt_Inter_entrepot[[#This Row],[Num OF]],#REF!,#REF!,"Non Trouvé")</f>
        <v>#REF!</v>
      </c>
      <c r="Q1119" s="11" t="str">
        <f>IF(
   COUNTIFS($A$2:A1119,A1119,
             $B$2:B1119,B1119,
             $C$2:C1119,C1119,
             $D$2:D1119,D1119,
             $E$2:E1119,E1119,
             $H$2:H1119,H1119
             )&gt;1,
   "Doublon",
   "Correcte"
)</f>
        <v>Correcte</v>
      </c>
    </row>
    <row r="1120" spans="1:17" x14ac:dyDescent="0.25">
      <c r="A1120" s="11">
        <v>0</v>
      </c>
      <c r="B1120" s="11"/>
      <c r="C1120" s="11"/>
      <c r="D1120" s="11"/>
      <c r="E1120" s="11"/>
      <c r="F1120" s="11"/>
      <c r="G1120" s="11"/>
      <c r="H1120" s="14"/>
      <c r="I1120" s="12">
        <f>-Mvt_Inter_entrepot[[#This Row],[QTE]]</f>
        <v>0</v>
      </c>
      <c r="J1120" s="11" t="s">
        <v>2792</v>
      </c>
      <c r="K1120" s="11" t="str">
        <f>_xlfn.TEXTBEFORE(Mvt_Inter_entrepot[[#This Row],[Num Suivis]],"-",,,1)</f>
        <v>CA250756</v>
      </c>
      <c r="L1120" s="11" t="e">
        <f>_xlfn.XLOOKUP(Mvt_Inter_entrepot[[#This Row],[Num OF]],#REF!,#REF!,"Non Trouvé")</f>
        <v>#REF!</v>
      </c>
      <c r="M1120" s="11" t="e">
        <f>_xlfn.XLOOKUP(Mvt_Inter_entrepot[[#This Row],[Num OF]],#REF!,#REF!,"Non Trouvé")</f>
        <v>#REF!</v>
      </c>
      <c r="N1120" s="11" t="e">
        <f>_xlfn.XLOOKUP(Mvt_Inter_entrepot[[#This Row],[Num OF]],#REF!,#REF!,"Non Trouvé")</f>
        <v>#REF!</v>
      </c>
      <c r="O1120" s="11" t="e">
        <f>_xlfn.XLOOKUP(Mvt_Inter_entrepot[[#This Row],[Num OF]],#REF!,#REF!,"Non Trouvé")</f>
        <v>#REF!</v>
      </c>
      <c r="P1120" s="11" t="e">
        <f>_xlfn.XLOOKUP(Mvt_Inter_entrepot[[#This Row],[Num OF]],#REF!,#REF!,"Non Trouvé")</f>
        <v>#REF!</v>
      </c>
      <c r="Q1120" s="11" t="str">
        <f>IF(
   COUNTIFS($A$2:A1120,A1120,
             $B$2:B1120,B1120,
             $C$2:C1120,C1120,
             $D$2:D1120,D1120,
             $E$2:E1120,E1120,
             $H$2:H1120,H1120
             )&gt;1,
   "Doublon",
   "Correcte"
)</f>
        <v>Correcte</v>
      </c>
    </row>
    <row r="1121" spans="1:17" x14ac:dyDescent="0.25">
      <c r="A1121" s="11">
        <v>0</v>
      </c>
      <c r="B1121" s="11"/>
      <c r="C1121" s="11"/>
      <c r="D1121" s="11"/>
      <c r="E1121" s="11"/>
      <c r="F1121" s="11"/>
      <c r="G1121" s="11"/>
      <c r="H1121" s="14"/>
      <c r="I1121" s="12">
        <f>-Mvt_Inter_entrepot[[#This Row],[QTE]]</f>
        <v>0</v>
      </c>
      <c r="J1121" s="11" t="s">
        <v>2793</v>
      </c>
      <c r="K1121" s="11" t="str">
        <f>_xlfn.TEXTBEFORE(Mvt_Inter_entrepot[[#This Row],[Num Suivis]],"-",,,1)</f>
        <v>CA250756</v>
      </c>
      <c r="L1121" s="11" t="e">
        <f>_xlfn.XLOOKUP(Mvt_Inter_entrepot[[#This Row],[Num OF]],#REF!,#REF!,"Non Trouvé")</f>
        <v>#REF!</v>
      </c>
      <c r="M1121" s="11" t="e">
        <f>_xlfn.XLOOKUP(Mvt_Inter_entrepot[[#This Row],[Num OF]],#REF!,#REF!,"Non Trouvé")</f>
        <v>#REF!</v>
      </c>
      <c r="N1121" s="11" t="e">
        <f>_xlfn.XLOOKUP(Mvt_Inter_entrepot[[#This Row],[Num OF]],#REF!,#REF!,"Non Trouvé")</f>
        <v>#REF!</v>
      </c>
      <c r="O1121" s="11" t="e">
        <f>_xlfn.XLOOKUP(Mvt_Inter_entrepot[[#This Row],[Num OF]],#REF!,#REF!,"Non Trouvé")</f>
        <v>#REF!</v>
      </c>
      <c r="P1121" s="11" t="e">
        <f>_xlfn.XLOOKUP(Mvt_Inter_entrepot[[#This Row],[Num OF]],#REF!,#REF!,"Non Trouvé")</f>
        <v>#REF!</v>
      </c>
      <c r="Q1121" s="11" t="str">
        <f>IF(
   COUNTIFS($A$2:A1121,A1121,
             $B$2:B1121,B1121,
             $C$2:C1121,C1121,
             $D$2:D1121,D1121,
             $E$2:E1121,E1121,
             $H$2:H1121,H1121
             )&gt;1,
   "Doublon",
   "Correcte"
)</f>
        <v>Correcte</v>
      </c>
    </row>
    <row r="1122" spans="1:17" x14ac:dyDescent="0.25">
      <c r="A1122" s="11">
        <v>0</v>
      </c>
      <c r="B1122" s="11"/>
      <c r="C1122" s="11"/>
      <c r="D1122" s="11"/>
      <c r="E1122" s="11"/>
      <c r="F1122" s="11"/>
      <c r="G1122" s="11"/>
      <c r="H1122" s="14"/>
      <c r="I1122" s="12">
        <f>-Mvt_Inter_entrepot[[#This Row],[QTE]]</f>
        <v>0</v>
      </c>
      <c r="J1122" s="11" t="s">
        <v>2794</v>
      </c>
      <c r="K1122" s="11" t="str">
        <f>_xlfn.TEXTBEFORE(Mvt_Inter_entrepot[[#This Row],[Num Suivis]],"-",,,1)</f>
        <v>CA250756</v>
      </c>
      <c r="L1122" s="11" t="e">
        <f>_xlfn.XLOOKUP(Mvt_Inter_entrepot[[#This Row],[Num OF]],#REF!,#REF!,"Non Trouvé")</f>
        <v>#REF!</v>
      </c>
      <c r="M1122" s="11" t="e">
        <f>_xlfn.XLOOKUP(Mvt_Inter_entrepot[[#This Row],[Num OF]],#REF!,#REF!,"Non Trouvé")</f>
        <v>#REF!</v>
      </c>
      <c r="N1122" s="11" t="e">
        <f>_xlfn.XLOOKUP(Mvt_Inter_entrepot[[#This Row],[Num OF]],#REF!,#REF!,"Non Trouvé")</f>
        <v>#REF!</v>
      </c>
      <c r="O1122" s="11" t="e">
        <f>_xlfn.XLOOKUP(Mvt_Inter_entrepot[[#This Row],[Num OF]],#REF!,#REF!,"Non Trouvé")</f>
        <v>#REF!</v>
      </c>
      <c r="P1122" s="11" t="e">
        <f>_xlfn.XLOOKUP(Mvt_Inter_entrepot[[#This Row],[Num OF]],#REF!,#REF!,"Non Trouvé")</f>
        <v>#REF!</v>
      </c>
      <c r="Q1122" s="11" t="str">
        <f>IF(
   COUNTIFS($A$2:A1122,A1122,
             $B$2:B1122,B1122,
             $C$2:C1122,C1122,
             $D$2:D1122,D1122,
             $E$2:E1122,E1122,
             $H$2:H1122,H1122
             )&gt;1,
   "Doublon",
   "Correcte"
)</f>
        <v>Correcte</v>
      </c>
    </row>
    <row r="1123" spans="1:17" x14ac:dyDescent="0.25">
      <c r="A1123" s="11">
        <v>0</v>
      </c>
      <c r="B1123" s="11"/>
      <c r="C1123" s="11"/>
      <c r="D1123" s="11"/>
      <c r="E1123" s="11"/>
      <c r="F1123" s="11"/>
      <c r="G1123" s="11"/>
      <c r="H1123" s="14"/>
      <c r="I1123" s="12">
        <f>-Mvt_Inter_entrepot[[#This Row],[QTE]]</f>
        <v>0</v>
      </c>
      <c r="J1123" s="11" t="s">
        <v>2795</v>
      </c>
      <c r="K1123" s="11" t="str">
        <f>_xlfn.TEXTBEFORE(Mvt_Inter_entrepot[[#This Row],[Num Suivis]],"-",,,1)</f>
        <v>CA250756</v>
      </c>
      <c r="L1123" s="11" t="e">
        <f>_xlfn.XLOOKUP(Mvt_Inter_entrepot[[#This Row],[Num OF]],#REF!,#REF!,"Non Trouvé")</f>
        <v>#REF!</v>
      </c>
      <c r="M1123" s="11" t="e">
        <f>_xlfn.XLOOKUP(Mvt_Inter_entrepot[[#This Row],[Num OF]],#REF!,#REF!,"Non Trouvé")</f>
        <v>#REF!</v>
      </c>
      <c r="N1123" s="11" t="e">
        <f>_xlfn.XLOOKUP(Mvt_Inter_entrepot[[#This Row],[Num OF]],#REF!,#REF!,"Non Trouvé")</f>
        <v>#REF!</v>
      </c>
      <c r="O1123" s="11" t="e">
        <f>_xlfn.XLOOKUP(Mvt_Inter_entrepot[[#This Row],[Num OF]],#REF!,#REF!,"Non Trouvé")</f>
        <v>#REF!</v>
      </c>
      <c r="P1123" s="11" t="e">
        <f>_xlfn.XLOOKUP(Mvt_Inter_entrepot[[#This Row],[Num OF]],#REF!,#REF!,"Non Trouvé")</f>
        <v>#REF!</v>
      </c>
      <c r="Q1123" s="11" t="str">
        <f>IF(
   COUNTIFS($A$2:A1123,A1123,
             $B$2:B1123,B1123,
             $C$2:C1123,C1123,
             $D$2:D1123,D1123,
             $E$2:E1123,E1123,
             $H$2:H1123,H1123
             )&gt;1,
   "Doublon",
   "Correcte"
)</f>
        <v>Correcte</v>
      </c>
    </row>
    <row r="1124" spans="1:17" x14ac:dyDescent="0.25">
      <c r="A1124" s="11">
        <v>0</v>
      </c>
      <c r="B1124" s="11"/>
      <c r="C1124" s="11"/>
      <c r="D1124" s="11"/>
      <c r="E1124" s="11"/>
      <c r="F1124" s="11"/>
      <c r="G1124" s="11"/>
      <c r="H1124" s="14"/>
      <c r="I1124" s="12">
        <f>-Mvt_Inter_entrepot[[#This Row],[QTE]]</f>
        <v>0</v>
      </c>
      <c r="J1124" s="11" t="s">
        <v>2796</v>
      </c>
      <c r="K1124" s="11" t="str">
        <f>_xlfn.TEXTBEFORE(Mvt_Inter_entrepot[[#This Row],[Num Suivis]],"-",,,1)</f>
        <v>CA250756</v>
      </c>
      <c r="L1124" s="11" t="e">
        <f>_xlfn.XLOOKUP(Mvt_Inter_entrepot[[#This Row],[Num OF]],#REF!,#REF!,"Non Trouvé")</f>
        <v>#REF!</v>
      </c>
      <c r="M1124" s="11" t="e">
        <f>_xlfn.XLOOKUP(Mvt_Inter_entrepot[[#This Row],[Num OF]],#REF!,#REF!,"Non Trouvé")</f>
        <v>#REF!</v>
      </c>
      <c r="N1124" s="11" t="e">
        <f>_xlfn.XLOOKUP(Mvt_Inter_entrepot[[#This Row],[Num OF]],#REF!,#REF!,"Non Trouvé")</f>
        <v>#REF!</v>
      </c>
      <c r="O1124" s="11" t="e">
        <f>_xlfn.XLOOKUP(Mvt_Inter_entrepot[[#This Row],[Num OF]],#REF!,#REF!,"Non Trouvé")</f>
        <v>#REF!</v>
      </c>
      <c r="P1124" s="11" t="e">
        <f>_xlfn.XLOOKUP(Mvt_Inter_entrepot[[#This Row],[Num OF]],#REF!,#REF!,"Non Trouvé")</f>
        <v>#REF!</v>
      </c>
      <c r="Q1124" s="11" t="str">
        <f>IF(
   COUNTIFS($A$2:A1124,A1124,
             $B$2:B1124,B1124,
             $C$2:C1124,C1124,
             $D$2:D1124,D1124,
             $E$2:E1124,E1124,
             $H$2:H1124,H1124
             )&gt;1,
   "Doublon",
   "Correcte"
)</f>
        <v>Correcte</v>
      </c>
    </row>
    <row r="1125" spans="1:17" x14ac:dyDescent="0.25">
      <c r="A1125" s="11">
        <v>0</v>
      </c>
      <c r="B1125" s="11"/>
      <c r="C1125" s="11"/>
      <c r="D1125" s="11"/>
      <c r="E1125" s="11"/>
      <c r="F1125" s="11"/>
      <c r="G1125" s="11"/>
      <c r="H1125" s="14"/>
      <c r="I1125" s="12">
        <f>-Mvt_Inter_entrepot[[#This Row],[QTE]]</f>
        <v>0</v>
      </c>
      <c r="J1125" s="11" t="s">
        <v>2797</v>
      </c>
      <c r="K1125" s="11" t="str">
        <f>_xlfn.TEXTBEFORE(Mvt_Inter_entrepot[[#This Row],[Num Suivis]],"-",,,1)</f>
        <v>CA250756</v>
      </c>
      <c r="L1125" s="11" t="e">
        <f>_xlfn.XLOOKUP(Mvt_Inter_entrepot[[#This Row],[Num OF]],#REF!,#REF!,"Non Trouvé")</f>
        <v>#REF!</v>
      </c>
      <c r="M1125" s="11" t="e">
        <f>_xlfn.XLOOKUP(Mvt_Inter_entrepot[[#This Row],[Num OF]],#REF!,#REF!,"Non Trouvé")</f>
        <v>#REF!</v>
      </c>
      <c r="N1125" s="11" t="e">
        <f>_xlfn.XLOOKUP(Mvt_Inter_entrepot[[#This Row],[Num OF]],#REF!,#REF!,"Non Trouvé")</f>
        <v>#REF!</v>
      </c>
      <c r="O1125" s="11" t="e">
        <f>_xlfn.XLOOKUP(Mvt_Inter_entrepot[[#This Row],[Num OF]],#REF!,#REF!,"Non Trouvé")</f>
        <v>#REF!</v>
      </c>
      <c r="P1125" s="11" t="e">
        <f>_xlfn.XLOOKUP(Mvt_Inter_entrepot[[#This Row],[Num OF]],#REF!,#REF!,"Non Trouvé")</f>
        <v>#REF!</v>
      </c>
      <c r="Q1125" s="11" t="str">
        <f>IF(
   COUNTIFS($A$2:A1125,A1125,
             $B$2:B1125,B1125,
             $C$2:C1125,C1125,
             $D$2:D1125,D1125,
             $E$2:E1125,E1125,
             $H$2:H1125,H1125
             )&gt;1,
   "Doublon",
   "Correcte"
)</f>
        <v>Correcte</v>
      </c>
    </row>
    <row r="1126" spans="1:17" x14ac:dyDescent="0.25">
      <c r="A1126" s="11">
        <v>0</v>
      </c>
      <c r="B1126" s="11"/>
      <c r="C1126" s="11"/>
      <c r="D1126" s="11"/>
      <c r="E1126" s="11"/>
      <c r="F1126" s="11"/>
      <c r="G1126" s="11"/>
      <c r="H1126" s="14"/>
      <c r="I1126" s="12">
        <f>-Mvt_Inter_entrepot[[#This Row],[QTE]]</f>
        <v>0</v>
      </c>
      <c r="J1126" s="11" t="s">
        <v>2798</v>
      </c>
      <c r="K1126" s="11" t="str">
        <f>_xlfn.TEXTBEFORE(Mvt_Inter_entrepot[[#This Row],[Num Suivis]],"-",,,1)</f>
        <v>CA250756</v>
      </c>
      <c r="L1126" s="11" t="e">
        <f>_xlfn.XLOOKUP(Mvt_Inter_entrepot[[#This Row],[Num OF]],#REF!,#REF!,"Non Trouvé")</f>
        <v>#REF!</v>
      </c>
      <c r="M1126" s="11" t="e">
        <f>_xlfn.XLOOKUP(Mvt_Inter_entrepot[[#This Row],[Num OF]],#REF!,#REF!,"Non Trouvé")</f>
        <v>#REF!</v>
      </c>
      <c r="N1126" s="11" t="e">
        <f>_xlfn.XLOOKUP(Mvt_Inter_entrepot[[#This Row],[Num OF]],#REF!,#REF!,"Non Trouvé")</f>
        <v>#REF!</v>
      </c>
      <c r="O1126" s="11" t="e">
        <f>_xlfn.XLOOKUP(Mvt_Inter_entrepot[[#This Row],[Num OF]],#REF!,#REF!,"Non Trouvé")</f>
        <v>#REF!</v>
      </c>
      <c r="P1126" s="11" t="e">
        <f>_xlfn.XLOOKUP(Mvt_Inter_entrepot[[#This Row],[Num OF]],#REF!,#REF!,"Non Trouvé")</f>
        <v>#REF!</v>
      </c>
      <c r="Q1126" s="11" t="str">
        <f>IF(
   COUNTIFS($A$2:A1126,A1126,
             $B$2:B1126,B1126,
             $C$2:C1126,C1126,
             $D$2:D1126,D1126,
             $E$2:E1126,E1126,
             $H$2:H1126,H1126
             )&gt;1,
   "Doublon",
   "Correcte"
)</f>
        <v>Correcte</v>
      </c>
    </row>
    <row r="1127" spans="1:17" x14ac:dyDescent="0.25">
      <c r="A1127" s="11">
        <v>0</v>
      </c>
      <c r="B1127" s="11"/>
      <c r="C1127" s="11"/>
      <c r="D1127" s="11"/>
      <c r="E1127" s="11"/>
      <c r="F1127" s="11"/>
      <c r="G1127" s="11"/>
      <c r="H1127" s="14"/>
      <c r="I1127" s="12">
        <f>-Mvt_Inter_entrepot[[#This Row],[QTE]]</f>
        <v>0</v>
      </c>
      <c r="J1127" s="11" t="s">
        <v>2799</v>
      </c>
      <c r="K1127" s="11" t="str">
        <f>_xlfn.TEXTBEFORE(Mvt_Inter_entrepot[[#This Row],[Num Suivis]],"-",,,1)</f>
        <v>CA250756</v>
      </c>
      <c r="L1127" s="11" t="e">
        <f>_xlfn.XLOOKUP(Mvt_Inter_entrepot[[#This Row],[Num OF]],#REF!,#REF!,"Non Trouvé")</f>
        <v>#REF!</v>
      </c>
      <c r="M1127" s="11" t="e">
        <f>_xlfn.XLOOKUP(Mvt_Inter_entrepot[[#This Row],[Num OF]],#REF!,#REF!,"Non Trouvé")</f>
        <v>#REF!</v>
      </c>
      <c r="N1127" s="11" t="e">
        <f>_xlfn.XLOOKUP(Mvt_Inter_entrepot[[#This Row],[Num OF]],#REF!,#REF!,"Non Trouvé")</f>
        <v>#REF!</v>
      </c>
      <c r="O1127" s="11" t="e">
        <f>_xlfn.XLOOKUP(Mvt_Inter_entrepot[[#This Row],[Num OF]],#REF!,#REF!,"Non Trouvé")</f>
        <v>#REF!</v>
      </c>
      <c r="P1127" s="11" t="e">
        <f>_xlfn.XLOOKUP(Mvt_Inter_entrepot[[#This Row],[Num OF]],#REF!,#REF!,"Non Trouvé")</f>
        <v>#REF!</v>
      </c>
      <c r="Q1127" s="11" t="str">
        <f>IF(
   COUNTIFS($A$2:A1127,A1127,
             $B$2:B1127,B1127,
             $C$2:C1127,C1127,
             $D$2:D1127,D1127,
             $E$2:E1127,E1127,
             $H$2:H1127,H1127
             )&gt;1,
   "Doublon",
   "Correcte"
)</f>
        <v>Correcte</v>
      </c>
    </row>
    <row r="1128" spans="1:17" x14ac:dyDescent="0.25">
      <c r="A1128" s="11">
        <v>0</v>
      </c>
      <c r="B1128" s="11"/>
      <c r="C1128" s="11"/>
      <c r="D1128" s="11"/>
      <c r="E1128" s="11"/>
      <c r="F1128" s="11"/>
      <c r="G1128" s="11"/>
      <c r="H1128" s="14"/>
      <c r="I1128" s="12">
        <f>-Mvt_Inter_entrepot[[#This Row],[QTE]]</f>
        <v>0</v>
      </c>
      <c r="J1128" s="11" t="s">
        <v>2800</v>
      </c>
      <c r="K1128" s="11" t="str">
        <f>_xlfn.TEXTBEFORE(Mvt_Inter_entrepot[[#This Row],[Num Suivis]],"-",,,1)</f>
        <v>CA250756</v>
      </c>
      <c r="L1128" s="11" t="e">
        <f>_xlfn.XLOOKUP(Mvt_Inter_entrepot[[#This Row],[Num OF]],#REF!,#REF!,"Non Trouvé")</f>
        <v>#REF!</v>
      </c>
      <c r="M1128" s="11" t="e">
        <f>_xlfn.XLOOKUP(Mvt_Inter_entrepot[[#This Row],[Num OF]],#REF!,#REF!,"Non Trouvé")</f>
        <v>#REF!</v>
      </c>
      <c r="N1128" s="11" t="e">
        <f>_xlfn.XLOOKUP(Mvt_Inter_entrepot[[#This Row],[Num OF]],#REF!,#REF!,"Non Trouvé")</f>
        <v>#REF!</v>
      </c>
      <c r="O1128" s="11" t="e">
        <f>_xlfn.XLOOKUP(Mvt_Inter_entrepot[[#This Row],[Num OF]],#REF!,#REF!,"Non Trouvé")</f>
        <v>#REF!</v>
      </c>
      <c r="P1128" s="11" t="e">
        <f>_xlfn.XLOOKUP(Mvt_Inter_entrepot[[#This Row],[Num OF]],#REF!,#REF!,"Non Trouvé")</f>
        <v>#REF!</v>
      </c>
      <c r="Q1128" s="11" t="str">
        <f>IF(
   COUNTIFS($A$2:A1128,A1128,
             $B$2:B1128,B1128,
             $C$2:C1128,C1128,
             $D$2:D1128,D1128,
             $E$2:E1128,E1128,
             $H$2:H1128,H1128
             )&gt;1,
   "Doublon",
   "Correcte"
)</f>
        <v>Correcte</v>
      </c>
    </row>
    <row r="1129" spans="1:17" x14ac:dyDescent="0.25">
      <c r="A1129" s="11">
        <v>0</v>
      </c>
      <c r="B1129" s="11"/>
      <c r="C1129" s="11"/>
      <c r="D1129" s="11"/>
      <c r="E1129" s="11"/>
      <c r="F1129" s="11"/>
      <c r="G1129" s="11"/>
      <c r="H1129" s="14"/>
      <c r="I1129" s="12">
        <f>-Mvt_Inter_entrepot[[#This Row],[QTE]]</f>
        <v>0</v>
      </c>
      <c r="J1129" s="11" t="s">
        <v>2801</v>
      </c>
      <c r="K1129" s="11" t="str">
        <f>_xlfn.TEXTBEFORE(Mvt_Inter_entrepot[[#This Row],[Num Suivis]],"-",,,1)</f>
        <v>CA250756</v>
      </c>
      <c r="L1129" s="11" t="e">
        <f>_xlfn.XLOOKUP(Mvt_Inter_entrepot[[#This Row],[Num OF]],#REF!,#REF!,"Non Trouvé")</f>
        <v>#REF!</v>
      </c>
      <c r="M1129" s="11" t="e">
        <f>_xlfn.XLOOKUP(Mvt_Inter_entrepot[[#This Row],[Num OF]],#REF!,#REF!,"Non Trouvé")</f>
        <v>#REF!</v>
      </c>
      <c r="N1129" s="11" t="e">
        <f>_xlfn.XLOOKUP(Mvt_Inter_entrepot[[#This Row],[Num OF]],#REF!,#REF!,"Non Trouvé")</f>
        <v>#REF!</v>
      </c>
      <c r="O1129" s="11" t="e">
        <f>_xlfn.XLOOKUP(Mvt_Inter_entrepot[[#This Row],[Num OF]],#REF!,#REF!,"Non Trouvé")</f>
        <v>#REF!</v>
      </c>
      <c r="P1129" s="11" t="e">
        <f>_xlfn.XLOOKUP(Mvt_Inter_entrepot[[#This Row],[Num OF]],#REF!,#REF!,"Non Trouvé")</f>
        <v>#REF!</v>
      </c>
      <c r="Q1129" s="11" t="str">
        <f>IF(
   COUNTIFS($A$2:A1129,A1129,
             $B$2:B1129,B1129,
             $C$2:C1129,C1129,
             $D$2:D1129,D1129,
             $E$2:E1129,E1129,
             $H$2:H1129,H1129
             )&gt;1,
   "Doublon",
   "Correcte"
)</f>
        <v>Correcte</v>
      </c>
    </row>
    <row r="1130" spans="1:17" x14ac:dyDescent="0.25">
      <c r="A1130" s="11">
        <v>0</v>
      </c>
      <c r="B1130" s="11"/>
      <c r="C1130" s="11"/>
      <c r="D1130" s="11"/>
      <c r="E1130" s="11"/>
      <c r="F1130" s="11"/>
      <c r="G1130" s="11"/>
      <c r="H1130" s="14"/>
      <c r="I1130" s="12">
        <f>-Mvt_Inter_entrepot[[#This Row],[QTE]]</f>
        <v>0</v>
      </c>
      <c r="J1130" s="11" t="s">
        <v>2802</v>
      </c>
      <c r="K1130" s="11" t="str">
        <f>_xlfn.TEXTBEFORE(Mvt_Inter_entrepot[[#This Row],[Num Suivis]],"-",,,1)</f>
        <v>CA250756</v>
      </c>
      <c r="L1130" s="11" t="e">
        <f>_xlfn.XLOOKUP(Mvt_Inter_entrepot[[#This Row],[Num OF]],#REF!,#REF!,"Non Trouvé")</f>
        <v>#REF!</v>
      </c>
      <c r="M1130" s="11" t="e">
        <f>_xlfn.XLOOKUP(Mvt_Inter_entrepot[[#This Row],[Num OF]],#REF!,#REF!,"Non Trouvé")</f>
        <v>#REF!</v>
      </c>
      <c r="N1130" s="11" t="e">
        <f>_xlfn.XLOOKUP(Mvt_Inter_entrepot[[#This Row],[Num OF]],#REF!,#REF!,"Non Trouvé")</f>
        <v>#REF!</v>
      </c>
      <c r="O1130" s="11" t="e">
        <f>_xlfn.XLOOKUP(Mvt_Inter_entrepot[[#This Row],[Num OF]],#REF!,#REF!,"Non Trouvé")</f>
        <v>#REF!</v>
      </c>
      <c r="P1130" s="11" t="e">
        <f>_xlfn.XLOOKUP(Mvt_Inter_entrepot[[#This Row],[Num OF]],#REF!,#REF!,"Non Trouvé")</f>
        <v>#REF!</v>
      </c>
      <c r="Q1130" s="11" t="str">
        <f>IF(
   COUNTIFS($A$2:A1130,A1130,
             $B$2:B1130,B1130,
             $C$2:C1130,C1130,
             $D$2:D1130,D1130,
             $E$2:E1130,E1130,
             $H$2:H1130,H1130
             )&gt;1,
   "Doublon",
   "Correcte"
)</f>
        <v>Correcte</v>
      </c>
    </row>
    <row r="1131" spans="1:17" x14ac:dyDescent="0.25">
      <c r="A1131" s="11">
        <v>0</v>
      </c>
      <c r="B1131" s="11"/>
      <c r="C1131" s="11"/>
      <c r="D1131" s="11"/>
      <c r="E1131" s="11"/>
      <c r="F1131" s="11"/>
      <c r="G1131" s="11"/>
      <c r="H1131" s="14"/>
      <c r="I1131" s="12">
        <f>-Mvt_Inter_entrepot[[#This Row],[QTE]]</f>
        <v>0</v>
      </c>
      <c r="J1131" s="11" t="s">
        <v>2803</v>
      </c>
      <c r="K1131" s="11" t="str">
        <f>_xlfn.TEXTBEFORE(Mvt_Inter_entrepot[[#This Row],[Num Suivis]],"-",,,1)</f>
        <v>CA250756</v>
      </c>
      <c r="L1131" s="11" t="e">
        <f>_xlfn.XLOOKUP(Mvt_Inter_entrepot[[#This Row],[Num OF]],#REF!,#REF!,"Non Trouvé")</f>
        <v>#REF!</v>
      </c>
      <c r="M1131" s="11" t="e">
        <f>_xlfn.XLOOKUP(Mvt_Inter_entrepot[[#This Row],[Num OF]],#REF!,#REF!,"Non Trouvé")</f>
        <v>#REF!</v>
      </c>
      <c r="N1131" s="11" t="e">
        <f>_xlfn.XLOOKUP(Mvt_Inter_entrepot[[#This Row],[Num OF]],#REF!,#REF!,"Non Trouvé")</f>
        <v>#REF!</v>
      </c>
      <c r="O1131" s="11" t="e">
        <f>_xlfn.XLOOKUP(Mvt_Inter_entrepot[[#This Row],[Num OF]],#REF!,#REF!,"Non Trouvé")</f>
        <v>#REF!</v>
      </c>
      <c r="P1131" s="11" t="e">
        <f>_xlfn.XLOOKUP(Mvt_Inter_entrepot[[#This Row],[Num OF]],#REF!,#REF!,"Non Trouvé")</f>
        <v>#REF!</v>
      </c>
      <c r="Q1131" s="11" t="str">
        <f>IF(
   COUNTIFS($A$2:A1131,A1131,
             $B$2:B1131,B1131,
             $C$2:C1131,C1131,
             $D$2:D1131,D1131,
             $E$2:E1131,E1131,
             $H$2:H1131,H1131
             )&gt;1,
   "Doublon",
   "Correcte"
)</f>
        <v>Correcte</v>
      </c>
    </row>
    <row r="1132" spans="1:17" x14ac:dyDescent="0.25">
      <c r="A1132" s="11">
        <v>0</v>
      </c>
      <c r="B1132" s="11"/>
      <c r="C1132" s="11"/>
      <c r="D1132" s="11"/>
      <c r="E1132" s="11"/>
      <c r="F1132" s="11"/>
      <c r="G1132" s="11"/>
      <c r="H1132" s="14"/>
      <c r="I1132" s="12">
        <f>-Mvt_Inter_entrepot[[#This Row],[QTE]]</f>
        <v>0</v>
      </c>
      <c r="J1132" s="11" t="s">
        <v>2804</v>
      </c>
      <c r="K1132" s="11" t="str">
        <f>_xlfn.TEXTBEFORE(Mvt_Inter_entrepot[[#This Row],[Num Suivis]],"-",,,1)</f>
        <v>CA250756</v>
      </c>
      <c r="L1132" s="11" t="e">
        <f>_xlfn.XLOOKUP(Mvt_Inter_entrepot[[#This Row],[Num OF]],#REF!,#REF!,"Non Trouvé")</f>
        <v>#REF!</v>
      </c>
      <c r="M1132" s="11" t="e">
        <f>_xlfn.XLOOKUP(Mvt_Inter_entrepot[[#This Row],[Num OF]],#REF!,#REF!,"Non Trouvé")</f>
        <v>#REF!</v>
      </c>
      <c r="N1132" s="11" t="e">
        <f>_xlfn.XLOOKUP(Mvt_Inter_entrepot[[#This Row],[Num OF]],#REF!,#REF!,"Non Trouvé")</f>
        <v>#REF!</v>
      </c>
      <c r="O1132" s="11" t="e">
        <f>_xlfn.XLOOKUP(Mvt_Inter_entrepot[[#This Row],[Num OF]],#REF!,#REF!,"Non Trouvé")</f>
        <v>#REF!</v>
      </c>
      <c r="P1132" s="11" t="e">
        <f>_xlfn.XLOOKUP(Mvt_Inter_entrepot[[#This Row],[Num OF]],#REF!,#REF!,"Non Trouvé")</f>
        <v>#REF!</v>
      </c>
      <c r="Q1132" s="11" t="str">
        <f>IF(
   COUNTIFS($A$2:A1132,A1132,
             $B$2:B1132,B1132,
             $C$2:C1132,C1132,
             $D$2:D1132,D1132,
             $E$2:E1132,E1132,
             $H$2:H1132,H1132
             )&gt;1,
   "Doublon",
   "Correcte"
)</f>
        <v>Correcte</v>
      </c>
    </row>
    <row r="1133" spans="1:17" x14ac:dyDescent="0.25">
      <c r="A1133" s="11">
        <v>0</v>
      </c>
      <c r="B1133" s="11"/>
      <c r="C1133" s="11"/>
      <c r="D1133" s="11"/>
      <c r="E1133" s="11"/>
      <c r="F1133" s="11"/>
      <c r="G1133" s="11"/>
      <c r="H1133" s="14"/>
      <c r="I1133" s="12">
        <f>-Mvt_Inter_entrepot[[#This Row],[QTE]]</f>
        <v>0</v>
      </c>
      <c r="J1133" s="11" t="s">
        <v>2805</v>
      </c>
      <c r="K1133" s="11" t="str">
        <f>_xlfn.TEXTBEFORE(Mvt_Inter_entrepot[[#This Row],[Num Suivis]],"-",,,1)</f>
        <v>CA250756</v>
      </c>
      <c r="L1133" s="11" t="e">
        <f>_xlfn.XLOOKUP(Mvt_Inter_entrepot[[#This Row],[Num OF]],#REF!,#REF!,"Non Trouvé")</f>
        <v>#REF!</v>
      </c>
      <c r="M1133" s="11" t="e">
        <f>_xlfn.XLOOKUP(Mvt_Inter_entrepot[[#This Row],[Num OF]],#REF!,#REF!,"Non Trouvé")</f>
        <v>#REF!</v>
      </c>
      <c r="N1133" s="11" t="e">
        <f>_xlfn.XLOOKUP(Mvt_Inter_entrepot[[#This Row],[Num OF]],#REF!,#REF!,"Non Trouvé")</f>
        <v>#REF!</v>
      </c>
      <c r="O1133" s="11" t="e">
        <f>_xlfn.XLOOKUP(Mvt_Inter_entrepot[[#This Row],[Num OF]],#REF!,#REF!,"Non Trouvé")</f>
        <v>#REF!</v>
      </c>
      <c r="P1133" s="11" t="e">
        <f>_xlfn.XLOOKUP(Mvt_Inter_entrepot[[#This Row],[Num OF]],#REF!,#REF!,"Non Trouvé")</f>
        <v>#REF!</v>
      </c>
      <c r="Q1133" s="11" t="str">
        <f>IF(
   COUNTIFS($A$2:A1133,A1133,
             $B$2:B1133,B1133,
             $C$2:C1133,C1133,
             $D$2:D1133,D1133,
             $E$2:E1133,E1133,
             $H$2:H1133,H1133
             )&gt;1,
   "Doublon",
   "Correcte"
)</f>
        <v>Correcte</v>
      </c>
    </row>
    <row r="1134" spans="1:17" x14ac:dyDescent="0.25">
      <c r="A1134" s="11">
        <v>0</v>
      </c>
      <c r="B1134" s="11"/>
      <c r="C1134" s="11"/>
      <c r="D1134" s="11"/>
      <c r="E1134" s="11"/>
      <c r="F1134" s="11"/>
      <c r="G1134" s="11"/>
      <c r="H1134" s="14"/>
      <c r="I1134" s="12">
        <f>-Mvt_Inter_entrepot[[#This Row],[QTE]]</f>
        <v>0</v>
      </c>
      <c r="J1134" s="11" t="s">
        <v>2806</v>
      </c>
      <c r="K1134" s="11" t="str">
        <f>_xlfn.TEXTBEFORE(Mvt_Inter_entrepot[[#This Row],[Num Suivis]],"-",,,1)</f>
        <v>CA250756</v>
      </c>
      <c r="L1134" s="11" t="e">
        <f>_xlfn.XLOOKUP(Mvt_Inter_entrepot[[#This Row],[Num OF]],#REF!,#REF!,"Non Trouvé")</f>
        <v>#REF!</v>
      </c>
      <c r="M1134" s="11" t="e">
        <f>_xlfn.XLOOKUP(Mvt_Inter_entrepot[[#This Row],[Num OF]],#REF!,#REF!,"Non Trouvé")</f>
        <v>#REF!</v>
      </c>
      <c r="N1134" s="11" t="e">
        <f>_xlfn.XLOOKUP(Mvt_Inter_entrepot[[#This Row],[Num OF]],#REF!,#REF!,"Non Trouvé")</f>
        <v>#REF!</v>
      </c>
      <c r="O1134" s="11" t="e">
        <f>_xlfn.XLOOKUP(Mvt_Inter_entrepot[[#This Row],[Num OF]],#REF!,#REF!,"Non Trouvé")</f>
        <v>#REF!</v>
      </c>
      <c r="P1134" s="11" t="e">
        <f>_xlfn.XLOOKUP(Mvt_Inter_entrepot[[#This Row],[Num OF]],#REF!,#REF!,"Non Trouvé")</f>
        <v>#REF!</v>
      </c>
      <c r="Q1134" s="11" t="str">
        <f>IF(
   COUNTIFS($A$2:A1134,A1134,
             $B$2:B1134,B1134,
             $C$2:C1134,C1134,
             $D$2:D1134,D1134,
             $E$2:E1134,E1134,
             $H$2:H1134,H1134
             )&gt;1,
   "Doublon",
   "Correcte"
)</f>
        <v>Correcte</v>
      </c>
    </row>
    <row r="1135" spans="1:17" x14ac:dyDescent="0.25">
      <c r="A1135" s="11">
        <v>0</v>
      </c>
      <c r="B1135" s="11"/>
      <c r="C1135" s="11"/>
      <c r="D1135" s="11"/>
      <c r="E1135" s="11"/>
      <c r="F1135" s="11"/>
      <c r="G1135" s="11"/>
      <c r="H1135" s="14"/>
      <c r="I1135" s="12">
        <f>-Mvt_Inter_entrepot[[#This Row],[QTE]]</f>
        <v>0</v>
      </c>
      <c r="J1135" s="11" t="s">
        <v>2807</v>
      </c>
      <c r="K1135" s="11" t="str">
        <f>_xlfn.TEXTBEFORE(Mvt_Inter_entrepot[[#This Row],[Num Suivis]],"-",,,1)</f>
        <v>CA250756</v>
      </c>
      <c r="L1135" s="11" t="e">
        <f>_xlfn.XLOOKUP(Mvt_Inter_entrepot[[#This Row],[Num OF]],#REF!,#REF!,"Non Trouvé")</f>
        <v>#REF!</v>
      </c>
      <c r="M1135" s="11" t="e">
        <f>_xlfn.XLOOKUP(Mvt_Inter_entrepot[[#This Row],[Num OF]],#REF!,#REF!,"Non Trouvé")</f>
        <v>#REF!</v>
      </c>
      <c r="N1135" s="11" t="e">
        <f>_xlfn.XLOOKUP(Mvt_Inter_entrepot[[#This Row],[Num OF]],#REF!,#REF!,"Non Trouvé")</f>
        <v>#REF!</v>
      </c>
      <c r="O1135" s="11" t="e">
        <f>_xlfn.XLOOKUP(Mvt_Inter_entrepot[[#This Row],[Num OF]],#REF!,#REF!,"Non Trouvé")</f>
        <v>#REF!</v>
      </c>
      <c r="P1135" s="11" t="e">
        <f>_xlfn.XLOOKUP(Mvt_Inter_entrepot[[#This Row],[Num OF]],#REF!,#REF!,"Non Trouvé")</f>
        <v>#REF!</v>
      </c>
      <c r="Q1135" s="11" t="str">
        <f>IF(
   COUNTIFS($A$2:A1135,A1135,
             $B$2:B1135,B1135,
             $C$2:C1135,C1135,
             $D$2:D1135,D1135,
             $E$2:E1135,E1135,
             $H$2:H1135,H1135
             )&gt;1,
   "Doublon",
   "Correcte"
)</f>
        <v>Correcte</v>
      </c>
    </row>
    <row r="1136" spans="1:17" x14ac:dyDescent="0.25">
      <c r="A1136" s="11">
        <v>0</v>
      </c>
      <c r="B1136" s="11"/>
      <c r="C1136" s="11"/>
      <c r="D1136" s="11"/>
      <c r="E1136" s="11"/>
      <c r="F1136" s="11"/>
      <c r="G1136" s="11"/>
      <c r="H1136" s="14"/>
      <c r="I1136" s="12">
        <f>-Mvt_Inter_entrepot[[#This Row],[QTE]]</f>
        <v>0</v>
      </c>
      <c r="J1136" s="11" t="s">
        <v>2808</v>
      </c>
      <c r="K1136" s="11" t="str">
        <f>_xlfn.TEXTBEFORE(Mvt_Inter_entrepot[[#This Row],[Num Suivis]],"-",,,1)</f>
        <v>CA250756</v>
      </c>
      <c r="L1136" s="11" t="e">
        <f>_xlfn.XLOOKUP(Mvt_Inter_entrepot[[#This Row],[Num OF]],#REF!,#REF!,"Non Trouvé")</f>
        <v>#REF!</v>
      </c>
      <c r="M1136" s="11" t="e">
        <f>_xlfn.XLOOKUP(Mvt_Inter_entrepot[[#This Row],[Num OF]],#REF!,#REF!,"Non Trouvé")</f>
        <v>#REF!</v>
      </c>
      <c r="N1136" s="11" t="e">
        <f>_xlfn.XLOOKUP(Mvt_Inter_entrepot[[#This Row],[Num OF]],#REF!,#REF!,"Non Trouvé")</f>
        <v>#REF!</v>
      </c>
      <c r="O1136" s="11" t="e">
        <f>_xlfn.XLOOKUP(Mvt_Inter_entrepot[[#This Row],[Num OF]],#REF!,#REF!,"Non Trouvé")</f>
        <v>#REF!</v>
      </c>
      <c r="P1136" s="11" t="e">
        <f>_xlfn.XLOOKUP(Mvt_Inter_entrepot[[#This Row],[Num OF]],#REF!,#REF!,"Non Trouvé")</f>
        <v>#REF!</v>
      </c>
      <c r="Q1136" s="11" t="str">
        <f>IF(
   COUNTIFS($A$2:A1136,A1136,
             $B$2:B1136,B1136,
             $C$2:C1136,C1136,
             $D$2:D1136,D1136,
             $E$2:E1136,E1136,
             $H$2:H1136,H1136
             )&gt;1,
   "Doublon",
   "Correcte"
)</f>
        <v>Correcte</v>
      </c>
    </row>
    <row r="1137" spans="1:17" x14ac:dyDescent="0.25">
      <c r="A1137" s="11">
        <v>0</v>
      </c>
      <c r="B1137" s="11"/>
      <c r="C1137" s="11"/>
      <c r="D1137" s="11"/>
      <c r="E1137" s="11"/>
      <c r="F1137" s="11"/>
      <c r="G1137" s="11"/>
      <c r="H1137" s="14"/>
      <c r="I1137" s="12">
        <f>-Mvt_Inter_entrepot[[#This Row],[QTE]]</f>
        <v>0</v>
      </c>
      <c r="J1137" s="11" t="s">
        <v>2809</v>
      </c>
      <c r="K1137" s="11" t="str">
        <f>_xlfn.TEXTBEFORE(Mvt_Inter_entrepot[[#This Row],[Num Suivis]],"-",,,1)</f>
        <v>CA250756</v>
      </c>
      <c r="L1137" s="11" t="e">
        <f>_xlfn.XLOOKUP(Mvt_Inter_entrepot[[#This Row],[Num OF]],#REF!,#REF!,"Non Trouvé")</f>
        <v>#REF!</v>
      </c>
      <c r="M1137" s="11" t="e">
        <f>_xlfn.XLOOKUP(Mvt_Inter_entrepot[[#This Row],[Num OF]],#REF!,#REF!,"Non Trouvé")</f>
        <v>#REF!</v>
      </c>
      <c r="N1137" s="11" t="e">
        <f>_xlfn.XLOOKUP(Mvt_Inter_entrepot[[#This Row],[Num OF]],#REF!,#REF!,"Non Trouvé")</f>
        <v>#REF!</v>
      </c>
      <c r="O1137" s="11" t="e">
        <f>_xlfn.XLOOKUP(Mvt_Inter_entrepot[[#This Row],[Num OF]],#REF!,#REF!,"Non Trouvé")</f>
        <v>#REF!</v>
      </c>
      <c r="P1137" s="11" t="e">
        <f>_xlfn.XLOOKUP(Mvt_Inter_entrepot[[#This Row],[Num OF]],#REF!,#REF!,"Non Trouvé")</f>
        <v>#REF!</v>
      </c>
      <c r="Q1137" s="11" t="str">
        <f>IF(
   COUNTIFS($A$2:A1137,A1137,
             $B$2:B1137,B1137,
             $C$2:C1137,C1137,
             $D$2:D1137,D1137,
             $E$2:E1137,E1137,
             $H$2:H1137,H1137
             )&gt;1,
   "Doublon",
   "Correcte"
)</f>
        <v>Correcte</v>
      </c>
    </row>
    <row r="1138" spans="1:17" x14ac:dyDescent="0.25">
      <c r="A1138" s="11">
        <v>0</v>
      </c>
      <c r="B1138" s="11"/>
      <c r="C1138" s="11"/>
      <c r="D1138" s="11"/>
      <c r="E1138" s="11"/>
      <c r="F1138" s="11"/>
      <c r="G1138" s="11"/>
      <c r="H1138" s="14"/>
      <c r="I1138" s="12">
        <f>-Mvt_Inter_entrepot[[#This Row],[QTE]]</f>
        <v>0</v>
      </c>
      <c r="J1138" s="11" t="s">
        <v>2810</v>
      </c>
      <c r="K1138" s="11" t="str">
        <f>_xlfn.TEXTBEFORE(Mvt_Inter_entrepot[[#This Row],[Num Suivis]],"-",,,1)</f>
        <v>CA250756</v>
      </c>
      <c r="L1138" s="11" t="e">
        <f>_xlfn.XLOOKUP(Mvt_Inter_entrepot[[#This Row],[Num OF]],#REF!,#REF!,"Non Trouvé")</f>
        <v>#REF!</v>
      </c>
      <c r="M1138" s="11" t="e">
        <f>_xlfn.XLOOKUP(Mvt_Inter_entrepot[[#This Row],[Num OF]],#REF!,#REF!,"Non Trouvé")</f>
        <v>#REF!</v>
      </c>
      <c r="N1138" s="11" t="e">
        <f>_xlfn.XLOOKUP(Mvt_Inter_entrepot[[#This Row],[Num OF]],#REF!,#REF!,"Non Trouvé")</f>
        <v>#REF!</v>
      </c>
      <c r="O1138" s="11" t="e">
        <f>_xlfn.XLOOKUP(Mvt_Inter_entrepot[[#This Row],[Num OF]],#REF!,#REF!,"Non Trouvé")</f>
        <v>#REF!</v>
      </c>
      <c r="P1138" s="11" t="e">
        <f>_xlfn.XLOOKUP(Mvt_Inter_entrepot[[#This Row],[Num OF]],#REF!,#REF!,"Non Trouvé")</f>
        <v>#REF!</v>
      </c>
      <c r="Q1138" s="11" t="str">
        <f>IF(
   COUNTIFS($A$2:A1138,A1138,
             $B$2:B1138,B1138,
             $C$2:C1138,C1138,
             $D$2:D1138,D1138,
             $E$2:E1138,E1138,
             $H$2:H1138,H1138
             )&gt;1,
   "Doublon",
   "Correcte"
)</f>
        <v>Correcte</v>
      </c>
    </row>
    <row r="1139" spans="1:17" x14ac:dyDescent="0.25">
      <c r="A1139" s="11">
        <v>0</v>
      </c>
      <c r="B1139" s="11"/>
      <c r="C1139" s="11"/>
      <c r="D1139" s="11"/>
      <c r="E1139" s="11"/>
      <c r="F1139" s="11"/>
      <c r="G1139" s="11"/>
      <c r="H1139" s="14"/>
      <c r="I1139" s="12">
        <f>-Mvt_Inter_entrepot[[#This Row],[QTE]]</f>
        <v>0</v>
      </c>
      <c r="J1139" s="11" t="s">
        <v>2811</v>
      </c>
      <c r="K1139" s="11" t="str">
        <f>_xlfn.TEXTBEFORE(Mvt_Inter_entrepot[[#This Row],[Num Suivis]],"-",,,1)</f>
        <v>CA250756</v>
      </c>
      <c r="L1139" s="11" t="e">
        <f>_xlfn.XLOOKUP(Mvt_Inter_entrepot[[#This Row],[Num OF]],#REF!,#REF!,"Non Trouvé")</f>
        <v>#REF!</v>
      </c>
      <c r="M1139" s="11" t="e">
        <f>_xlfn.XLOOKUP(Mvt_Inter_entrepot[[#This Row],[Num OF]],#REF!,#REF!,"Non Trouvé")</f>
        <v>#REF!</v>
      </c>
      <c r="N1139" s="11" t="e">
        <f>_xlfn.XLOOKUP(Mvt_Inter_entrepot[[#This Row],[Num OF]],#REF!,#REF!,"Non Trouvé")</f>
        <v>#REF!</v>
      </c>
      <c r="O1139" s="11" t="e">
        <f>_xlfn.XLOOKUP(Mvt_Inter_entrepot[[#This Row],[Num OF]],#REF!,#REF!,"Non Trouvé")</f>
        <v>#REF!</v>
      </c>
      <c r="P1139" s="11" t="e">
        <f>_xlfn.XLOOKUP(Mvt_Inter_entrepot[[#This Row],[Num OF]],#REF!,#REF!,"Non Trouvé")</f>
        <v>#REF!</v>
      </c>
      <c r="Q1139" s="11" t="str">
        <f>IF(
   COUNTIFS($A$2:A1139,A1139,
             $B$2:B1139,B1139,
             $C$2:C1139,C1139,
             $D$2:D1139,D1139,
             $E$2:E1139,E1139,
             $H$2:H1139,H1139
             )&gt;1,
   "Doublon",
   "Correcte"
)</f>
        <v>Correcte</v>
      </c>
    </row>
    <row r="1140" spans="1:17" x14ac:dyDescent="0.25">
      <c r="A1140" s="11">
        <v>0</v>
      </c>
      <c r="B1140" s="11"/>
      <c r="C1140" s="11"/>
      <c r="D1140" s="11"/>
      <c r="E1140" s="11"/>
      <c r="F1140" s="11"/>
      <c r="G1140" s="11"/>
      <c r="H1140" s="14"/>
      <c r="I1140" s="12">
        <f>-Mvt_Inter_entrepot[[#This Row],[QTE]]</f>
        <v>0</v>
      </c>
      <c r="J1140" s="11" t="s">
        <v>2812</v>
      </c>
      <c r="K1140" s="11" t="str">
        <f>_xlfn.TEXTBEFORE(Mvt_Inter_entrepot[[#This Row],[Num Suivis]],"-",,,1)</f>
        <v>CA250758</v>
      </c>
      <c r="L1140" s="11" t="e">
        <f>_xlfn.XLOOKUP(Mvt_Inter_entrepot[[#This Row],[Num OF]],#REF!,#REF!,"Non Trouvé")</f>
        <v>#REF!</v>
      </c>
      <c r="M1140" s="11" t="e">
        <f>_xlfn.XLOOKUP(Mvt_Inter_entrepot[[#This Row],[Num OF]],#REF!,#REF!,"Non Trouvé")</f>
        <v>#REF!</v>
      </c>
      <c r="N1140" s="11" t="e">
        <f>_xlfn.XLOOKUP(Mvt_Inter_entrepot[[#This Row],[Num OF]],#REF!,#REF!,"Non Trouvé")</f>
        <v>#REF!</v>
      </c>
      <c r="O1140" s="11" t="e">
        <f>_xlfn.XLOOKUP(Mvt_Inter_entrepot[[#This Row],[Num OF]],#REF!,#REF!,"Non Trouvé")</f>
        <v>#REF!</v>
      </c>
      <c r="P1140" s="11" t="e">
        <f>_xlfn.XLOOKUP(Mvt_Inter_entrepot[[#This Row],[Num OF]],#REF!,#REF!,"Non Trouvé")</f>
        <v>#REF!</v>
      </c>
      <c r="Q1140" s="11" t="str">
        <f>IF(
   COUNTIFS($A$2:A1140,A1140,
             $B$2:B1140,B1140,
             $C$2:C1140,C1140,
             $D$2:D1140,D1140,
             $E$2:E1140,E1140,
             $H$2:H1140,H1140
             )&gt;1,
   "Doublon",
   "Correcte"
)</f>
        <v>Correcte</v>
      </c>
    </row>
    <row r="1141" spans="1:17" x14ac:dyDescent="0.25">
      <c r="A1141" s="11">
        <v>0</v>
      </c>
      <c r="B1141" s="11"/>
      <c r="C1141" s="11"/>
      <c r="D1141" s="11"/>
      <c r="E1141" s="11"/>
      <c r="F1141" s="11"/>
      <c r="G1141" s="11"/>
      <c r="H1141" s="14"/>
      <c r="I1141" s="12">
        <f>-Mvt_Inter_entrepot[[#This Row],[QTE]]</f>
        <v>0</v>
      </c>
      <c r="J1141" s="11" t="s">
        <v>2813</v>
      </c>
      <c r="K1141" s="11" t="str">
        <f>_xlfn.TEXTBEFORE(Mvt_Inter_entrepot[[#This Row],[Num Suivis]],"-",,,1)</f>
        <v>CA250778</v>
      </c>
      <c r="L1141" s="11" t="e">
        <f>_xlfn.XLOOKUP(Mvt_Inter_entrepot[[#This Row],[Num OF]],#REF!,#REF!,"Non Trouvé")</f>
        <v>#REF!</v>
      </c>
      <c r="M1141" s="11" t="e">
        <f>_xlfn.XLOOKUP(Mvt_Inter_entrepot[[#This Row],[Num OF]],#REF!,#REF!,"Non Trouvé")</f>
        <v>#REF!</v>
      </c>
      <c r="N1141" s="11" t="e">
        <f>_xlfn.XLOOKUP(Mvt_Inter_entrepot[[#This Row],[Num OF]],#REF!,#REF!,"Non Trouvé")</f>
        <v>#REF!</v>
      </c>
      <c r="O1141" s="11" t="e">
        <f>_xlfn.XLOOKUP(Mvt_Inter_entrepot[[#This Row],[Num OF]],#REF!,#REF!,"Non Trouvé")</f>
        <v>#REF!</v>
      </c>
      <c r="P1141" s="11" t="e">
        <f>_xlfn.XLOOKUP(Mvt_Inter_entrepot[[#This Row],[Num OF]],#REF!,#REF!,"Non Trouvé")</f>
        <v>#REF!</v>
      </c>
      <c r="Q1141" s="11" t="str">
        <f>IF(
   COUNTIFS($A$2:A1141,A1141,
             $B$2:B1141,B1141,
             $C$2:C1141,C1141,
             $D$2:D1141,D1141,
             $E$2:E1141,E1141,
             $H$2:H1141,H1141
             )&gt;1,
   "Doublon",
   "Correcte"
)</f>
        <v>Correcte</v>
      </c>
    </row>
    <row r="1142" spans="1:17" x14ac:dyDescent="0.25">
      <c r="A1142" s="11">
        <v>0</v>
      </c>
      <c r="B1142" s="11"/>
      <c r="C1142" s="11"/>
      <c r="D1142" s="11"/>
      <c r="E1142" s="11"/>
      <c r="F1142" s="11"/>
      <c r="G1142" s="11"/>
      <c r="H1142" s="14"/>
      <c r="I1142" s="12">
        <f>-Mvt_Inter_entrepot[[#This Row],[QTE]]</f>
        <v>0</v>
      </c>
      <c r="J1142" s="11" t="s">
        <v>2814</v>
      </c>
      <c r="K1142" s="11" t="str">
        <f>_xlfn.TEXTBEFORE(Mvt_Inter_entrepot[[#This Row],[Num Suivis]],"-",,,1)</f>
        <v>CA250778</v>
      </c>
      <c r="L1142" s="11" t="e">
        <f>_xlfn.XLOOKUP(Mvt_Inter_entrepot[[#This Row],[Num OF]],#REF!,#REF!,"Non Trouvé")</f>
        <v>#REF!</v>
      </c>
      <c r="M1142" s="11" t="e">
        <f>_xlfn.XLOOKUP(Mvt_Inter_entrepot[[#This Row],[Num OF]],#REF!,#REF!,"Non Trouvé")</f>
        <v>#REF!</v>
      </c>
      <c r="N1142" s="11" t="e">
        <f>_xlfn.XLOOKUP(Mvt_Inter_entrepot[[#This Row],[Num OF]],#REF!,#REF!,"Non Trouvé")</f>
        <v>#REF!</v>
      </c>
      <c r="O1142" s="11" t="e">
        <f>_xlfn.XLOOKUP(Mvt_Inter_entrepot[[#This Row],[Num OF]],#REF!,#REF!,"Non Trouvé")</f>
        <v>#REF!</v>
      </c>
      <c r="P1142" s="11" t="e">
        <f>_xlfn.XLOOKUP(Mvt_Inter_entrepot[[#This Row],[Num OF]],#REF!,#REF!,"Non Trouvé")</f>
        <v>#REF!</v>
      </c>
      <c r="Q1142" s="11" t="str">
        <f>IF(
   COUNTIFS($A$2:A1142,A1142,
             $B$2:B1142,B1142,
             $C$2:C1142,C1142,
             $D$2:D1142,D1142,
             $E$2:E1142,E1142,
             $H$2:H1142,H1142
             )&gt;1,
   "Doublon",
   "Correcte"
)</f>
        <v>Correcte</v>
      </c>
    </row>
    <row r="1143" spans="1:17" x14ac:dyDescent="0.25">
      <c r="A1143" s="11">
        <v>0</v>
      </c>
      <c r="B1143" s="11"/>
      <c r="C1143" s="11"/>
      <c r="D1143" s="11"/>
      <c r="E1143" s="11"/>
      <c r="F1143" s="11"/>
      <c r="G1143" s="11"/>
      <c r="H1143" s="14"/>
      <c r="I1143" s="12">
        <f>-Mvt_Inter_entrepot[[#This Row],[QTE]]</f>
        <v>0</v>
      </c>
      <c r="J1143" s="11" t="s">
        <v>2815</v>
      </c>
      <c r="K1143" s="11" t="str">
        <f>_xlfn.TEXTBEFORE(Mvt_Inter_entrepot[[#This Row],[Num Suivis]],"-",,,1)</f>
        <v>CA250758</v>
      </c>
      <c r="L1143" s="11" t="e">
        <f>_xlfn.XLOOKUP(Mvt_Inter_entrepot[[#This Row],[Num OF]],#REF!,#REF!,"Non Trouvé")</f>
        <v>#REF!</v>
      </c>
      <c r="M1143" s="11" t="e">
        <f>_xlfn.XLOOKUP(Mvt_Inter_entrepot[[#This Row],[Num OF]],#REF!,#REF!,"Non Trouvé")</f>
        <v>#REF!</v>
      </c>
      <c r="N1143" s="11" t="e">
        <f>_xlfn.XLOOKUP(Mvt_Inter_entrepot[[#This Row],[Num OF]],#REF!,#REF!,"Non Trouvé")</f>
        <v>#REF!</v>
      </c>
      <c r="O1143" s="11" t="e">
        <f>_xlfn.XLOOKUP(Mvt_Inter_entrepot[[#This Row],[Num OF]],#REF!,#REF!,"Non Trouvé")</f>
        <v>#REF!</v>
      </c>
      <c r="P1143" s="11" t="e">
        <f>_xlfn.XLOOKUP(Mvt_Inter_entrepot[[#This Row],[Num OF]],#REF!,#REF!,"Non Trouvé")</f>
        <v>#REF!</v>
      </c>
      <c r="Q1143" s="11" t="str">
        <f>IF(
   COUNTIFS($A$2:A1143,A1143,
             $B$2:B1143,B1143,
             $C$2:C1143,C1143,
             $D$2:D1143,D1143,
             $E$2:E1143,E1143,
             $H$2:H1143,H1143
             )&gt;1,
   "Doublon",
   "Correcte"
)</f>
        <v>Correcte</v>
      </c>
    </row>
    <row r="1144" spans="1:17" x14ac:dyDescent="0.25">
      <c r="A1144" s="11">
        <v>0</v>
      </c>
      <c r="B1144" s="11"/>
      <c r="C1144" s="11"/>
      <c r="D1144" s="11"/>
      <c r="E1144" s="11"/>
      <c r="F1144" s="11"/>
      <c r="G1144" s="11"/>
      <c r="H1144" s="14"/>
      <c r="I1144" s="12">
        <f>-Mvt_Inter_entrepot[[#This Row],[QTE]]</f>
        <v>0</v>
      </c>
      <c r="J1144" s="11" t="s">
        <v>2816</v>
      </c>
      <c r="K1144" s="11" t="str">
        <f>_xlfn.TEXTBEFORE(Mvt_Inter_entrepot[[#This Row],[Num Suivis]],"-",,,1)</f>
        <v>CA250758</v>
      </c>
      <c r="L1144" s="11" t="e">
        <f>_xlfn.XLOOKUP(Mvt_Inter_entrepot[[#This Row],[Num OF]],#REF!,#REF!,"Non Trouvé")</f>
        <v>#REF!</v>
      </c>
      <c r="M1144" s="11" t="e">
        <f>_xlfn.XLOOKUP(Mvt_Inter_entrepot[[#This Row],[Num OF]],#REF!,#REF!,"Non Trouvé")</f>
        <v>#REF!</v>
      </c>
      <c r="N1144" s="11" t="e">
        <f>_xlfn.XLOOKUP(Mvt_Inter_entrepot[[#This Row],[Num OF]],#REF!,#REF!,"Non Trouvé")</f>
        <v>#REF!</v>
      </c>
      <c r="O1144" s="11" t="e">
        <f>_xlfn.XLOOKUP(Mvt_Inter_entrepot[[#This Row],[Num OF]],#REF!,#REF!,"Non Trouvé")</f>
        <v>#REF!</v>
      </c>
      <c r="P1144" s="11" t="e">
        <f>_xlfn.XLOOKUP(Mvt_Inter_entrepot[[#This Row],[Num OF]],#REF!,#REF!,"Non Trouvé")</f>
        <v>#REF!</v>
      </c>
      <c r="Q1144" s="11" t="str">
        <f>IF(
   COUNTIFS($A$2:A1144,A1144,
             $B$2:B1144,B1144,
             $C$2:C1144,C1144,
             $D$2:D1144,D1144,
             $E$2:E1144,E1144,
             $H$2:H1144,H1144
             )&gt;1,
   "Doublon",
   "Correcte"
)</f>
        <v>Correcte</v>
      </c>
    </row>
    <row r="1145" spans="1:17" x14ac:dyDescent="0.25">
      <c r="A1145" s="11">
        <v>0</v>
      </c>
      <c r="B1145" s="11"/>
      <c r="C1145" s="11"/>
      <c r="D1145" s="11"/>
      <c r="E1145" s="11"/>
      <c r="F1145" s="11"/>
      <c r="G1145" s="11"/>
      <c r="H1145" s="14"/>
      <c r="I1145" s="12">
        <f>-Mvt_Inter_entrepot[[#This Row],[QTE]]</f>
        <v>0</v>
      </c>
      <c r="J1145" s="11" t="s">
        <v>2817</v>
      </c>
      <c r="K1145" s="11" t="str">
        <f>_xlfn.TEXTBEFORE(Mvt_Inter_entrepot[[#This Row],[Num Suivis]],"-",,,1)</f>
        <v>CA250778</v>
      </c>
      <c r="L1145" s="11" t="e">
        <f>_xlfn.XLOOKUP(Mvt_Inter_entrepot[[#This Row],[Num OF]],#REF!,#REF!,"Non Trouvé")</f>
        <v>#REF!</v>
      </c>
      <c r="M1145" s="11" t="e">
        <f>_xlfn.XLOOKUP(Mvt_Inter_entrepot[[#This Row],[Num OF]],#REF!,#REF!,"Non Trouvé")</f>
        <v>#REF!</v>
      </c>
      <c r="N1145" s="11" t="e">
        <f>_xlfn.XLOOKUP(Mvt_Inter_entrepot[[#This Row],[Num OF]],#REF!,#REF!,"Non Trouvé")</f>
        <v>#REF!</v>
      </c>
      <c r="O1145" s="11" t="e">
        <f>_xlfn.XLOOKUP(Mvt_Inter_entrepot[[#This Row],[Num OF]],#REF!,#REF!,"Non Trouvé")</f>
        <v>#REF!</v>
      </c>
      <c r="P1145" s="11" t="e">
        <f>_xlfn.XLOOKUP(Mvt_Inter_entrepot[[#This Row],[Num OF]],#REF!,#REF!,"Non Trouvé")</f>
        <v>#REF!</v>
      </c>
      <c r="Q1145" s="11" t="str">
        <f>IF(
   COUNTIFS($A$2:A1145,A1145,
             $B$2:B1145,B1145,
             $C$2:C1145,C1145,
             $D$2:D1145,D1145,
             $E$2:E1145,E1145,
             $H$2:H1145,H1145
             )&gt;1,
   "Doublon",
   "Correcte"
)</f>
        <v>Correcte</v>
      </c>
    </row>
    <row r="1146" spans="1:17" x14ac:dyDescent="0.25">
      <c r="A1146" s="11">
        <v>0</v>
      </c>
      <c r="B1146" s="11"/>
      <c r="C1146" s="11"/>
      <c r="D1146" s="11"/>
      <c r="E1146" s="11"/>
      <c r="F1146" s="11"/>
      <c r="G1146" s="11"/>
      <c r="H1146" s="14"/>
      <c r="I1146" s="12">
        <f>-Mvt_Inter_entrepot[[#This Row],[QTE]]</f>
        <v>0</v>
      </c>
      <c r="J1146" s="11" t="s">
        <v>2818</v>
      </c>
      <c r="K1146" s="11" t="str">
        <f>_xlfn.TEXTBEFORE(Mvt_Inter_entrepot[[#This Row],[Num Suivis]],"-",,,1)</f>
        <v>CA250778</v>
      </c>
      <c r="L1146" s="11" t="e">
        <f>_xlfn.XLOOKUP(Mvt_Inter_entrepot[[#This Row],[Num OF]],#REF!,#REF!,"Non Trouvé")</f>
        <v>#REF!</v>
      </c>
      <c r="M1146" s="11" t="e">
        <f>_xlfn.XLOOKUP(Mvt_Inter_entrepot[[#This Row],[Num OF]],#REF!,#REF!,"Non Trouvé")</f>
        <v>#REF!</v>
      </c>
      <c r="N1146" s="11" t="e">
        <f>_xlfn.XLOOKUP(Mvt_Inter_entrepot[[#This Row],[Num OF]],#REF!,#REF!,"Non Trouvé")</f>
        <v>#REF!</v>
      </c>
      <c r="O1146" s="11" t="e">
        <f>_xlfn.XLOOKUP(Mvt_Inter_entrepot[[#This Row],[Num OF]],#REF!,#REF!,"Non Trouvé")</f>
        <v>#REF!</v>
      </c>
      <c r="P1146" s="11" t="e">
        <f>_xlfn.XLOOKUP(Mvt_Inter_entrepot[[#This Row],[Num OF]],#REF!,#REF!,"Non Trouvé")</f>
        <v>#REF!</v>
      </c>
      <c r="Q1146" s="11" t="str">
        <f>IF(
   COUNTIFS($A$2:A1146,A1146,
             $B$2:B1146,B1146,
             $C$2:C1146,C1146,
             $D$2:D1146,D1146,
             $E$2:E1146,E1146,
             $H$2:H1146,H1146
             )&gt;1,
   "Doublon",
   "Correcte"
)</f>
        <v>Correcte</v>
      </c>
    </row>
    <row r="1147" spans="1:17" x14ac:dyDescent="0.25">
      <c r="A1147" s="11">
        <v>0</v>
      </c>
      <c r="B1147" s="11"/>
      <c r="C1147" s="11"/>
      <c r="D1147" s="11"/>
      <c r="E1147" s="11"/>
      <c r="F1147" s="11"/>
      <c r="G1147" s="11"/>
      <c r="H1147" s="14"/>
      <c r="I1147" s="12">
        <f>-Mvt_Inter_entrepot[[#This Row],[QTE]]</f>
        <v>0</v>
      </c>
      <c r="J1147" s="11" t="s">
        <v>2819</v>
      </c>
      <c r="K1147" s="11" t="str">
        <f>_xlfn.TEXTBEFORE(Mvt_Inter_entrepot[[#This Row],[Num Suivis]],"-",,,1)</f>
        <v>CA250778</v>
      </c>
      <c r="L1147" s="11" t="e">
        <f>_xlfn.XLOOKUP(Mvt_Inter_entrepot[[#This Row],[Num OF]],#REF!,#REF!,"Non Trouvé")</f>
        <v>#REF!</v>
      </c>
      <c r="M1147" s="11" t="e">
        <f>_xlfn.XLOOKUP(Mvt_Inter_entrepot[[#This Row],[Num OF]],#REF!,#REF!,"Non Trouvé")</f>
        <v>#REF!</v>
      </c>
      <c r="N1147" s="11" t="e">
        <f>_xlfn.XLOOKUP(Mvt_Inter_entrepot[[#This Row],[Num OF]],#REF!,#REF!,"Non Trouvé")</f>
        <v>#REF!</v>
      </c>
      <c r="O1147" s="11" t="e">
        <f>_xlfn.XLOOKUP(Mvt_Inter_entrepot[[#This Row],[Num OF]],#REF!,#REF!,"Non Trouvé")</f>
        <v>#REF!</v>
      </c>
      <c r="P1147" s="11" t="e">
        <f>_xlfn.XLOOKUP(Mvt_Inter_entrepot[[#This Row],[Num OF]],#REF!,#REF!,"Non Trouvé")</f>
        <v>#REF!</v>
      </c>
      <c r="Q1147" s="11" t="str">
        <f>IF(
   COUNTIFS($A$2:A1147,A1147,
             $B$2:B1147,B1147,
             $C$2:C1147,C1147,
             $D$2:D1147,D1147,
             $E$2:E1147,E1147,
             $H$2:H1147,H1147
             )&gt;1,
   "Doublon",
   "Correcte"
)</f>
        <v>Correcte</v>
      </c>
    </row>
    <row r="1148" spans="1:17" x14ac:dyDescent="0.25">
      <c r="A1148" s="11">
        <v>0</v>
      </c>
      <c r="B1148" s="11"/>
      <c r="C1148" s="11"/>
      <c r="D1148" s="11"/>
      <c r="E1148" s="11"/>
      <c r="F1148" s="11"/>
      <c r="G1148" s="11"/>
      <c r="H1148" s="14"/>
      <c r="I1148" s="12">
        <f>-Mvt_Inter_entrepot[[#This Row],[QTE]]</f>
        <v>0</v>
      </c>
      <c r="J1148" s="11" t="s">
        <v>2820</v>
      </c>
      <c r="K1148" s="11" t="str">
        <f>_xlfn.TEXTBEFORE(Mvt_Inter_entrepot[[#This Row],[Num Suivis]],"-",,,1)</f>
        <v>CA250778</v>
      </c>
      <c r="L1148" s="11" t="e">
        <f>_xlfn.XLOOKUP(Mvt_Inter_entrepot[[#This Row],[Num OF]],#REF!,#REF!,"Non Trouvé")</f>
        <v>#REF!</v>
      </c>
      <c r="M1148" s="11" t="e">
        <f>_xlfn.XLOOKUP(Mvt_Inter_entrepot[[#This Row],[Num OF]],#REF!,#REF!,"Non Trouvé")</f>
        <v>#REF!</v>
      </c>
      <c r="N1148" s="11" t="e">
        <f>_xlfn.XLOOKUP(Mvt_Inter_entrepot[[#This Row],[Num OF]],#REF!,#REF!,"Non Trouvé")</f>
        <v>#REF!</v>
      </c>
      <c r="O1148" s="11" t="e">
        <f>_xlfn.XLOOKUP(Mvt_Inter_entrepot[[#This Row],[Num OF]],#REF!,#REF!,"Non Trouvé")</f>
        <v>#REF!</v>
      </c>
      <c r="P1148" s="11" t="e">
        <f>_xlfn.XLOOKUP(Mvt_Inter_entrepot[[#This Row],[Num OF]],#REF!,#REF!,"Non Trouvé")</f>
        <v>#REF!</v>
      </c>
      <c r="Q1148" s="11" t="str">
        <f>IF(
   COUNTIFS($A$2:A1148,A1148,
             $B$2:B1148,B1148,
             $C$2:C1148,C1148,
             $D$2:D1148,D1148,
             $E$2:E1148,E1148,
             $H$2:H1148,H1148
             )&gt;1,
   "Doublon",
   "Correcte"
)</f>
        <v>Correcte</v>
      </c>
    </row>
    <row r="1149" spans="1:17" x14ac:dyDescent="0.25">
      <c r="A1149" s="11">
        <v>0</v>
      </c>
      <c r="B1149" s="11"/>
      <c r="C1149" s="11"/>
      <c r="D1149" s="11"/>
      <c r="E1149" s="11"/>
      <c r="F1149" s="11"/>
      <c r="G1149" s="11"/>
      <c r="H1149" s="14"/>
      <c r="I1149" s="12">
        <f>-Mvt_Inter_entrepot[[#This Row],[QTE]]</f>
        <v>0</v>
      </c>
      <c r="J1149" s="11" t="s">
        <v>2821</v>
      </c>
      <c r="K1149" s="11" t="str">
        <f>_xlfn.TEXTBEFORE(Mvt_Inter_entrepot[[#This Row],[Num Suivis]],"-",,,1)</f>
        <v>CA250763</v>
      </c>
      <c r="L1149" s="11" t="e">
        <f>_xlfn.XLOOKUP(Mvt_Inter_entrepot[[#This Row],[Num OF]],#REF!,#REF!,"Non Trouvé")</f>
        <v>#REF!</v>
      </c>
      <c r="M1149" s="11" t="e">
        <f>_xlfn.XLOOKUP(Mvt_Inter_entrepot[[#This Row],[Num OF]],#REF!,#REF!,"Non Trouvé")</f>
        <v>#REF!</v>
      </c>
      <c r="N1149" s="11" t="e">
        <f>_xlfn.XLOOKUP(Mvt_Inter_entrepot[[#This Row],[Num OF]],#REF!,#REF!,"Non Trouvé")</f>
        <v>#REF!</v>
      </c>
      <c r="O1149" s="11" t="e">
        <f>_xlfn.XLOOKUP(Mvt_Inter_entrepot[[#This Row],[Num OF]],#REF!,#REF!,"Non Trouvé")</f>
        <v>#REF!</v>
      </c>
      <c r="P1149" s="11" t="e">
        <f>_xlfn.XLOOKUP(Mvt_Inter_entrepot[[#This Row],[Num OF]],#REF!,#REF!,"Non Trouvé")</f>
        <v>#REF!</v>
      </c>
      <c r="Q1149" s="11" t="str">
        <f>IF(
   COUNTIFS($A$2:A1149,A1149,
             $B$2:B1149,B1149,
             $C$2:C1149,C1149,
             $D$2:D1149,D1149,
             $E$2:E1149,E1149,
             $H$2:H1149,H1149
             )&gt;1,
   "Doublon",
   "Correcte"
)</f>
        <v>Correcte</v>
      </c>
    </row>
    <row r="1150" spans="1:17" x14ac:dyDescent="0.25">
      <c r="A1150" s="11">
        <v>0</v>
      </c>
      <c r="B1150" s="11"/>
      <c r="C1150" s="11"/>
      <c r="D1150" s="11"/>
      <c r="E1150" s="11"/>
      <c r="F1150" s="11"/>
      <c r="G1150" s="11"/>
      <c r="H1150" s="14"/>
      <c r="I1150" s="12">
        <f>-Mvt_Inter_entrepot[[#This Row],[QTE]]</f>
        <v>0</v>
      </c>
      <c r="J1150" s="11" t="s">
        <v>2822</v>
      </c>
      <c r="K1150" s="11" t="str">
        <f>_xlfn.TEXTBEFORE(Mvt_Inter_entrepot[[#This Row],[Num Suivis]],"-",,,1)</f>
        <v>CA250763</v>
      </c>
      <c r="L1150" s="11" t="e">
        <f>_xlfn.XLOOKUP(Mvt_Inter_entrepot[[#This Row],[Num OF]],#REF!,#REF!,"Non Trouvé")</f>
        <v>#REF!</v>
      </c>
      <c r="M1150" s="11" t="e">
        <f>_xlfn.XLOOKUP(Mvt_Inter_entrepot[[#This Row],[Num OF]],#REF!,#REF!,"Non Trouvé")</f>
        <v>#REF!</v>
      </c>
      <c r="N1150" s="11" t="e">
        <f>_xlfn.XLOOKUP(Mvt_Inter_entrepot[[#This Row],[Num OF]],#REF!,#REF!,"Non Trouvé")</f>
        <v>#REF!</v>
      </c>
      <c r="O1150" s="11" t="e">
        <f>_xlfn.XLOOKUP(Mvt_Inter_entrepot[[#This Row],[Num OF]],#REF!,#REF!,"Non Trouvé")</f>
        <v>#REF!</v>
      </c>
      <c r="P1150" s="11" t="e">
        <f>_xlfn.XLOOKUP(Mvt_Inter_entrepot[[#This Row],[Num OF]],#REF!,#REF!,"Non Trouvé")</f>
        <v>#REF!</v>
      </c>
      <c r="Q1150" s="11" t="str">
        <f>IF(
   COUNTIFS($A$2:A1150,A1150,
             $B$2:B1150,B1150,
             $C$2:C1150,C1150,
             $D$2:D1150,D1150,
             $E$2:E1150,E1150,
             $H$2:H1150,H1150
             )&gt;1,
   "Doublon",
   "Correcte"
)</f>
        <v>Correcte</v>
      </c>
    </row>
    <row r="1151" spans="1:17" x14ac:dyDescent="0.25">
      <c r="A1151" s="11">
        <v>0</v>
      </c>
      <c r="B1151" s="11"/>
      <c r="C1151" s="11"/>
      <c r="D1151" s="11"/>
      <c r="E1151" s="11"/>
      <c r="F1151" s="11"/>
      <c r="G1151" s="11"/>
      <c r="H1151" s="14"/>
      <c r="I1151" s="12">
        <f>-Mvt_Inter_entrepot[[#This Row],[QTE]]</f>
        <v>0</v>
      </c>
      <c r="J1151" s="11" t="s">
        <v>2823</v>
      </c>
      <c r="K1151" s="11" t="str">
        <f>_xlfn.TEXTBEFORE(Mvt_Inter_entrepot[[#This Row],[Num Suivis]],"-",,,1)</f>
        <v>CA250751</v>
      </c>
      <c r="L1151" s="11" t="e">
        <f>_xlfn.XLOOKUP(Mvt_Inter_entrepot[[#This Row],[Num OF]],#REF!,#REF!,"Non Trouvé")</f>
        <v>#REF!</v>
      </c>
      <c r="M1151" s="11" t="e">
        <f>_xlfn.XLOOKUP(Mvt_Inter_entrepot[[#This Row],[Num OF]],#REF!,#REF!,"Non Trouvé")</f>
        <v>#REF!</v>
      </c>
      <c r="N1151" s="11" t="e">
        <f>_xlfn.XLOOKUP(Mvt_Inter_entrepot[[#This Row],[Num OF]],#REF!,#REF!,"Non Trouvé")</f>
        <v>#REF!</v>
      </c>
      <c r="O1151" s="11" t="e">
        <f>_xlfn.XLOOKUP(Mvt_Inter_entrepot[[#This Row],[Num OF]],#REF!,#REF!,"Non Trouvé")</f>
        <v>#REF!</v>
      </c>
      <c r="P1151" s="11" t="e">
        <f>_xlfn.XLOOKUP(Mvt_Inter_entrepot[[#This Row],[Num OF]],#REF!,#REF!,"Non Trouvé")</f>
        <v>#REF!</v>
      </c>
      <c r="Q1151" s="11" t="str">
        <f>IF(
   COUNTIFS($A$2:A1151,A1151,
             $B$2:B1151,B1151,
             $C$2:C1151,C1151,
             $D$2:D1151,D1151,
             $E$2:E1151,E1151,
             $H$2:H1151,H1151
             )&gt;1,
   "Doublon",
   "Correcte"
)</f>
        <v>Correcte</v>
      </c>
    </row>
    <row r="1152" spans="1:17" x14ac:dyDescent="0.25">
      <c r="A1152" s="11">
        <v>0</v>
      </c>
      <c r="B1152" s="11"/>
      <c r="C1152" s="11"/>
      <c r="D1152" s="11"/>
      <c r="E1152" s="11"/>
      <c r="F1152" s="11"/>
      <c r="G1152" s="11"/>
      <c r="H1152" s="14"/>
      <c r="I1152" s="12">
        <f>-Mvt_Inter_entrepot[[#This Row],[QTE]]</f>
        <v>0</v>
      </c>
      <c r="J1152" s="11" t="s">
        <v>2824</v>
      </c>
      <c r="K1152" s="11" t="str">
        <f>_xlfn.TEXTBEFORE(Mvt_Inter_entrepot[[#This Row],[Num Suivis]],"-",,,1)</f>
        <v>CA250751</v>
      </c>
      <c r="L1152" s="11" t="e">
        <f>_xlfn.XLOOKUP(Mvt_Inter_entrepot[[#This Row],[Num OF]],#REF!,#REF!,"Non Trouvé")</f>
        <v>#REF!</v>
      </c>
      <c r="M1152" s="11" t="e">
        <f>_xlfn.XLOOKUP(Mvt_Inter_entrepot[[#This Row],[Num OF]],#REF!,#REF!,"Non Trouvé")</f>
        <v>#REF!</v>
      </c>
      <c r="N1152" s="11" t="e">
        <f>_xlfn.XLOOKUP(Mvt_Inter_entrepot[[#This Row],[Num OF]],#REF!,#REF!,"Non Trouvé")</f>
        <v>#REF!</v>
      </c>
      <c r="O1152" s="11" t="e">
        <f>_xlfn.XLOOKUP(Mvt_Inter_entrepot[[#This Row],[Num OF]],#REF!,#REF!,"Non Trouvé")</f>
        <v>#REF!</v>
      </c>
      <c r="P1152" s="11" t="e">
        <f>_xlfn.XLOOKUP(Mvt_Inter_entrepot[[#This Row],[Num OF]],#REF!,#REF!,"Non Trouvé")</f>
        <v>#REF!</v>
      </c>
      <c r="Q1152" s="11" t="str">
        <f>IF(
   COUNTIFS($A$2:A1152,A1152,
             $B$2:B1152,B1152,
             $C$2:C1152,C1152,
             $D$2:D1152,D1152,
             $E$2:E1152,E1152,
             $H$2:H1152,H1152
             )&gt;1,
   "Doublon",
   "Correcte"
)</f>
        <v>Correcte</v>
      </c>
    </row>
    <row r="1153" spans="1:17" x14ac:dyDescent="0.25">
      <c r="A1153" s="11">
        <v>0</v>
      </c>
      <c r="B1153" s="11"/>
      <c r="C1153" s="11"/>
      <c r="D1153" s="11"/>
      <c r="E1153" s="11"/>
      <c r="F1153" s="11"/>
      <c r="G1153" s="11"/>
      <c r="H1153" s="14"/>
      <c r="I1153" s="12">
        <f>-Mvt_Inter_entrepot[[#This Row],[QTE]]</f>
        <v>0</v>
      </c>
      <c r="J1153" s="11" t="s">
        <v>2825</v>
      </c>
      <c r="K1153" s="11" t="str">
        <f>_xlfn.TEXTBEFORE(Mvt_Inter_entrepot[[#This Row],[Num Suivis]],"-",,,1)</f>
        <v>CA250751</v>
      </c>
      <c r="L1153" s="11" t="e">
        <f>_xlfn.XLOOKUP(Mvt_Inter_entrepot[[#This Row],[Num OF]],#REF!,#REF!,"Non Trouvé")</f>
        <v>#REF!</v>
      </c>
      <c r="M1153" s="11" t="e">
        <f>_xlfn.XLOOKUP(Mvt_Inter_entrepot[[#This Row],[Num OF]],#REF!,#REF!,"Non Trouvé")</f>
        <v>#REF!</v>
      </c>
      <c r="N1153" s="11" t="e">
        <f>_xlfn.XLOOKUP(Mvt_Inter_entrepot[[#This Row],[Num OF]],#REF!,#REF!,"Non Trouvé")</f>
        <v>#REF!</v>
      </c>
      <c r="O1153" s="11" t="e">
        <f>_xlfn.XLOOKUP(Mvt_Inter_entrepot[[#This Row],[Num OF]],#REF!,#REF!,"Non Trouvé")</f>
        <v>#REF!</v>
      </c>
      <c r="P1153" s="11" t="e">
        <f>_xlfn.XLOOKUP(Mvt_Inter_entrepot[[#This Row],[Num OF]],#REF!,#REF!,"Non Trouvé")</f>
        <v>#REF!</v>
      </c>
      <c r="Q1153" s="11" t="str">
        <f>IF(
   COUNTIFS($A$2:A1153,A1153,
             $B$2:B1153,B1153,
             $C$2:C1153,C1153,
             $D$2:D1153,D1153,
             $E$2:E1153,E1153,
             $H$2:H1153,H1153
             )&gt;1,
   "Doublon",
   "Correcte"
)</f>
        <v>Correcte</v>
      </c>
    </row>
    <row r="1154" spans="1:17" x14ac:dyDescent="0.25">
      <c r="A1154" s="11">
        <v>0</v>
      </c>
      <c r="B1154" s="11"/>
      <c r="C1154" s="11"/>
      <c r="D1154" s="11"/>
      <c r="E1154" s="11"/>
      <c r="F1154" s="11"/>
      <c r="G1154" s="11"/>
      <c r="H1154" s="14"/>
      <c r="I1154" s="12">
        <f>-Mvt_Inter_entrepot[[#This Row],[QTE]]</f>
        <v>0</v>
      </c>
      <c r="J1154" s="11" t="s">
        <v>2826</v>
      </c>
      <c r="K1154" s="11" t="str">
        <f>_xlfn.TEXTBEFORE(Mvt_Inter_entrepot[[#This Row],[Num Suivis]],"-",,,1)</f>
        <v>CA250751</v>
      </c>
      <c r="L1154" s="11" t="e">
        <f>_xlfn.XLOOKUP(Mvt_Inter_entrepot[[#This Row],[Num OF]],#REF!,#REF!,"Non Trouvé")</f>
        <v>#REF!</v>
      </c>
      <c r="M1154" s="11" t="e">
        <f>_xlfn.XLOOKUP(Mvt_Inter_entrepot[[#This Row],[Num OF]],#REF!,#REF!,"Non Trouvé")</f>
        <v>#REF!</v>
      </c>
      <c r="N1154" s="11" t="e">
        <f>_xlfn.XLOOKUP(Mvt_Inter_entrepot[[#This Row],[Num OF]],#REF!,#REF!,"Non Trouvé")</f>
        <v>#REF!</v>
      </c>
      <c r="O1154" s="11" t="e">
        <f>_xlfn.XLOOKUP(Mvt_Inter_entrepot[[#This Row],[Num OF]],#REF!,#REF!,"Non Trouvé")</f>
        <v>#REF!</v>
      </c>
      <c r="P1154" s="11" t="e">
        <f>_xlfn.XLOOKUP(Mvt_Inter_entrepot[[#This Row],[Num OF]],#REF!,#REF!,"Non Trouvé")</f>
        <v>#REF!</v>
      </c>
      <c r="Q1154" s="11" t="str">
        <f>IF(
   COUNTIFS($A$2:A1154,A1154,
             $B$2:B1154,B1154,
             $C$2:C1154,C1154,
             $D$2:D1154,D1154,
             $E$2:E1154,E1154,
             $H$2:H1154,H1154
             )&gt;1,
   "Doublon",
   "Correcte"
)</f>
        <v>Correcte</v>
      </c>
    </row>
    <row r="1155" spans="1:17" x14ac:dyDescent="0.25">
      <c r="A1155" s="11">
        <v>0</v>
      </c>
      <c r="B1155" s="11"/>
      <c r="C1155" s="11"/>
      <c r="D1155" s="11"/>
      <c r="E1155" s="11"/>
      <c r="F1155" s="11"/>
      <c r="G1155" s="11"/>
      <c r="H1155" s="14"/>
      <c r="I1155" s="12">
        <f>-Mvt_Inter_entrepot[[#This Row],[QTE]]</f>
        <v>0</v>
      </c>
      <c r="J1155" s="11" t="s">
        <v>2827</v>
      </c>
      <c r="K1155" s="11" t="str">
        <f>_xlfn.TEXTBEFORE(Mvt_Inter_entrepot[[#This Row],[Num Suivis]],"-",,,1)</f>
        <v>CA250751</v>
      </c>
      <c r="L1155" s="11" t="e">
        <f>_xlfn.XLOOKUP(Mvt_Inter_entrepot[[#This Row],[Num OF]],#REF!,#REF!,"Non Trouvé")</f>
        <v>#REF!</v>
      </c>
      <c r="M1155" s="11" t="e">
        <f>_xlfn.XLOOKUP(Mvt_Inter_entrepot[[#This Row],[Num OF]],#REF!,#REF!,"Non Trouvé")</f>
        <v>#REF!</v>
      </c>
      <c r="N1155" s="11" t="e">
        <f>_xlfn.XLOOKUP(Mvt_Inter_entrepot[[#This Row],[Num OF]],#REF!,#REF!,"Non Trouvé")</f>
        <v>#REF!</v>
      </c>
      <c r="O1155" s="11" t="e">
        <f>_xlfn.XLOOKUP(Mvt_Inter_entrepot[[#This Row],[Num OF]],#REF!,#REF!,"Non Trouvé")</f>
        <v>#REF!</v>
      </c>
      <c r="P1155" s="11" t="e">
        <f>_xlfn.XLOOKUP(Mvt_Inter_entrepot[[#This Row],[Num OF]],#REF!,#REF!,"Non Trouvé")</f>
        <v>#REF!</v>
      </c>
      <c r="Q1155" s="11" t="str">
        <f>IF(
   COUNTIFS($A$2:A1155,A1155,
             $B$2:B1155,B1155,
             $C$2:C1155,C1155,
             $D$2:D1155,D1155,
             $E$2:E1155,E1155,
             $H$2:H1155,H1155
             )&gt;1,
   "Doublon",
   "Correcte"
)</f>
        <v>Correcte</v>
      </c>
    </row>
    <row r="1156" spans="1:17" x14ac:dyDescent="0.25">
      <c r="A1156" s="11">
        <v>0</v>
      </c>
      <c r="B1156" s="11"/>
      <c r="C1156" s="11"/>
      <c r="D1156" s="11"/>
      <c r="E1156" s="11"/>
      <c r="F1156" s="11"/>
      <c r="G1156" s="11"/>
      <c r="H1156" s="14"/>
      <c r="I1156" s="12">
        <f>-Mvt_Inter_entrepot[[#This Row],[QTE]]</f>
        <v>0</v>
      </c>
      <c r="J1156" s="11" t="s">
        <v>2828</v>
      </c>
      <c r="K1156" s="11" t="str">
        <f>_xlfn.TEXTBEFORE(Mvt_Inter_entrepot[[#This Row],[Num Suivis]],"-",,,1)</f>
        <v>CA250751</v>
      </c>
      <c r="L1156" s="11" t="e">
        <f>_xlfn.XLOOKUP(Mvt_Inter_entrepot[[#This Row],[Num OF]],#REF!,#REF!,"Non Trouvé")</f>
        <v>#REF!</v>
      </c>
      <c r="M1156" s="11" t="e">
        <f>_xlfn.XLOOKUP(Mvt_Inter_entrepot[[#This Row],[Num OF]],#REF!,#REF!,"Non Trouvé")</f>
        <v>#REF!</v>
      </c>
      <c r="N1156" s="11" t="e">
        <f>_xlfn.XLOOKUP(Mvt_Inter_entrepot[[#This Row],[Num OF]],#REF!,#REF!,"Non Trouvé")</f>
        <v>#REF!</v>
      </c>
      <c r="O1156" s="11" t="e">
        <f>_xlfn.XLOOKUP(Mvt_Inter_entrepot[[#This Row],[Num OF]],#REF!,#REF!,"Non Trouvé")</f>
        <v>#REF!</v>
      </c>
      <c r="P1156" s="11" t="e">
        <f>_xlfn.XLOOKUP(Mvt_Inter_entrepot[[#This Row],[Num OF]],#REF!,#REF!,"Non Trouvé")</f>
        <v>#REF!</v>
      </c>
      <c r="Q1156" s="11" t="str">
        <f>IF(
   COUNTIFS($A$2:A1156,A1156,
             $B$2:B1156,B1156,
             $C$2:C1156,C1156,
             $D$2:D1156,D1156,
             $E$2:E1156,E1156,
             $H$2:H1156,H1156
             )&gt;1,
   "Doublon",
   "Correcte"
)</f>
        <v>Correcte</v>
      </c>
    </row>
    <row r="1157" spans="1:17" x14ac:dyDescent="0.25">
      <c r="A1157" s="11">
        <v>0</v>
      </c>
      <c r="B1157" s="11"/>
      <c r="C1157" s="11"/>
      <c r="D1157" s="11"/>
      <c r="E1157" s="11"/>
      <c r="F1157" s="11"/>
      <c r="G1157" s="11"/>
      <c r="H1157" s="14"/>
      <c r="I1157" s="12">
        <f>-Mvt_Inter_entrepot[[#This Row],[QTE]]</f>
        <v>0</v>
      </c>
      <c r="J1157" s="11" t="s">
        <v>2829</v>
      </c>
      <c r="K1157" s="11" t="str">
        <f>_xlfn.TEXTBEFORE(Mvt_Inter_entrepot[[#This Row],[Num Suivis]],"-",,,1)</f>
        <v>CA250751</v>
      </c>
      <c r="L1157" s="11" t="e">
        <f>_xlfn.XLOOKUP(Mvt_Inter_entrepot[[#This Row],[Num OF]],#REF!,#REF!,"Non Trouvé")</f>
        <v>#REF!</v>
      </c>
      <c r="M1157" s="11" t="e">
        <f>_xlfn.XLOOKUP(Mvt_Inter_entrepot[[#This Row],[Num OF]],#REF!,#REF!,"Non Trouvé")</f>
        <v>#REF!</v>
      </c>
      <c r="N1157" s="11" t="e">
        <f>_xlfn.XLOOKUP(Mvt_Inter_entrepot[[#This Row],[Num OF]],#REF!,#REF!,"Non Trouvé")</f>
        <v>#REF!</v>
      </c>
      <c r="O1157" s="11" t="e">
        <f>_xlfn.XLOOKUP(Mvt_Inter_entrepot[[#This Row],[Num OF]],#REF!,#REF!,"Non Trouvé")</f>
        <v>#REF!</v>
      </c>
      <c r="P1157" s="11" t="e">
        <f>_xlfn.XLOOKUP(Mvt_Inter_entrepot[[#This Row],[Num OF]],#REF!,#REF!,"Non Trouvé")</f>
        <v>#REF!</v>
      </c>
      <c r="Q1157" s="11" t="str">
        <f>IF(
   COUNTIFS($A$2:A1157,A1157,
             $B$2:B1157,B1157,
             $C$2:C1157,C1157,
             $D$2:D1157,D1157,
             $E$2:E1157,E1157,
             $H$2:H1157,H1157
             )&gt;1,
   "Doublon",
   "Correcte"
)</f>
        <v>Correcte</v>
      </c>
    </row>
    <row r="1158" spans="1:17" x14ac:dyDescent="0.25">
      <c r="A1158" s="11">
        <v>0</v>
      </c>
      <c r="B1158" s="11"/>
      <c r="C1158" s="11"/>
      <c r="D1158" s="11"/>
      <c r="E1158" s="11"/>
      <c r="F1158" s="11"/>
      <c r="G1158" s="11"/>
      <c r="H1158" s="14"/>
      <c r="I1158" s="12">
        <f>-Mvt_Inter_entrepot[[#This Row],[QTE]]</f>
        <v>0</v>
      </c>
      <c r="J1158" s="11" t="s">
        <v>2830</v>
      </c>
      <c r="K1158" s="11" t="str">
        <f>_xlfn.TEXTBEFORE(Mvt_Inter_entrepot[[#This Row],[Num Suivis]],"-",,,1)</f>
        <v>CA250751</v>
      </c>
      <c r="L1158" s="11" t="e">
        <f>_xlfn.XLOOKUP(Mvt_Inter_entrepot[[#This Row],[Num OF]],#REF!,#REF!,"Non Trouvé")</f>
        <v>#REF!</v>
      </c>
      <c r="M1158" s="11" t="e">
        <f>_xlfn.XLOOKUP(Mvt_Inter_entrepot[[#This Row],[Num OF]],#REF!,#REF!,"Non Trouvé")</f>
        <v>#REF!</v>
      </c>
      <c r="N1158" s="11" t="e">
        <f>_xlfn.XLOOKUP(Mvt_Inter_entrepot[[#This Row],[Num OF]],#REF!,#REF!,"Non Trouvé")</f>
        <v>#REF!</v>
      </c>
      <c r="O1158" s="11" t="e">
        <f>_xlfn.XLOOKUP(Mvt_Inter_entrepot[[#This Row],[Num OF]],#REF!,#REF!,"Non Trouvé")</f>
        <v>#REF!</v>
      </c>
      <c r="P1158" s="11" t="e">
        <f>_xlfn.XLOOKUP(Mvt_Inter_entrepot[[#This Row],[Num OF]],#REF!,#REF!,"Non Trouvé")</f>
        <v>#REF!</v>
      </c>
      <c r="Q1158" s="11" t="str">
        <f>IF(
   COUNTIFS($A$2:A1158,A1158,
             $B$2:B1158,B1158,
             $C$2:C1158,C1158,
             $D$2:D1158,D1158,
             $E$2:E1158,E1158,
             $H$2:H1158,H1158
             )&gt;1,
   "Doublon",
   "Correcte"
)</f>
        <v>Correcte</v>
      </c>
    </row>
    <row r="1159" spans="1:17" x14ac:dyDescent="0.25">
      <c r="A1159" s="11">
        <v>0</v>
      </c>
      <c r="B1159" s="11"/>
      <c r="C1159" s="11"/>
      <c r="D1159" s="11"/>
      <c r="E1159" s="11"/>
      <c r="F1159" s="11"/>
      <c r="G1159" s="11"/>
      <c r="H1159" s="14"/>
      <c r="I1159" s="12">
        <f>-Mvt_Inter_entrepot[[#This Row],[QTE]]</f>
        <v>0</v>
      </c>
      <c r="J1159" s="11" t="s">
        <v>2831</v>
      </c>
      <c r="K1159" s="11" t="str">
        <f>_xlfn.TEXTBEFORE(Mvt_Inter_entrepot[[#This Row],[Num Suivis]],"-",,,1)</f>
        <v>CA250751</v>
      </c>
      <c r="L1159" s="11" t="e">
        <f>_xlfn.XLOOKUP(Mvt_Inter_entrepot[[#This Row],[Num OF]],#REF!,#REF!,"Non Trouvé")</f>
        <v>#REF!</v>
      </c>
      <c r="M1159" s="11" t="e">
        <f>_xlfn.XLOOKUP(Mvt_Inter_entrepot[[#This Row],[Num OF]],#REF!,#REF!,"Non Trouvé")</f>
        <v>#REF!</v>
      </c>
      <c r="N1159" s="11" t="e">
        <f>_xlfn.XLOOKUP(Mvt_Inter_entrepot[[#This Row],[Num OF]],#REF!,#REF!,"Non Trouvé")</f>
        <v>#REF!</v>
      </c>
      <c r="O1159" s="11" t="e">
        <f>_xlfn.XLOOKUP(Mvt_Inter_entrepot[[#This Row],[Num OF]],#REF!,#REF!,"Non Trouvé")</f>
        <v>#REF!</v>
      </c>
      <c r="P1159" s="11" t="e">
        <f>_xlfn.XLOOKUP(Mvt_Inter_entrepot[[#This Row],[Num OF]],#REF!,#REF!,"Non Trouvé")</f>
        <v>#REF!</v>
      </c>
      <c r="Q1159" s="11" t="str">
        <f>IF(
   COUNTIFS($A$2:A1159,A1159,
             $B$2:B1159,B1159,
             $C$2:C1159,C1159,
             $D$2:D1159,D1159,
             $E$2:E1159,E1159,
             $H$2:H1159,H1159
             )&gt;1,
   "Doublon",
   "Correcte"
)</f>
        <v>Correcte</v>
      </c>
    </row>
    <row r="1160" spans="1:17" x14ac:dyDescent="0.25">
      <c r="A1160" s="11">
        <v>0</v>
      </c>
      <c r="B1160" s="11"/>
      <c r="C1160" s="11"/>
      <c r="D1160" s="11"/>
      <c r="E1160" s="11"/>
      <c r="F1160" s="11"/>
      <c r="G1160" s="11"/>
      <c r="H1160" s="14"/>
      <c r="I1160" s="12">
        <f>-Mvt_Inter_entrepot[[#This Row],[QTE]]</f>
        <v>0</v>
      </c>
      <c r="J1160" s="11" t="s">
        <v>2832</v>
      </c>
      <c r="K1160" s="11" t="str">
        <f>_xlfn.TEXTBEFORE(Mvt_Inter_entrepot[[#This Row],[Num Suivis]],"-",,,1)</f>
        <v>CA250751</v>
      </c>
      <c r="L1160" s="11" t="e">
        <f>_xlfn.XLOOKUP(Mvt_Inter_entrepot[[#This Row],[Num OF]],#REF!,#REF!,"Non Trouvé")</f>
        <v>#REF!</v>
      </c>
      <c r="M1160" s="11" t="e">
        <f>_xlfn.XLOOKUP(Mvt_Inter_entrepot[[#This Row],[Num OF]],#REF!,#REF!,"Non Trouvé")</f>
        <v>#REF!</v>
      </c>
      <c r="N1160" s="11" t="e">
        <f>_xlfn.XLOOKUP(Mvt_Inter_entrepot[[#This Row],[Num OF]],#REF!,#REF!,"Non Trouvé")</f>
        <v>#REF!</v>
      </c>
      <c r="O1160" s="11" t="e">
        <f>_xlfn.XLOOKUP(Mvt_Inter_entrepot[[#This Row],[Num OF]],#REF!,#REF!,"Non Trouvé")</f>
        <v>#REF!</v>
      </c>
      <c r="P1160" s="11" t="e">
        <f>_xlfn.XLOOKUP(Mvt_Inter_entrepot[[#This Row],[Num OF]],#REF!,#REF!,"Non Trouvé")</f>
        <v>#REF!</v>
      </c>
      <c r="Q1160" s="11" t="str">
        <f>IF(
   COUNTIFS($A$2:A1160,A1160,
             $B$2:B1160,B1160,
             $C$2:C1160,C1160,
             $D$2:D1160,D1160,
             $E$2:E1160,E1160,
             $H$2:H1160,H1160
             )&gt;1,
   "Doublon",
   "Correcte"
)</f>
        <v>Correcte</v>
      </c>
    </row>
    <row r="1161" spans="1:17" x14ac:dyDescent="0.25">
      <c r="A1161" s="11">
        <v>0</v>
      </c>
      <c r="B1161" s="11"/>
      <c r="C1161" s="11"/>
      <c r="D1161" s="11"/>
      <c r="E1161" s="11"/>
      <c r="F1161" s="11"/>
      <c r="G1161" s="11"/>
      <c r="H1161" s="14"/>
      <c r="I1161" s="12">
        <f>-Mvt_Inter_entrepot[[#This Row],[QTE]]</f>
        <v>0</v>
      </c>
      <c r="J1161" s="11" t="s">
        <v>2833</v>
      </c>
      <c r="K1161" s="11" t="str">
        <f>_xlfn.TEXTBEFORE(Mvt_Inter_entrepot[[#This Row],[Num Suivis]],"-",,,1)</f>
        <v>CA250751</v>
      </c>
      <c r="L1161" s="11" t="e">
        <f>_xlfn.XLOOKUP(Mvt_Inter_entrepot[[#This Row],[Num OF]],#REF!,#REF!,"Non Trouvé")</f>
        <v>#REF!</v>
      </c>
      <c r="M1161" s="11" t="e">
        <f>_xlfn.XLOOKUP(Mvt_Inter_entrepot[[#This Row],[Num OF]],#REF!,#REF!,"Non Trouvé")</f>
        <v>#REF!</v>
      </c>
      <c r="N1161" s="11" t="e">
        <f>_xlfn.XLOOKUP(Mvt_Inter_entrepot[[#This Row],[Num OF]],#REF!,#REF!,"Non Trouvé")</f>
        <v>#REF!</v>
      </c>
      <c r="O1161" s="11" t="e">
        <f>_xlfn.XLOOKUP(Mvt_Inter_entrepot[[#This Row],[Num OF]],#REF!,#REF!,"Non Trouvé")</f>
        <v>#REF!</v>
      </c>
      <c r="P1161" s="11" t="e">
        <f>_xlfn.XLOOKUP(Mvt_Inter_entrepot[[#This Row],[Num OF]],#REF!,#REF!,"Non Trouvé")</f>
        <v>#REF!</v>
      </c>
      <c r="Q1161" s="11" t="str">
        <f>IF(
   COUNTIFS($A$2:A1161,A1161,
             $B$2:B1161,B1161,
             $C$2:C1161,C1161,
             $D$2:D1161,D1161,
             $E$2:E1161,E1161,
             $H$2:H1161,H1161
             )&gt;1,
   "Doublon",
   "Correcte"
)</f>
        <v>Correcte</v>
      </c>
    </row>
    <row r="1162" spans="1:17" x14ac:dyDescent="0.25">
      <c r="A1162" s="11">
        <v>0</v>
      </c>
      <c r="B1162" s="11"/>
      <c r="C1162" s="11"/>
      <c r="D1162" s="11"/>
      <c r="E1162" s="11"/>
      <c r="F1162" s="11"/>
      <c r="G1162" s="11"/>
      <c r="H1162" s="14"/>
      <c r="I1162" s="12">
        <f>-Mvt_Inter_entrepot[[#This Row],[QTE]]</f>
        <v>0</v>
      </c>
      <c r="J1162" s="11" t="s">
        <v>2834</v>
      </c>
      <c r="K1162" s="11" t="str">
        <f>_xlfn.TEXTBEFORE(Mvt_Inter_entrepot[[#This Row],[Num Suivis]],"-",,,1)</f>
        <v>CA250751</v>
      </c>
      <c r="L1162" s="11" t="e">
        <f>_xlfn.XLOOKUP(Mvt_Inter_entrepot[[#This Row],[Num OF]],#REF!,#REF!,"Non Trouvé")</f>
        <v>#REF!</v>
      </c>
      <c r="M1162" s="11" t="e">
        <f>_xlfn.XLOOKUP(Mvt_Inter_entrepot[[#This Row],[Num OF]],#REF!,#REF!,"Non Trouvé")</f>
        <v>#REF!</v>
      </c>
      <c r="N1162" s="11" t="e">
        <f>_xlfn.XLOOKUP(Mvt_Inter_entrepot[[#This Row],[Num OF]],#REF!,#REF!,"Non Trouvé")</f>
        <v>#REF!</v>
      </c>
      <c r="O1162" s="11" t="e">
        <f>_xlfn.XLOOKUP(Mvt_Inter_entrepot[[#This Row],[Num OF]],#REF!,#REF!,"Non Trouvé")</f>
        <v>#REF!</v>
      </c>
      <c r="P1162" s="11" t="e">
        <f>_xlfn.XLOOKUP(Mvt_Inter_entrepot[[#This Row],[Num OF]],#REF!,#REF!,"Non Trouvé")</f>
        <v>#REF!</v>
      </c>
      <c r="Q1162" s="11" t="str">
        <f>IF(
   COUNTIFS($A$2:A1162,A1162,
             $B$2:B1162,B1162,
             $C$2:C1162,C1162,
             $D$2:D1162,D1162,
             $E$2:E1162,E1162,
             $H$2:H1162,H1162
             )&gt;1,
   "Doublon",
   "Correcte"
)</f>
        <v>Correcte</v>
      </c>
    </row>
    <row r="1163" spans="1:17" x14ac:dyDescent="0.25">
      <c r="A1163" s="11">
        <v>0</v>
      </c>
      <c r="B1163" s="11"/>
      <c r="C1163" s="11"/>
      <c r="D1163" s="11"/>
      <c r="E1163" s="11"/>
      <c r="F1163" s="11"/>
      <c r="G1163" s="11"/>
      <c r="H1163" s="14"/>
      <c r="I1163" s="12">
        <f>-Mvt_Inter_entrepot[[#This Row],[QTE]]</f>
        <v>0</v>
      </c>
      <c r="J1163" s="11" t="s">
        <v>2835</v>
      </c>
      <c r="K1163" s="11" t="str">
        <f>_xlfn.TEXTBEFORE(Mvt_Inter_entrepot[[#This Row],[Num Suivis]],"-",,,1)</f>
        <v>CA250751</v>
      </c>
      <c r="L1163" s="11" t="e">
        <f>_xlfn.XLOOKUP(Mvt_Inter_entrepot[[#This Row],[Num OF]],#REF!,#REF!,"Non Trouvé")</f>
        <v>#REF!</v>
      </c>
      <c r="M1163" s="11" t="e">
        <f>_xlfn.XLOOKUP(Mvt_Inter_entrepot[[#This Row],[Num OF]],#REF!,#REF!,"Non Trouvé")</f>
        <v>#REF!</v>
      </c>
      <c r="N1163" s="11" t="e">
        <f>_xlfn.XLOOKUP(Mvt_Inter_entrepot[[#This Row],[Num OF]],#REF!,#REF!,"Non Trouvé")</f>
        <v>#REF!</v>
      </c>
      <c r="O1163" s="11" t="e">
        <f>_xlfn.XLOOKUP(Mvt_Inter_entrepot[[#This Row],[Num OF]],#REF!,#REF!,"Non Trouvé")</f>
        <v>#REF!</v>
      </c>
      <c r="P1163" s="11" t="e">
        <f>_xlfn.XLOOKUP(Mvt_Inter_entrepot[[#This Row],[Num OF]],#REF!,#REF!,"Non Trouvé")</f>
        <v>#REF!</v>
      </c>
      <c r="Q1163" s="11" t="str">
        <f>IF(
   COUNTIFS($A$2:A1163,A1163,
             $B$2:B1163,B1163,
             $C$2:C1163,C1163,
             $D$2:D1163,D1163,
             $E$2:E1163,E1163,
             $H$2:H1163,H1163
             )&gt;1,
   "Doublon",
   "Correcte"
)</f>
        <v>Correcte</v>
      </c>
    </row>
    <row r="1164" spans="1:17" x14ac:dyDescent="0.25">
      <c r="A1164" s="11">
        <v>0</v>
      </c>
      <c r="B1164" s="11"/>
      <c r="C1164" s="11"/>
      <c r="D1164" s="11"/>
      <c r="E1164" s="11"/>
      <c r="F1164" s="11"/>
      <c r="G1164" s="11"/>
      <c r="H1164" s="14"/>
      <c r="I1164" s="12">
        <f>-Mvt_Inter_entrepot[[#This Row],[QTE]]</f>
        <v>0</v>
      </c>
      <c r="J1164" s="11" t="s">
        <v>2836</v>
      </c>
      <c r="K1164" s="11" t="str">
        <f>_xlfn.TEXTBEFORE(Mvt_Inter_entrepot[[#This Row],[Num Suivis]],"-",,,1)</f>
        <v>CA250751</v>
      </c>
      <c r="L1164" s="11" t="e">
        <f>_xlfn.XLOOKUP(Mvt_Inter_entrepot[[#This Row],[Num OF]],#REF!,#REF!,"Non Trouvé")</f>
        <v>#REF!</v>
      </c>
      <c r="M1164" s="11" t="e">
        <f>_xlfn.XLOOKUP(Mvt_Inter_entrepot[[#This Row],[Num OF]],#REF!,#REF!,"Non Trouvé")</f>
        <v>#REF!</v>
      </c>
      <c r="N1164" s="11" t="e">
        <f>_xlfn.XLOOKUP(Mvt_Inter_entrepot[[#This Row],[Num OF]],#REF!,#REF!,"Non Trouvé")</f>
        <v>#REF!</v>
      </c>
      <c r="O1164" s="11" t="e">
        <f>_xlfn.XLOOKUP(Mvt_Inter_entrepot[[#This Row],[Num OF]],#REF!,#REF!,"Non Trouvé")</f>
        <v>#REF!</v>
      </c>
      <c r="P1164" s="11" t="e">
        <f>_xlfn.XLOOKUP(Mvt_Inter_entrepot[[#This Row],[Num OF]],#REF!,#REF!,"Non Trouvé")</f>
        <v>#REF!</v>
      </c>
      <c r="Q1164" s="11" t="str">
        <f>IF(
   COUNTIFS($A$2:A1164,A1164,
             $B$2:B1164,B1164,
             $C$2:C1164,C1164,
             $D$2:D1164,D1164,
             $E$2:E1164,E1164,
             $H$2:H1164,H1164
             )&gt;1,
   "Doublon",
   "Correcte"
)</f>
        <v>Correcte</v>
      </c>
    </row>
    <row r="1165" spans="1:17" x14ac:dyDescent="0.25">
      <c r="A1165" s="11">
        <v>0</v>
      </c>
      <c r="B1165" s="11"/>
      <c r="C1165" s="11"/>
      <c r="D1165" s="11"/>
      <c r="E1165" s="11"/>
      <c r="F1165" s="11"/>
      <c r="G1165" s="11"/>
      <c r="H1165" s="14"/>
      <c r="I1165" s="12">
        <f>-Mvt_Inter_entrepot[[#This Row],[QTE]]</f>
        <v>0</v>
      </c>
      <c r="J1165" s="11" t="s">
        <v>2837</v>
      </c>
      <c r="K1165" s="11" t="str">
        <f>_xlfn.TEXTBEFORE(Mvt_Inter_entrepot[[#This Row],[Num Suivis]],"-",,,1)</f>
        <v>CA250751</v>
      </c>
      <c r="L1165" s="11" t="e">
        <f>_xlfn.XLOOKUP(Mvt_Inter_entrepot[[#This Row],[Num OF]],#REF!,#REF!,"Non Trouvé")</f>
        <v>#REF!</v>
      </c>
      <c r="M1165" s="11" t="e">
        <f>_xlfn.XLOOKUP(Mvt_Inter_entrepot[[#This Row],[Num OF]],#REF!,#REF!,"Non Trouvé")</f>
        <v>#REF!</v>
      </c>
      <c r="N1165" s="11" t="e">
        <f>_xlfn.XLOOKUP(Mvt_Inter_entrepot[[#This Row],[Num OF]],#REF!,#REF!,"Non Trouvé")</f>
        <v>#REF!</v>
      </c>
      <c r="O1165" s="11" t="e">
        <f>_xlfn.XLOOKUP(Mvt_Inter_entrepot[[#This Row],[Num OF]],#REF!,#REF!,"Non Trouvé")</f>
        <v>#REF!</v>
      </c>
      <c r="P1165" s="11" t="e">
        <f>_xlfn.XLOOKUP(Mvt_Inter_entrepot[[#This Row],[Num OF]],#REF!,#REF!,"Non Trouvé")</f>
        <v>#REF!</v>
      </c>
      <c r="Q1165" s="11" t="str">
        <f>IF(
   COUNTIFS($A$2:A1165,A1165,
             $B$2:B1165,B1165,
             $C$2:C1165,C1165,
             $D$2:D1165,D1165,
             $E$2:E1165,E1165,
             $H$2:H1165,H1165
             )&gt;1,
   "Doublon",
   "Correcte"
)</f>
        <v>Correcte</v>
      </c>
    </row>
    <row r="1166" spans="1:17" x14ac:dyDescent="0.25">
      <c r="A1166" s="11">
        <v>0</v>
      </c>
      <c r="B1166" s="11"/>
      <c r="C1166" s="11"/>
      <c r="D1166" s="11"/>
      <c r="E1166" s="11"/>
      <c r="F1166" s="11"/>
      <c r="G1166" s="11"/>
      <c r="H1166" s="14"/>
      <c r="I1166" s="12">
        <f>-Mvt_Inter_entrepot[[#This Row],[QTE]]</f>
        <v>0</v>
      </c>
      <c r="J1166" s="11" t="s">
        <v>2838</v>
      </c>
      <c r="K1166" s="11" t="str">
        <f>_xlfn.TEXTBEFORE(Mvt_Inter_entrepot[[#This Row],[Num Suivis]],"-",,,1)</f>
        <v>CA250751</v>
      </c>
      <c r="L1166" s="11" t="e">
        <f>_xlfn.XLOOKUP(Mvt_Inter_entrepot[[#This Row],[Num OF]],#REF!,#REF!,"Non Trouvé")</f>
        <v>#REF!</v>
      </c>
      <c r="M1166" s="11" t="e">
        <f>_xlfn.XLOOKUP(Mvt_Inter_entrepot[[#This Row],[Num OF]],#REF!,#REF!,"Non Trouvé")</f>
        <v>#REF!</v>
      </c>
      <c r="N1166" s="11" t="e">
        <f>_xlfn.XLOOKUP(Mvt_Inter_entrepot[[#This Row],[Num OF]],#REF!,#REF!,"Non Trouvé")</f>
        <v>#REF!</v>
      </c>
      <c r="O1166" s="11" t="e">
        <f>_xlfn.XLOOKUP(Mvt_Inter_entrepot[[#This Row],[Num OF]],#REF!,#REF!,"Non Trouvé")</f>
        <v>#REF!</v>
      </c>
      <c r="P1166" s="11" t="e">
        <f>_xlfn.XLOOKUP(Mvt_Inter_entrepot[[#This Row],[Num OF]],#REF!,#REF!,"Non Trouvé")</f>
        <v>#REF!</v>
      </c>
      <c r="Q1166" s="11" t="str">
        <f>IF(
   COUNTIFS($A$2:A1166,A1166,
             $B$2:B1166,B1166,
             $C$2:C1166,C1166,
             $D$2:D1166,D1166,
             $E$2:E1166,E1166,
             $H$2:H1166,H1166
             )&gt;1,
   "Doublon",
   "Correcte"
)</f>
        <v>Correcte</v>
      </c>
    </row>
    <row r="1167" spans="1:17" x14ac:dyDescent="0.25">
      <c r="A1167" s="11">
        <v>0</v>
      </c>
      <c r="B1167" s="11"/>
      <c r="C1167" s="11"/>
      <c r="D1167" s="11"/>
      <c r="E1167" s="11"/>
      <c r="F1167" s="11"/>
      <c r="G1167" s="11"/>
      <c r="H1167" s="14"/>
      <c r="I1167" s="12">
        <f>-Mvt_Inter_entrepot[[#This Row],[QTE]]</f>
        <v>0</v>
      </c>
      <c r="J1167" s="11" t="s">
        <v>2839</v>
      </c>
      <c r="K1167" s="11" t="str">
        <f>_xlfn.TEXTBEFORE(Mvt_Inter_entrepot[[#This Row],[Num Suivis]],"-",,,1)</f>
        <v>CA250755</v>
      </c>
      <c r="L1167" s="11" t="e">
        <f>_xlfn.XLOOKUP(Mvt_Inter_entrepot[[#This Row],[Num OF]],#REF!,#REF!,"Non Trouvé")</f>
        <v>#REF!</v>
      </c>
      <c r="M1167" s="11" t="e">
        <f>_xlfn.XLOOKUP(Mvt_Inter_entrepot[[#This Row],[Num OF]],#REF!,#REF!,"Non Trouvé")</f>
        <v>#REF!</v>
      </c>
      <c r="N1167" s="11" t="e">
        <f>_xlfn.XLOOKUP(Mvt_Inter_entrepot[[#This Row],[Num OF]],#REF!,#REF!,"Non Trouvé")</f>
        <v>#REF!</v>
      </c>
      <c r="O1167" s="11" t="e">
        <f>_xlfn.XLOOKUP(Mvt_Inter_entrepot[[#This Row],[Num OF]],#REF!,#REF!,"Non Trouvé")</f>
        <v>#REF!</v>
      </c>
      <c r="P1167" s="11" t="e">
        <f>_xlfn.XLOOKUP(Mvt_Inter_entrepot[[#This Row],[Num OF]],#REF!,#REF!,"Non Trouvé")</f>
        <v>#REF!</v>
      </c>
      <c r="Q1167" s="11" t="str">
        <f>IF(
   COUNTIFS($A$2:A1167,A1167,
             $B$2:B1167,B1167,
             $C$2:C1167,C1167,
             $D$2:D1167,D1167,
             $E$2:E1167,E1167,
             $H$2:H1167,H1167
             )&gt;1,
   "Doublon",
   "Correcte"
)</f>
        <v>Correcte</v>
      </c>
    </row>
    <row r="1168" spans="1:17" x14ac:dyDescent="0.25">
      <c r="A1168" s="11">
        <v>0</v>
      </c>
      <c r="B1168" s="11"/>
      <c r="C1168" s="11"/>
      <c r="D1168" s="11"/>
      <c r="E1168" s="11"/>
      <c r="F1168" s="11"/>
      <c r="G1168" s="11"/>
      <c r="H1168" s="14"/>
      <c r="I1168" s="12">
        <f>-Mvt_Inter_entrepot[[#This Row],[QTE]]</f>
        <v>0</v>
      </c>
      <c r="J1168" s="11" t="s">
        <v>2840</v>
      </c>
      <c r="K1168" s="11" t="str">
        <f>_xlfn.TEXTBEFORE(Mvt_Inter_entrepot[[#This Row],[Num Suivis]],"-",,,1)</f>
        <v>CA250755</v>
      </c>
      <c r="L1168" s="11" t="e">
        <f>_xlfn.XLOOKUP(Mvt_Inter_entrepot[[#This Row],[Num OF]],#REF!,#REF!,"Non Trouvé")</f>
        <v>#REF!</v>
      </c>
      <c r="M1168" s="11" t="e">
        <f>_xlfn.XLOOKUP(Mvt_Inter_entrepot[[#This Row],[Num OF]],#REF!,#REF!,"Non Trouvé")</f>
        <v>#REF!</v>
      </c>
      <c r="N1168" s="11" t="e">
        <f>_xlfn.XLOOKUP(Mvt_Inter_entrepot[[#This Row],[Num OF]],#REF!,#REF!,"Non Trouvé")</f>
        <v>#REF!</v>
      </c>
      <c r="O1168" s="11" t="e">
        <f>_xlfn.XLOOKUP(Mvt_Inter_entrepot[[#This Row],[Num OF]],#REF!,#REF!,"Non Trouvé")</f>
        <v>#REF!</v>
      </c>
      <c r="P1168" s="11" t="e">
        <f>_xlfn.XLOOKUP(Mvt_Inter_entrepot[[#This Row],[Num OF]],#REF!,#REF!,"Non Trouvé")</f>
        <v>#REF!</v>
      </c>
      <c r="Q1168" s="11" t="str">
        <f>IF(
   COUNTIFS($A$2:A1168,A1168,
             $B$2:B1168,B1168,
             $C$2:C1168,C1168,
             $D$2:D1168,D1168,
             $E$2:E1168,E1168,
             $H$2:H1168,H1168
             )&gt;1,
   "Doublon",
   "Correcte"
)</f>
        <v>Correcte</v>
      </c>
    </row>
    <row r="1169" spans="1:17" x14ac:dyDescent="0.25">
      <c r="A1169" s="11">
        <v>0</v>
      </c>
      <c r="B1169" s="11"/>
      <c r="C1169" s="11"/>
      <c r="D1169" s="11"/>
      <c r="E1169" s="11"/>
      <c r="F1169" s="11"/>
      <c r="G1169" s="11"/>
      <c r="H1169" s="14"/>
      <c r="I1169" s="12">
        <f>-Mvt_Inter_entrepot[[#This Row],[QTE]]</f>
        <v>0</v>
      </c>
      <c r="J1169" s="11" t="s">
        <v>2841</v>
      </c>
      <c r="K1169" s="11" t="str">
        <f>_xlfn.TEXTBEFORE(Mvt_Inter_entrepot[[#This Row],[Num Suivis]],"-",,,1)</f>
        <v>CA250755</v>
      </c>
      <c r="L1169" s="11" t="e">
        <f>_xlfn.XLOOKUP(Mvt_Inter_entrepot[[#This Row],[Num OF]],#REF!,#REF!,"Non Trouvé")</f>
        <v>#REF!</v>
      </c>
      <c r="M1169" s="11" t="e">
        <f>_xlfn.XLOOKUP(Mvt_Inter_entrepot[[#This Row],[Num OF]],#REF!,#REF!,"Non Trouvé")</f>
        <v>#REF!</v>
      </c>
      <c r="N1169" s="11" t="e">
        <f>_xlfn.XLOOKUP(Mvt_Inter_entrepot[[#This Row],[Num OF]],#REF!,#REF!,"Non Trouvé")</f>
        <v>#REF!</v>
      </c>
      <c r="O1169" s="11" t="e">
        <f>_xlfn.XLOOKUP(Mvt_Inter_entrepot[[#This Row],[Num OF]],#REF!,#REF!,"Non Trouvé")</f>
        <v>#REF!</v>
      </c>
      <c r="P1169" s="11" t="e">
        <f>_xlfn.XLOOKUP(Mvt_Inter_entrepot[[#This Row],[Num OF]],#REF!,#REF!,"Non Trouvé")</f>
        <v>#REF!</v>
      </c>
      <c r="Q1169" s="11" t="str">
        <f>IF(
   COUNTIFS($A$2:A1169,A1169,
             $B$2:B1169,B1169,
             $C$2:C1169,C1169,
             $D$2:D1169,D1169,
             $E$2:E1169,E1169,
             $H$2:H1169,H1169
             )&gt;1,
   "Doublon",
   "Correcte"
)</f>
        <v>Correcte</v>
      </c>
    </row>
    <row r="1170" spans="1:17" x14ac:dyDescent="0.25">
      <c r="A1170" s="11">
        <v>0</v>
      </c>
      <c r="B1170" s="11"/>
      <c r="C1170" s="11"/>
      <c r="D1170" s="11"/>
      <c r="E1170" s="11"/>
      <c r="F1170" s="11"/>
      <c r="G1170" s="11"/>
      <c r="H1170" s="14"/>
      <c r="I1170" s="12">
        <f>-Mvt_Inter_entrepot[[#This Row],[QTE]]</f>
        <v>0</v>
      </c>
      <c r="J1170" s="11" t="s">
        <v>2842</v>
      </c>
      <c r="K1170" s="11" t="str">
        <f>_xlfn.TEXTBEFORE(Mvt_Inter_entrepot[[#This Row],[Num Suivis]],"-",,,1)</f>
        <v>CA250755</v>
      </c>
      <c r="L1170" s="11" t="e">
        <f>_xlfn.XLOOKUP(Mvt_Inter_entrepot[[#This Row],[Num OF]],#REF!,#REF!,"Non Trouvé")</f>
        <v>#REF!</v>
      </c>
      <c r="M1170" s="11" t="e">
        <f>_xlfn.XLOOKUP(Mvt_Inter_entrepot[[#This Row],[Num OF]],#REF!,#REF!,"Non Trouvé")</f>
        <v>#REF!</v>
      </c>
      <c r="N1170" s="11" t="e">
        <f>_xlfn.XLOOKUP(Mvt_Inter_entrepot[[#This Row],[Num OF]],#REF!,#REF!,"Non Trouvé")</f>
        <v>#REF!</v>
      </c>
      <c r="O1170" s="11" t="e">
        <f>_xlfn.XLOOKUP(Mvt_Inter_entrepot[[#This Row],[Num OF]],#REF!,#REF!,"Non Trouvé")</f>
        <v>#REF!</v>
      </c>
      <c r="P1170" s="11" t="e">
        <f>_xlfn.XLOOKUP(Mvt_Inter_entrepot[[#This Row],[Num OF]],#REF!,#REF!,"Non Trouvé")</f>
        <v>#REF!</v>
      </c>
      <c r="Q1170" s="11" t="str">
        <f>IF(
   COUNTIFS($A$2:A1170,A1170,
             $B$2:B1170,B1170,
             $C$2:C1170,C1170,
             $D$2:D1170,D1170,
             $E$2:E1170,E1170,
             $H$2:H1170,H1170
             )&gt;1,
   "Doublon",
   "Correcte"
)</f>
        <v>Correcte</v>
      </c>
    </row>
    <row r="1171" spans="1:17" x14ac:dyDescent="0.25">
      <c r="A1171" s="11">
        <v>0</v>
      </c>
      <c r="B1171" s="11"/>
      <c r="C1171" s="11"/>
      <c r="D1171" s="11"/>
      <c r="E1171" s="11"/>
      <c r="F1171" s="11"/>
      <c r="G1171" s="11"/>
      <c r="H1171" s="14"/>
      <c r="I1171" s="12">
        <f>-Mvt_Inter_entrepot[[#This Row],[QTE]]</f>
        <v>0</v>
      </c>
      <c r="J1171" s="11" t="s">
        <v>2843</v>
      </c>
      <c r="K1171" s="11" t="str">
        <f>_xlfn.TEXTBEFORE(Mvt_Inter_entrepot[[#This Row],[Num Suivis]],"-",,,1)</f>
        <v>CA250752</v>
      </c>
      <c r="L1171" s="11" t="e">
        <f>_xlfn.XLOOKUP(Mvt_Inter_entrepot[[#This Row],[Num OF]],#REF!,#REF!,"Non Trouvé")</f>
        <v>#REF!</v>
      </c>
      <c r="M1171" s="11" t="e">
        <f>_xlfn.XLOOKUP(Mvt_Inter_entrepot[[#This Row],[Num OF]],#REF!,#REF!,"Non Trouvé")</f>
        <v>#REF!</v>
      </c>
      <c r="N1171" s="11" t="e">
        <f>_xlfn.XLOOKUP(Mvt_Inter_entrepot[[#This Row],[Num OF]],#REF!,#REF!,"Non Trouvé")</f>
        <v>#REF!</v>
      </c>
      <c r="O1171" s="11" t="e">
        <f>_xlfn.XLOOKUP(Mvt_Inter_entrepot[[#This Row],[Num OF]],#REF!,#REF!,"Non Trouvé")</f>
        <v>#REF!</v>
      </c>
      <c r="P1171" s="11" t="e">
        <f>_xlfn.XLOOKUP(Mvt_Inter_entrepot[[#This Row],[Num OF]],#REF!,#REF!,"Non Trouvé")</f>
        <v>#REF!</v>
      </c>
      <c r="Q1171" s="11" t="str">
        <f>IF(
   COUNTIFS($A$2:A1171,A1171,
             $B$2:B1171,B1171,
             $C$2:C1171,C1171,
             $D$2:D1171,D1171,
             $E$2:E1171,E1171,
             $H$2:H1171,H1171
             )&gt;1,
   "Doublon",
   "Correcte"
)</f>
        <v>Correcte</v>
      </c>
    </row>
    <row r="1172" spans="1:17" x14ac:dyDescent="0.25">
      <c r="A1172" s="11">
        <v>0</v>
      </c>
      <c r="B1172" s="11"/>
      <c r="C1172" s="11"/>
      <c r="D1172" s="11"/>
      <c r="E1172" s="11"/>
      <c r="F1172" s="11"/>
      <c r="G1172" s="11"/>
      <c r="H1172" s="14"/>
      <c r="I1172" s="12">
        <f>-Mvt_Inter_entrepot[[#This Row],[QTE]]</f>
        <v>0</v>
      </c>
      <c r="J1172" s="11" t="s">
        <v>2844</v>
      </c>
      <c r="K1172" s="11" t="str">
        <f>_xlfn.TEXTBEFORE(Mvt_Inter_entrepot[[#This Row],[Num Suivis]],"-",,,1)</f>
        <v>CA250752</v>
      </c>
      <c r="L1172" s="11" t="e">
        <f>_xlfn.XLOOKUP(Mvt_Inter_entrepot[[#This Row],[Num OF]],#REF!,#REF!,"Non Trouvé")</f>
        <v>#REF!</v>
      </c>
      <c r="M1172" s="11" t="e">
        <f>_xlfn.XLOOKUP(Mvt_Inter_entrepot[[#This Row],[Num OF]],#REF!,#REF!,"Non Trouvé")</f>
        <v>#REF!</v>
      </c>
      <c r="N1172" s="11" t="e">
        <f>_xlfn.XLOOKUP(Mvt_Inter_entrepot[[#This Row],[Num OF]],#REF!,#REF!,"Non Trouvé")</f>
        <v>#REF!</v>
      </c>
      <c r="O1172" s="11" t="e">
        <f>_xlfn.XLOOKUP(Mvt_Inter_entrepot[[#This Row],[Num OF]],#REF!,#REF!,"Non Trouvé")</f>
        <v>#REF!</v>
      </c>
      <c r="P1172" s="11" t="e">
        <f>_xlfn.XLOOKUP(Mvt_Inter_entrepot[[#This Row],[Num OF]],#REF!,#REF!,"Non Trouvé")</f>
        <v>#REF!</v>
      </c>
      <c r="Q1172" s="11" t="str">
        <f>IF(
   COUNTIFS($A$2:A1172,A1172,
             $B$2:B1172,B1172,
             $C$2:C1172,C1172,
             $D$2:D1172,D1172,
             $E$2:E1172,E1172,
             $H$2:H1172,H1172
             )&gt;1,
   "Doublon",
   "Correcte"
)</f>
        <v>Correcte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6ce0c2-8ccd-48e5-a9cc-8f363ec5f66b" xsi:nil="true"/>
    <lcf76f155ced4ddcb4097134ff3c332f xmlns="34930b9f-d688-4035-8039-4e73b39ed39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C79D99AC7FB649873C7103240C98A2" ma:contentTypeVersion="10" ma:contentTypeDescription="Crée un document." ma:contentTypeScope="" ma:versionID="b37fa92b659a3879d068af05744f5cf4">
  <xsd:schema xmlns:xsd="http://www.w3.org/2001/XMLSchema" xmlns:xs="http://www.w3.org/2001/XMLSchema" xmlns:p="http://schemas.microsoft.com/office/2006/metadata/properties" xmlns:ns2="34930b9f-d688-4035-8039-4e73b39ed398" xmlns:ns3="176ce0c2-8ccd-48e5-a9cc-8f363ec5f66b" targetNamespace="http://schemas.microsoft.com/office/2006/metadata/properties" ma:root="true" ma:fieldsID="74666aa94d396bad6a4aff18f04194b9" ns2:_="" ns3:_="">
    <xsd:import namespace="34930b9f-d688-4035-8039-4e73b39ed398"/>
    <xsd:import namespace="176ce0c2-8ccd-48e5-a9cc-8f363ec5f6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30b9f-d688-4035-8039-4e73b39ed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18391504-2b99-4f00-93f0-46498fe15ea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6ce0c2-8ccd-48e5-a9cc-8f363ec5f6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5a8e04a-0af1-48f7-bfdf-5994485298d2}" ma:internalName="TaxCatchAll" ma:showField="CatchAllData" ma:web="176ce0c2-8ccd-48e5-a9cc-8f363ec5f6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F7B06362-8594-4757-9203-44E89F2CAB09}">
  <ds:schemaRefs>
    <ds:schemaRef ds:uri="http://purl.org/dc/dcmitype/"/>
    <ds:schemaRef ds:uri="34930b9f-d688-4035-8039-4e73b39ed398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176ce0c2-8ccd-48e5-a9cc-8f363ec5f66b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DDB73C8-ED50-4786-AF3F-5598713E5F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32CD36-8BF8-4A80-A9C0-A59E8A783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30b9f-d688-4035-8039-4e73b39ed398"/>
    <ds:schemaRef ds:uri="176ce0c2-8ccd-48e5-a9cc-8f363ec5f6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9457B95-DE32-49B3-BA2E-82B45D01DE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coordonne sous traitant</vt:lpstr>
      <vt:lpstr>Mouvement mp</vt:lpstr>
      <vt:lpstr>Mouvement Fourniture</vt:lpstr>
      <vt:lpstr>Tissage</vt:lpstr>
      <vt:lpstr>Coupe</vt:lpstr>
      <vt:lpstr>Mvtst</vt:lpstr>
      <vt:lpstr>Qualite</vt:lpstr>
      <vt:lpstr>Liste de Colisage</vt:lpstr>
      <vt:lpstr>Liste Palette</vt:lpstr>
      <vt:lpstr>Mvt Inter-entrepot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HAMDI SGHAIER</dc:creator>
  <cp:keywords/>
  <dc:description/>
  <cp:lastModifiedBy>HAMDI SGHAIER</cp:lastModifiedBy>
  <cp:revision/>
  <dcterms:created xsi:type="dcterms:W3CDTF">2025-09-23T19:53:28Z</dcterms:created>
  <dcterms:modified xsi:type="dcterms:W3CDTF">2025-10-18T08:55:37Z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0x010100E1C79D99AC7FB649873C7103240C98A2</vt:lpwstr>
  </property>
  <property fmtid="{D5CDD505-2E9C-101B-9397-08002B2CF9AE}" pid="3" name="MediaServiceImageTags">
    <vt:lpwstr/>
  </property>
  <property fmtid="{D5CDD505-2E9C-101B-9397-08002B2CF9AE}" pid="4" name="Order">
    <vt:r8>87700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